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charts/chartEx2.xml" ContentType="application/vnd.ms-office.chartex+xml"/>
  <Override PartName="/xl/charts/style8.xml" ContentType="application/vnd.ms-office.chartstyle+xml"/>
  <Override PartName="/xl/charts/colors8.xml" ContentType="application/vnd.ms-office.chartcolorstyle+xml"/>
  <Override PartName="/xl/theme/themeOverride5.xml" ContentType="application/vnd.openxmlformats-officedocument.themeOverrid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6.xml" ContentType="application/vnd.openxmlformats-officedocument.themeOverrid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7.xml" ContentType="application/vnd.openxmlformats-officedocument.themeOverride+xml"/>
  <Override PartName="/xl/drawings/drawing4.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slicers/slicer5.xml" ContentType="application/vnd.ms-excel.slicer+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8.xml" ContentType="application/vnd.openxmlformats-officedocument.themeOverrid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6.xml" ContentType="application/vnd.openxmlformats-officedocument.drawing+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theme/themeOverride9.xml" ContentType="application/vnd.openxmlformats-officedocument.themeOverride+xml"/>
  <Override PartName="/xl/drawings/drawing7.xml" ContentType="application/vnd.openxmlformats-officedocument.drawing+xml"/>
  <Override PartName="/xl/slicers/slicer6.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Tables/pivotTable62.xml" ContentType="application/vnd.openxmlformats-officedocument.spreadsheetml.pivotTable+xml"/>
  <Override PartName="/xl/pivotTables/pivotTable63.xml" ContentType="application/vnd.openxmlformats-officedocument.spreadsheetml.pivotTable+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Tables/pivotTable66.xml" ContentType="application/vnd.openxmlformats-officedocument.spreadsheetml.pivotTable+xml"/>
  <Override PartName="/xl/pivotTables/pivotTable67.xml" ContentType="application/vnd.openxmlformats-officedocument.spreadsheetml.pivotTable+xml"/>
  <Override PartName="/xl/pivotTables/pivotTable68.xml" ContentType="application/vnd.openxmlformats-officedocument.spreadsheetml.pivotTable+xml"/>
  <Override PartName="/xl/pivotTables/pivotTable69.xml" ContentType="application/vnd.openxmlformats-officedocument.spreadsheetml.pivotTable+xml"/>
  <Override PartName="/xl/pivotTables/pivotTable70.xml" ContentType="application/vnd.openxmlformats-officedocument.spreadsheetml.pivotTable+xml"/>
  <Override PartName="/xl/pivotTables/pivotTable71.xml" ContentType="application/vnd.openxmlformats-officedocument.spreadsheetml.pivotTable+xml"/>
  <Override PartName="/xl/pivotTables/pivotTable72.xml" ContentType="application/vnd.openxmlformats-officedocument.spreadsheetml.pivotTable+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Tables/pivotTable75.xml" ContentType="application/vnd.openxmlformats-officedocument.spreadsheetml.pivotTable+xml"/>
  <Override PartName="/xl/pivotTables/pivotTable76.xml" ContentType="application/vnd.openxmlformats-officedocument.spreadsheetml.pivotTable+xml"/>
  <Override PartName="/xl/pivotTables/pivotTable77.xml" ContentType="application/vnd.openxmlformats-officedocument.spreadsheetml.pivotTable+xml"/>
  <Override PartName="/xl/pivotTables/pivotTable78.xml" ContentType="application/vnd.openxmlformats-officedocument.spreadsheetml.pivotTable+xml"/>
  <Override PartName="/xl/pivotTables/pivotTable79.xml" ContentType="application/vnd.openxmlformats-officedocument.spreadsheetml.pivotTable+xml"/>
  <Override PartName="/xl/pivotTables/pivotTable80.xml" ContentType="application/vnd.openxmlformats-officedocument.spreadsheetml.pivotTable+xml"/>
  <Override PartName="/xl/pivotTables/pivotTable81.xml" ContentType="application/vnd.openxmlformats-officedocument.spreadsheetml.pivotTable+xml"/>
  <Override PartName="/xl/pivotTables/pivotTable82.xml" ContentType="application/vnd.openxmlformats-officedocument.spreadsheetml.pivotTable+xml"/>
  <Override PartName="/xl/pivotTables/pivotTable83.xml" ContentType="application/vnd.openxmlformats-officedocument.spreadsheetml.pivotTable+xml"/>
  <Override PartName="/xl/pivotTables/pivotTable84.xml" ContentType="application/vnd.openxmlformats-officedocument.spreadsheetml.pivotTable+xml"/>
  <Override PartName="/xl/pivotTables/pivotTable85.xml" ContentType="application/vnd.openxmlformats-officedocument.spreadsheetml.pivotTable+xml"/>
  <Override PartName="/xl/pivotTables/pivotTable86.xml" ContentType="application/vnd.openxmlformats-officedocument.spreadsheetml.pivotTable+xml"/>
  <Override PartName="/xl/pivotTables/pivotTable87.xml" ContentType="application/vnd.openxmlformats-officedocument.spreadsheetml.pivotTable+xml"/>
  <Override PartName="/xl/pivotTables/pivotTable88.xml" ContentType="application/vnd.openxmlformats-officedocument.spreadsheetml.pivotTable+xml"/>
  <Override PartName="/xl/pivotTables/pivotTable89.xml" ContentType="application/vnd.openxmlformats-officedocument.spreadsheetml.pivotTable+xml"/>
  <Override PartName="/xl/pivotTables/pivotTable90.xml" ContentType="application/vnd.openxmlformats-officedocument.spreadsheetml.pivotTable+xml"/>
  <Override PartName="/xl/pivotTables/pivotTable91.xml" ContentType="application/vnd.openxmlformats-officedocument.spreadsheetml.pivotTable+xml"/>
  <Override PartName="/xl/pivotTables/pivotTable92.xml" ContentType="application/vnd.openxmlformats-officedocument.spreadsheetml.pivotTable+xml"/>
  <Override PartName="/xl/pivotTables/pivotTable93.xml" ContentType="application/vnd.openxmlformats-officedocument.spreadsheetml.pivotTable+xml"/>
  <Override PartName="/xl/pivotTables/pivotTable94.xml" ContentType="application/vnd.openxmlformats-officedocument.spreadsheetml.pivotTable+xml"/>
  <Override PartName="/xl/pivotTables/pivotTable95.xml" ContentType="application/vnd.openxmlformats-officedocument.spreadsheetml.pivotTable+xml"/>
  <Override PartName="/xl/pivotTables/pivotTable96.xml" ContentType="application/vnd.openxmlformats-officedocument.spreadsheetml.pivotTable+xml"/>
  <Override PartName="/xl/pivotTables/pivotTable97.xml" ContentType="application/vnd.openxmlformats-officedocument.spreadsheetml.pivotTable+xml"/>
  <Override PartName="/xl/pivotTables/pivotTable98.xml" ContentType="application/vnd.openxmlformats-officedocument.spreadsheetml.pivotTable+xml"/>
  <Override PartName="/xl/pivotTables/pivotTable99.xml" ContentType="application/vnd.openxmlformats-officedocument.spreadsheetml.pivotTable+xml"/>
  <Override PartName="/xl/pivotTables/pivotTable100.xml" ContentType="application/vnd.openxmlformats-officedocument.spreadsheetml.pivotTable+xml"/>
  <Override PartName="/xl/pivotTables/pivotTable101.xml" ContentType="application/vnd.openxmlformats-officedocument.spreadsheetml.pivotTable+xml"/>
  <Override PartName="/xl/pivotTables/pivotTable102.xml" ContentType="application/vnd.openxmlformats-officedocument.spreadsheetml.pivotTable+xml"/>
  <Override PartName="/xl/pivotTables/pivotTable103.xml" ContentType="application/vnd.openxmlformats-officedocument.spreadsheetml.pivotTable+xml"/>
  <Override PartName="/xl/pivotTables/pivotTable104.xml" ContentType="application/vnd.openxmlformats-officedocument.spreadsheetml.pivotTable+xml"/>
  <Override PartName="/xl/pivotTables/pivotTable105.xml" ContentType="application/vnd.openxmlformats-officedocument.spreadsheetml.pivotTable+xml"/>
  <Override PartName="/xl/pivotTables/pivotTable106.xml" ContentType="application/vnd.openxmlformats-officedocument.spreadsheetml.pivotTable+xml"/>
  <Override PartName="/xl/pivotTables/pivotTable107.xml" ContentType="application/vnd.openxmlformats-officedocument.spreadsheetml.pivotTable+xml"/>
  <Override PartName="/xl/pivotTables/pivotTable108.xml" ContentType="application/vnd.openxmlformats-officedocument.spreadsheetml.pivotTable+xml"/>
  <Override PartName="/xl/pivotTables/pivotTable109.xml" ContentType="application/vnd.openxmlformats-officedocument.spreadsheetml.pivotTable+xml"/>
  <Override PartName="/xl/drawings/drawing9.xml" ContentType="application/vnd.openxmlformats-officedocument.drawing+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2f4181d1b6c574d0/Documents/Learning 2 Land/Excel Projects/Maersk Line/Maersk Project - Ahmed Lawal/Ahmed Lawal/Maersk -GitHub/"/>
    </mc:Choice>
  </mc:AlternateContent>
  <xr:revisionPtr revIDLastSave="7066" documentId="8_{B9A0A6DD-8504-4722-8E30-FF695FB8C2C4}" xr6:coauthVersionLast="47" xr6:coauthVersionMax="47" xr10:uidLastSave="{09036200-B4C6-416D-84EE-C888E3E4FACD}"/>
  <bookViews>
    <workbookView xWindow="-110" yWindow="-110" windowWidth="25820" windowHeight="15500" xr2:uid="{00000000-000D-0000-FFFF-FFFF00000000}"/>
  </bookViews>
  <sheets>
    <sheet name="Supplier Performance Dashboard" sheetId="6" r:id="rId1"/>
    <sheet name="LeadTime Reliability Dashboard" sheetId="9" r:id="rId2"/>
    <sheet name="Quality and Defect Dashboard" sheetId="15" r:id="rId3"/>
    <sheet name="Procuremt &amp; Invoice Inaccuracy" sheetId="10" r:id="rId4"/>
    <sheet name="Supplier Risk &amp; Segmentation" sheetId="16" state="hidden" r:id="rId5"/>
    <sheet name="Sheet1" sheetId="14" state="hidden" r:id="rId6"/>
    <sheet name="LeadTime Reliability Dashboard3" sheetId="11" state="hidden" r:id="rId7"/>
    <sheet name="Pivot" sheetId="7" r:id="rId8"/>
    <sheet name="Pivot Table Analysis" sheetId="13" r:id="rId9"/>
    <sheet name="Cleaned_Data" sheetId="2" r:id="rId10"/>
    <sheet name="Raw_Dirty_Data" sheetId="12" r:id="rId11"/>
    <sheet name="Sheet3" sheetId="8" state="hidden" r:id="rId12"/>
    <sheet name="Comments" sheetId="4" state="hidden" r:id="rId13"/>
    <sheet name="Comments 2" sheetId="5" state="hidden" r:id="rId14"/>
  </sheets>
  <definedNames>
    <definedName name="_xlnm._FilterDatabase" localSheetId="11" hidden="1">Sheet3!$A$2:$Q$42</definedName>
    <definedName name="_xlchart.v5.0" hidden="1">Pivot!$E$343</definedName>
    <definedName name="_xlchart.v5.1" hidden="1">Pivot!$E$344:$E$355</definedName>
    <definedName name="_xlchart.v5.2" hidden="1">Pivot!$F$343</definedName>
    <definedName name="_xlchart.v5.3" hidden="1">Pivot!$F$344:$F$355</definedName>
    <definedName name="_xlchart.v5.4" hidden="1">Pivot!$E$343</definedName>
    <definedName name="_xlchart.v5.5" hidden="1">Pivot!$E$344:$E$355</definedName>
    <definedName name="_xlchart.v5.6" hidden="1">Pivot!$G$343</definedName>
    <definedName name="_xlchart.v5.7" hidden="1">Pivot!$G$344:$G$355</definedName>
    <definedName name="Slicer_Delivery_Status">#N/A</definedName>
    <definedName name="Slicer_Months__Actual_Delivery_Date">#N/A</definedName>
    <definedName name="Slicer_Shipping_Mode">#N/A</definedName>
    <definedName name="Slicer_Supplier_Name">#N/A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60BeeS/A4eRgyNZODRUVmxfUd/zahYP4kPvx9DTNy2M="/>
    </ext>
  </extLst>
</workbook>
</file>

<file path=xl/calcChain.xml><?xml version="1.0" encoding="utf-8"?>
<calcChain xmlns="http://schemas.openxmlformats.org/spreadsheetml/2006/main">
  <c r="K17" i="7" l="1"/>
  <c r="K18" i="7"/>
  <c r="K19" i="7"/>
  <c r="K20" i="7"/>
  <c r="K21" i="7"/>
  <c r="K22" i="7"/>
  <c r="K23" i="7"/>
  <c r="K24" i="7"/>
  <c r="K25" i="7"/>
  <c r="K26" i="7"/>
  <c r="K27" i="7"/>
  <c r="K28" i="7"/>
  <c r="K29" i="7"/>
  <c r="K30" i="7"/>
  <c r="K16" i="7"/>
  <c r="K31" i="7" s="1"/>
  <c r="J17" i="7"/>
  <c r="J18" i="7"/>
  <c r="J19" i="7"/>
  <c r="J20" i="7"/>
  <c r="J21" i="7"/>
  <c r="J22" i="7"/>
  <c r="J23" i="7"/>
  <c r="J24" i="7"/>
  <c r="J25" i="7"/>
  <c r="J26" i="7"/>
  <c r="J27" i="7"/>
  <c r="J28" i="7"/>
  <c r="J29" i="7"/>
  <c r="J30" i="7"/>
  <c r="J16" i="7"/>
  <c r="J31" i="7" s="1"/>
  <c r="K881" i="13" l="1" a="1"/>
  <c r="K881" i="13" s="1"/>
  <c r="J881" i="13" a="1"/>
  <c r="J881" i="13" s="1"/>
  <c r="J856" i="13" a="1"/>
  <c r="J856" i="13" s="1"/>
  <c r="I856" i="13" a="1"/>
  <c r="I856" i="13" s="1"/>
  <c r="L63" i="13"/>
  <c r="L64" i="13"/>
  <c r="L65" i="13"/>
  <c r="L66" i="13"/>
  <c r="L67" i="13"/>
  <c r="L68" i="13"/>
  <c r="L69" i="13"/>
  <c r="L62" i="13"/>
  <c r="K64" i="13"/>
  <c r="K65" i="13"/>
  <c r="K66" i="13"/>
  <c r="K67" i="13"/>
  <c r="K68" i="13"/>
  <c r="K69" i="13"/>
  <c r="K63" i="13"/>
  <c r="K62" i="13"/>
  <c r="J62" i="13"/>
  <c r="J64" i="13"/>
  <c r="J65" i="13"/>
  <c r="J66" i="13"/>
  <c r="J67" i="13"/>
  <c r="J68" i="13"/>
  <c r="J69" i="13"/>
  <c r="J63" i="13"/>
  <c r="C1501" i="13"/>
  <c r="C1506" i="13"/>
  <c r="C1504" i="13"/>
  <c r="C1509" i="13"/>
  <c r="C1513" i="13"/>
  <c r="C1507" i="13"/>
  <c r="C1511" i="13"/>
  <c r="C1505" i="13"/>
  <c r="C1502" i="13"/>
  <c r="C1500" i="13"/>
  <c r="C1510" i="13"/>
  <c r="C1508" i="13"/>
  <c r="C1512" i="13"/>
  <c r="C1503" i="13"/>
  <c r="C1499" i="13"/>
  <c r="M844" i="13"/>
  <c r="M843" i="13"/>
  <c r="M842" i="13"/>
  <c r="M841" i="13"/>
  <c r="M840" i="13"/>
  <c r="M839" i="13"/>
  <c r="M838" i="13"/>
  <c r="M837" i="13"/>
  <c r="M836" i="13"/>
  <c r="M835" i="13"/>
  <c r="M834" i="13"/>
  <c r="M833" i="13"/>
  <c r="M832" i="13"/>
  <c r="M831" i="13"/>
  <c r="M830" i="13"/>
  <c r="M829" i="13"/>
  <c r="D795" i="13"/>
  <c r="C795" i="13"/>
  <c r="B795" i="13"/>
  <c r="D794" i="13"/>
  <c r="C794" i="13"/>
  <c r="B794" i="13"/>
  <c r="D793" i="13"/>
  <c r="C793" i="13"/>
  <c r="B793" i="13"/>
  <c r="D792" i="13"/>
  <c r="C792" i="13"/>
  <c r="B792" i="13"/>
  <c r="D791" i="13"/>
  <c r="C791" i="13"/>
  <c r="B791" i="13"/>
  <c r="D790" i="13"/>
  <c r="C790" i="13"/>
  <c r="B790" i="13"/>
  <c r="D789" i="13"/>
  <c r="C789" i="13"/>
  <c r="B789" i="13"/>
  <c r="L750" i="13"/>
  <c r="K749" i="13"/>
  <c r="L749" i="13" s="1"/>
  <c r="K748" i="13"/>
  <c r="K747" i="13"/>
  <c r="K746" i="13"/>
  <c r="K745" i="13"/>
  <c r="K744" i="13"/>
  <c r="K743" i="13"/>
  <c r="K742" i="13"/>
  <c r="K741" i="13"/>
  <c r="K740" i="13"/>
  <c r="K739" i="13"/>
  <c r="K738" i="13"/>
  <c r="K737" i="13"/>
  <c r="K736" i="13"/>
  <c r="K735" i="13"/>
  <c r="M455" i="13"/>
  <c r="H455" i="13"/>
  <c r="M454" i="13"/>
  <c r="H454" i="13"/>
  <c r="M453" i="13"/>
  <c r="H453" i="13"/>
  <c r="M452" i="13"/>
  <c r="H452" i="13"/>
  <c r="M451" i="13"/>
  <c r="H451" i="13"/>
  <c r="M450" i="13"/>
  <c r="H450" i="13"/>
  <c r="M449" i="13"/>
  <c r="H449" i="13"/>
  <c r="M448" i="13"/>
  <c r="H448" i="13"/>
  <c r="M447" i="13"/>
  <c r="H447" i="13"/>
  <c r="M446" i="13"/>
  <c r="H446" i="13"/>
  <c r="M445" i="13"/>
  <c r="H445" i="13"/>
  <c r="M444" i="13"/>
  <c r="H444" i="13"/>
  <c r="M443" i="13"/>
  <c r="H443" i="13"/>
  <c r="M442" i="13"/>
  <c r="H442" i="13"/>
  <c r="M441" i="13"/>
  <c r="H441" i="13"/>
  <c r="G316" i="13"/>
  <c r="F316" i="13"/>
  <c r="E313" i="13"/>
  <c r="D313" i="13"/>
  <c r="E312" i="13"/>
  <c r="D312" i="13"/>
  <c r="J291" i="13"/>
  <c r="J290" i="13"/>
  <c r="J289" i="13"/>
  <c r="J288" i="13"/>
  <c r="J287" i="13"/>
  <c r="J286" i="13"/>
  <c r="J285" i="13"/>
  <c r="J284" i="13"/>
  <c r="J283" i="13"/>
  <c r="J282" i="13"/>
  <c r="J281" i="13"/>
  <c r="J280" i="13"/>
  <c r="J279" i="13"/>
  <c r="J278" i="13"/>
  <c r="J277" i="13"/>
  <c r="P266" i="13"/>
  <c r="I266" i="13" a="1"/>
  <c r="I266" i="13" s="1"/>
  <c r="H266" i="13"/>
  <c r="M266" i="13" s="1"/>
  <c r="S266" i="13" s="1"/>
  <c r="B266" i="13" a="1"/>
  <c r="B266" i="13" s="1"/>
  <c r="F266" i="13" s="1"/>
  <c r="O266" i="13" s="1"/>
  <c r="A266" i="13"/>
  <c r="P265" i="13"/>
  <c r="I265" i="13" a="1"/>
  <c r="H265" i="13"/>
  <c r="M265" i="13" s="1"/>
  <c r="S265" i="13" s="1"/>
  <c r="B265" i="13" a="1"/>
  <c r="A265" i="13"/>
  <c r="P264" i="13"/>
  <c r="I264" i="13" a="1"/>
  <c r="H264" i="13"/>
  <c r="M264" i="13" s="1"/>
  <c r="S264" i="13" s="1"/>
  <c r="B264" i="13" a="1"/>
  <c r="A264" i="13"/>
  <c r="P263" i="13"/>
  <c r="I263" i="13" a="1"/>
  <c r="I263" i="13" s="1"/>
  <c r="K263" i="13" s="1"/>
  <c r="N263" i="13" s="1"/>
  <c r="H263" i="13"/>
  <c r="M263" i="13" s="1"/>
  <c r="S263" i="13" s="1"/>
  <c r="B263" i="13" a="1"/>
  <c r="B263" i="13" s="1"/>
  <c r="F263" i="13" s="1"/>
  <c r="O263" i="13" s="1"/>
  <c r="A263" i="13"/>
  <c r="P262" i="13"/>
  <c r="I262" i="13" a="1"/>
  <c r="I262" i="13" s="1"/>
  <c r="K262" i="13" s="1"/>
  <c r="N262" i="13" s="1"/>
  <c r="H262" i="13"/>
  <c r="M262" i="13" s="1"/>
  <c r="S262" i="13" s="1"/>
  <c r="B262" i="13" a="1"/>
  <c r="B262" i="13" s="1"/>
  <c r="A262" i="13"/>
  <c r="P261" i="13"/>
  <c r="I261" i="13" a="1"/>
  <c r="H261" i="13"/>
  <c r="M261" i="13" s="1"/>
  <c r="S261" i="13" s="1"/>
  <c r="B261" i="13" a="1"/>
  <c r="A261" i="13"/>
  <c r="P260" i="13"/>
  <c r="I260" i="13" a="1"/>
  <c r="H260" i="13"/>
  <c r="M260" i="13" s="1"/>
  <c r="S260" i="13" s="1"/>
  <c r="B260" i="13" a="1"/>
  <c r="A260" i="13"/>
  <c r="P259" i="13"/>
  <c r="I259" i="13" a="1"/>
  <c r="I259" i="13" s="1"/>
  <c r="K259" i="13" s="1"/>
  <c r="N259" i="13" s="1"/>
  <c r="H259" i="13"/>
  <c r="M259" i="13" s="1"/>
  <c r="S259" i="13" s="1"/>
  <c r="B259" i="13" a="1"/>
  <c r="B259" i="13" s="1"/>
  <c r="A259" i="13"/>
  <c r="P258" i="13"/>
  <c r="I258" i="13" a="1"/>
  <c r="I258" i="13" s="1"/>
  <c r="H258" i="13"/>
  <c r="M258" i="13" s="1"/>
  <c r="S258" i="13" s="1"/>
  <c r="B258" i="13" a="1"/>
  <c r="B258" i="13" s="1"/>
  <c r="A258" i="13"/>
  <c r="P257" i="13"/>
  <c r="I257" i="13" a="1"/>
  <c r="H257" i="13"/>
  <c r="M257" i="13" s="1"/>
  <c r="S257" i="13" s="1"/>
  <c r="B257" i="13" a="1"/>
  <c r="B257" i="13" s="1"/>
  <c r="A257" i="13"/>
  <c r="P256" i="13"/>
  <c r="I256" i="13" a="1"/>
  <c r="I256" i="13" s="1"/>
  <c r="H256" i="13"/>
  <c r="M256" i="13" s="1"/>
  <c r="S256" i="13" s="1"/>
  <c r="B256" i="13" a="1"/>
  <c r="B256" i="13" s="1"/>
  <c r="A256" i="13"/>
  <c r="P255" i="13"/>
  <c r="I255" i="13" a="1"/>
  <c r="I255" i="13" s="1"/>
  <c r="H255" i="13"/>
  <c r="M255" i="13" s="1"/>
  <c r="S255" i="13" s="1"/>
  <c r="B255" i="13" a="1"/>
  <c r="A255" i="13"/>
  <c r="P254" i="13"/>
  <c r="I254" i="13" a="1"/>
  <c r="H254" i="13"/>
  <c r="M254" i="13" s="1"/>
  <c r="S254" i="13" s="1"/>
  <c r="B254" i="13" a="1"/>
  <c r="A254" i="13"/>
  <c r="P253" i="13"/>
  <c r="I253" i="13" a="1"/>
  <c r="H253" i="13"/>
  <c r="M253" i="13" s="1"/>
  <c r="S253" i="13" s="1"/>
  <c r="B253" i="13" a="1"/>
  <c r="A253" i="13"/>
  <c r="P252" i="13"/>
  <c r="I252" i="13" a="1"/>
  <c r="I252" i="13" s="1"/>
  <c r="H252" i="13"/>
  <c r="M252" i="13" s="1"/>
  <c r="S252" i="13" s="1"/>
  <c r="B252" i="13" a="1"/>
  <c r="A252" i="13"/>
  <c r="P251" i="13"/>
  <c r="I251" i="13" a="1"/>
  <c r="I251" i="13" s="1"/>
  <c r="H251" i="13"/>
  <c r="M251" i="13" s="1"/>
  <c r="S251" i="13" s="1"/>
  <c r="B251" i="13" a="1"/>
  <c r="B251" i="13" s="1"/>
  <c r="A251" i="13"/>
  <c r="F211" i="13"/>
  <c r="F210" i="13"/>
  <c r="F209" i="13"/>
  <c r="F208" i="13"/>
  <c r="F207" i="13"/>
  <c r="F206" i="13"/>
  <c r="F205" i="13"/>
  <c r="F204" i="13"/>
  <c r="F203" i="13"/>
  <c r="F202" i="13"/>
  <c r="F201" i="13"/>
  <c r="G200" i="13"/>
  <c r="F200" i="13"/>
  <c r="D198" i="13"/>
  <c r="D197" i="13"/>
  <c r="C183" i="13"/>
  <c r="C182" i="13"/>
  <c r="F147" i="13"/>
  <c r="D132" i="13"/>
  <c r="D131" i="13"/>
  <c r="G108" i="13"/>
  <c r="F108" i="13"/>
  <c r="G107" i="13"/>
  <c r="F107" i="13"/>
  <c r="G106" i="13"/>
  <c r="F106" i="13"/>
  <c r="G105" i="13"/>
  <c r="F105" i="13"/>
  <c r="G104" i="13"/>
  <c r="F104" i="13"/>
  <c r="G103" i="13"/>
  <c r="F103" i="13"/>
  <c r="G102" i="13"/>
  <c r="F102" i="13"/>
  <c r="F70" i="13"/>
  <c r="F69" i="13"/>
  <c r="F68" i="13"/>
  <c r="F67" i="13"/>
  <c r="F66" i="13"/>
  <c r="F65" i="13"/>
  <c r="F64" i="13"/>
  <c r="G63" i="13"/>
  <c r="F63" i="13"/>
  <c r="K31" i="13"/>
  <c r="J31" i="13"/>
  <c r="K30" i="13"/>
  <c r="J30" i="13"/>
  <c r="K29" i="13"/>
  <c r="J29" i="13"/>
  <c r="K28" i="13"/>
  <c r="J28" i="13"/>
  <c r="K27" i="13"/>
  <c r="J27" i="13"/>
  <c r="K26" i="13"/>
  <c r="J26" i="13"/>
  <c r="K25" i="13"/>
  <c r="J25" i="13"/>
  <c r="K24" i="13"/>
  <c r="J24" i="13"/>
  <c r="K23" i="13"/>
  <c r="J23" i="13"/>
  <c r="K22" i="13"/>
  <c r="J22" i="13"/>
  <c r="K21" i="13"/>
  <c r="J21" i="13"/>
  <c r="K20" i="13"/>
  <c r="J20" i="13"/>
  <c r="K19" i="13"/>
  <c r="J19" i="13"/>
  <c r="K18" i="13"/>
  <c r="J18" i="13"/>
  <c r="K17" i="13"/>
  <c r="J17" i="13"/>
  <c r="K16" i="13"/>
  <c r="J16" i="13"/>
  <c r="M16" i="13" s="1"/>
  <c r="A6" i="13"/>
  <c r="AF1002" i="12"/>
  <c r="AE1002" i="12"/>
  <c r="AD1002" i="12"/>
  <c r="AC1002" i="12"/>
  <c r="AB1002" i="12"/>
  <c r="AA1002" i="12"/>
  <c r="Z1002" i="12"/>
  <c r="Y1002" i="12"/>
  <c r="X1002" i="12"/>
  <c r="W1002" i="12"/>
  <c r="V1002" i="12"/>
  <c r="U1002" i="12"/>
  <c r="T1002" i="12"/>
  <c r="S1002" i="12"/>
  <c r="R1002" i="12"/>
  <c r="Q1002" i="12"/>
  <c r="P1002" i="12"/>
  <c r="O1002" i="12"/>
  <c r="N1002" i="12"/>
  <c r="M1002" i="12"/>
  <c r="L1002" i="12"/>
  <c r="K1002" i="12"/>
  <c r="J1002" i="12"/>
  <c r="I1002" i="12"/>
  <c r="H1002" i="12"/>
  <c r="G1002" i="12"/>
  <c r="F1002" i="12"/>
  <c r="E1002" i="12"/>
  <c r="D1002" i="12"/>
  <c r="C1002" i="12"/>
  <c r="B1002" i="12"/>
  <c r="A1002" i="12"/>
  <c r="G376" i="13"/>
  <c r="G372" i="13"/>
  <c r="F379" i="13"/>
  <c r="F372" i="13"/>
  <c r="F381" i="13"/>
  <c r="G374" i="13"/>
  <c r="G381" i="13"/>
  <c r="F374" i="13"/>
  <c r="G377" i="13"/>
  <c r="F377" i="13"/>
  <c r="F371" i="13"/>
  <c r="G375" i="13"/>
  <c r="G378" i="13"/>
  <c r="G371" i="13"/>
  <c r="G379" i="13"/>
  <c r="G382" i="13"/>
  <c r="G373" i="13"/>
  <c r="F373" i="13"/>
  <c r="F378" i="13"/>
  <c r="G380" i="13"/>
  <c r="F382" i="13"/>
  <c r="F376" i="13"/>
  <c r="F375" i="13"/>
  <c r="F380" i="13"/>
  <c r="M24" i="13" l="1"/>
  <c r="M19" i="13"/>
  <c r="M17" i="13"/>
  <c r="M25" i="13"/>
  <c r="M27" i="13"/>
  <c r="M20" i="13"/>
  <c r="M28" i="13"/>
  <c r="M21" i="13"/>
  <c r="M29" i="13"/>
  <c r="M23" i="13"/>
  <c r="M18" i="13"/>
  <c r="M26" i="13"/>
  <c r="M22" i="13"/>
  <c r="M30" i="13"/>
  <c r="J861" i="13"/>
  <c r="J863" i="13" s="1"/>
  <c r="K863" i="13" s="1"/>
  <c r="K887" i="13"/>
  <c r="L887" i="13" s="1"/>
  <c r="L444" i="13"/>
  <c r="L455" i="13"/>
  <c r="L448" i="13"/>
  <c r="L452" i="13"/>
  <c r="L447" i="13"/>
  <c r="L450" i="13"/>
  <c r="L443" i="13"/>
  <c r="L445" i="13"/>
  <c r="L442" i="13"/>
  <c r="L441" i="13"/>
  <c r="L451" i="13"/>
  <c r="L453" i="13"/>
  <c r="L446" i="13"/>
  <c r="L454" i="13"/>
  <c r="L449" i="13"/>
  <c r="L740" i="13"/>
  <c r="L743" i="13"/>
  <c r="L745" i="13"/>
  <c r="L746" i="13"/>
  <c r="L747" i="13"/>
  <c r="L742" i="13"/>
  <c r="L744" i="13"/>
  <c r="L748" i="13"/>
  <c r="L736" i="13"/>
  <c r="F262" i="13"/>
  <c r="O262" i="13" s="1"/>
  <c r="Q262" i="13" s="1"/>
  <c r="V262" i="13" s="1"/>
  <c r="L735" i="13"/>
  <c r="L737" i="13"/>
  <c r="K258" i="13"/>
  <c r="N258" i="13" s="1"/>
  <c r="L738" i="13"/>
  <c r="J292" i="13"/>
  <c r="L739" i="13"/>
  <c r="I371" i="13"/>
  <c r="I372" i="13"/>
  <c r="J372" i="13"/>
  <c r="J371" i="13"/>
  <c r="Q263" i="13"/>
  <c r="U263" i="13" s="1"/>
  <c r="I265" i="13"/>
  <c r="K265" i="13" s="1"/>
  <c r="N265" i="13" s="1"/>
  <c r="B255" i="13"/>
  <c r="F255" i="13" s="1"/>
  <c r="O255" i="13" s="1"/>
  <c r="K266" i="13"/>
  <c r="N266" i="13" s="1"/>
  <c r="K252" i="13"/>
  <c r="N252" i="13" s="1"/>
  <c r="F256" i="13"/>
  <c r="O256" i="13" s="1"/>
  <c r="B254" i="13"/>
  <c r="F254" i="13" s="1"/>
  <c r="O254" i="13" s="1"/>
  <c r="I253" i="13"/>
  <c r="K253" i="13" s="1"/>
  <c r="N253" i="13" s="1"/>
  <c r="F257" i="13"/>
  <c r="O257" i="13" s="1"/>
  <c r="F258" i="13"/>
  <c r="O258" i="13" s="1"/>
  <c r="K255" i="13"/>
  <c r="N255" i="13" s="1"/>
  <c r="F259" i="13"/>
  <c r="O259" i="13" s="1"/>
  <c r="Q259" i="13" s="1"/>
  <c r="V259" i="13" s="1"/>
  <c r="B260" i="13"/>
  <c r="F260" i="13" s="1"/>
  <c r="O260" i="13" s="1"/>
  <c r="K256" i="13"/>
  <c r="N256" i="13" s="1"/>
  <c r="I257" i="13"/>
  <c r="K257" i="13" s="1"/>
  <c r="N257" i="13" s="1"/>
  <c r="B261" i="13"/>
  <c r="F261" i="13" s="1"/>
  <c r="O261" i="13" s="1"/>
  <c r="L741" i="13"/>
  <c r="B252" i="13"/>
  <c r="F252" i="13" s="1"/>
  <c r="O252" i="13" s="1"/>
  <c r="I254" i="13"/>
  <c r="K254" i="13" s="1"/>
  <c r="N254" i="13" s="1"/>
  <c r="B253" i="13"/>
  <c r="F253" i="13" s="1"/>
  <c r="O253" i="13" s="1"/>
  <c r="I260" i="13"/>
  <c r="K260" i="13" s="1"/>
  <c r="N260" i="13" s="1"/>
  <c r="B264" i="13"/>
  <c r="F264" i="13" s="1"/>
  <c r="O264" i="13" s="1"/>
  <c r="I261" i="13"/>
  <c r="K261" i="13" s="1"/>
  <c r="N261" i="13" s="1"/>
  <c r="B265" i="13"/>
  <c r="F265" i="13" s="1"/>
  <c r="O265" i="13" s="1"/>
  <c r="I264" i="13"/>
  <c r="K264" i="13" s="1"/>
  <c r="N264" i="13" s="1"/>
  <c r="A6" i="7"/>
  <c r="M928" i="7"/>
  <c r="D882" i="7"/>
  <c r="D883" i="7"/>
  <c r="D884" i="7"/>
  <c r="D885" i="7"/>
  <c r="D886" i="7"/>
  <c r="D887" i="7"/>
  <c r="D881" i="7"/>
  <c r="C882" i="7"/>
  <c r="C883" i="7"/>
  <c r="C884" i="7"/>
  <c r="C885" i="7"/>
  <c r="C886" i="7"/>
  <c r="C887" i="7"/>
  <c r="C881" i="7"/>
  <c r="B882" i="7"/>
  <c r="B883" i="7"/>
  <c r="B884" i="7"/>
  <c r="B885" i="7"/>
  <c r="B886" i="7"/>
  <c r="B887" i="7"/>
  <c r="B881" i="7"/>
  <c r="G344" i="7"/>
  <c r="K858" i="13" l="1"/>
  <c r="K857" i="13"/>
  <c r="K859" i="13"/>
  <c r="L882" i="13"/>
  <c r="L884" i="13"/>
  <c r="L883" i="13"/>
  <c r="L885" i="13"/>
  <c r="L886" i="13"/>
  <c r="K860" i="13"/>
  <c r="L881" i="13"/>
  <c r="K856" i="13"/>
  <c r="Q258" i="13"/>
  <c r="V258" i="13" s="1"/>
  <c r="T263" i="13"/>
  <c r="V263" i="13"/>
  <c r="U262" i="13"/>
  <c r="Q264" i="13"/>
  <c r="V264" i="13" s="1"/>
  <c r="Q253" i="13"/>
  <c r="V253" i="13" s="1"/>
  <c r="Q261" i="13"/>
  <c r="V261" i="13" s="1"/>
  <c r="Q265" i="13"/>
  <c r="V265" i="13" s="1"/>
  <c r="T259" i="13"/>
  <c r="T262" i="13"/>
  <c r="Q254" i="13"/>
  <c r="V254" i="13" s="1"/>
  <c r="Q256" i="13"/>
  <c r="V256" i="13" s="1"/>
  <c r="U259" i="13"/>
  <c r="Q260" i="13"/>
  <c r="V260" i="13" s="1"/>
  <c r="Q252" i="13"/>
  <c r="V252" i="13" s="1"/>
  <c r="Q257" i="13"/>
  <c r="V257" i="13" s="1"/>
  <c r="Q255" i="13"/>
  <c r="V255" i="13" s="1"/>
  <c r="Q266" i="13"/>
  <c r="E286" i="7"/>
  <c r="E285" i="7"/>
  <c r="D286" i="7"/>
  <c r="D285" i="7"/>
  <c r="G289" i="7"/>
  <c r="F289" i="7"/>
  <c r="D132" i="7"/>
  <c r="D131" i="7"/>
  <c r="D198" i="7"/>
  <c r="D197" i="7"/>
  <c r="C183" i="7"/>
  <c r="C182" i="7"/>
  <c r="G200" i="7"/>
  <c r="F147" i="7"/>
  <c r="G63" i="7"/>
  <c r="G108" i="7"/>
  <c r="G107" i="7"/>
  <c r="G106" i="7"/>
  <c r="G105" i="7"/>
  <c r="G104" i="7"/>
  <c r="G103" i="7"/>
  <c r="G102" i="7"/>
  <c r="F201" i="7"/>
  <c r="F202" i="7"/>
  <c r="F203" i="7"/>
  <c r="F204" i="7"/>
  <c r="F205" i="7"/>
  <c r="F206" i="7"/>
  <c r="F207" i="7"/>
  <c r="F208" i="7"/>
  <c r="F209" i="7"/>
  <c r="F210" i="7"/>
  <c r="F211" i="7"/>
  <c r="F200" i="7"/>
  <c r="F103" i="7"/>
  <c r="F104" i="7"/>
  <c r="F105" i="7"/>
  <c r="F106" i="7"/>
  <c r="F107" i="7"/>
  <c r="F108" i="7"/>
  <c r="F102" i="7"/>
  <c r="F63" i="7"/>
  <c r="F64" i="7"/>
  <c r="F65" i="7"/>
  <c r="F66" i="7"/>
  <c r="F67" i="7"/>
  <c r="F68" i="7"/>
  <c r="F69" i="7"/>
  <c r="F70" i="7"/>
  <c r="P225" i="7"/>
  <c r="P226" i="7"/>
  <c r="P227" i="7"/>
  <c r="P228" i="7"/>
  <c r="P229" i="7"/>
  <c r="P230" i="7"/>
  <c r="P231" i="7"/>
  <c r="P232" i="7"/>
  <c r="P233" i="7"/>
  <c r="P234" i="7"/>
  <c r="P235" i="7"/>
  <c r="P236" i="7"/>
  <c r="P237" i="7"/>
  <c r="P238" i="7"/>
  <c r="P239" i="7"/>
  <c r="P224" i="7"/>
  <c r="I225" i="7" a="1"/>
  <c r="I225" i="7" s="1"/>
  <c r="I226" i="7" a="1"/>
  <c r="I226" i="7" s="1"/>
  <c r="I227" i="7" a="1"/>
  <c r="I227" i="7" s="1"/>
  <c r="I228" i="7" a="1"/>
  <c r="I228" i="7" s="1"/>
  <c r="I229" i="7" a="1"/>
  <c r="I230" i="7" a="1"/>
  <c r="I230" i="7" s="1"/>
  <c r="I231" i="7" a="1"/>
  <c r="I231" i="7" s="1"/>
  <c r="I232" i="7" a="1"/>
  <c r="I232" i="7" s="1"/>
  <c r="I233" i="7" a="1"/>
  <c r="I233" i="7" s="1"/>
  <c r="I234" i="7" a="1"/>
  <c r="I234" i="7" s="1"/>
  <c r="K234" i="7" s="1"/>
  <c r="N234" i="7" s="1"/>
  <c r="I235" i="7" a="1"/>
  <c r="I235" i="7" s="1"/>
  <c r="I236" i="7" a="1"/>
  <c r="I236" i="7" s="1"/>
  <c r="I237" i="7" a="1"/>
  <c r="I237" i="7" s="1"/>
  <c r="I238" i="7" a="1"/>
  <c r="I238" i="7" s="1"/>
  <c r="K238" i="7" s="1"/>
  <c r="N238" i="7" s="1"/>
  <c r="I239" i="7" a="1"/>
  <c r="I239" i="7" s="1"/>
  <c r="K239" i="7" s="1"/>
  <c r="N239" i="7" s="1"/>
  <c r="I224" i="7" a="1"/>
  <c r="I224" i="7" s="1"/>
  <c r="H225" i="7"/>
  <c r="M225" i="7" s="1"/>
  <c r="S225" i="7" s="1"/>
  <c r="H226" i="7"/>
  <c r="M226" i="7" s="1"/>
  <c r="S226" i="7" s="1"/>
  <c r="H227" i="7"/>
  <c r="M227" i="7" s="1"/>
  <c r="S227" i="7" s="1"/>
  <c r="H228" i="7"/>
  <c r="M228" i="7" s="1"/>
  <c r="S228" i="7" s="1"/>
  <c r="H229" i="7"/>
  <c r="M229" i="7" s="1"/>
  <c r="S229" i="7" s="1"/>
  <c r="H230" i="7"/>
  <c r="M230" i="7" s="1"/>
  <c r="S230" i="7" s="1"/>
  <c r="H231" i="7"/>
  <c r="M231" i="7" s="1"/>
  <c r="S231" i="7" s="1"/>
  <c r="H232" i="7"/>
  <c r="M232" i="7" s="1"/>
  <c r="S232" i="7" s="1"/>
  <c r="H233" i="7"/>
  <c r="M233" i="7" s="1"/>
  <c r="S233" i="7" s="1"/>
  <c r="H234" i="7"/>
  <c r="M234" i="7" s="1"/>
  <c r="S234" i="7" s="1"/>
  <c r="H235" i="7"/>
  <c r="M235" i="7" s="1"/>
  <c r="S235" i="7" s="1"/>
  <c r="H236" i="7"/>
  <c r="M236" i="7" s="1"/>
  <c r="S236" i="7" s="1"/>
  <c r="H237" i="7"/>
  <c r="M237" i="7" s="1"/>
  <c r="S237" i="7" s="1"/>
  <c r="H238" i="7"/>
  <c r="M238" i="7" s="1"/>
  <c r="S238" i="7" s="1"/>
  <c r="H239" i="7"/>
  <c r="M239" i="7" s="1"/>
  <c r="S239" i="7" s="1"/>
  <c r="H224" i="7"/>
  <c r="M224" i="7" s="1"/>
  <c r="S224" i="7" s="1"/>
  <c r="B227" i="7" a="1"/>
  <c r="B227" i="7" s="1"/>
  <c r="F227" i="7" s="1"/>
  <c r="O227" i="7" s="1"/>
  <c r="B226" i="7" a="1"/>
  <c r="B226" i="7" s="1"/>
  <c r="F226" i="7" s="1"/>
  <c r="O226" i="7" s="1"/>
  <c r="B235" i="7" a="1"/>
  <c r="B239" i="7" a="1"/>
  <c r="B233" i="7" a="1"/>
  <c r="B233" i="7" s="1"/>
  <c r="B236" i="7" a="1"/>
  <c r="B236" i="7" s="1"/>
  <c r="B229" i="7" a="1"/>
  <c r="B229" i="7" s="1"/>
  <c r="B231" i="7" a="1"/>
  <c r="B231" i="7" s="1"/>
  <c r="B232" i="7" a="1"/>
  <c r="B232" i="7" s="1"/>
  <c r="B234" i="7" a="1"/>
  <c r="B234" i="7" s="1"/>
  <c r="B237" i="7" a="1"/>
  <c r="B237" i="7" s="1"/>
  <c r="B228" i="7" a="1"/>
  <c r="B228" i="7" s="1"/>
  <c r="F228" i="7" s="1"/>
  <c r="O228" i="7" s="1"/>
  <c r="B230" i="7" a="1"/>
  <c r="B230" i="7" s="1"/>
  <c r="B225" i="7" a="1"/>
  <c r="B225" i="7" s="1"/>
  <c r="B238" i="7" a="1"/>
  <c r="B238" i="7" s="1"/>
  <c r="B224" i="7" a="1"/>
  <c r="B224" i="7" s="1"/>
  <c r="A227" i="7"/>
  <c r="A226" i="7"/>
  <c r="A235" i="7"/>
  <c r="A239" i="7"/>
  <c r="A233" i="7"/>
  <c r="A236" i="7"/>
  <c r="A229" i="7"/>
  <c r="A231" i="7"/>
  <c r="A232" i="7"/>
  <c r="A234" i="7"/>
  <c r="A237" i="7"/>
  <c r="A228" i="7"/>
  <c r="A230" i="7"/>
  <c r="A225" i="7"/>
  <c r="A238" i="7"/>
  <c r="A224" i="7"/>
  <c r="J264" i="7"/>
  <c r="J263" i="7"/>
  <c r="J262" i="7"/>
  <c r="J261" i="7"/>
  <c r="J260" i="7"/>
  <c r="J259" i="7"/>
  <c r="J258" i="7"/>
  <c r="J257" i="7"/>
  <c r="J256" i="7"/>
  <c r="J255" i="7"/>
  <c r="J254" i="7"/>
  <c r="J253" i="7"/>
  <c r="J252" i="7"/>
  <c r="J251" i="7"/>
  <c r="J250" i="7"/>
  <c r="L842" i="7"/>
  <c r="K828" i="7"/>
  <c r="K829" i="7"/>
  <c r="K830" i="7"/>
  <c r="K831" i="7"/>
  <c r="K832" i="7"/>
  <c r="K833" i="7"/>
  <c r="K834" i="7"/>
  <c r="K835" i="7"/>
  <c r="K836" i="7"/>
  <c r="K837" i="7"/>
  <c r="K838" i="7"/>
  <c r="K839" i="7"/>
  <c r="K840" i="7"/>
  <c r="K841" i="7"/>
  <c r="L841" i="7" s="1"/>
  <c r="K827" i="7"/>
  <c r="M930" i="7"/>
  <c r="M931" i="7"/>
  <c r="M924" i="7"/>
  <c r="M921" i="7"/>
  <c r="M935" i="7"/>
  <c r="M932" i="7"/>
  <c r="M927" i="7"/>
  <c r="M926" i="7"/>
  <c r="M922" i="7"/>
  <c r="M925" i="7"/>
  <c r="M929" i="7"/>
  <c r="M933" i="7"/>
  <c r="M923" i="7"/>
  <c r="M920" i="7"/>
  <c r="M934" i="7"/>
  <c r="C1980" i="7"/>
  <c r="C1981" i="7"/>
  <c r="C1982" i="7"/>
  <c r="C1983" i="7"/>
  <c r="C1984" i="7"/>
  <c r="C1985" i="7"/>
  <c r="C1986" i="7"/>
  <c r="C1987" i="7"/>
  <c r="C1988" i="7"/>
  <c r="C1989" i="7"/>
  <c r="C1990" i="7"/>
  <c r="C1991" i="7"/>
  <c r="C1992" i="7"/>
  <c r="C1993" i="7"/>
  <c r="C1979" i="7"/>
  <c r="M417" i="7"/>
  <c r="M423" i="7"/>
  <c r="M416" i="7"/>
  <c r="M420" i="7"/>
  <c r="M424" i="7"/>
  <c r="M422" i="7"/>
  <c r="M419" i="7"/>
  <c r="M425" i="7"/>
  <c r="M426" i="7"/>
  <c r="M414" i="7"/>
  <c r="M427" i="7"/>
  <c r="M415" i="7"/>
  <c r="M421" i="7"/>
  <c r="M428" i="7"/>
  <c r="M418" i="7"/>
  <c r="H414" i="7"/>
  <c r="H415" i="7"/>
  <c r="H416" i="7"/>
  <c r="H417" i="7"/>
  <c r="H418" i="7"/>
  <c r="H419" i="7"/>
  <c r="H420" i="7"/>
  <c r="H421" i="7"/>
  <c r="H422" i="7"/>
  <c r="H423" i="7"/>
  <c r="H424" i="7"/>
  <c r="H425" i="7"/>
  <c r="H426" i="7"/>
  <c r="H427" i="7"/>
  <c r="H428" i="7"/>
  <c r="AA366" i="2"/>
  <c r="X480" i="2"/>
  <c r="AA480" i="2" s="1"/>
  <c r="N16" i="5"/>
  <c r="E313" i="2"/>
  <c r="X313" i="2" s="1"/>
  <c r="N14" i="5"/>
  <c r="N12" i="5"/>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3" i="8"/>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3" i="8"/>
  <c r="R50" i="8"/>
  <c r="R51" i="8"/>
  <c r="R52" i="8"/>
  <c r="R49" i="8"/>
  <c r="D50" i="8"/>
  <c r="D51" i="8"/>
  <c r="D52" i="8"/>
  <c r="D49" i="8"/>
  <c r="C4" i="8"/>
  <c r="E4" i="8" s="1"/>
  <c r="C5" i="8"/>
  <c r="E5" i="8" s="1"/>
  <c r="C6" i="8"/>
  <c r="E6" i="8" s="1"/>
  <c r="C7" i="8"/>
  <c r="E7" i="8" s="1"/>
  <c r="C8" i="8"/>
  <c r="E8" i="8" s="1"/>
  <c r="C9" i="8"/>
  <c r="C10" i="8"/>
  <c r="E10" i="8" s="1"/>
  <c r="C11" i="8"/>
  <c r="E11" i="8" s="1"/>
  <c r="C12" i="8"/>
  <c r="E12" i="8" s="1"/>
  <c r="C13" i="8"/>
  <c r="E13" i="8" s="1"/>
  <c r="C14" i="8"/>
  <c r="E14" i="8" s="1"/>
  <c r="C15" i="8"/>
  <c r="E15" i="8" s="1"/>
  <c r="C16" i="8"/>
  <c r="C17" i="8"/>
  <c r="C18" i="8"/>
  <c r="E18" i="8" s="1"/>
  <c r="C19" i="8"/>
  <c r="E19" i="8" s="1"/>
  <c r="C20" i="8"/>
  <c r="E20" i="8" s="1"/>
  <c r="C21" i="8"/>
  <c r="C22" i="8"/>
  <c r="E22" i="8" s="1"/>
  <c r="C23" i="8"/>
  <c r="E23" i="8" s="1"/>
  <c r="C24" i="8"/>
  <c r="E24" i="8" s="1"/>
  <c r="C25" i="8"/>
  <c r="E25" i="8" s="1"/>
  <c r="C26" i="8"/>
  <c r="E26" i="8" s="1"/>
  <c r="C27" i="8"/>
  <c r="E27" i="8" s="1"/>
  <c r="C28" i="8"/>
  <c r="E28" i="8" s="1"/>
  <c r="C29" i="8"/>
  <c r="C30" i="8"/>
  <c r="E30" i="8" s="1"/>
  <c r="C31" i="8"/>
  <c r="E31" i="8" s="1"/>
  <c r="C32" i="8"/>
  <c r="E32" i="8" s="1"/>
  <c r="C33" i="8"/>
  <c r="E33" i="8" s="1"/>
  <c r="C34" i="8"/>
  <c r="C35" i="8"/>
  <c r="E35" i="8" s="1"/>
  <c r="C36" i="8"/>
  <c r="E36" i="8" s="1"/>
  <c r="C37" i="8"/>
  <c r="E37" i="8" s="1"/>
  <c r="C38" i="8"/>
  <c r="C39" i="8"/>
  <c r="E39" i="8" s="1"/>
  <c r="C40" i="8"/>
  <c r="E40" i="8" s="1"/>
  <c r="C41" i="8"/>
  <c r="E41" i="8" s="1"/>
  <c r="C42" i="8"/>
  <c r="E42" i="8" s="1"/>
  <c r="C3" i="8"/>
  <c r="E3" i="8" s="1"/>
  <c r="C50" i="8"/>
  <c r="C51" i="8"/>
  <c r="C52" i="8"/>
  <c r="C49" i="8"/>
  <c r="I50" i="8"/>
  <c r="J50" i="8" s="1"/>
  <c r="I51" i="8"/>
  <c r="J51" i="8" s="1"/>
  <c r="I52" i="8"/>
  <c r="J52" i="8" s="1"/>
  <c r="I49" i="8"/>
  <c r="J49" i="8" s="1"/>
  <c r="K49" i="8" s="1"/>
  <c r="L49" i="8" s="1"/>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X2" i="2"/>
  <c r="X3" i="2"/>
  <c r="X4" i="2"/>
  <c r="X5" i="2"/>
  <c r="X6" i="2"/>
  <c r="X7" i="2"/>
  <c r="X8" i="2"/>
  <c r="X9" i="2"/>
  <c r="X10" i="2"/>
  <c r="X11" i="2"/>
  <c r="X12" i="2"/>
  <c r="X13" i="2"/>
  <c r="X14" i="2"/>
  <c r="X15" i="2"/>
  <c r="X16" i="2"/>
  <c r="X17" i="2"/>
  <c r="AA17" i="2" s="1"/>
  <c r="X18" i="2"/>
  <c r="X19" i="2"/>
  <c r="X20" i="2"/>
  <c r="X21" i="2"/>
  <c r="X22" i="2"/>
  <c r="X23" i="2"/>
  <c r="X24" i="2"/>
  <c r="X25" i="2"/>
  <c r="X26" i="2"/>
  <c r="X27" i="2"/>
  <c r="X28" i="2"/>
  <c r="X29" i="2"/>
  <c r="X30" i="2"/>
  <c r="X31" i="2"/>
  <c r="X32" i="2"/>
  <c r="X33" i="2"/>
  <c r="AA33" i="2" s="1"/>
  <c r="X34" i="2"/>
  <c r="X35" i="2"/>
  <c r="X36" i="2"/>
  <c r="X37" i="2"/>
  <c r="X38" i="2"/>
  <c r="X39" i="2"/>
  <c r="X40" i="2"/>
  <c r="X41" i="2"/>
  <c r="X42" i="2"/>
  <c r="X43" i="2"/>
  <c r="X44" i="2"/>
  <c r="X45" i="2"/>
  <c r="X46" i="2"/>
  <c r="X47" i="2"/>
  <c r="X48" i="2"/>
  <c r="X49" i="2"/>
  <c r="AA49" i="2" s="1"/>
  <c r="X50" i="2"/>
  <c r="X51" i="2"/>
  <c r="X52" i="2"/>
  <c r="X53" i="2"/>
  <c r="X54" i="2"/>
  <c r="X55" i="2"/>
  <c r="X56" i="2"/>
  <c r="X57" i="2"/>
  <c r="X58" i="2"/>
  <c r="X59" i="2"/>
  <c r="X60" i="2"/>
  <c r="X61" i="2"/>
  <c r="X62" i="2"/>
  <c r="X63" i="2"/>
  <c r="X64" i="2"/>
  <c r="X65" i="2"/>
  <c r="AA65" i="2" s="1"/>
  <c r="X66" i="2"/>
  <c r="X67" i="2"/>
  <c r="X68" i="2"/>
  <c r="X69" i="2"/>
  <c r="X70" i="2"/>
  <c r="X71" i="2"/>
  <c r="X72" i="2"/>
  <c r="X73" i="2"/>
  <c r="X74" i="2"/>
  <c r="X75" i="2"/>
  <c r="X76" i="2"/>
  <c r="X77" i="2"/>
  <c r="X78" i="2"/>
  <c r="X79" i="2"/>
  <c r="X80" i="2"/>
  <c r="X81" i="2"/>
  <c r="AA81" i="2" s="1"/>
  <c r="X82" i="2"/>
  <c r="X83" i="2"/>
  <c r="X84" i="2"/>
  <c r="X85" i="2"/>
  <c r="X86" i="2"/>
  <c r="X87" i="2"/>
  <c r="X88" i="2"/>
  <c r="X89" i="2"/>
  <c r="X90" i="2"/>
  <c r="X91" i="2"/>
  <c r="X92" i="2"/>
  <c r="X93" i="2"/>
  <c r="X94" i="2"/>
  <c r="X95" i="2"/>
  <c r="X96" i="2"/>
  <c r="X97" i="2"/>
  <c r="AA97" i="2" s="1"/>
  <c r="X98" i="2"/>
  <c r="X99" i="2"/>
  <c r="X100" i="2"/>
  <c r="X101" i="2"/>
  <c r="X102" i="2"/>
  <c r="X103" i="2"/>
  <c r="X104" i="2"/>
  <c r="X105" i="2"/>
  <c r="X106" i="2"/>
  <c r="X107" i="2"/>
  <c r="X108" i="2"/>
  <c r="X109" i="2"/>
  <c r="X110" i="2"/>
  <c r="X111" i="2"/>
  <c r="X112" i="2"/>
  <c r="X113" i="2"/>
  <c r="AA113" i="2" s="1"/>
  <c r="X114" i="2"/>
  <c r="X115" i="2"/>
  <c r="X116" i="2"/>
  <c r="X117" i="2"/>
  <c r="X118" i="2"/>
  <c r="X119" i="2"/>
  <c r="X120" i="2"/>
  <c r="X121" i="2"/>
  <c r="X122" i="2"/>
  <c r="X123" i="2"/>
  <c r="X124" i="2"/>
  <c r="X125" i="2"/>
  <c r="X126" i="2"/>
  <c r="X127" i="2"/>
  <c r="X128" i="2"/>
  <c r="X129" i="2"/>
  <c r="AA129" i="2" s="1"/>
  <c r="X130" i="2"/>
  <c r="X131" i="2"/>
  <c r="X132" i="2"/>
  <c r="X133" i="2"/>
  <c r="X134" i="2"/>
  <c r="X135" i="2"/>
  <c r="X136" i="2"/>
  <c r="X137" i="2"/>
  <c r="X138" i="2"/>
  <c r="X139" i="2"/>
  <c r="X140" i="2"/>
  <c r="X141" i="2"/>
  <c r="X142" i="2"/>
  <c r="X143" i="2"/>
  <c r="X144" i="2"/>
  <c r="X145" i="2"/>
  <c r="AA145" i="2" s="1"/>
  <c r="X146" i="2"/>
  <c r="X147" i="2"/>
  <c r="X148" i="2"/>
  <c r="X149" i="2"/>
  <c r="X150" i="2"/>
  <c r="X151" i="2"/>
  <c r="X152" i="2"/>
  <c r="X153" i="2"/>
  <c r="X154" i="2"/>
  <c r="X155" i="2"/>
  <c r="X156" i="2"/>
  <c r="X157" i="2"/>
  <c r="X158" i="2"/>
  <c r="X159" i="2"/>
  <c r="X160" i="2"/>
  <c r="X161" i="2"/>
  <c r="AA161" i="2" s="1"/>
  <c r="X162" i="2"/>
  <c r="X163" i="2"/>
  <c r="X164" i="2"/>
  <c r="X165" i="2"/>
  <c r="X166" i="2"/>
  <c r="X167" i="2"/>
  <c r="X168" i="2"/>
  <c r="X169" i="2"/>
  <c r="X170" i="2"/>
  <c r="X171" i="2"/>
  <c r="X172" i="2"/>
  <c r="X173" i="2"/>
  <c r="X174" i="2"/>
  <c r="X175" i="2"/>
  <c r="X176" i="2"/>
  <c r="X177" i="2"/>
  <c r="AA177" i="2" s="1"/>
  <c r="X178" i="2"/>
  <c r="X179" i="2"/>
  <c r="X180" i="2"/>
  <c r="X181" i="2"/>
  <c r="X182" i="2"/>
  <c r="X183" i="2"/>
  <c r="X184" i="2"/>
  <c r="X185" i="2"/>
  <c r="X186" i="2"/>
  <c r="X187" i="2"/>
  <c r="X188" i="2"/>
  <c r="X189" i="2"/>
  <c r="X190" i="2"/>
  <c r="X191" i="2"/>
  <c r="X192" i="2"/>
  <c r="X193" i="2"/>
  <c r="AA193" i="2" s="1"/>
  <c r="X194" i="2"/>
  <c r="X195" i="2"/>
  <c r="X196" i="2"/>
  <c r="X197" i="2"/>
  <c r="X198" i="2"/>
  <c r="X199" i="2"/>
  <c r="X200" i="2"/>
  <c r="X201" i="2"/>
  <c r="X202" i="2"/>
  <c r="X203" i="2"/>
  <c r="X204" i="2"/>
  <c r="X205" i="2"/>
  <c r="X206" i="2"/>
  <c r="X207" i="2"/>
  <c r="X208" i="2"/>
  <c r="X209" i="2"/>
  <c r="AA209" i="2" s="1"/>
  <c r="X210" i="2"/>
  <c r="X211" i="2"/>
  <c r="X212" i="2"/>
  <c r="X213" i="2"/>
  <c r="X214" i="2"/>
  <c r="X215" i="2"/>
  <c r="X216" i="2"/>
  <c r="X217" i="2"/>
  <c r="X218" i="2"/>
  <c r="X219" i="2"/>
  <c r="X220" i="2"/>
  <c r="X221" i="2"/>
  <c r="X222" i="2"/>
  <c r="X223" i="2"/>
  <c r="X224" i="2"/>
  <c r="X225" i="2"/>
  <c r="AA225" i="2" s="1"/>
  <c r="X226" i="2"/>
  <c r="X227" i="2"/>
  <c r="X228" i="2"/>
  <c r="X229" i="2"/>
  <c r="X230" i="2"/>
  <c r="X231" i="2"/>
  <c r="X232" i="2"/>
  <c r="X233" i="2"/>
  <c r="X234" i="2"/>
  <c r="X235" i="2"/>
  <c r="X236" i="2"/>
  <c r="X237" i="2"/>
  <c r="X238" i="2"/>
  <c r="X239" i="2"/>
  <c r="X240" i="2"/>
  <c r="X241" i="2"/>
  <c r="AA241" i="2" s="1"/>
  <c r="X242" i="2"/>
  <c r="X243" i="2"/>
  <c r="X244" i="2"/>
  <c r="X245" i="2"/>
  <c r="X246" i="2"/>
  <c r="X247" i="2"/>
  <c r="X248" i="2"/>
  <c r="X249" i="2"/>
  <c r="X250" i="2"/>
  <c r="X251" i="2"/>
  <c r="X252" i="2"/>
  <c r="X253" i="2"/>
  <c r="X254" i="2"/>
  <c r="X255" i="2"/>
  <c r="X256" i="2"/>
  <c r="X257" i="2"/>
  <c r="AA257" i="2" s="1"/>
  <c r="X258" i="2"/>
  <c r="X259" i="2"/>
  <c r="X260" i="2"/>
  <c r="X261" i="2"/>
  <c r="X262" i="2"/>
  <c r="X263" i="2"/>
  <c r="X264" i="2"/>
  <c r="X265" i="2"/>
  <c r="X266" i="2"/>
  <c r="X267" i="2"/>
  <c r="X268" i="2"/>
  <c r="X269" i="2"/>
  <c r="X270" i="2"/>
  <c r="X271" i="2"/>
  <c r="X272" i="2"/>
  <c r="X273" i="2"/>
  <c r="AA273" i="2" s="1"/>
  <c r="X274" i="2"/>
  <c r="X275" i="2"/>
  <c r="X276" i="2"/>
  <c r="X277" i="2"/>
  <c r="X278" i="2"/>
  <c r="X279" i="2"/>
  <c r="X280" i="2"/>
  <c r="X281" i="2"/>
  <c r="X282" i="2"/>
  <c r="X283" i="2"/>
  <c r="X284" i="2"/>
  <c r="X285" i="2"/>
  <c r="X286" i="2"/>
  <c r="X287" i="2"/>
  <c r="X288" i="2"/>
  <c r="AA288" i="2" s="1"/>
  <c r="X289" i="2"/>
  <c r="AA289" i="2" s="1"/>
  <c r="X290" i="2"/>
  <c r="X291" i="2"/>
  <c r="X292" i="2"/>
  <c r="X293" i="2"/>
  <c r="X294" i="2"/>
  <c r="X295" i="2"/>
  <c r="X296" i="2"/>
  <c r="X297" i="2"/>
  <c r="X298" i="2"/>
  <c r="X299" i="2"/>
  <c r="X300" i="2"/>
  <c r="X301" i="2"/>
  <c r="X302" i="2"/>
  <c r="X303" i="2"/>
  <c r="X304" i="2"/>
  <c r="AA304" i="2" s="1"/>
  <c r="X305" i="2"/>
  <c r="AA305" i="2" s="1"/>
  <c r="X306" i="2"/>
  <c r="X307" i="2"/>
  <c r="X308" i="2"/>
  <c r="X309" i="2"/>
  <c r="X310" i="2"/>
  <c r="X311" i="2"/>
  <c r="X312"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AA418" i="2" s="1"/>
  <c r="X419" i="2"/>
  <c r="X420" i="2"/>
  <c r="X421" i="2"/>
  <c r="X422" i="2"/>
  <c r="X423" i="2"/>
  <c r="X424" i="2"/>
  <c r="X425" i="2"/>
  <c r="X426" i="2"/>
  <c r="X427" i="2"/>
  <c r="X428" i="2"/>
  <c r="X429" i="2"/>
  <c r="X430" i="2"/>
  <c r="X431" i="2"/>
  <c r="X432" i="2"/>
  <c r="X433" i="2"/>
  <c r="X434" i="2"/>
  <c r="AA434" i="2" s="1"/>
  <c r="X435" i="2"/>
  <c r="X436" i="2"/>
  <c r="X437" i="2"/>
  <c r="X438" i="2"/>
  <c r="X439" i="2"/>
  <c r="X440" i="2"/>
  <c r="X441" i="2"/>
  <c r="X442" i="2"/>
  <c r="X443" i="2"/>
  <c r="X444" i="2"/>
  <c r="X445" i="2"/>
  <c r="X446" i="2"/>
  <c r="X447" i="2"/>
  <c r="X448" i="2"/>
  <c r="X449" i="2"/>
  <c r="X450" i="2"/>
  <c r="AA450" i="2" s="1"/>
  <c r="X451" i="2"/>
  <c r="X452" i="2"/>
  <c r="X453" i="2"/>
  <c r="X454" i="2"/>
  <c r="X455" i="2"/>
  <c r="X456" i="2"/>
  <c r="X457" i="2"/>
  <c r="X458" i="2"/>
  <c r="X459" i="2"/>
  <c r="X460" i="2"/>
  <c r="X461" i="2"/>
  <c r="X462" i="2"/>
  <c r="X463" i="2"/>
  <c r="X464" i="2"/>
  <c r="X465" i="2"/>
  <c r="X466" i="2"/>
  <c r="AA466" i="2" s="1"/>
  <c r="X467" i="2"/>
  <c r="X468" i="2"/>
  <c r="X469" i="2"/>
  <c r="X470" i="2"/>
  <c r="X471" i="2"/>
  <c r="X472" i="2"/>
  <c r="X473" i="2"/>
  <c r="X474" i="2"/>
  <c r="X475" i="2"/>
  <c r="X476" i="2"/>
  <c r="X477" i="2"/>
  <c r="X478" i="2"/>
  <c r="X479" i="2"/>
  <c r="X481" i="2"/>
  <c r="X482" i="2"/>
  <c r="X483" i="2"/>
  <c r="AA483" i="2" s="1"/>
  <c r="X484" i="2"/>
  <c r="X485" i="2"/>
  <c r="X486" i="2"/>
  <c r="X487" i="2"/>
  <c r="X488" i="2"/>
  <c r="X489" i="2"/>
  <c r="X490" i="2"/>
  <c r="X491" i="2"/>
  <c r="X492" i="2"/>
  <c r="X493" i="2"/>
  <c r="X494" i="2"/>
  <c r="X495" i="2"/>
  <c r="X496" i="2"/>
  <c r="X497" i="2"/>
  <c r="X498" i="2"/>
  <c r="X499" i="2"/>
  <c r="AA499" i="2" s="1"/>
  <c r="X500" i="2"/>
  <c r="X501" i="2"/>
  <c r="X502" i="2"/>
  <c r="X503" i="2"/>
  <c r="X504" i="2"/>
  <c r="X505" i="2"/>
  <c r="X506" i="2"/>
  <c r="X507" i="2"/>
  <c r="X508" i="2"/>
  <c r="X509" i="2"/>
  <c r="X510" i="2"/>
  <c r="X511" i="2"/>
  <c r="X512" i="2"/>
  <c r="X513" i="2"/>
  <c r="X514" i="2"/>
  <c r="X515" i="2"/>
  <c r="AA515" i="2" s="1"/>
  <c r="X516" i="2"/>
  <c r="X517" i="2"/>
  <c r="X518" i="2"/>
  <c r="X519" i="2"/>
  <c r="X520" i="2"/>
  <c r="X521" i="2"/>
  <c r="X522" i="2"/>
  <c r="X523" i="2"/>
  <c r="X524" i="2"/>
  <c r="X525" i="2"/>
  <c r="X526" i="2"/>
  <c r="X527" i="2"/>
  <c r="X528" i="2"/>
  <c r="X529" i="2"/>
  <c r="X530" i="2"/>
  <c r="X531" i="2"/>
  <c r="AA531" i="2" s="1"/>
  <c r="X532" i="2"/>
  <c r="X533" i="2"/>
  <c r="X534" i="2"/>
  <c r="X535" i="2"/>
  <c r="X536" i="2"/>
  <c r="X537" i="2"/>
  <c r="X538" i="2"/>
  <c r="X539" i="2"/>
  <c r="X540" i="2"/>
  <c r="X541" i="2"/>
  <c r="X542" i="2"/>
  <c r="X543" i="2"/>
  <c r="X544" i="2"/>
  <c r="X545" i="2"/>
  <c r="X546" i="2"/>
  <c r="X547" i="2"/>
  <c r="AA547" i="2" s="1"/>
  <c r="X548" i="2"/>
  <c r="X549" i="2"/>
  <c r="X550" i="2"/>
  <c r="X551" i="2"/>
  <c r="X552" i="2"/>
  <c r="X553" i="2"/>
  <c r="X554" i="2"/>
  <c r="X555" i="2"/>
  <c r="X556" i="2"/>
  <c r="X557" i="2"/>
  <c r="X558" i="2"/>
  <c r="X559" i="2"/>
  <c r="X560" i="2"/>
  <c r="X561" i="2"/>
  <c r="X562" i="2"/>
  <c r="X563" i="2"/>
  <c r="AA563" i="2" s="1"/>
  <c r="X564" i="2"/>
  <c r="X565" i="2"/>
  <c r="X566" i="2"/>
  <c r="X567" i="2"/>
  <c r="X568" i="2"/>
  <c r="X569" i="2"/>
  <c r="X570" i="2"/>
  <c r="X571" i="2"/>
  <c r="X572" i="2"/>
  <c r="X573" i="2"/>
  <c r="X574" i="2"/>
  <c r="X575" i="2"/>
  <c r="X576" i="2"/>
  <c r="X577" i="2"/>
  <c r="X578" i="2"/>
  <c r="X579" i="2"/>
  <c r="AA579" i="2" s="1"/>
  <c r="X580" i="2"/>
  <c r="X581" i="2"/>
  <c r="X582" i="2"/>
  <c r="X583" i="2"/>
  <c r="X584" i="2"/>
  <c r="X585" i="2"/>
  <c r="X586" i="2"/>
  <c r="X587" i="2"/>
  <c r="X588" i="2"/>
  <c r="X589" i="2"/>
  <c r="X590" i="2"/>
  <c r="X591" i="2"/>
  <c r="X592" i="2"/>
  <c r="X593" i="2"/>
  <c r="X594" i="2"/>
  <c r="X595" i="2"/>
  <c r="AA595" i="2" s="1"/>
  <c r="X596" i="2"/>
  <c r="X597" i="2"/>
  <c r="X598" i="2"/>
  <c r="X599" i="2"/>
  <c r="X600" i="2"/>
  <c r="X601" i="2"/>
  <c r="X602" i="2"/>
  <c r="X603" i="2"/>
  <c r="X604" i="2"/>
  <c r="X605" i="2"/>
  <c r="X606" i="2"/>
  <c r="X607" i="2"/>
  <c r="X608" i="2"/>
  <c r="X609" i="2"/>
  <c r="X610" i="2"/>
  <c r="X611" i="2"/>
  <c r="AA611" i="2" s="1"/>
  <c r="X612" i="2"/>
  <c r="X613" i="2"/>
  <c r="X614" i="2"/>
  <c r="X615" i="2"/>
  <c r="X616" i="2"/>
  <c r="X617" i="2"/>
  <c r="X618" i="2"/>
  <c r="X619" i="2"/>
  <c r="X620" i="2"/>
  <c r="X621" i="2"/>
  <c r="X622" i="2"/>
  <c r="X623" i="2"/>
  <c r="X624" i="2"/>
  <c r="X625" i="2"/>
  <c r="X626" i="2"/>
  <c r="X627" i="2"/>
  <c r="AA627" i="2" s="1"/>
  <c r="X628" i="2"/>
  <c r="X629" i="2"/>
  <c r="X630" i="2"/>
  <c r="X631" i="2"/>
  <c r="X632" i="2"/>
  <c r="X633" i="2"/>
  <c r="X634" i="2"/>
  <c r="X635" i="2"/>
  <c r="X636" i="2"/>
  <c r="X637" i="2"/>
  <c r="X638" i="2"/>
  <c r="X639" i="2"/>
  <c r="X640" i="2"/>
  <c r="X641" i="2"/>
  <c r="X642" i="2"/>
  <c r="X643" i="2"/>
  <c r="AA643" i="2" s="1"/>
  <c r="X644" i="2"/>
  <c r="X645" i="2"/>
  <c r="X646" i="2"/>
  <c r="X647" i="2"/>
  <c r="X648" i="2"/>
  <c r="X649" i="2"/>
  <c r="X650" i="2"/>
  <c r="X651" i="2"/>
  <c r="X652" i="2"/>
  <c r="X653" i="2"/>
  <c r="X654" i="2"/>
  <c r="X655" i="2"/>
  <c r="X656" i="2"/>
  <c r="X657" i="2"/>
  <c r="X658" i="2"/>
  <c r="X659" i="2"/>
  <c r="AA659" i="2" s="1"/>
  <c r="X660" i="2"/>
  <c r="X661" i="2"/>
  <c r="X662" i="2"/>
  <c r="X663" i="2"/>
  <c r="X664" i="2"/>
  <c r="X665" i="2"/>
  <c r="X666" i="2"/>
  <c r="X667" i="2"/>
  <c r="X668" i="2"/>
  <c r="X669" i="2"/>
  <c r="X670" i="2"/>
  <c r="X671" i="2"/>
  <c r="X672" i="2"/>
  <c r="X673" i="2"/>
  <c r="X674" i="2"/>
  <c r="X675" i="2"/>
  <c r="AA675" i="2" s="1"/>
  <c r="X676" i="2"/>
  <c r="X677" i="2"/>
  <c r="X678" i="2"/>
  <c r="X679" i="2"/>
  <c r="X680" i="2"/>
  <c r="X681" i="2"/>
  <c r="X682" i="2"/>
  <c r="X683" i="2"/>
  <c r="X684" i="2"/>
  <c r="X685" i="2"/>
  <c r="X686" i="2"/>
  <c r="X687" i="2"/>
  <c r="X688" i="2"/>
  <c r="X689" i="2"/>
  <c r="X690" i="2"/>
  <c r="X691" i="2"/>
  <c r="AA691" i="2" s="1"/>
  <c r="X692" i="2"/>
  <c r="X693" i="2"/>
  <c r="X694" i="2"/>
  <c r="X695" i="2"/>
  <c r="X696" i="2"/>
  <c r="X697" i="2"/>
  <c r="X698" i="2"/>
  <c r="X699" i="2"/>
  <c r="X700" i="2"/>
  <c r="X701" i="2"/>
  <c r="X702" i="2"/>
  <c r="X703" i="2"/>
  <c r="X704" i="2"/>
  <c r="X705" i="2"/>
  <c r="X706" i="2"/>
  <c r="X707" i="2"/>
  <c r="AA707" i="2" s="1"/>
  <c r="X708" i="2"/>
  <c r="X709" i="2"/>
  <c r="X710" i="2"/>
  <c r="X711" i="2"/>
  <c r="X712" i="2"/>
  <c r="X713" i="2"/>
  <c r="X714" i="2"/>
  <c r="X715" i="2"/>
  <c r="X716" i="2"/>
  <c r="X717" i="2"/>
  <c r="X718" i="2"/>
  <c r="X719" i="2"/>
  <c r="X720" i="2"/>
  <c r="X721" i="2"/>
  <c r="X722" i="2"/>
  <c r="X723" i="2"/>
  <c r="AA723" i="2" s="1"/>
  <c r="X724" i="2"/>
  <c r="X725" i="2"/>
  <c r="X726" i="2"/>
  <c r="X727" i="2"/>
  <c r="X728" i="2"/>
  <c r="X729" i="2"/>
  <c r="X730" i="2"/>
  <c r="X731" i="2"/>
  <c r="X732" i="2"/>
  <c r="X733" i="2"/>
  <c r="X734" i="2"/>
  <c r="X735" i="2"/>
  <c r="X736" i="2"/>
  <c r="X737" i="2"/>
  <c r="X738" i="2"/>
  <c r="X739" i="2"/>
  <c r="AA739" i="2" s="1"/>
  <c r="X740" i="2"/>
  <c r="X741" i="2"/>
  <c r="X742" i="2"/>
  <c r="X743" i="2"/>
  <c r="X744" i="2"/>
  <c r="X745" i="2"/>
  <c r="X746" i="2"/>
  <c r="X747" i="2"/>
  <c r="X748" i="2"/>
  <c r="X749" i="2"/>
  <c r="X750" i="2"/>
  <c r="X751" i="2"/>
  <c r="X752" i="2"/>
  <c r="X753" i="2"/>
  <c r="X754" i="2"/>
  <c r="X755" i="2"/>
  <c r="AA755" i="2" s="1"/>
  <c r="X756" i="2"/>
  <c r="X757" i="2"/>
  <c r="X758" i="2"/>
  <c r="X759" i="2"/>
  <c r="X760" i="2"/>
  <c r="X761" i="2"/>
  <c r="X762" i="2"/>
  <c r="X763" i="2"/>
  <c r="X764" i="2"/>
  <c r="X765" i="2"/>
  <c r="X766" i="2"/>
  <c r="X767" i="2"/>
  <c r="X768" i="2"/>
  <c r="X769" i="2"/>
  <c r="X770" i="2"/>
  <c r="X771" i="2"/>
  <c r="AA771" i="2" s="1"/>
  <c r="X772" i="2"/>
  <c r="X773" i="2"/>
  <c r="X774" i="2"/>
  <c r="X775" i="2"/>
  <c r="X776" i="2"/>
  <c r="X777" i="2"/>
  <c r="X778" i="2"/>
  <c r="X779" i="2"/>
  <c r="X780" i="2"/>
  <c r="X781" i="2"/>
  <c r="X782" i="2"/>
  <c r="X783" i="2"/>
  <c r="X784" i="2"/>
  <c r="X785" i="2"/>
  <c r="X786" i="2"/>
  <c r="X787" i="2"/>
  <c r="AA787" i="2" s="1"/>
  <c r="X788" i="2"/>
  <c r="X789" i="2"/>
  <c r="X790" i="2"/>
  <c r="X791" i="2"/>
  <c r="X792" i="2"/>
  <c r="X793" i="2"/>
  <c r="X794" i="2"/>
  <c r="X795" i="2"/>
  <c r="X796" i="2"/>
  <c r="X797" i="2"/>
  <c r="X798" i="2"/>
  <c r="X799" i="2"/>
  <c r="X800" i="2"/>
  <c r="X801" i="2"/>
  <c r="X802" i="2"/>
  <c r="X803" i="2"/>
  <c r="AA803" i="2" s="1"/>
  <c r="X804" i="2"/>
  <c r="X805" i="2"/>
  <c r="X806" i="2"/>
  <c r="X807" i="2"/>
  <c r="X808" i="2"/>
  <c r="X809" i="2"/>
  <c r="X810" i="2"/>
  <c r="X811" i="2"/>
  <c r="X812" i="2"/>
  <c r="X813" i="2"/>
  <c r="X814" i="2"/>
  <c r="X815" i="2"/>
  <c r="X816" i="2"/>
  <c r="X817" i="2"/>
  <c r="X818" i="2"/>
  <c r="X819" i="2"/>
  <c r="AA819" i="2" s="1"/>
  <c r="X820" i="2"/>
  <c r="X821" i="2"/>
  <c r="X822" i="2"/>
  <c r="X823" i="2"/>
  <c r="X824" i="2"/>
  <c r="X825" i="2"/>
  <c r="X826" i="2"/>
  <c r="X827" i="2"/>
  <c r="X828" i="2"/>
  <c r="X829" i="2"/>
  <c r="X830" i="2"/>
  <c r="X831" i="2"/>
  <c r="X832" i="2"/>
  <c r="X833" i="2"/>
  <c r="X834" i="2"/>
  <c r="X835" i="2"/>
  <c r="AA835" i="2" s="1"/>
  <c r="X836" i="2"/>
  <c r="X837" i="2"/>
  <c r="X838" i="2"/>
  <c r="X839" i="2"/>
  <c r="X840" i="2"/>
  <c r="X841" i="2"/>
  <c r="X842" i="2"/>
  <c r="X843" i="2"/>
  <c r="X844" i="2"/>
  <c r="X845" i="2"/>
  <c r="X846" i="2"/>
  <c r="X847" i="2"/>
  <c r="X848" i="2"/>
  <c r="X849" i="2"/>
  <c r="X850" i="2"/>
  <c r="X851" i="2"/>
  <c r="AA851" i="2" s="1"/>
  <c r="X852" i="2"/>
  <c r="X853" i="2"/>
  <c r="X854" i="2"/>
  <c r="X855" i="2"/>
  <c r="X856" i="2"/>
  <c r="X857" i="2"/>
  <c r="X858" i="2"/>
  <c r="X859" i="2"/>
  <c r="X860" i="2"/>
  <c r="X861" i="2"/>
  <c r="X862" i="2"/>
  <c r="X863" i="2"/>
  <c r="X864" i="2"/>
  <c r="X865" i="2"/>
  <c r="X866" i="2"/>
  <c r="X867" i="2"/>
  <c r="AA867" i="2" s="1"/>
  <c r="X868" i="2"/>
  <c r="X869" i="2"/>
  <c r="X870" i="2"/>
  <c r="X871" i="2"/>
  <c r="X872" i="2"/>
  <c r="X873" i="2"/>
  <c r="X874" i="2"/>
  <c r="X875" i="2"/>
  <c r="X876" i="2"/>
  <c r="X877" i="2"/>
  <c r="X878" i="2"/>
  <c r="X879" i="2"/>
  <c r="X880" i="2"/>
  <c r="X881" i="2"/>
  <c r="X882" i="2"/>
  <c r="X883" i="2"/>
  <c r="AA883" i="2" s="1"/>
  <c r="X884" i="2"/>
  <c r="X885" i="2"/>
  <c r="X886" i="2"/>
  <c r="X887" i="2"/>
  <c r="X888" i="2"/>
  <c r="X889" i="2"/>
  <c r="X890" i="2"/>
  <c r="X891" i="2"/>
  <c r="X892" i="2"/>
  <c r="X893" i="2"/>
  <c r="X894" i="2"/>
  <c r="X895" i="2"/>
  <c r="X896" i="2"/>
  <c r="X897" i="2"/>
  <c r="X898" i="2"/>
  <c r="X899" i="2"/>
  <c r="AA899" i="2" s="1"/>
  <c r="X900" i="2"/>
  <c r="X901" i="2"/>
  <c r="X902" i="2"/>
  <c r="X903" i="2"/>
  <c r="X904" i="2"/>
  <c r="X905" i="2"/>
  <c r="X906" i="2"/>
  <c r="X907" i="2"/>
  <c r="X908" i="2"/>
  <c r="X909" i="2"/>
  <c r="X910" i="2"/>
  <c r="X911" i="2"/>
  <c r="X912" i="2"/>
  <c r="X913" i="2"/>
  <c r="X914" i="2"/>
  <c r="X915" i="2"/>
  <c r="AA915" i="2" s="1"/>
  <c r="X916" i="2"/>
  <c r="X917" i="2"/>
  <c r="X918" i="2"/>
  <c r="X919" i="2"/>
  <c r="X920" i="2"/>
  <c r="X921" i="2"/>
  <c r="X922" i="2"/>
  <c r="X923" i="2"/>
  <c r="X924" i="2"/>
  <c r="X925" i="2"/>
  <c r="X926" i="2"/>
  <c r="X927" i="2"/>
  <c r="X928" i="2"/>
  <c r="X929" i="2"/>
  <c r="X930" i="2"/>
  <c r="X931" i="2"/>
  <c r="AA931" i="2" s="1"/>
  <c r="X932" i="2"/>
  <c r="X933" i="2"/>
  <c r="X934" i="2"/>
  <c r="X935" i="2"/>
  <c r="X936" i="2"/>
  <c r="X937" i="2"/>
  <c r="X938" i="2"/>
  <c r="X939" i="2"/>
  <c r="X940" i="2"/>
  <c r="X941" i="2"/>
  <c r="X942" i="2"/>
  <c r="X943" i="2"/>
  <c r="X944" i="2"/>
  <c r="X945" i="2"/>
  <c r="X946" i="2"/>
  <c r="X947" i="2"/>
  <c r="AA947" i="2" s="1"/>
  <c r="X948" i="2"/>
  <c r="X949" i="2"/>
  <c r="X950" i="2"/>
  <c r="X951" i="2"/>
  <c r="X952" i="2"/>
  <c r="X953" i="2"/>
  <c r="X954" i="2"/>
  <c r="X955" i="2"/>
  <c r="X956" i="2"/>
  <c r="X957" i="2"/>
  <c r="X958" i="2"/>
  <c r="X959" i="2"/>
  <c r="X960" i="2"/>
  <c r="X961" i="2"/>
  <c r="X962" i="2"/>
  <c r="X963" i="2"/>
  <c r="AA963" i="2" s="1"/>
  <c r="X964" i="2"/>
  <c r="X965" i="2"/>
  <c r="X966" i="2"/>
  <c r="X967" i="2"/>
  <c r="X968" i="2"/>
  <c r="X969" i="2"/>
  <c r="X970" i="2"/>
  <c r="X971" i="2"/>
  <c r="X972" i="2"/>
  <c r="X973" i="2"/>
  <c r="X974" i="2"/>
  <c r="X975" i="2"/>
  <c r="X976" i="2"/>
  <c r="X977" i="2"/>
  <c r="X978" i="2"/>
  <c r="X979" i="2"/>
  <c r="AA979" i="2" s="1"/>
  <c r="X980" i="2"/>
  <c r="X981" i="2"/>
  <c r="X982" i="2"/>
  <c r="X983" i="2"/>
  <c r="X984" i="2"/>
  <c r="X985" i="2"/>
  <c r="X986" i="2"/>
  <c r="X987" i="2"/>
  <c r="X988" i="2"/>
  <c r="X989" i="2"/>
  <c r="X990" i="2"/>
  <c r="X991" i="2"/>
  <c r="X992" i="2"/>
  <c r="X993" i="2"/>
  <c r="X994" i="2"/>
  <c r="X995" i="2"/>
  <c r="AA995" i="2" s="1"/>
  <c r="X996" i="2"/>
  <c r="X997" i="2"/>
  <c r="X998" i="2"/>
  <c r="X999" i="2"/>
  <c r="X1000" i="2"/>
  <c r="X10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I49" i="4"/>
  <c r="I50" i="4"/>
  <c r="I51" i="4"/>
  <c r="I52" i="4"/>
  <c r="I53" i="4"/>
  <c r="I54" i="4"/>
  <c r="I55" i="4"/>
  <c r="I56" i="4"/>
  <c r="I57" i="4"/>
  <c r="I58" i="4"/>
  <c r="I59" i="4"/>
  <c r="I60" i="4"/>
  <c r="I61" i="4"/>
  <c r="I48" i="4"/>
  <c r="O2" i="2"/>
  <c r="P2" i="2" s="1"/>
  <c r="O3" i="2"/>
  <c r="T3" i="2" s="1"/>
  <c r="O4" i="2"/>
  <c r="T4" i="2" s="1"/>
  <c r="O5" i="2"/>
  <c r="P5" i="2" s="1"/>
  <c r="O6" i="2"/>
  <c r="T6" i="2" s="1"/>
  <c r="O7" i="2"/>
  <c r="T7" i="2" s="1"/>
  <c r="O8" i="2"/>
  <c r="T8" i="2" s="1"/>
  <c r="O9" i="2"/>
  <c r="T9" i="2" s="1"/>
  <c r="O10" i="2"/>
  <c r="T10" i="2" s="1"/>
  <c r="O11" i="2"/>
  <c r="T11" i="2" s="1"/>
  <c r="O12" i="2"/>
  <c r="T12" i="2" s="1"/>
  <c r="O13" i="2"/>
  <c r="T13" i="2" s="1"/>
  <c r="O14" i="2"/>
  <c r="T14" i="2" s="1"/>
  <c r="O15" i="2"/>
  <c r="O16" i="2"/>
  <c r="O17" i="2"/>
  <c r="P17" i="2" s="1"/>
  <c r="O18" i="2"/>
  <c r="P18" i="2" s="1"/>
  <c r="O19" i="2"/>
  <c r="T19" i="2" s="1"/>
  <c r="O20" i="2"/>
  <c r="O21" i="2"/>
  <c r="P21" i="2" s="1"/>
  <c r="O22" i="2"/>
  <c r="T22" i="2" s="1"/>
  <c r="O23" i="2"/>
  <c r="T23" i="2" s="1"/>
  <c r="O24" i="2"/>
  <c r="T24" i="2" s="1"/>
  <c r="O25" i="2"/>
  <c r="T25" i="2" s="1"/>
  <c r="O26" i="2"/>
  <c r="T26" i="2" s="1"/>
  <c r="O27" i="2"/>
  <c r="T27" i="2" s="1"/>
  <c r="O28" i="2"/>
  <c r="O29" i="2"/>
  <c r="O30" i="2"/>
  <c r="O31" i="2"/>
  <c r="P31" i="2" s="1"/>
  <c r="O32" i="2"/>
  <c r="P32" i="2" s="1"/>
  <c r="O33" i="2"/>
  <c r="O34" i="2"/>
  <c r="O35" i="2"/>
  <c r="T35" i="2" s="1"/>
  <c r="O36" i="2"/>
  <c r="T36" i="2" s="1"/>
  <c r="O37" i="2"/>
  <c r="O38" i="2"/>
  <c r="O39" i="2"/>
  <c r="P39" i="2" s="1"/>
  <c r="O40" i="2"/>
  <c r="T40" i="2" s="1"/>
  <c r="O41" i="2"/>
  <c r="T41" i="2" s="1"/>
  <c r="O42" i="2"/>
  <c r="T42" i="2" s="1"/>
  <c r="O43" i="2"/>
  <c r="T43" i="2" s="1"/>
  <c r="O44" i="2"/>
  <c r="T44" i="2" s="1"/>
  <c r="O45" i="2"/>
  <c r="T45" i="2" s="1"/>
  <c r="O46" i="2"/>
  <c r="T46" i="2" s="1"/>
  <c r="O47" i="2"/>
  <c r="O48" i="2"/>
  <c r="P48" i="2" s="1"/>
  <c r="O49" i="2"/>
  <c r="O50" i="2"/>
  <c r="O51" i="2"/>
  <c r="T51" i="2" s="1"/>
  <c r="O52" i="2"/>
  <c r="O53" i="2"/>
  <c r="P53" i="2" s="1"/>
  <c r="O54" i="2"/>
  <c r="P54" i="2" s="1"/>
  <c r="O55" i="2"/>
  <c r="P55" i="2" s="1"/>
  <c r="O56" i="2"/>
  <c r="T56" i="2" s="1"/>
  <c r="O57" i="2"/>
  <c r="T57" i="2" s="1"/>
  <c r="O58" i="2"/>
  <c r="T58" i="2" s="1"/>
  <c r="O59" i="2"/>
  <c r="T59" i="2" s="1"/>
  <c r="O60" i="2"/>
  <c r="T60" i="2" s="1"/>
  <c r="O61" i="2"/>
  <c r="T61" i="2" s="1"/>
  <c r="O62" i="2"/>
  <c r="O63" i="2"/>
  <c r="P63" i="2" s="1"/>
  <c r="O64" i="2"/>
  <c r="P64" i="2" s="1"/>
  <c r="O65" i="2"/>
  <c r="O66" i="2"/>
  <c r="P66" i="2" s="1"/>
  <c r="O67" i="2"/>
  <c r="T67" i="2" s="1"/>
  <c r="O68" i="2"/>
  <c r="T68" i="2" s="1"/>
  <c r="O69" i="2"/>
  <c r="T69" i="2" s="1"/>
  <c r="O70" i="2"/>
  <c r="P70" i="2" s="1"/>
  <c r="O71" i="2"/>
  <c r="P71" i="2" s="1"/>
  <c r="O72" i="2"/>
  <c r="T72" i="2" s="1"/>
  <c r="O73" i="2"/>
  <c r="T73" i="2" s="1"/>
  <c r="O74" i="2"/>
  <c r="T74" i="2" s="1"/>
  <c r="O75" i="2"/>
  <c r="T75" i="2" s="1"/>
  <c r="O76" i="2"/>
  <c r="O77" i="2"/>
  <c r="O78" i="2"/>
  <c r="T78" i="2" s="1"/>
  <c r="O79" i="2"/>
  <c r="P79" i="2" s="1"/>
  <c r="O80" i="2"/>
  <c r="O81" i="2"/>
  <c r="O82" i="2"/>
  <c r="O83" i="2"/>
  <c r="T83" i="2" s="1"/>
  <c r="O84" i="2"/>
  <c r="O85" i="2"/>
  <c r="O86" i="2"/>
  <c r="T86" i="2" s="1"/>
  <c r="O87" i="2"/>
  <c r="T87" i="2" s="1"/>
  <c r="O88" i="2"/>
  <c r="T88" i="2" s="1"/>
  <c r="O89" i="2"/>
  <c r="T89" i="2" s="1"/>
  <c r="O90" i="2"/>
  <c r="T90" i="2" s="1"/>
  <c r="O91" i="2"/>
  <c r="T91" i="2" s="1"/>
  <c r="O92" i="2"/>
  <c r="T92" i="2" s="1"/>
  <c r="O93" i="2"/>
  <c r="T93" i="2" s="1"/>
  <c r="O94" i="2"/>
  <c r="O95" i="2"/>
  <c r="O96" i="2"/>
  <c r="P96" i="2" s="1"/>
  <c r="O97" i="2"/>
  <c r="O98" i="2"/>
  <c r="O99" i="2"/>
  <c r="T99" i="2" s="1"/>
  <c r="O100" i="2"/>
  <c r="T100" i="2" s="1"/>
  <c r="O101" i="2"/>
  <c r="P101" i="2" s="1"/>
  <c r="O102" i="2"/>
  <c r="T102" i="2" s="1"/>
  <c r="O103" i="2"/>
  <c r="P103" i="2" s="1"/>
  <c r="O104" i="2"/>
  <c r="T104" i="2" s="1"/>
  <c r="O105" i="2"/>
  <c r="T105" i="2" s="1"/>
  <c r="O106" i="2"/>
  <c r="T106" i="2" s="1"/>
  <c r="O107" i="2"/>
  <c r="T107" i="2" s="1"/>
  <c r="O108" i="2"/>
  <c r="O109" i="2"/>
  <c r="O110" i="2"/>
  <c r="T110" i="2" s="1"/>
  <c r="O111" i="2"/>
  <c r="P111" i="2" s="1"/>
  <c r="O112" i="2"/>
  <c r="P112" i="2" s="1"/>
  <c r="O113" i="2"/>
  <c r="O114" i="2"/>
  <c r="P114" i="2" s="1"/>
  <c r="O115" i="2"/>
  <c r="T115" i="2" s="1"/>
  <c r="O116" i="2"/>
  <c r="O117" i="2"/>
  <c r="P117" i="2" s="1"/>
  <c r="O118" i="2"/>
  <c r="P118" i="2" s="1"/>
  <c r="O119" i="2"/>
  <c r="P119" i="2" s="1"/>
  <c r="O120" i="2"/>
  <c r="T120" i="2" s="1"/>
  <c r="O121" i="2"/>
  <c r="T121" i="2" s="1"/>
  <c r="O122" i="2"/>
  <c r="T122" i="2" s="1"/>
  <c r="O123" i="2"/>
  <c r="P123" i="2" s="1"/>
  <c r="O124" i="2"/>
  <c r="T124" i="2" s="1"/>
  <c r="O125" i="2"/>
  <c r="T125" i="2" s="1"/>
  <c r="O126" i="2"/>
  <c r="O127" i="2"/>
  <c r="O128" i="2"/>
  <c r="O129" i="2"/>
  <c r="O130" i="2"/>
  <c r="O131" i="2"/>
  <c r="T131" i="2" s="1"/>
  <c r="O132" i="2"/>
  <c r="T132" i="2" s="1"/>
  <c r="O133" i="2"/>
  <c r="T133" i="2" s="1"/>
  <c r="O134" i="2"/>
  <c r="T134" i="2" s="1"/>
  <c r="O135" i="2"/>
  <c r="T135" i="2" s="1"/>
  <c r="O136" i="2"/>
  <c r="T136" i="2" s="1"/>
  <c r="O137" i="2"/>
  <c r="T137" i="2" s="1"/>
  <c r="O138" i="2"/>
  <c r="T138" i="2" s="1"/>
  <c r="O139" i="2"/>
  <c r="T139" i="2" s="1"/>
  <c r="O140" i="2"/>
  <c r="T140" i="2" s="1"/>
  <c r="O141" i="2"/>
  <c r="T141" i="2" s="1"/>
  <c r="O142" i="2"/>
  <c r="T142" i="2" s="1"/>
  <c r="O143" i="2"/>
  <c r="O144" i="2"/>
  <c r="O145" i="2"/>
  <c r="O146" i="2"/>
  <c r="O147" i="2"/>
  <c r="T147" i="2" s="1"/>
  <c r="O148" i="2"/>
  <c r="O149" i="2"/>
  <c r="P149" i="2" s="1"/>
  <c r="O150" i="2"/>
  <c r="P150" i="2" s="1"/>
  <c r="O151" i="2"/>
  <c r="P151" i="2" s="1"/>
  <c r="O152" i="2"/>
  <c r="T152" i="2" s="1"/>
  <c r="O153" i="2"/>
  <c r="T153" i="2" s="1"/>
  <c r="O154" i="2"/>
  <c r="T154" i="2" s="1"/>
  <c r="O155" i="2"/>
  <c r="T155" i="2" s="1"/>
  <c r="O156" i="2"/>
  <c r="T156" i="2" s="1"/>
  <c r="O157" i="2"/>
  <c r="T157" i="2" s="1"/>
  <c r="O158" i="2"/>
  <c r="O159" i="2"/>
  <c r="P159" i="2" s="1"/>
  <c r="O160" i="2"/>
  <c r="P160" i="2" s="1"/>
  <c r="O161" i="2"/>
  <c r="O162" i="2"/>
  <c r="O163" i="2"/>
  <c r="T163" i="2" s="1"/>
  <c r="O164" i="2"/>
  <c r="T164" i="2" s="1"/>
  <c r="O165" i="2"/>
  <c r="P165" i="2" s="1"/>
  <c r="O166" i="2"/>
  <c r="T166" i="2" s="1"/>
  <c r="O167" i="2"/>
  <c r="T167" i="2" s="1"/>
  <c r="O168" i="2"/>
  <c r="T168" i="2" s="1"/>
  <c r="O169" i="2"/>
  <c r="T169" i="2" s="1"/>
  <c r="O170" i="2"/>
  <c r="T170" i="2" s="1"/>
  <c r="O171" i="2"/>
  <c r="T171" i="2" s="1"/>
  <c r="O172" i="2"/>
  <c r="T172" i="2" s="1"/>
  <c r="O173" i="2"/>
  <c r="T173" i="2" s="1"/>
  <c r="O174" i="2"/>
  <c r="T174" i="2" s="1"/>
  <c r="O175" i="2"/>
  <c r="P175" i="2" s="1"/>
  <c r="O176" i="2"/>
  <c r="P176" i="2" s="1"/>
  <c r="O177" i="2"/>
  <c r="O178" i="2"/>
  <c r="O179" i="2"/>
  <c r="T179" i="2" s="1"/>
  <c r="O180" i="2"/>
  <c r="O181" i="2"/>
  <c r="O182" i="2"/>
  <c r="O183" i="2"/>
  <c r="P183" i="2" s="1"/>
  <c r="O184" i="2"/>
  <c r="T184" i="2" s="1"/>
  <c r="O185" i="2"/>
  <c r="T185" i="2" s="1"/>
  <c r="O186" i="2"/>
  <c r="T186" i="2" s="1"/>
  <c r="O187" i="2"/>
  <c r="T187" i="2" s="1"/>
  <c r="O188" i="2"/>
  <c r="O189" i="2"/>
  <c r="O190" i="2"/>
  <c r="O191" i="2"/>
  <c r="O192" i="2"/>
  <c r="O193" i="2"/>
  <c r="O194" i="2"/>
  <c r="O195" i="2"/>
  <c r="T195" i="2" s="1"/>
  <c r="O196" i="2"/>
  <c r="T196" i="2" s="1"/>
  <c r="O197" i="2"/>
  <c r="T197" i="2" s="1"/>
  <c r="O198" i="2"/>
  <c r="T198" i="2" s="1"/>
  <c r="O199" i="2"/>
  <c r="T199" i="2" s="1"/>
  <c r="O200" i="2"/>
  <c r="T200" i="2" s="1"/>
  <c r="O201" i="2"/>
  <c r="T201" i="2" s="1"/>
  <c r="O202" i="2"/>
  <c r="T202" i="2" s="1"/>
  <c r="O203" i="2"/>
  <c r="T203" i="2" s="1"/>
  <c r="O204" i="2"/>
  <c r="T204" i="2" s="1"/>
  <c r="O205" i="2"/>
  <c r="T205" i="2" s="1"/>
  <c r="O206" i="2"/>
  <c r="T206" i="2" s="1"/>
  <c r="O207" i="2"/>
  <c r="P207" i="2" s="1"/>
  <c r="O208" i="2"/>
  <c r="P208" i="2" s="1"/>
  <c r="O209" i="2"/>
  <c r="O210" i="2"/>
  <c r="O211" i="2"/>
  <c r="T211" i="2" s="1"/>
  <c r="O212" i="2"/>
  <c r="O213" i="2"/>
  <c r="P213" i="2" s="1"/>
  <c r="O214" i="2"/>
  <c r="P214" i="2" s="1"/>
  <c r="O215" i="2"/>
  <c r="P215" i="2" s="1"/>
  <c r="O216" i="2"/>
  <c r="T216" i="2" s="1"/>
  <c r="O217" i="2"/>
  <c r="T217" i="2" s="1"/>
  <c r="O218" i="2"/>
  <c r="T218" i="2" s="1"/>
  <c r="O219" i="2"/>
  <c r="T219" i="2" s="1"/>
  <c r="O220" i="2"/>
  <c r="O221" i="2"/>
  <c r="O222" i="2"/>
  <c r="O223" i="2"/>
  <c r="P223" i="2" s="1"/>
  <c r="O224" i="2"/>
  <c r="P224" i="2" s="1"/>
  <c r="O225" i="2"/>
  <c r="O226" i="2"/>
  <c r="O227" i="2"/>
  <c r="T227" i="2" s="1"/>
  <c r="O228" i="2"/>
  <c r="T228" i="2" s="1"/>
  <c r="O229" i="2"/>
  <c r="P229" i="2" s="1"/>
  <c r="O230" i="2"/>
  <c r="P230" i="2" s="1"/>
  <c r="O231" i="2"/>
  <c r="T231" i="2" s="1"/>
  <c r="O232" i="2"/>
  <c r="T232" i="2" s="1"/>
  <c r="O233" i="2"/>
  <c r="T233" i="2" s="1"/>
  <c r="O234" i="2"/>
  <c r="T234" i="2" s="1"/>
  <c r="O235" i="2"/>
  <c r="T235" i="2" s="1"/>
  <c r="O236" i="2"/>
  <c r="T236" i="2" s="1"/>
  <c r="O237" i="2"/>
  <c r="T237" i="2" s="1"/>
  <c r="O238" i="2"/>
  <c r="T238" i="2" s="1"/>
  <c r="O239" i="2"/>
  <c r="O240" i="2"/>
  <c r="O241" i="2"/>
  <c r="O242" i="2"/>
  <c r="O243" i="2"/>
  <c r="T243" i="2" s="1"/>
  <c r="O244" i="2"/>
  <c r="O245" i="2"/>
  <c r="O246" i="2"/>
  <c r="O247" i="2"/>
  <c r="P247" i="2" s="1"/>
  <c r="O248" i="2"/>
  <c r="T248" i="2" s="1"/>
  <c r="O249" i="2"/>
  <c r="T249" i="2" s="1"/>
  <c r="O250" i="2"/>
  <c r="T250" i="2" s="1"/>
  <c r="O251" i="2"/>
  <c r="T251" i="2" s="1"/>
  <c r="O252" i="2"/>
  <c r="T252" i="2" s="1"/>
  <c r="O253" i="2"/>
  <c r="T253" i="2" s="1"/>
  <c r="O254" i="2"/>
  <c r="O255" i="2"/>
  <c r="O256" i="2"/>
  <c r="O257" i="2"/>
  <c r="O258" i="2"/>
  <c r="O259" i="2"/>
  <c r="T259" i="2" s="1"/>
  <c r="O260" i="2"/>
  <c r="T260" i="2" s="1"/>
  <c r="O261" i="2"/>
  <c r="T261" i="2" s="1"/>
  <c r="O262" i="2"/>
  <c r="P262" i="2" s="1"/>
  <c r="O263" i="2"/>
  <c r="P263" i="2" s="1"/>
  <c r="O264" i="2"/>
  <c r="T264" i="2" s="1"/>
  <c r="O265" i="2"/>
  <c r="T265" i="2" s="1"/>
  <c r="O266" i="2"/>
  <c r="T266" i="2" s="1"/>
  <c r="O267" i="2"/>
  <c r="P267" i="2" s="1"/>
  <c r="O268" i="2"/>
  <c r="O269" i="2"/>
  <c r="O270" i="2"/>
  <c r="T270" i="2" s="1"/>
  <c r="O271" i="2"/>
  <c r="P271" i="2" s="1"/>
  <c r="O272" i="2"/>
  <c r="P272" i="2" s="1"/>
  <c r="O273" i="2"/>
  <c r="O274" i="2"/>
  <c r="O275" i="2"/>
  <c r="T275" i="2" s="1"/>
  <c r="O276" i="2"/>
  <c r="O277" i="2"/>
  <c r="P277" i="2" s="1"/>
  <c r="O278" i="2"/>
  <c r="T278" i="2" s="1"/>
  <c r="O279" i="2"/>
  <c r="T279" i="2" s="1"/>
  <c r="O280" i="2"/>
  <c r="T280" i="2" s="1"/>
  <c r="O281" i="2"/>
  <c r="T281" i="2" s="1"/>
  <c r="O282" i="2"/>
  <c r="T282" i="2" s="1"/>
  <c r="O283" i="2"/>
  <c r="T283" i="2" s="1"/>
  <c r="O284" i="2"/>
  <c r="T284" i="2" s="1"/>
  <c r="O285" i="2"/>
  <c r="T285" i="2" s="1"/>
  <c r="O286" i="2"/>
  <c r="O287" i="2"/>
  <c r="P287" i="2" s="1"/>
  <c r="O288" i="2"/>
  <c r="P288" i="2" s="1"/>
  <c r="O289" i="2"/>
  <c r="O290" i="2"/>
  <c r="O291" i="2"/>
  <c r="T291" i="2" s="1"/>
  <c r="O292" i="2"/>
  <c r="T292" i="2" s="1"/>
  <c r="O293" i="2"/>
  <c r="O294" i="2"/>
  <c r="O295" i="2"/>
  <c r="P295" i="2" s="1"/>
  <c r="O296" i="2"/>
  <c r="T296" i="2" s="1"/>
  <c r="O297" i="2"/>
  <c r="T297" i="2" s="1"/>
  <c r="O298" i="2"/>
  <c r="O299" i="2"/>
  <c r="P299" i="2" s="1"/>
  <c r="O300" i="2"/>
  <c r="O301" i="2"/>
  <c r="O302" i="2"/>
  <c r="T302" i="2" s="1"/>
  <c r="O303" i="2"/>
  <c r="T303" i="2" s="1"/>
  <c r="O304" i="2"/>
  <c r="P304" i="2" s="1"/>
  <c r="O305" i="2"/>
  <c r="O306" i="2"/>
  <c r="O307" i="2"/>
  <c r="T307" i="2" s="1"/>
  <c r="O308" i="2"/>
  <c r="O309" i="2"/>
  <c r="O310" i="2"/>
  <c r="O311" i="2"/>
  <c r="P311" i="2" s="1"/>
  <c r="O312" i="2"/>
  <c r="T312" i="2" s="1"/>
  <c r="O313" i="2"/>
  <c r="T313" i="2" s="1"/>
  <c r="O314" i="2"/>
  <c r="T314" i="2" s="1"/>
  <c r="O315" i="2"/>
  <c r="T315" i="2" s="1"/>
  <c r="O316" i="2"/>
  <c r="T316" i="2" s="1"/>
  <c r="O317" i="2"/>
  <c r="T317" i="2" s="1"/>
  <c r="O318" i="2"/>
  <c r="O319" i="2"/>
  <c r="P319" i="2" s="1"/>
  <c r="O320" i="2"/>
  <c r="P320" i="2" s="1"/>
  <c r="O321" i="2"/>
  <c r="O322" i="2"/>
  <c r="O323" i="2"/>
  <c r="T323" i="2" s="1"/>
  <c r="O324" i="2"/>
  <c r="T324" i="2" s="1"/>
  <c r="O325" i="2"/>
  <c r="T325" i="2" s="1"/>
  <c r="O326" i="2"/>
  <c r="T326" i="2" s="1"/>
  <c r="O327" i="2"/>
  <c r="T327" i="2" s="1"/>
  <c r="O328" i="2"/>
  <c r="T328" i="2" s="1"/>
  <c r="O329" i="2"/>
  <c r="T329" i="2" s="1"/>
  <c r="O330" i="2"/>
  <c r="O331" i="2"/>
  <c r="T331" i="2" s="1"/>
  <c r="O332" i="2"/>
  <c r="O333" i="2"/>
  <c r="O334" i="2"/>
  <c r="T334" i="2" s="1"/>
  <c r="O335" i="2"/>
  <c r="P335" i="2" s="1"/>
  <c r="O336" i="2"/>
  <c r="P336" i="2" s="1"/>
  <c r="O337" i="2"/>
  <c r="O338" i="2"/>
  <c r="O339" i="2"/>
  <c r="T339" i="2" s="1"/>
  <c r="O340" i="2"/>
  <c r="O341" i="2"/>
  <c r="P341" i="2" s="1"/>
  <c r="O342" i="2"/>
  <c r="P342" i="2" s="1"/>
  <c r="O343" i="2"/>
  <c r="P343" i="2" s="1"/>
  <c r="O344" i="2"/>
  <c r="T344" i="2" s="1"/>
  <c r="O345" i="2"/>
  <c r="T345" i="2" s="1"/>
  <c r="O346" i="2"/>
  <c r="T346" i="2" s="1"/>
  <c r="O347" i="2"/>
  <c r="T347" i="2" s="1"/>
  <c r="O348" i="2"/>
  <c r="T348" i="2" s="1"/>
  <c r="O349" i="2"/>
  <c r="T349" i="2" s="1"/>
  <c r="O350" i="2"/>
  <c r="O351" i="2"/>
  <c r="P351" i="2" s="1"/>
  <c r="O352" i="2"/>
  <c r="O353" i="2"/>
  <c r="O354" i="2"/>
  <c r="O355" i="2"/>
  <c r="T355" i="2" s="1"/>
  <c r="O356" i="2"/>
  <c r="T356" i="2" s="1"/>
  <c r="O357" i="2"/>
  <c r="O358" i="2"/>
  <c r="T358" i="2" s="1"/>
  <c r="O359" i="2"/>
  <c r="T359" i="2" s="1"/>
  <c r="O360" i="2"/>
  <c r="T360" i="2" s="1"/>
  <c r="O361" i="2"/>
  <c r="T361" i="2" s="1"/>
  <c r="O362" i="2"/>
  <c r="T362" i="2" s="1"/>
  <c r="O363" i="2"/>
  <c r="T363" i="2" s="1"/>
  <c r="O364" i="2"/>
  <c r="T364" i="2" s="1"/>
  <c r="O365" i="2"/>
  <c r="T365" i="2" s="1"/>
  <c r="O366" i="2"/>
  <c r="T366" i="2" s="1"/>
  <c r="O367" i="2"/>
  <c r="T367" i="2" s="1"/>
  <c r="O368" i="2"/>
  <c r="O369" i="2"/>
  <c r="O370" i="2"/>
  <c r="O371" i="2"/>
  <c r="T371" i="2" s="1"/>
  <c r="O372" i="2"/>
  <c r="O373" i="2"/>
  <c r="T373" i="2" s="1"/>
  <c r="O374" i="2"/>
  <c r="P374" i="2" s="1"/>
  <c r="O375" i="2"/>
  <c r="P375" i="2" s="1"/>
  <c r="O376" i="2"/>
  <c r="T376" i="2" s="1"/>
  <c r="O377" i="2"/>
  <c r="T377" i="2" s="1"/>
  <c r="O378" i="2"/>
  <c r="T378" i="2" s="1"/>
  <c r="O379" i="2"/>
  <c r="T379" i="2" s="1"/>
  <c r="O380" i="2"/>
  <c r="O381" i="2"/>
  <c r="O382" i="2"/>
  <c r="O383" i="2"/>
  <c r="P383" i="2" s="1"/>
  <c r="O384" i="2"/>
  <c r="P384" i="2" s="1"/>
  <c r="O385" i="2"/>
  <c r="O386" i="2"/>
  <c r="O387" i="2"/>
  <c r="T387" i="2" s="1"/>
  <c r="O388" i="2"/>
  <c r="T388" i="2" s="1"/>
  <c r="O389" i="2"/>
  <c r="T389" i="2" s="1"/>
  <c r="O390" i="2"/>
  <c r="P390" i="2" s="1"/>
  <c r="O391" i="2"/>
  <c r="T391" i="2" s="1"/>
  <c r="O392" i="2"/>
  <c r="T392" i="2" s="1"/>
  <c r="O393" i="2"/>
  <c r="T393" i="2" s="1"/>
  <c r="O394" i="2"/>
  <c r="T394" i="2" s="1"/>
  <c r="O395" i="2"/>
  <c r="T395" i="2" s="1"/>
  <c r="O396" i="2"/>
  <c r="T396" i="2" s="1"/>
  <c r="O397" i="2"/>
  <c r="T397" i="2" s="1"/>
  <c r="O398" i="2"/>
  <c r="O399" i="2"/>
  <c r="P399" i="2" s="1"/>
  <c r="O400" i="2"/>
  <c r="P400" i="2" s="1"/>
  <c r="O401" i="2"/>
  <c r="O402" i="2"/>
  <c r="O403" i="2"/>
  <c r="T403" i="2" s="1"/>
  <c r="O404" i="2"/>
  <c r="O405" i="2"/>
  <c r="T405" i="2" s="1"/>
  <c r="O406" i="2"/>
  <c r="O407" i="2"/>
  <c r="P407" i="2" s="1"/>
  <c r="O408" i="2"/>
  <c r="T408" i="2" s="1"/>
  <c r="O409" i="2"/>
  <c r="T409" i="2" s="1"/>
  <c r="O410" i="2"/>
  <c r="T410" i="2" s="1"/>
  <c r="O411" i="2"/>
  <c r="T411" i="2" s="1"/>
  <c r="O412" i="2"/>
  <c r="T412" i="2" s="1"/>
  <c r="O413" i="2"/>
  <c r="T413" i="2" s="1"/>
  <c r="O414" i="2"/>
  <c r="T414" i="2" s="1"/>
  <c r="O415" i="2"/>
  <c r="O416" i="2"/>
  <c r="O417" i="2"/>
  <c r="O418" i="2"/>
  <c r="O419" i="2"/>
  <c r="T419" i="2" s="1"/>
  <c r="O420" i="2"/>
  <c r="O421" i="2"/>
  <c r="O422" i="2"/>
  <c r="P422" i="2" s="1"/>
  <c r="O423" i="2"/>
  <c r="P423" i="2" s="1"/>
  <c r="O424" i="2"/>
  <c r="T424" i="2" s="1"/>
  <c r="O425" i="2"/>
  <c r="T425" i="2" s="1"/>
  <c r="O426" i="2"/>
  <c r="T426" i="2" s="1"/>
  <c r="O427" i="2"/>
  <c r="T427" i="2" s="1"/>
  <c r="O428" i="2"/>
  <c r="O429" i="2"/>
  <c r="O430" i="2"/>
  <c r="O431" i="2"/>
  <c r="T431" i="2" s="1"/>
  <c r="O432" i="2"/>
  <c r="P432" i="2" s="1"/>
  <c r="O433" i="2"/>
  <c r="O434" i="2"/>
  <c r="O435" i="2"/>
  <c r="T435" i="2" s="1"/>
  <c r="O436" i="2"/>
  <c r="O437" i="2"/>
  <c r="P437" i="2" s="1"/>
  <c r="O438" i="2"/>
  <c r="T438" i="2" s="1"/>
  <c r="O439" i="2"/>
  <c r="T439" i="2" s="1"/>
  <c r="O440" i="2"/>
  <c r="T440" i="2" s="1"/>
  <c r="O441" i="2"/>
  <c r="T441" i="2" s="1"/>
  <c r="O442" i="2"/>
  <c r="T442" i="2" s="1"/>
  <c r="O443" i="2"/>
  <c r="T443" i="2" s="1"/>
  <c r="O444" i="2"/>
  <c r="T444" i="2" s="1"/>
  <c r="O445" i="2"/>
  <c r="T445" i="2" s="1"/>
  <c r="O446" i="2"/>
  <c r="T446" i="2" s="1"/>
  <c r="O447" i="2"/>
  <c r="T447" i="2" s="1"/>
  <c r="O448" i="2"/>
  <c r="P448" i="2" s="1"/>
  <c r="O449" i="2"/>
  <c r="O450" i="2"/>
  <c r="P450" i="2" s="1"/>
  <c r="O451" i="2"/>
  <c r="T451" i="2" s="1"/>
  <c r="O452" i="2"/>
  <c r="T452" i="2" s="1"/>
  <c r="O453" i="2"/>
  <c r="T453" i="2" s="1"/>
  <c r="O454" i="2"/>
  <c r="T454" i="2" s="1"/>
  <c r="O455" i="2"/>
  <c r="P455" i="2" s="1"/>
  <c r="O456" i="2"/>
  <c r="T456" i="2" s="1"/>
  <c r="O457" i="2"/>
  <c r="T457" i="2" s="1"/>
  <c r="O458" i="2"/>
  <c r="T458" i="2" s="1"/>
  <c r="O459" i="2"/>
  <c r="T459" i="2" s="1"/>
  <c r="O460" i="2"/>
  <c r="O461" i="2"/>
  <c r="O462" i="2"/>
  <c r="O463" i="2"/>
  <c r="T463" i="2" s="1"/>
  <c r="O464" i="2"/>
  <c r="O465" i="2"/>
  <c r="O466" i="2"/>
  <c r="P466" i="2" s="1"/>
  <c r="O467" i="2"/>
  <c r="T467" i="2" s="1"/>
  <c r="O468" i="2"/>
  <c r="T468" i="2" s="1"/>
  <c r="O469" i="2"/>
  <c r="O470" i="2"/>
  <c r="O471" i="2"/>
  <c r="P471" i="2" s="1"/>
  <c r="O472" i="2"/>
  <c r="T472" i="2" s="1"/>
  <c r="O473" i="2"/>
  <c r="T473" i="2" s="1"/>
  <c r="O474" i="2"/>
  <c r="T474" i="2" s="1"/>
  <c r="O475" i="2"/>
  <c r="T475" i="2" s="1"/>
  <c r="O476" i="2"/>
  <c r="O477" i="2"/>
  <c r="T477" i="2" s="1"/>
  <c r="O478" i="2"/>
  <c r="O479" i="2"/>
  <c r="P479" i="2" s="1"/>
  <c r="O480" i="2"/>
  <c r="P480" i="2" s="1"/>
  <c r="O481" i="2"/>
  <c r="O482" i="2"/>
  <c r="P482" i="2" s="1"/>
  <c r="O483" i="2"/>
  <c r="T483" i="2" s="1"/>
  <c r="O484" i="2"/>
  <c r="T484" i="2" s="1"/>
  <c r="O485" i="2"/>
  <c r="T485" i="2" s="1"/>
  <c r="O486" i="2"/>
  <c r="T486" i="2" s="1"/>
  <c r="O487" i="2"/>
  <c r="T487" i="2" s="1"/>
  <c r="O488" i="2"/>
  <c r="T488" i="2" s="1"/>
  <c r="O489" i="2"/>
  <c r="T489" i="2" s="1"/>
  <c r="O490" i="2"/>
  <c r="T490" i="2" s="1"/>
  <c r="O491" i="2"/>
  <c r="T491" i="2" s="1"/>
  <c r="O492" i="2"/>
  <c r="T492" i="2" s="1"/>
  <c r="O493" i="2"/>
  <c r="T493" i="2" s="1"/>
  <c r="O494" i="2"/>
  <c r="O495" i="2"/>
  <c r="P495" i="2" s="1"/>
  <c r="O496" i="2"/>
  <c r="P496" i="2" s="1"/>
  <c r="O497" i="2"/>
  <c r="O498" i="2"/>
  <c r="P498" i="2" s="1"/>
  <c r="O499" i="2"/>
  <c r="T499" i="2" s="1"/>
  <c r="O500" i="2"/>
  <c r="O501" i="2"/>
  <c r="P501" i="2" s="1"/>
  <c r="O502" i="2"/>
  <c r="O503" i="2"/>
  <c r="P503" i="2" s="1"/>
  <c r="O504" i="2"/>
  <c r="T504" i="2" s="1"/>
  <c r="O505" i="2"/>
  <c r="T505" i="2" s="1"/>
  <c r="O506" i="2"/>
  <c r="T506" i="2" s="1"/>
  <c r="O507" i="2"/>
  <c r="T507" i="2" s="1"/>
  <c r="O508" i="2"/>
  <c r="O509" i="2"/>
  <c r="T509" i="2" s="1"/>
  <c r="O510" i="2"/>
  <c r="T510" i="2" s="1"/>
  <c r="O511" i="2"/>
  <c r="T511" i="2" s="1"/>
  <c r="O512" i="2"/>
  <c r="P512" i="2" s="1"/>
  <c r="O513" i="2"/>
  <c r="O514" i="2"/>
  <c r="P514" i="2" s="1"/>
  <c r="O515" i="2"/>
  <c r="T515" i="2" s="1"/>
  <c r="O516" i="2"/>
  <c r="O517" i="2"/>
  <c r="O518" i="2"/>
  <c r="T518" i="2" s="1"/>
  <c r="O519" i="2"/>
  <c r="T519" i="2" s="1"/>
  <c r="O520" i="2"/>
  <c r="T520" i="2" s="1"/>
  <c r="O521" i="2"/>
  <c r="T521" i="2" s="1"/>
  <c r="O522" i="2"/>
  <c r="T522" i="2" s="1"/>
  <c r="O523" i="2"/>
  <c r="T523" i="2" s="1"/>
  <c r="O524" i="2"/>
  <c r="T524" i="2" s="1"/>
  <c r="O525" i="2"/>
  <c r="T525" i="2" s="1"/>
  <c r="O526" i="2"/>
  <c r="T526" i="2" s="1"/>
  <c r="O527" i="2"/>
  <c r="O528" i="2"/>
  <c r="P528" i="2" s="1"/>
  <c r="O529" i="2"/>
  <c r="O530" i="2"/>
  <c r="P530" i="2" s="1"/>
  <c r="O531" i="2"/>
  <c r="T531" i="2" s="1"/>
  <c r="O532" i="2"/>
  <c r="T532" i="2" s="1"/>
  <c r="O533" i="2"/>
  <c r="T533" i="2" s="1"/>
  <c r="O534" i="2"/>
  <c r="P534" i="2" s="1"/>
  <c r="O535" i="2"/>
  <c r="O536" i="2"/>
  <c r="T536" i="2" s="1"/>
  <c r="O537" i="2"/>
  <c r="T537" i="2" s="1"/>
  <c r="O538" i="2"/>
  <c r="T538" i="2" s="1"/>
  <c r="O539" i="2"/>
  <c r="T539" i="2" s="1"/>
  <c r="O540" i="2"/>
  <c r="O541" i="2"/>
  <c r="O542" i="2"/>
  <c r="T542" i="2" s="1"/>
  <c r="O543" i="2"/>
  <c r="T543" i="2" s="1"/>
  <c r="O544" i="2"/>
  <c r="P544" i="2" s="1"/>
  <c r="O545" i="2"/>
  <c r="O546" i="2"/>
  <c r="P546" i="2" s="1"/>
  <c r="O547" i="2"/>
  <c r="T547" i="2" s="1"/>
  <c r="O548" i="2"/>
  <c r="O549" i="2"/>
  <c r="P549" i="2" s="1"/>
  <c r="O550" i="2"/>
  <c r="P550" i="2" s="1"/>
  <c r="O551" i="2"/>
  <c r="O552" i="2"/>
  <c r="T552" i="2" s="1"/>
  <c r="O553" i="2"/>
  <c r="T553" i="2" s="1"/>
  <c r="O554" i="2"/>
  <c r="T554" i="2" s="1"/>
  <c r="O555" i="2"/>
  <c r="T555" i="2" s="1"/>
  <c r="O556" i="2"/>
  <c r="O557" i="2"/>
  <c r="T557" i="2" s="1"/>
  <c r="O558" i="2"/>
  <c r="O559" i="2"/>
  <c r="O560" i="2"/>
  <c r="O561" i="2"/>
  <c r="O562" i="2"/>
  <c r="P562" i="2" s="1"/>
  <c r="O563" i="2"/>
  <c r="T563" i="2" s="1"/>
  <c r="O564" i="2"/>
  <c r="T564" i="2" s="1"/>
  <c r="O565" i="2"/>
  <c r="T565" i="2" s="1"/>
  <c r="O566" i="2"/>
  <c r="T566" i="2" s="1"/>
  <c r="O567" i="2"/>
  <c r="T567" i="2" s="1"/>
  <c r="O568" i="2"/>
  <c r="T568" i="2" s="1"/>
  <c r="O569" i="2"/>
  <c r="T569" i="2" s="1"/>
  <c r="O570" i="2"/>
  <c r="T570" i="2" s="1"/>
  <c r="O571" i="2"/>
  <c r="T571" i="2" s="1"/>
  <c r="O572" i="2"/>
  <c r="T572" i="2" s="1"/>
  <c r="O573" i="2"/>
  <c r="T573" i="2" s="1"/>
  <c r="O574" i="2"/>
  <c r="P574" i="2" s="1"/>
  <c r="O575" i="2"/>
  <c r="O576" i="2"/>
  <c r="P576" i="2" s="1"/>
  <c r="O577" i="2"/>
  <c r="O578" i="2"/>
  <c r="P578" i="2" s="1"/>
  <c r="O579" i="2"/>
  <c r="T579" i="2" s="1"/>
  <c r="O580" i="2"/>
  <c r="O581" i="2"/>
  <c r="P581" i="2" s="1"/>
  <c r="O582" i="2"/>
  <c r="P582" i="2" s="1"/>
  <c r="O583" i="2"/>
  <c r="O584" i="2"/>
  <c r="T584" i="2" s="1"/>
  <c r="O585" i="2"/>
  <c r="T585" i="2" s="1"/>
  <c r="O586" i="2"/>
  <c r="T586" i="2" s="1"/>
  <c r="O587" i="2"/>
  <c r="T587" i="2" s="1"/>
  <c r="O588" i="2"/>
  <c r="O589" i="2"/>
  <c r="O590" i="2"/>
  <c r="T590" i="2" s="1"/>
  <c r="O591" i="2"/>
  <c r="T591" i="2" s="1"/>
  <c r="O592" i="2"/>
  <c r="P592" i="2" s="1"/>
  <c r="O593" i="2"/>
  <c r="O594" i="2"/>
  <c r="P594" i="2" s="1"/>
  <c r="O595" i="2"/>
  <c r="T595" i="2" s="1"/>
  <c r="O596" i="2"/>
  <c r="O597" i="2"/>
  <c r="P597" i="2" s="1"/>
  <c r="O598" i="2"/>
  <c r="T598" i="2" s="1"/>
  <c r="O599" i="2"/>
  <c r="T599" i="2" s="1"/>
  <c r="O600" i="2"/>
  <c r="T600" i="2" s="1"/>
  <c r="O601" i="2"/>
  <c r="T601" i="2" s="1"/>
  <c r="O602" i="2"/>
  <c r="T602" i="2" s="1"/>
  <c r="O603" i="2"/>
  <c r="T603" i="2" s="1"/>
  <c r="O604" i="2"/>
  <c r="T604" i="2" s="1"/>
  <c r="O605" i="2"/>
  <c r="T605" i="2" s="1"/>
  <c r="O606" i="2"/>
  <c r="P606" i="2" s="1"/>
  <c r="O607" i="2"/>
  <c r="O608" i="2"/>
  <c r="P608" i="2" s="1"/>
  <c r="O609" i="2"/>
  <c r="O610" i="2"/>
  <c r="P610" i="2" s="1"/>
  <c r="O611" i="2"/>
  <c r="T611" i="2" s="1"/>
  <c r="O612" i="2"/>
  <c r="T612" i="2" s="1"/>
  <c r="O613" i="2"/>
  <c r="O614" i="2"/>
  <c r="T614" i="2" s="1"/>
  <c r="O615" i="2"/>
  <c r="O616" i="2"/>
  <c r="T616" i="2" s="1"/>
  <c r="O617" i="2"/>
  <c r="T617" i="2" s="1"/>
  <c r="O618" i="2"/>
  <c r="P618" i="2" s="1"/>
  <c r="O619" i="2"/>
  <c r="P619" i="2" s="1"/>
  <c r="O620" i="2"/>
  <c r="O621" i="2"/>
  <c r="O622" i="2"/>
  <c r="T622" i="2" s="1"/>
  <c r="O623" i="2"/>
  <c r="T623" i="2" s="1"/>
  <c r="O624" i="2"/>
  <c r="O625" i="2"/>
  <c r="O626" i="2"/>
  <c r="P626" i="2" s="1"/>
  <c r="O627" i="2"/>
  <c r="T627" i="2" s="1"/>
  <c r="O628" i="2"/>
  <c r="O629" i="2"/>
  <c r="T629" i="2" s="1"/>
  <c r="O630" i="2"/>
  <c r="P630" i="2" s="1"/>
  <c r="O631" i="2"/>
  <c r="O632" i="2"/>
  <c r="T632" i="2" s="1"/>
  <c r="O633" i="2"/>
  <c r="T633" i="2" s="1"/>
  <c r="O634" i="2"/>
  <c r="T634" i="2" s="1"/>
  <c r="O635" i="2"/>
  <c r="T635" i="2" s="1"/>
  <c r="O636" i="2"/>
  <c r="T636" i="2" s="1"/>
  <c r="O637" i="2"/>
  <c r="T637" i="2" s="1"/>
  <c r="O638" i="2"/>
  <c r="P638" i="2" s="1"/>
  <c r="O639" i="2"/>
  <c r="P639" i="2" s="1"/>
  <c r="O640" i="2"/>
  <c r="P640" i="2" s="1"/>
  <c r="O641" i="2"/>
  <c r="O642" i="2"/>
  <c r="P642" i="2" s="1"/>
  <c r="O643" i="2"/>
  <c r="T643" i="2" s="1"/>
  <c r="O644" i="2"/>
  <c r="T644" i="2" s="1"/>
  <c r="O645" i="2"/>
  <c r="T645" i="2" s="1"/>
  <c r="O646" i="2"/>
  <c r="T646" i="2" s="1"/>
  <c r="O647" i="2"/>
  <c r="T647" i="2" s="1"/>
  <c r="O648" i="2"/>
  <c r="T648" i="2" s="1"/>
  <c r="O649" i="2"/>
  <c r="T649" i="2" s="1"/>
  <c r="O650" i="2"/>
  <c r="T650" i="2" s="1"/>
  <c r="O651" i="2"/>
  <c r="T651" i="2" s="1"/>
  <c r="O652" i="2"/>
  <c r="T652" i="2" s="1"/>
  <c r="O653" i="2"/>
  <c r="T653" i="2" s="1"/>
  <c r="O654" i="2"/>
  <c r="O655" i="2"/>
  <c r="P655" i="2" s="1"/>
  <c r="O656" i="2"/>
  <c r="P656" i="2" s="1"/>
  <c r="O657" i="2"/>
  <c r="O658" i="2"/>
  <c r="P658" i="2" s="1"/>
  <c r="O659" i="2"/>
  <c r="T659" i="2" s="1"/>
  <c r="O660" i="2"/>
  <c r="O661" i="2"/>
  <c r="T661" i="2" s="1"/>
  <c r="O662" i="2"/>
  <c r="O663" i="2"/>
  <c r="O664" i="2"/>
  <c r="T664" i="2" s="1"/>
  <c r="O665" i="2"/>
  <c r="T665" i="2" s="1"/>
  <c r="O666" i="2"/>
  <c r="T666" i="2" s="1"/>
  <c r="O667" i="2"/>
  <c r="T667" i="2" s="1"/>
  <c r="O668" i="2"/>
  <c r="O669" i="2"/>
  <c r="O670" i="2"/>
  <c r="T670" i="2" s="1"/>
  <c r="O671" i="2"/>
  <c r="O672" i="2"/>
  <c r="P672" i="2" s="1"/>
  <c r="O673" i="2"/>
  <c r="O674" i="2"/>
  <c r="P674" i="2" s="1"/>
  <c r="O675" i="2"/>
  <c r="T675" i="2" s="1"/>
  <c r="O676" i="2"/>
  <c r="O677" i="2"/>
  <c r="P677" i="2" s="1"/>
  <c r="O678" i="2"/>
  <c r="T678" i="2" s="1"/>
  <c r="O679" i="2"/>
  <c r="T679" i="2" s="1"/>
  <c r="O680" i="2"/>
  <c r="T680" i="2" s="1"/>
  <c r="O681" i="2"/>
  <c r="T681" i="2" s="1"/>
  <c r="O682" i="2"/>
  <c r="T682" i="2" s="1"/>
  <c r="O683" i="2"/>
  <c r="T683" i="2" s="1"/>
  <c r="O684" i="2"/>
  <c r="T684" i="2" s="1"/>
  <c r="O685" i="2"/>
  <c r="O686" i="2"/>
  <c r="O687" i="2"/>
  <c r="T687" i="2" s="1"/>
  <c r="O688" i="2"/>
  <c r="P688" i="2" s="1"/>
  <c r="O689" i="2"/>
  <c r="O690" i="2"/>
  <c r="P690" i="2" s="1"/>
  <c r="O691" i="2"/>
  <c r="T691" i="2" s="1"/>
  <c r="O692" i="2"/>
  <c r="O693" i="2"/>
  <c r="P693" i="2" s="1"/>
  <c r="O694" i="2"/>
  <c r="T694" i="2" s="1"/>
  <c r="O695" i="2"/>
  <c r="T695" i="2" s="1"/>
  <c r="O696" i="2"/>
  <c r="T696" i="2" s="1"/>
  <c r="O697" i="2"/>
  <c r="T697" i="2" s="1"/>
  <c r="O698" i="2"/>
  <c r="T698" i="2" s="1"/>
  <c r="O699" i="2"/>
  <c r="T699" i="2" s="1"/>
  <c r="O700" i="2"/>
  <c r="T700" i="2" s="1"/>
  <c r="O701" i="2"/>
  <c r="T701" i="2" s="1"/>
  <c r="O702" i="2"/>
  <c r="T702" i="2" s="1"/>
  <c r="O703" i="2"/>
  <c r="T703" i="2" s="1"/>
  <c r="O704" i="2"/>
  <c r="P704" i="2" s="1"/>
  <c r="O705" i="2"/>
  <c r="O706" i="2"/>
  <c r="P706" i="2" s="1"/>
  <c r="O707" i="2"/>
  <c r="T707" i="2" s="1"/>
  <c r="O708" i="2"/>
  <c r="T708" i="2" s="1"/>
  <c r="O709" i="2"/>
  <c r="T709" i="2" s="1"/>
  <c r="O710" i="2"/>
  <c r="O711" i="2"/>
  <c r="O712" i="2"/>
  <c r="T712" i="2" s="1"/>
  <c r="O713" i="2"/>
  <c r="O714" i="2"/>
  <c r="P714" i="2" s="1"/>
  <c r="O715" i="2"/>
  <c r="T715" i="2" s="1"/>
  <c r="O716" i="2"/>
  <c r="O717" i="2"/>
  <c r="O718" i="2"/>
  <c r="O719" i="2"/>
  <c r="T719" i="2" s="1"/>
  <c r="O720" i="2"/>
  <c r="O721" i="2"/>
  <c r="O722" i="2"/>
  <c r="P722" i="2" s="1"/>
  <c r="O723" i="2"/>
  <c r="T723" i="2" s="1"/>
  <c r="O724" i="2"/>
  <c r="T724" i="2" s="1"/>
  <c r="O725" i="2"/>
  <c r="O726" i="2"/>
  <c r="T726" i="2" s="1"/>
  <c r="O727" i="2"/>
  <c r="O728" i="2"/>
  <c r="T728" i="2" s="1"/>
  <c r="O729" i="2"/>
  <c r="T729" i="2" s="1"/>
  <c r="O730" i="2"/>
  <c r="T730" i="2" s="1"/>
  <c r="O731" i="2"/>
  <c r="T731" i="2" s="1"/>
  <c r="O732" i="2"/>
  <c r="T732" i="2" s="1"/>
  <c r="O733" i="2"/>
  <c r="T733" i="2" s="1"/>
  <c r="O734" i="2"/>
  <c r="P734" i="2" s="1"/>
  <c r="O735" i="2"/>
  <c r="P735" i="2" s="1"/>
  <c r="O736" i="2"/>
  <c r="P736" i="2" s="1"/>
  <c r="O737" i="2"/>
  <c r="O738" i="2"/>
  <c r="P738" i="2" s="1"/>
  <c r="O739" i="2"/>
  <c r="T739" i="2" s="1"/>
  <c r="O740" i="2"/>
  <c r="T740" i="2" s="1"/>
  <c r="O741" i="2"/>
  <c r="T741" i="2" s="1"/>
  <c r="O742" i="2"/>
  <c r="T742" i="2" s="1"/>
  <c r="O743" i="2"/>
  <c r="T743" i="2" s="1"/>
  <c r="O744" i="2"/>
  <c r="T744" i="2" s="1"/>
  <c r="O745" i="2"/>
  <c r="O746" i="2"/>
  <c r="T746" i="2" s="1"/>
  <c r="O747" i="2"/>
  <c r="T747" i="2" s="1"/>
  <c r="O748" i="2"/>
  <c r="O749" i="2"/>
  <c r="T749" i="2" s="1"/>
  <c r="O750" i="2"/>
  <c r="O751" i="2"/>
  <c r="P751" i="2" s="1"/>
  <c r="O752" i="2"/>
  <c r="P752" i="2" s="1"/>
  <c r="O753" i="2"/>
  <c r="O754" i="2"/>
  <c r="P754" i="2" s="1"/>
  <c r="O755" i="2"/>
  <c r="T755" i="2" s="1"/>
  <c r="O756" i="2"/>
  <c r="O757" i="2"/>
  <c r="P757" i="2" s="1"/>
  <c r="O758" i="2"/>
  <c r="O759" i="2"/>
  <c r="O760" i="2"/>
  <c r="T760" i="2" s="1"/>
  <c r="O761" i="2"/>
  <c r="T761" i="2" s="1"/>
  <c r="O762" i="2"/>
  <c r="T762" i="2" s="1"/>
  <c r="O763" i="2"/>
  <c r="T763" i="2" s="1"/>
  <c r="O764" i="2"/>
  <c r="O765" i="2"/>
  <c r="O766" i="2"/>
  <c r="T766" i="2" s="1"/>
  <c r="O767" i="2"/>
  <c r="T767" i="2" s="1"/>
  <c r="O768" i="2"/>
  <c r="P768" i="2" s="1"/>
  <c r="O769" i="2"/>
  <c r="O770" i="2"/>
  <c r="P770" i="2" s="1"/>
  <c r="O771" i="2"/>
  <c r="T771" i="2" s="1"/>
  <c r="O772" i="2"/>
  <c r="O773" i="2"/>
  <c r="O774" i="2"/>
  <c r="T774" i="2" s="1"/>
  <c r="O775" i="2"/>
  <c r="T775" i="2" s="1"/>
  <c r="O776" i="2"/>
  <c r="T776" i="2" s="1"/>
  <c r="O777" i="2"/>
  <c r="T777" i="2" s="1"/>
  <c r="O778" i="2"/>
  <c r="T778" i="2" s="1"/>
  <c r="O779" i="2"/>
  <c r="T779" i="2" s="1"/>
  <c r="O780" i="2"/>
  <c r="T780" i="2" s="1"/>
  <c r="O781" i="2"/>
  <c r="T781" i="2" s="1"/>
  <c r="O782" i="2"/>
  <c r="T782" i="2" s="1"/>
  <c r="O783" i="2"/>
  <c r="P783" i="2" s="1"/>
  <c r="O784" i="2"/>
  <c r="P784" i="2" s="1"/>
  <c r="O785" i="2"/>
  <c r="O786" i="2"/>
  <c r="P786" i="2" s="1"/>
  <c r="O787" i="2"/>
  <c r="T787" i="2" s="1"/>
  <c r="O788" i="2"/>
  <c r="T788" i="2" s="1"/>
  <c r="O789" i="2"/>
  <c r="T789" i="2" s="1"/>
  <c r="O790" i="2"/>
  <c r="T790" i="2" s="1"/>
  <c r="O791" i="2"/>
  <c r="O792" i="2"/>
  <c r="T792" i="2" s="1"/>
  <c r="O793" i="2"/>
  <c r="T793" i="2" s="1"/>
  <c r="O794" i="2"/>
  <c r="T794" i="2" s="1"/>
  <c r="O795" i="2"/>
  <c r="T795" i="2" s="1"/>
  <c r="O796" i="2"/>
  <c r="O797" i="2"/>
  <c r="O798" i="2"/>
  <c r="T798" i="2" s="1"/>
  <c r="O799" i="2"/>
  <c r="T799" i="2" s="1"/>
  <c r="O800" i="2"/>
  <c r="P800" i="2" s="1"/>
  <c r="O801" i="2"/>
  <c r="O802" i="2"/>
  <c r="P802" i="2" s="1"/>
  <c r="O803" i="2"/>
  <c r="T803" i="2" s="1"/>
  <c r="O804" i="2"/>
  <c r="O805" i="2"/>
  <c r="P805" i="2" s="1"/>
  <c r="O806" i="2"/>
  <c r="O807" i="2"/>
  <c r="O808" i="2"/>
  <c r="T808" i="2" s="1"/>
  <c r="O809" i="2"/>
  <c r="T809" i="2" s="1"/>
  <c r="O810" i="2"/>
  <c r="T810" i="2" s="1"/>
  <c r="O811" i="2"/>
  <c r="T811" i="2" s="1"/>
  <c r="O812" i="2"/>
  <c r="O813" i="2"/>
  <c r="T813" i="2" s="1"/>
  <c r="O814" i="2"/>
  <c r="O815" i="2"/>
  <c r="O816" i="2"/>
  <c r="O817" i="2"/>
  <c r="O818" i="2"/>
  <c r="P818" i="2" s="1"/>
  <c r="O819" i="2"/>
  <c r="T819" i="2" s="1"/>
  <c r="O820" i="2"/>
  <c r="T820" i="2" s="1"/>
  <c r="O821" i="2"/>
  <c r="T821" i="2" s="1"/>
  <c r="O822" i="2"/>
  <c r="T822" i="2" s="1"/>
  <c r="O823" i="2"/>
  <c r="T823" i="2" s="1"/>
  <c r="O824" i="2"/>
  <c r="T824" i="2" s="1"/>
  <c r="O825" i="2"/>
  <c r="T825" i="2" s="1"/>
  <c r="O826" i="2"/>
  <c r="T826" i="2" s="1"/>
  <c r="O827" i="2"/>
  <c r="T827" i="2" s="1"/>
  <c r="O828" i="2"/>
  <c r="T828" i="2" s="1"/>
  <c r="O829" i="2"/>
  <c r="T829" i="2" s="1"/>
  <c r="O830" i="2"/>
  <c r="P830" i="2" s="1"/>
  <c r="O831" i="2"/>
  <c r="P831" i="2" s="1"/>
  <c r="O832" i="2"/>
  <c r="P832" i="2" s="1"/>
  <c r="O833" i="2"/>
  <c r="O834" i="2"/>
  <c r="P834" i="2" s="1"/>
  <c r="O835" i="2"/>
  <c r="T835" i="2" s="1"/>
  <c r="O836" i="2"/>
  <c r="O837" i="2"/>
  <c r="P837" i="2" s="1"/>
  <c r="O838" i="2"/>
  <c r="P838" i="2" s="1"/>
  <c r="O839" i="2"/>
  <c r="O840" i="2"/>
  <c r="T840" i="2" s="1"/>
  <c r="O841" i="2"/>
  <c r="T841" i="2" s="1"/>
  <c r="O842" i="2"/>
  <c r="T842" i="2" s="1"/>
  <c r="O843" i="2"/>
  <c r="T843" i="2" s="1"/>
  <c r="O844" i="2"/>
  <c r="O845" i="2"/>
  <c r="T845" i="2" s="1"/>
  <c r="O846" i="2"/>
  <c r="T846" i="2" s="1"/>
  <c r="O847" i="2"/>
  <c r="T847" i="2" s="1"/>
  <c r="O848" i="2"/>
  <c r="P848" i="2" s="1"/>
  <c r="O849" i="2"/>
  <c r="O850" i="2"/>
  <c r="P850" i="2" s="1"/>
  <c r="O851" i="2"/>
  <c r="T851" i="2" s="1"/>
  <c r="O852" i="2"/>
  <c r="O853" i="2"/>
  <c r="P853" i="2" s="1"/>
  <c r="O854" i="2"/>
  <c r="P854" i="2" s="1"/>
  <c r="O855" i="2"/>
  <c r="T855" i="2" s="1"/>
  <c r="O856" i="2"/>
  <c r="T856" i="2" s="1"/>
  <c r="O857" i="2"/>
  <c r="T857" i="2" s="1"/>
  <c r="O858" i="2"/>
  <c r="T858" i="2" s="1"/>
  <c r="O859" i="2"/>
  <c r="T859" i="2" s="1"/>
  <c r="O860" i="2"/>
  <c r="T860" i="2" s="1"/>
  <c r="O861" i="2"/>
  <c r="T861" i="2" s="1"/>
  <c r="O862" i="2"/>
  <c r="P862" i="2" s="1"/>
  <c r="O863" i="2"/>
  <c r="O864" i="2"/>
  <c r="P864" i="2" s="1"/>
  <c r="O865" i="2"/>
  <c r="O866" i="2"/>
  <c r="P866" i="2" s="1"/>
  <c r="O867" i="2"/>
  <c r="T867" i="2" s="1"/>
  <c r="O868" i="2"/>
  <c r="T868" i="2" s="1"/>
  <c r="O869" i="2"/>
  <c r="O870" i="2"/>
  <c r="T870" i="2" s="1"/>
  <c r="O871" i="2"/>
  <c r="T871" i="2" s="1"/>
  <c r="O872" i="2"/>
  <c r="T872" i="2" s="1"/>
  <c r="O873" i="2"/>
  <c r="T873" i="2" s="1"/>
  <c r="O874" i="2"/>
  <c r="T874" i="2" s="1"/>
  <c r="O875" i="2"/>
  <c r="T875" i="2" s="1"/>
  <c r="O876" i="2"/>
  <c r="T876" i="2" s="1"/>
  <c r="O877" i="2"/>
  <c r="T877" i="2" s="1"/>
  <c r="O878" i="2"/>
  <c r="T878" i="2" s="1"/>
  <c r="O879" i="2"/>
  <c r="T879" i="2" s="1"/>
  <c r="O880" i="2"/>
  <c r="P880" i="2" s="1"/>
  <c r="O881" i="2"/>
  <c r="O882" i="2"/>
  <c r="P882" i="2" s="1"/>
  <c r="O883" i="2"/>
  <c r="T883" i="2" s="1"/>
  <c r="O884" i="2"/>
  <c r="O885" i="2"/>
  <c r="T885" i="2" s="1"/>
  <c r="O886" i="2"/>
  <c r="P886" i="2" s="1"/>
  <c r="O887" i="2"/>
  <c r="O888" i="2"/>
  <c r="T888" i="2" s="1"/>
  <c r="O889" i="2"/>
  <c r="T889" i="2" s="1"/>
  <c r="O890" i="2"/>
  <c r="T890" i="2" s="1"/>
  <c r="O891" i="2"/>
  <c r="P891" i="2" s="1"/>
  <c r="O892" i="2"/>
  <c r="O893" i="2"/>
  <c r="O894" i="2"/>
  <c r="P894" i="2" s="1"/>
  <c r="O895" i="2"/>
  <c r="P895" i="2" s="1"/>
  <c r="O896" i="2"/>
  <c r="P896" i="2" s="1"/>
  <c r="O897" i="2"/>
  <c r="O898" i="2"/>
  <c r="P898" i="2" s="1"/>
  <c r="O899" i="2"/>
  <c r="T899" i="2" s="1"/>
  <c r="O900" i="2"/>
  <c r="T900" i="2" s="1"/>
  <c r="O901" i="2"/>
  <c r="P901" i="2" s="1"/>
  <c r="O902" i="2"/>
  <c r="P902" i="2" s="1"/>
  <c r="O903" i="2"/>
  <c r="O904" i="2"/>
  <c r="T904" i="2" s="1"/>
  <c r="O905" i="2"/>
  <c r="T905" i="2" s="1"/>
  <c r="O906" i="2"/>
  <c r="T906" i="2" s="1"/>
  <c r="O907" i="2"/>
  <c r="T907" i="2" s="1"/>
  <c r="O908" i="2"/>
  <c r="O909" i="2"/>
  <c r="T909" i="2" s="1"/>
  <c r="O910" i="2"/>
  <c r="O911" i="2"/>
  <c r="O912" i="2"/>
  <c r="O913" i="2"/>
  <c r="O914" i="2"/>
  <c r="P914" i="2" s="1"/>
  <c r="O915" i="2"/>
  <c r="T915" i="2" s="1"/>
  <c r="O916" i="2"/>
  <c r="O917" i="2"/>
  <c r="T917" i="2" s="1"/>
  <c r="O918" i="2"/>
  <c r="O919" i="2"/>
  <c r="O920" i="2"/>
  <c r="T920" i="2" s="1"/>
  <c r="O921" i="2"/>
  <c r="T921" i="2" s="1"/>
  <c r="O922" i="2"/>
  <c r="T922" i="2" s="1"/>
  <c r="O923" i="2"/>
  <c r="T923" i="2" s="1"/>
  <c r="O924" i="2"/>
  <c r="T924" i="2" s="1"/>
  <c r="O925" i="2"/>
  <c r="T925" i="2" s="1"/>
  <c r="O926" i="2"/>
  <c r="T926" i="2" s="1"/>
  <c r="O927" i="2"/>
  <c r="P927" i="2" s="1"/>
  <c r="O928" i="2"/>
  <c r="P928" i="2" s="1"/>
  <c r="O929" i="2"/>
  <c r="O930" i="2"/>
  <c r="P930" i="2" s="1"/>
  <c r="O931" i="2"/>
  <c r="T931" i="2" s="1"/>
  <c r="O932" i="2"/>
  <c r="O933" i="2"/>
  <c r="P933" i="2" s="1"/>
  <c r="O934" i="2"/>
  <c r="P934" i="2" s="1"/>
  <c r="O935" i="2"/>
  <c r="O936" i="2"/>
  <c r="T936" i="2" s="1"/>
  <c r="O937" i="2"/>
  <c r="T937" i="2" s="1"/>
  <c r="O938" i="2"/>
  <c r="T938" i="2" s="1"/>
  <c r="O939" i="2"/>
  <c r="T939" i="2" s="1"/>
  <c r="O940" i="2"/>
  <c r="O941" i="2"/>
  <c r="O942" i="2"/>
  <c r="O943" i="2"/>
  <c r="T943" i="2" s="1"/>
  <c r="O944" i="2"/>
  <c r="P944" i="2" s="1"/>
  <c r="O945" i="2"/>
  <c r="O946" i="2"/>
  <c r="P946" i="2" s="1"/>
  <c r="O947" i="2"/>
  <c r="T947" i="2" s="1"/>
  <c r="O948" i="2"/>
  <c r="O949" i="2"/>
  <c r="P949" i="2" s="1"/>
  <c r="O950" i="2"/>
  <c r="T950" i="2" s="1"/>
  <c r="O951" i="2"/>
  <c r="T951" i="2" s="1"/>
  <c r="O952" i="2"/>
  <c r="T952" i="2" s="1"/>
  <c r="O953" i="2"/>
  <c r="O954" i="2"/>
  <c r="T954" i="2" s="1"/>
  <c r="O955" i="2"/>
  <c r="T955" i="2" s="1"/>
  <c r="O956" i="2"/>
  <c r="T956" i="2" s="1"/>
  <c r="O957" i="2"/>
  <c r="T957" i="2" s="1"/>
  <c r="O958" i="2"/>
  <c r="T958" i="2" s="1"/>
  <c r="O959" i="2"/>
  <c r="P959" i="2" s="1"/>
  <c r="O960" i="2"/>
  <c r="P960" i="2" s="1"/>
  <c r="O961" i="2"/>
  <c r="O962" i="2"/>
  <c r="P962" i="2" s="1"/>
  <c r="O963" i="2"/>
  <c r="T963" i="2" s="1"/>
  <c r="O964" i="2"/>
  <c r="T964" i="2" s="1"/>
  <c r="O965" i="2"/>
  <c r="T965" i="2" s="1"/>
  <c r="O966" i="2"/>
  <c r="O967" i="2"/>
  <c r="O968" i="2"/>
  <c r="T968" i="2" s="1"/>
  <c r="O969" i="2"/>
  <c r="T969" i="2" s="1"/>
  <c r="O970" i="2"/>
  <c r="T970" i="2" s="1"/>
  <c r="O971" i="2"/>
  <c r="T971" i="2" s="1"/>
  <c r="O972" i="2"/>
  <c r="O973" i="2"/>
  <c r="O974" i="2"/>
  <c r="O975" i="2"/>
  <c r="T975" i="2" s="1"/>
  <c r="O976" i="2"/>
  <c r="P976" i="2" s="1"/>
  <c r="O977" i="2"/>
  <c r="O978" i="2"/>
  <c r="P978" i="2" s="1"/>
  <c r="O979" i="2"/>
  <c r="T979" i="2" s="1"/>
  <c r="O980" i="2"/>
  <c r="O981" i="2"/>
  <c r="O982" i="2"/>
  <c r="P982" i="2" s="1"/>
  <c r="O983" i="2"/>
  <c r="O984" i="2"/>
  <c r="T984" i="2" s="1"/>
  <c r="O985" i="2"/>
  <c r="T985" i="2" s="1"/>
  <c r="O986" i="2"/>
  <c r="T986" i="2" s="1"/>
  <c r="O987" i="2"/>
  <c r="T987" i="2" s="1"/>
  <c r="O988" i="2"/>
  <c r="T988" i="2" s="1"/>
  <c r="O989" i="2"/>
  <c r="O990" i="2"/>
  <c r="P990" i="2" s="1"/>
  <c r="O991" i="2"/>
  <c r="P991" i="2" s="1"/>
  <c r="O992" i="2"/>
  <c r="P992" i="2" s="1"/>
  <c r="O993" i="2"/>
  <c r="O994" i="2"/>
  <c r="P994" i="2" s="1"/>
  <c r="O995" i="2"/>
  <c r="T995" i="2" s="1"/>
  <c r="O996" i="2"/>
  <c r="T996" i="2" s="1"/>
  <c r="O997" i="2"/>
  <c r="T997" i="2" s="1"/>
  <c r="O998" i="2"/>
  <c r="T998" i="2" s="1"/>
  <c r="O999" i="2"/>
  <c r="T999" i="2" s="1"/>
  <c r="O1000" i="2"/>
  <c r="T1000" i="2" s="1"/>
  <c r="O1001" i="2"/>
  <c r="T1001" i="2" s="1"/>
  <c r="U1" i="4" a="1"/>
  <c r="U1" i="4" s="1"/>
  <c r="V1" i="4" s="1"/>
  <c r="G352" i="7"/>
  <c r="F346" i="7"/>
  <c r="F353" i="7"/>
  <c r="G355" i="7"/>
  <c r="G347" i="7"/>
  <c r="F350" i="7"/>
  <c r="F351" i="7"/>
  <c r="G345" i="7"/>
  <c r="F348" i="7"/>
  <c r="G354" i="7"/>
  <c r="F347" i="7"/>
  <c r="F355" i="7"/>
  <c r="F349" i="7"/>
  <c r="G351" i="7"/>
  <c r="F345" i="7"/>
  <c r="G353" i="7"/>
  <c r="G348" i="7"/>
  <c r="F352" i="7"/>
  <c r="F344" i="7"/>
  <c r="G346" i="7"/>
  <c r="G349" i="7"/>
  <c r="F354" i="7"/>
  <c r="G350" i="7"/>
  <c r="M18" i="7" l="1"/>
  <c r="M17" i="7"/>
  <c r="M16" i="7"/>
  <c r="M30" i="7"/>
  <c r="M29" i="7"/>
  <c r="M28" i="7"/>
  <c r="M27" i="7"/>
  <c r="M26" i="7"/>
  <c r="M25" i="7"/>
  <c r="M24" i="7"/>
  <c r="M23" i="7"/>
  <c r="M22" i="7"/>
  <c r="M21" i="7"/>
  <c r="M20" i="7"/>
  <c r="M19" i="7"/>
  <c r="T258" i="13"/>
  <c r="U258" i="13"/>
  <c r="T256" i="13"/>
  <c r="T257" i="13"/>
  <c r="T260" i="13"/>
  <c r="T264" i="13"/>
  <c r="U255" i="13"/>
  <c r="T255" i="13"/>
  <c r="U252" i="13"/>
  <c r="U264" i="13"/>
  <c r="U261" i="13"/>
  <c r="U254" i="13"/>
  <c r="U256" i="13"/>
  <c r="T265" i="13"/>
  <c r="U253" i="13"/>
  <c r="T252" i="13"/>
  <c r="T261" i="13"/>
  <c r="U266" i="13"/>
  <c r="V266" i="13"/>
  <c r="T254" i="13"/>
  <c r="U265" i="13"/>
  <c r="T266" i="13"/>
  <c r="T253" i="13"/>
  <c r="U257" i="13"/>
  <c r="U260" i="13"/>
  <c r="J345" i="7"/>
  <c r="J344" i="7"/>
  <c r="I345" i="7"/>
  <c r="I344" i="7"/>
  <c r="AA402" i="2"/>
  <c r="AA386" i="2"/>
  <c r="AA370" i="2"/>
  <c r="AA353" i="2"/>
  <c r="AA337" i="2"/>
  <c r="AA321" i="2"/>
  <c r="AA272" i="2"/>
  <c r="AA256" i="2"/>
  <c r="AA240" i="2"/>
  <c r="AA224" i="2"/>
  <c r="AA208" i="2"/>
  <c r="AA192" i="2"/>
  <c r="AA176" i="2"/>
  <c r="AA160" i="2"/>
  <c r="AA144" i="2"/>
  <c r="AA128" i="2"/>
  <c r="AA112" i="2"/>
  <c r="AA96" i="2"/>
  <c r="AA80" i="2"/>
  <c r="AA64" i="2"/>
  <c r="AA48" i="2"/>
  <c r="AA32" i="2"/>
  <c r="AA16" i="2"/>
  <c r="AA994" i="2"/>
  <c r="AA978" i="2"/>
  <c r="AA962" i="2"/>
  <c r="AA946" i="2"/>
  <c r="AA930" i="2"/>
  <c r="AA914" i="2"/>
  <c r="AA898" i="2"/>
  <c r="AA882" i="2"/>
  <c r="AA866" i="2"/>
  <c r="AA850" i="2"/>
  <c r="AA834" i="2"/>
  <c r="AA818" i="2"/>
  <c r="AA802" i="2"/>
  <c r="AA786" i="2"/>
  <c r="AA770" i="2"/>
  <c r="AA754" i="2"/>
  <c r="AA738" i="2"/>
  <c r="AA722" i="2"/>
  <c r="AA706" i="2"/>
  <c r="AA690" i="2"/>
  <c r="AA674" i="2"/>
  <c r="AA658" i="2"/>
  <c r="AA642" i="2"/>
  <c r="AA626" i="2"/>
  <c r="AA610" i="2"/>
  <c r="AA594" i="2"/>
  <c r="AA578" i="2"/>
  <c r="AA562" i="2"/>
  <c r="AA546" i="2"/>
  <c r="AA530" i="2"/>
  <c r="AA514" i="2"/>
  <c r="AA498" i="2"/>
  <c r="AA482" i="2"/>
  <c r="AA465" i="2"/>
  <c r="AA449" i="2"/>
  <c r="AA433" i="2"/>
  <c r="AA417" i="2"/>
  <c r="AA401" i="2"/>
  <c r="AA385" i="2"/>
  <c r="AA369" i="2"/>
  <c r="AA352" i="2"/>
  <c r="AA336" i="2"/>
  <c r="AA320" i="2"/>
  <c r="AA303" i="2"/>
  <c r="AA287" i="2"/>
  <c r="AA271" i="2"/>
  <c r="AA255" i="2"/>
  <c r="AA239" i="2"/>
  <c r="AA223" i="2"/>
  <c r="AA207" i="2"/>
  <c r="AA191" i="2"/>
  <c r="AA175" i="2"/>
  <c r="AA159" i="2"/>
  <c r="AA143" i="2"/>
  <c r="AA127" i="2"/>
  <c r="AA111" i="2"/>
  <c r="AA95" i="2"/>
  <c r="AA79" i="2"/>
  <c r="AA63" i="2"/>
  <c r="AA47" i="2"/>
  <c r="AA31" i="2"/>
  <c r="AA15" i="2"/>
  <c r="AA993" i="2"/>
  <c r="AA977" i="2"/>
  <c r="AA961" i="2"/>
  <c r="AA945" i="2"/>
  <c r="AA929" i="2"/>
  <c r="AA913" i="2"/>
  <c r="AA897" i="2"/>
  <c r="AA881" i="2"/>
  <c r="AA865" i="2"/>
  <c r="AA849" i="2"/>
  <c r="AA833" i="2"/>
  <c r="AA817" i="2"/>
  <c r="AA801" i="2"/>
  <c r="AA785" i="2"/>
  <c r="AA769" i="2"/>
  <c r="AA753" i="2"/>
  <c r="AA737" i="2"/>
  <c r="AA721" i="2"/>
  <c r="AA705" i="2"/>
  <c r="AA689" i="2"/>
  <c r="AA673" i="2"/>
  <c r="AA657" i="2"/>
  <c r="AA641" i="2"/>
  <c r="AA625" i="2"/>
  <c r="AA609" i="2"/>
  <c r="AA593" i="2"/>
  <c r="AA577" i="2"/>
  <c r="AA561" i="2"/>
  <c r="AA545" i="2"/>
  <c r="AA529" i="2"/>
  <c r="AA513" i="2"/>
  <c r="AA497" i="2"/>
  <c r="AA481" i="2"/>
  <c r="AA464" i="2"/>
  <c r="AA448" i="2"/>
  <c r="AA432" i="2"/>
  <c r="AA416" i="2"/>
  <c r="AA400" i="2"/>
  <c r="AA384" i="2"/>
  <c r="AA368" i="2"/>
  <c r="AA351" i="2"/>
  <c r="AA335" i="2"/>
  <c r="AA319" i="2"/>
  <c r="K231" i="7"/>
  <c r="N231" i="7" s="1"/>
  <c r="K237" i="7"/>
  <c r="N237" i="7" s="1"/>
  <c r="K236" i="7"/>
  <c r="N236" i="7" s="1"/>
  <c r="K235" i="7"/>
  <c r="N235" i="7" s="1"/>
  <c r="K228" i="7"/>
  <c r="N228" i="7" s="1"/>
  <c r="K227" i="7"/>
  <c r="N227" i="7" s="1"/>
  <c r="K226" i="7"/>
  <c r="N226" i="7" s="1"/>
  <c r="K225" i="7"/>
  <c r="N225" i="7" s="1"/>
  <c r="K230" i="7"/>
  <c r="N230" i="7" s="1"/>
  <c r="K232" i="7"/>
  <c r="N232" i="7" s="1"/>
  <c r="I229" i="7"/>
  <c r="K229" i="7" s="1"/>
  <c r="N229" i="7" s="1"/>
  <c r="K233" i="7"/>
  <c r="N233" i="7" s="1"/>
  <c r="F238" i="7"/>
  <c r="O238" i="7" s="1"/>
  <c r="F230" i="7"/>
  <c r="O230" i="7" s="1"/>
  <c r="F231" i="7"/>
  <c r="O231" i="7" s="1"/>
  <c r="F225" i="7"/>
  <c r="O225" i="7" s="1"/>
  <c r="F234" i="7"/>
  <c r="O234" i="7" s="1"/>
  <c r="Q234" i="7" s="1"/>
  <c r="V234" i="7" s="1"/>
  <c r="F229" i="7"/>
  <c r="O229" i="7" s="1"/>
  <c r="F236" i="7"/>
  <c r="O236" i="7" s="1"/>
  <c r="F233" i="7"/>
  <c r="O233" i="7" s="1"/>
  <c r="F232" i="7"/>
  <c r="O232" i="7" s="1"/>
  <c r="B239" i="7"/>
  <c r="F239" i="7" s="1"/>
  <c r="O239" i="7" s="1"/>
  <c r="F237" i="7"/>
  <c r="O237" i="7" s="1"/>
  <c r="B235" i="7"/>
  <c r="F235" i="7" s="1"/>
  <c r="O235" i="7" s="1"/>
  <c r="L416" i="7"/>
  <c r="L415" i="7"/>
  <c r="L427" i="7"/>
  <c r="L420" i="7"/>
  <c r="L426" i="7"/>
  <c r="L425" i="7"/>
  <c r="L424" i="7"/>
  <c r="L423" i="7"/>
  <c r="L422" i="7"/>
  <c r="L421" i="7"/>
  <c r="L419" i="7"/>
  <c r="L417" i="7"/>
  <c r="J265" i="7"/>
  <c r="AA301" i="2"/>
  <c r="AA285" i="2"/>
  <c r="AA269" i="2"/>
  <c r="AA253" i="2"/>
  <c r="AA237" i="2"/>
  <c r="AA221" i="2"/>
  <c r="AA205" i="2"/>
  <c r="AA189" i="2"/>
  <c r="AA173" i="2"/>
  <c r="AA157" i="2"/>
  <c r="AA141" i="2"/>
  <c r="AA125" i="2"/>
  <c r="AA109" i="2"/>
  <c r="AA93" i="2"/>
  <c r="AA77" i="2"/>
  <c r="AA61" i="2"/>
  <c r="AA45" i="2"/>
  <c r="AA29" i="2"/>
  <c r="AA13" i="2"/>
  <c r="AA991" i="2"/>
  <c r="AA975" i="2"/>
  <c r="AA959" i="2"/>
  <c r="AA943" i="2"/>
  <c r="AA927" i="2"/>
  <c r="AA911" i="2"/>
  <c r="AA895" i="2"/>
  <c r="AA879" i="2"/>
  <c r="AA863" i="2"/>
  <c r="AA847" i="2"/>
  <c r="AA831" i="2"/>
  <c r="AA815" i="2"/>
  <c r="AA799" i="2"/>
  <c r="AA783" i="2"/>
  <c r="AA767" i="2"/>
  <c r="AA751" i="2"/>
  <c r="AA735" i="2"/>
  <c r="AA719" i="2"/>
  <c r="AA703" i="2"/>
  <c r="AA687" i="2"/>
  <c r="AA671" i="2"/>
  <c r="AA655" i="2"/>
  <c r="AA639" i="2"/>
  <c r="AA623" i="2"/>
  <c r="AA607" i="2"/>
  <c r="AA591" i="2"/>
  <c r="AA575" i="2"/>
  <c r="AA559" i="2"/>
  <c r="AA543" i="2"/>
  <c r="AA527" i="2"/>
  <c r="AA511" i="2"/>
  <c r="AA495" i="2"/>
  <c r="AA478" i="2"/>
  <c r="AA462" i="2"/>
  <c r="AA446" i="2"/>
  <c r="AA430" i="2"/>
  <c r="AA414" i="2"/>
  <c r="AA398" i="2"/>
  <c r="AA382" i="2"/>
  <c r="AA365" i="2"/>
  <c r="AA349" i="2"/>
  <c r="AA333" i="2"/>
  <c r="AA317" i="2"/>
  <c r="AA830" i="2"/>
  <c r="AA590" i="2"/>
  <c r="AA846" i="2"/>
  <c r="AA574" i="2"/>
  <c r="AA985" i="2"/>
  <c r="AA937" i="2"/>
  <c r="AA905" i="2"/>
  <c r="AA873" i="2"/>
  <c r="AA825" i="2"/>
  <c r="AA777" i="2"/>
  <c r="AA745" i="2"/>
  <c r="AA713" i="2"/>
  <c r="AA665" i="2"/>
  <c r="AA633" i="2"/>
  <c r="AA569" i="2"/>
  <c r="AA537" i="2"/>
  <c r="AA505" i="2"/>
  <c r="AA472" i="2"/>
  <c r="AA424" i="2"/>
  <c r="AA247" i="2"/>
  <c r="AA694" i="2"/>
  <c r="AA969" i="2"/>
  <c r="AA617" i="2"/>
  <c r="AA999" i="2"/>
  <c r="AA967" i="2"/>
  <c r="AA935" i="2"/>
  <c r="AA903" i="2"/>
  <c r="AA871" i="2"/>
  <c r="AA839" i="2"/>
  <c r="AA823" i="2"/>
  <c r="AA791" i="2"/>
  <c r="AA775" i="2"/>
  <c r="AA743" i="2"/>
  <c r="AA711" i="2"/>
  <c r="AA679" i="2"/>
  <c r="AA647" i="2"/>
  <c r="AA631" i="2"/>
  <c r="AA599" i="2"/>
  <c r="AA567" i="2"/>
  <c r="AA551" i="2"/>
  <c r="AA519" i="2"/>
  <c r="AA487" i="2"/>
  <c r="AA454" i="2"/>
  <c r="AA422" i="2"/>
  <c r="AA390" i="2"/>
  <c r="AA357" i="2"/>
  <c r="AA325" i="2"/>
  <c r="AA293" i="2"/>
  <c r="AA277" i="2"/>
  <c r="AA245" i="2"/>
  <c r="AA197" i="2"/>
  <c r="AA181" i="2"/>
  <c r="AA149" i="2"/>
  <c r="AA117" i="2"/>
  <c r="AA85" i="2"/>
  <c r="AA53" i="2"/>
  <c r="AA21" i="2"/>
  <c r="AA678" i="2"/>
  <c r="AA1001" i="2"/>
  <c r="AA953" i="2"/>
  <c r="AA921" i="2"/>
  <c r="AA889" i="2"/>
  <c r="AA857" i="2"/>
  <c r="AA841" i="2"/>
  <c r="AA809" i="2"/>
  <c r="AA793" i="2"/>
  <c r="AA761" i="2"/>
  <c r="AA729" i="2"/>
  <c r="AA697" i="2"/>
  <c r="AA681" i="2"/>
  <c r="AA649" i="2"/>
  <c r="AA601" i="2"/>
  <c r="AA585" i="2"/>
  <c r="AA553" i="2"/>
  <c r="AA521" i="2"/>
  <c r="AA489" i="2"/>
  <c r="AA456" i="2"/>
  <c r="AA440" i="2"/>
  <c r="AA408" i="2"/>
  <c r="AA392" i="2"/>
  <c r="AA376" i="2"/>
  <c r="AA359" i="2"/>
  <c r="AA343" i="2"/>
  <c r="AA327" i="2"/>
  <c r="AA311" i="2"/>
  <c r="AA295" i="2"/>
  <c r="AA279" i="2"/>
  <c r="AA263" i="2"/>
  <c r="AA231" i="2"/>
  <c r="AA215" i="2"/>
  <c r="AA199" i="2"/>
  <c r="AA183" i="2"/>
  <c r="AA167" i="2"/>
  <c r="AA151" i="2"/>
  <c r="AA135" i="2"/>
  <c r="AA119" i="2"/>
  <c r="AA103" i="2"/>
  <c r="AA87" i="2"/>
  <c r="AA71" i="2"/>
  <c r="AA55" i="2"/>
  <c r="AA39" i="2"/>
  <c r="AA23" i="2"/>
  <c r="AA7" i="2"/>
  <c r="AA983" i="2"/>
  <c r="AA951" i="2"/>
  <c r="AA919" i="2"/>
  <c r="AA887" i="2"/>
  <c r="AA855" i="2"/>
  <c r="AA807" i="2"/>
  <c r="AA759" i="2"/>
  <c r="AA727" i="2"/>
  <c r="AA695" i="2"/>
  <c r="AA663" i="2"/>
  <c r="AA615" i="2"/>
  <c r="AA583" i="2"/>
  <c r="AA535" i="2"/>
  <c r="AA503" i="2"/>
  <c r="AA470" i="2"/>
  <c r="AA438" i="2"/>
  <c r="AA406" i="2"/>
  <c r="AA374" i="2"/>
  <c r="AA341" i="2"/>
  <c r="AA309" i="2"/>
  <c r="AA261" i="2"/>
  <c r="AA229" i="2"/>
  <c r="AA213" i="2"/>
  <c r="AA165" i="2"/>
  <c r="AA133" i="2"/>
  <c r="AA101" i="2"/>
  <c r="AA69" i="2"/>
  <c r="AA37" i="2"/>
  <c r="AA5" i="2"/>
  <c r="AA998" i="2"/>
  <c r="AA982" i="2"/>
  <c r="AA966" i="2"/>
  <c r="AA950" i="2"/>
  <c r="AA934" i="2"/>
  <c r="AA918" i="2"/>
  <c r="AA902" i="2"/>
  <c r="AA886" i="2"/>
  <c r="AA870" i="2"/>
  <c r="AA854" i="2"/>
  <c r="AA838" i="2"/>
  <c r="AA822" i="2"/>
  <c r="AA806" i="2"/>
  <c r="AA790" i="2"/>
  <c r="AA774" i="2"/>
  <c r="AA758" i="2"/>
  <c r="AA742" i="2"/>
  <c r="AA726" i="2"/>
  <c r="AA710" i="2"/>
  <c r="AA662" i="2"/>
  <c r="AA630" i="2"/>
  <c r="AA598" i="2"/>
  <c r="AA566" i="2"/>
  <c r="AA534" i="2"/>
  <c r="AA518" i="2"/>
  <c r="AA469" i="2"/>
  <c r="AA437" i="2"/>
  <c r="AA421" i="2"/>
  <c r="AA389" i="2"/>
  <c r="AA356" i="2"/>
  <c r="AA324" i="2"/>
  <c r="AA292" i="2"/>
  <c r="AA260" i="2"/>
  <c r="AA228" i="2"/>
  <c r="AA196" i="2"/>
  <c r="AA164" i="2"/>
  <c r="AA132" i="2"/>
  <c r="AA100" i="2"/>
  <c r="AA84" i="2"/>
  <c r="AA68" i="2"/>
  <c r="AA52" i="2"/>
  <c r="AA20" i="2"/>
  <c r="AA4" i="2"/>
  <c r="AA981" i="2"/>
  <c r="AA949" i="2"/>
  <c r="AA933" i="2"/>
  <c r="AA901" i="2"/>
  <c r="AA885" i="2"/>
  <c r="AA869" i="2"/>
  <c r="AA853" i="2"/>
  <c r="AA837" i="2"/>
  <c r="AA821" i="2"/>
  <c r="AA805" i="2"/>
  <c r="AA789" i="2"/>
  <c r="AA773" i="2"/>
  <c r="AA757" i="2"/>
  <c r="AA741" i="2"/>
  <c r="AA725" i="2"/>
  <c r="AA709" i="2"/>
  <c r="AA677" i="2"/>
  <c r="AA661" i="2"/>
  <c r="AA645" i="2"/>
  <c r="AA629" i="2"/>
  <c r="AA613" i="2"/>
  <c r="AA597" i="2"/>
  <c r="AA581" i="2"/>
  <c r="AA565" i="2"/>
  <c r="AA549" i="2"/>
  <c r="AA533" i="2"/>
  <c r="AA517" i="2"/>
  <c r="AA501" i="2"/>
  <c r="AA485" i="2"/>
  <c r="AA468" i="2"/>
  <c r="AA452" i="2"/>
  <c r="AA436" i="2"/>
  <c r="AA420" i="2"/>
  <c r="AA404" i="2"/>
  <c r="AA388" i="2"/>
  <c r="AA372" i="2"/>
  <c r="AA355" i="2"/>
  <c r="AA339" i="2"/>
  <c r="AA323" i="2"/>
  <c r="AA307" i="2"/>
  <c r="AA291" i="2"/>
  <c r="AA275" i="2"/>
  <c r="AA259" i="2"/>
  <c r="AA243" i="2"/>
  <c r="AA227" i="2"/>
  <c r="AA211" i="2"/>
  <c r="AA195" i="2"/>
  <c r="AA179" i="2"/>
  <c r="AA163" i="2"/>
  <c r="AA147" i="2"/>
  <c r="AA131" i="2"/>
  <c r="AA115" i="2"/>
  <c r="AA99" i="2"/>
  <c r="AA83" i="2"/>
  <c r="AA67" i="2"/>
  <c r="AA51" i="2"/>
  <c r="AA35" i="2"/>
  <c r="AA19" i="2"/>
  <c r="AA3" i="2"/>
  <c r="AA646" i="2"/>
  <c r="AA614" i="2"/>
  <c r="AA582" i="2"/>
  <c r="AA550" i="2"/>
  <c r="AA502" i="2"/>
  <c r="AA486" i="2"/>
  <c r="AA453" i="2"/>
  <c r="AA405" i="2"/>
  <c r="AA373" i="2"/>
  <c r="AA340" i="2"/>
  <c r="AA308" i="2"/>
  <c r="AA276" i="2"/>
  <c r="AA244" i="2"/>
  <c r="AA212" i="2"/>
  <c r="AA180" i="2"/>
  <c r="AA148" i="2"/>
  <c r="AA116" i="2"/>
  <c r="AA36" i="2"/>
  <c r="AA997" i="2"/>
  <c r="AA965" i="2"/>
  <c r="AA917" i="2"/>
  <c r="AA693" i="2"/>
  <c r="AA996" i="2"/>
  <c r="AA980" i="2"/>
  <c r="AA964" i="2"/>
  <c r="AA948" i="2"/>
  <c r="AA932" i="2"/>
  <c r="AA916" i="2"/>
  <c r="AA900" i="2"/>
  <c r="AA884" i="2"/>
  <c r="AA868" i="2"/>
  <c r="AA852" i="2"/>
  <c r="AA836" i="2"/>
  <c r="AA820" i="2"/>
  <c r="AA804" i="2"/>
  <c r="AA788" i="2"/>
  <c r="AA772" i="2"/>
  <c r="AA756" i="2"/>
  <c r="AA740" i="2"/>
  <c r="AA724" i="2"/>
  <c r="AA708" i="2"/>
  <c r="AA692" i="2"/>
  <c r="AA676" i="2"/>
  <c r="AA660" i="2"/>
  <c r="AA644" i="2"/>
  <c r="AA628" i="2"/>
  <c r="AA612" i="2"/>
  <c r="AA596" i="2"/>
  <c r="AA580" i="2"/>
  <c r="AA564" i="2"/>
  <c r="AA548" i="2"/>
  <c r="AA532" i="2"/>
  <c r="AA516" i="2"/>
  <c r="AA500" i="2"/>
  <c r="AA484" i="2"/>
  <c r="AA467" i="2"/>
  <c r="AA451" i="2"/>
  <c r="AA435" i="2"/>
  <c r="AA419" i="2"/>
  <c r="AA403" i="2"/>
  <c r="AA387" i="2"/>
  <c r="AA371" i="2"/>
  <c r="AA354" i="2"/>
  <c r="AA338" i="2"/>
  <c r="AA322" i="2"/>
  <c r="AA306" i="2"/>
  <c r="AA290" i="2"/>
  <c r="AA274" i="2"/>
  <c r="AA258" i="2"/>
  <c r="AA242" i="2"/>
  <c r="AA226" i="2"/>
  <c r="AA210" i="2"/>
  <c r="AA194" i="2"/>
  <c r="AA178" i="2"/>
  <c r="AA162" i="2"/>
  <c r="AA146" i="2"/>
  <c r="AA130" i="2"/>
  <c r="AA114" i="2"/>
  <c r="AA98" i="2"/>
  <c r="AA82" i="2"/>
  <c r="AA66" i="2"/>
  <c r="AA50" i="2"/>
  <c r="AA34" i="2"/>
  <c r="AA18" i="2"/>
  <c r="AA2" i="2"/>
  <c r="L837" i="7"/>
  <c r="L833" i="7"/>
  <c r="L840" i="7"/>
  <c r="L839" i="7"/>
  <c r="L838" i="7"/>
  <c r="L836" i="7"/>
  <c r="L835" i="7"/>
  <c r="L834" i="7"/>
  <c r="L832" i="7"/>
  <c r="L831" i="7"/>
  <c r="L830" i="7"/>
  <c r="L829" i="7"/>
  <c r="L828" i="7"/>
  <c r="L827" i="7"/>
  <c r="L428" i="7"/>
  <c r="L418" i="7"/>
  <c r="AA992" i="2"/>
  <c r="AA976" i="2"/>
  <c r="AA960" i="2"/>
  <c r="AA944" i="2"/>
  <c r="AA928" i="2"/>
  <c r="AA912" i="2"/>
  <c r="AA896" i="2"/>
  <c r="AA880" i="2"/>
  <c r="AA864" i="2"/>
  <c r="AA848" i="2"/>
  <c r="AA832" i="2"/>
  <c r="AA816" i="2"/>
  <c r="AA800" i="2"/>
  <c r="AA784" i="2"/>
  <c r="AA768" i="2"/>
  <c r="AA752" i="2"/>
  <c r="AA736" i="2"/>
  <c r="AA720" i="2"/>
  <c r="AA704" i="2"/>
  <c r="AA688" i="2"/>
  <c r="AA672" i="2"/>
  <c r="AA656" i="2"/>
  <c r="AA640" i="2"/>
  <c r="AA624" i="2"/>
  <c r="AA608" i="2"/>
  <c r="AA592" i="2"/>
  <c r="AA576" i="2"/>
  <c r="AA560" i="2"/>
  <c r="AA544" i="2"/>
  <c r="AA528" i="2"/>
  <c r="AA512" i="2"/>
  <c r="AA496" i="2"/>
  <c r="AA479" i="2"/>
  <c r="AA463" i="2"/>
  <c r="AA447" i="2"/>
  <c r="AA431" i="2"/>
  <c r="AA415" i="2"/>
  <c r="AA399" i="2"/>
  <c r="AA383" i="2"/>
  <c r="AA367" i="2"/>
  <c r="AA350" i="2"/>
  <c r="AA334" i="2"/>
  <c r="AA318" i="2"/>
  <c r="AA302" i="2"/>
  <c r="AA286" i="2"/>
  <c r="AA270" i="2"/>
  <c r="AA254" i="2"/>
  <c r="AA238" i="2"/>
  <c r="AA222" i="2"/>
  <c r="AA206" i="2"/>
  <c r="AA190" i="2"/>
  <c r="AA174" i="2"/>
  <c r="AA158" i="2"/>
  <c r="AA142" i="2"/>
  <c r="AA126" i="2"/>
  <c r="AA110" i="2"/>
  <c r="AA94" i="2"/>
  <c r="AA78" i="2"/>
  <c r="AA62" i="2"/>
  <c r="AA46" i="2"/>
  <c r="AA30" i="2"/>
  <c r="AA14" i="2"/>
  <c r="AA990" i="2"/>
  <c r="AA974" i="2"/>
  <c r="AA958" i="2"/>
  <c r="AA942" i="2"/>
  <c r="AA926" i="2"/>
  <c r="AA910" i="2"/>
  <c r="AA894" i="2"/>
  <c r="AA878" i="2"/>
  <c r="AA862" i="2"/>
  <c r="AA814" i="2"/>
  <c r="AA798" i="2"/>
  <c r="AA782" i="2"/>
  <c r="AA766" i="2"/>
  <c r="AA750" i="2"/>
  <c r="AA734" i="2"/>
  <c r="AA718" i="2"/>
  <c r="AA702" i="2"/>
  <c r="AA686" i="2"/>
  <c r="AA670" i="2"/>
  <c r="AA654" i="2"/>
  <c r="AA638" i="2"/>
  <c r="AA622" i="2"/>
  <c r="AA606" i="2"/>
  <c r="AA558" i="2"/>
  <c r="AA542" i="2"/>
  <c r="AA526" i="2"/>
  <c r="AA510" i="2"/>
  <c r="AA494" i="2"/>
  <c r="AA477" i="2"/>
  <c r="AA461" i="2"/>
  <c r="AA445" i="2"/>
  <c r="AA429" i="2"/>
  <c r="AA413" i="2"/>
  <c r="AA397" i="2"/>
  <c r="AA381" i="2"/>
  <c r="AA364" i="2"/>
  <c r="AA348" i="2"/>
  <c r="AA332" i="2"/>
  <c r="AA316" i="2"/>
  <c r="AA300" i="2"/>
  <c r="AA284" i="2"/>
  <c r="AA268" i="2"/>
  <c r="AA252" i="2"/>
  <c r="AA236" i="2"/>
  <c r="AA220" i="2"/>
  <c r="AA204" i="2"/>
  <c r="AA188" i="2"/>
  <c r="AA172" i="2"/>
  <c r="AA156" i="2"/>
  <c r="AA140" i="2"/>
  <c r="AA124" i="2"/>
  <c r="AA108" i="2"/>
  <c r="AA92" i="2"/>
  <c r="AA76" i="2"/>
  <c r="AA60" i="2"/>
  <c r="AA44" i="2"/>
  <c r="AA28" i="2"/>
  <c r="AA12" i="2"/>
  <c r="AA987" i="2"/>
  <c r="AA971" i="2"/>
  <c r="AA955" i="2"/>
  <c r="AA939" i="2"/>
  <c r="AA923" i="2"/>
  <c r="AA907" i="2"/>
  <c r="AA891" i="2"/>
  <c r="AA875" i="2"/>
  <c r="AA989" i="2"/>
  <c r="AA973" i="2"/>
  <c r="AA957" i="2"/>
  <c r="AA941" i="2"/>
  <c r="AA925" i="2"/>
  <c r="AA909" i="2"/>
  <c r="AA893" i="2"/>
  <c r="AA877" i="2"/>
  <c r="AA861" i="2"/>
  <c r="AA845" i="2"/>
  <c r="AA829" i="2"/>
  <c r="AA813" i="2"/>
  <c r="AA797" i="2"/>
  <c r="AA781" i="2"/>
  <c r="AA765" i="2"/>
  <c r="AA749" i="2"/>
  <c r="AA733" i="2"/>
  <c r="AA717" i="2"/>
  <c r="AA701" i="2"/>
  <c r="AA685" i="2"/>
  <c r="AA669" i="2"/>
  <c r="AA653" i="2"/>
  <c r="AA637" i="2"/>
  <c r="AA621" i="2"/>
  <c r="AA605" i="2"/>
  <c r="AA589" i="2"/>
  <c r="AA573" i="2"/>
  <c r="AA557" i="2"/>
  <c r="AA541" i="2"/>
  <c r="AA525" i="2"/>
  <c r="AA509" i="2"/>
  <c r="AA493" i="2"/>
  <c r="AA476" i="2"/>
  <c r="AA460" i="2"/>
  <c r="AA444" i="2"/>
  <c r="AA428" i="2"/>
  <c r="AA412" i="2"/>
  <c r="AA396" i="2"/>
  <c r="AA380" i="2"/>
  <c r="AA363" i="2"/>
  <c r="AA347" i="2"/>
  <c r="AA331" i="2"/>
  <c r="AA315" i="2"/>
  <c r="AA299" i="2"/>
  <c r="AA283" i="2"/>
  <c r="AA267" i="2"/>
  <c r="AA251" i="2"/>
  <c r="AA235" i="2"/>
  <c r="AA219" i="2"/>
  <c r="AA203" i="2"/>
  <c r="AA187" i="2"/>
  <c r="AA171" i="2"/>
  <c r="AA155" i="2"/>
  <c r="AA139" i="2"/>
  <c r="AA123" i="2"/>
  <c r="AA107" i="2"/>
  <c r="AA91" i="2"/>
  <c r="AA75" i="2"/>
  <c r="AA59" i="2"/>
  <c r="AA43" i="2"/>
  <c r="AA27" i="2"/>
  <c r="AA11" i="2"/>
  <c r="AA988" i="2"/>
  <c r="AA972" i="2"/>
  <c r="AA956" i="2"/>
  <c r="AA940" i="2"/>
  <c r="AA924" i="2"/>
  <c r="AA908" i="2"/>
  <c r="AA892" i="2"/>
  <c r="AA876" i="2"/>
  <c r="AA860" i="2"/>
  <c r="AA844" i="2"/>
  <c r="AA828" i="2"/>
  <c r="AA812" i="2"/>
  <c r="AA796" i="2"/>
  <c r="AA780" i="2"/>
  <c r="AA764" i="2"/>
  <c r="AA748" i="2"/>
  <c r="AA732" i="2"/>
  <c r="AA716" i="2"/>
  <c r="AA700" i="2"/>
  <c r="AA684" i="2"/>
  <c r="AA668" i="2"/>
  <c r="AA652" i="2"/>
  <c r="AA636" i="2"/>
  <c r="AA620" i="2"/>
  <c r="AA604" i="2"/>
  <c r="AA588" i="2"/>
  <c r="AA572" i="2"/>
  <c r="AA556" i="2"/>
  <c r="AA540" i="2"/>
  <c r="AA524" i="2"/>
  <c r="AA508" i="2"/>
  <c r="AA492" i="2"/>
  <c r="AA475" i="2"/>
  <c r="AA459" i="2"/>
  <c r="AA443" i="2"/>
  <c r="AA427" i="2"/>
  <c r="AA411" i="2"/>
  <c r="AA395" i="2"/>
  <c r="AA379" i="2"/>
  <c r="AA362" i="2"/>
  <c r="AA346" i="2"/>
  <c r="AA330" i="2"/>
  <c r="AA314" i="2"/>
  <c r="AA298" i="2"/>
  <c r="AA282" i="2"/>
  <c r="AA266" i="2"/>
  <c r="AA250" i="2"/>
  <c r="AA234" i="2"/>
  <c r="AA218" i="2"/>
  <c r="AA202" i="2"/>
  <c r="AA186" i="2"/>
  <c r="AA170" i="2"/>
  <c r="AA154" i="2"/>
  <c r="AA138" i="2"/>
  <c r="AA122" i="2"/>
  <c r="AA106" i="2"/>
  <c r="AA90" i="2"/>
  <c r="AA74" i="2"/>
  <c r="AA58" i="2"/>
  <c r="AA42" i="2"/>
  <c r="AA26" i="2"/>
  <c r="AA10" i="2"/>
  <c r="AA859" i="2"/>
  <c r="AA843" i="2"/>
  <c r="AA827" i="2"/>
  <c r="AA811" i="2"/>
  <c r="AA795" i="2"/>
  <c r="AA779" i="2"/>
  <c r="AA763" i="2"/>
  <c r="AA747" i="2"/>
  <c r="AA731" i="2"/>
  <c r="AA715" i="2"/>
  <c r="AA699" i="2"/>
  <c r="AA683" i="2"/>
  <c r="AA667" i="2"/>
  <c r="AA651" i="2"/>
  <c r="AA635" i="2"/>
  <c r="AA619" i="2"/>
  <c r="AA603" i="2"/>
  <c r="AA587" i="2"/>
  <c r="AA571" i="2"/>
  <c r="AA555" i="2"/>
  <c r="AA539" i="2"/>
  <c r="AA523" i="2"/>
  <c r="AA507" i="2"/>
  <c r="AA491" i="2"/>
  <c r="AA474" i="2"/>
  <c r="AA458" i="2"/>
  <c r="AA442" i="2"/>
  <c r="AA426" i="2"/>
  <c r="AA410" i="2"/>
  <c r="AA394" i="2"/>
  <c r="AA378" i="2"/>
  <c r="AA361" i="2"/>
  <c r="AA345" i="2"/>
  <c r="AA329" i="2"/>
  <c r="AA313" i="2"/>
  <c r="AA297" i="2"/>
  <c r="AA281" i="2"/>
  <c r="AA265" i="2"/>
  <c r="AA249" i="2"/>
  <c r="AA233" i="2"/>
  <c r="AA217" i="2"/>
  <c r="AA201" i="2"/>
  <c r="AA185" i="2"/>
  <c r="AA169" i="2"/>
  <c r="AA153" i="2"/>
  <c r="AA137" i="2"/>
  <c r="AA121" i="2"/>
  <c r="AA105" i="2"/>
  <c r="AA89" i="2"/>
  <c r="AA73" i="2"/>
  <c r="AA57" i="2"/>
  <c r="AA41" i="2"/>
  <c r="AA25" i="2"/>
  <c r="AA9" i="2"/>
  <c r="AA986" i="2"/>
  <c r="AA970" i="2"/>
  <c r="AA954" i="2"/>
  <c r="AA938" i="2"/>
  <c r="AA922" i="2"/>
  <c r="AA906" i="2"/>
  <c r="AA890" i="2"/>
  <c r="AA874" i="2"/>
  <c r="AA858" i="2"/>
  <c r="AA842" i="2"/>
  <c r="AA826" i="2"/>
  <c r="AA810" i="2"/>
  <c r="AA794" i="2"/>
  <c r="AA778" i="2"/>
  <c r="AA762" i="2"/>
  <c r="AA746" i="2"/>
  <c r="AA730" i="2"/>
  <c r="AA714" i="2"/>
  <c r="AA698" i="2"/>
  <c r="AA682" i="2"/>
  <c r="AA666" i="2"/>
  <c r="AA650" i="2"/>
  <c r="AA634" i="2"/>
  <c r="AA618" i="2"/>
  <c r="AA602" i="2"/>
  <c r="AA586" i="2"/>
  <c r="AA570" i="2"/>
  <c r="AA554" i="2"/>
  <c r="AA538" i="2"/>
  <c r="AA522" i="2"/>
  <c r="AA506" i="2"/>
  <c r="AA490" i="2"/>
  <c r="AA473" i="2"/>
  <c r="AA457" i="2"/>
  <c r="AA441" i="2"/>
  <c r="AA425" i="2"/>
  <c r="AA409" i="2"/>
  <c r="AA393" i="2"/>
  <c r="AA377" i="2"/>
  <c r="AA360" i="2"/>
  <c r="AA344" i="2"/>
  <c r="AA328" i="2"/>
  <c r="AA312" i="2"/>
  <c r="AA296" i="2"/>
  <c r="AA280" i="2"/>
  <c r="AA264" i="2"/>
  <c r="AA248" i="2"/>
  <c r="AA232" i="2"/>
  <c r="AA216" i="2"/>
  <c r="AA200" i="2"/>
  <c r="AA184" i="2"/>
  <c r="AA168" i="2"/>
  <c r="AA152" i="2"/>
  <c r="AA136" i="2"/>
  <c r="AA120" i="2"/>
  <c r="AA104" i="2"/>
  <c r="AA88" i="2"/>
  <c r="AA72" i="2"/>
  <c r="AA56" i="2"/>
  <c r="AA40" i="2"/>
  <c r="AA24" i="2"/>
  <c r="AA8" i="2"/>
  <c r="AA1000" i="2"/>
  <c r="AA984" i="2"/>
  <c r="AA968" i="2"/>
  <c r="AA952" i="2"/>
  <c r="AA936" i="2"/>
  <c r="AA920" i="2"/>
  <c r="AA904" i="2"/>
  <c r="AA888" i="2"/>
  <c r="AA872" i="2"/>
  <c r="AA856" i="2"/>
  <c r="AA840" i="2"/>
  <c r="AA824" i="2"/>
  <c r="AA808" i="2"/>
  <c r="AA792" i="2"/>
  <c r="AA776" i="2"/>
  <c r="AA760" i="2"/>
  <c r="AA744" i="2"/>
  <c r="AA728" i="2"/>
  <c r="AA712" i="2"/>
  <c r="AA696" i="2"/>
  <c r="AA680" i="2"/>
  <c r="AA664" i="2"/>
  <c r="AA648" i="2"/>
  <c r="AA632" i="2"/>
  <c r="AA616" i="2"/>
  <c r="AA600" i="2"/>
  <c r="AA584" i="2"/>
  <c r="AA568" i="2"/>
  <c r="AA552" i="2"/>
  <c r="AA536" i="2"/>
  <c r="AA520" i="2"/>
  <c r="AA504" i="2"/>
  <c r="AA488" i="2"/>
  <c r="AA471" i="2"/>
  <c r="AA455" i="2"/>
  <c r="AA439" i="2"/>
  <c r="AA423" i="2"/>
  <c r="AA407" i="2"/>
  <c r="AA391" i="2"/>
  <c r="AA375" i="2"/>
  <c r="AA358" i="2"/>
  <c r="AA342" i="2"/>
  <c r="AA326" i="2"/>
  <c r="AA310" i="2"/>
  <c r="AA294" i="2"/>
  <c r="AA278" i="2"/>
  <c r="AA262" i="2"/>
  <c r="AA246" i="2"/>
  <c r="AA230" i="2"/>
  <c r="AA214" i="2"/>
  <c r="AA198" i="2"/>
  <c r="AA182" i="2"/>
  <c r="AA166" i="2"/>
  <c r="AA150" i="2"/>
  <c r="AA134" i="2"/>
  <c r="AA118" i="2"/>
  <c r="AA102" i="2"/>
  <c r="AA86" i="2"/>
  <c r="AA70" i="2"/>
  <c r="AA54" i="2"/>
  <c r="AA38" i="2"/>
  <c r="AA22" i="2"/>
  <c r="AA6" i="2"/>
  <c r="L414" i="7"/>
  <c r="E9" i="8"/>
  <c r="T854" i="2"/>
  <c r="T853" i="2"/>
  <c r="T582" i="2"/>
  <c r="T549" i="2"/>
  <c r="T165" i="2"/>
  <c r="T837" i="2"/>
  <c r="T374" i="2"/>
  <c r="T677" i="2"/>
  <c r="T949" i="2"/>
  <c r="T902" i="2"/>
  <c r="T213" i="2"/>
  <c r="T422" i="2"/>
  <c r="T390" i="2"/>
  <c r="T901" i="2"/>
  <c r="T18" i="2"/>
  <c r="T805" i="2"/>
  <c r="T223" i="2"/>
  <c r="T2" i="2"/>
  <c r="T114" i="2"/>
  <c r="T550" i="2"/>
  <c r="T214" i="2"/>
  <c r="T66" i="2"/>
  <c r="T982" i="2"/>
  <c r="T592" i="2"/>
  <c r="T32" i="2"/>
  <c r="T31" i="2"/>
  <c r="T581" i="2"/>
  <c r="T894" i="2"/>
  <c r="T101" i="2"/>
  <c r="T752" i="2"/>
  <c r="T630" i="2"/>
  <c r="T277" i="2"/>
  <c r="T886" i="2"/>
  <c r="T751" i="2"/>
  <c r="T70" i="2"/>
  <c r="T991" i="2"/>
  <c r="T262" i="2"/>
  <c r="T990" i="2"/>
  <c r="P912" i="2"/>
  <c r="T912" i="2"/>
  <c r="T351" i="2"/>
  <c r="T160" i="2"/>
  <c r="P918" i="2"/>
  <c r="T918" i="2"/>
  <c r="P806" i="2"/>
  <c r="T806" i="2"/>
  <c r="P710" i="2"/>
  <c r="T710" i="2"/>
  <c r="P470" i="2"/>
  <c r="T470" i="2"/>
  <c r="P406" i="2"/>
  <c r="T406" i="2"/>
  <c r="P310" i="2"/>
  <c r="T310" i="2"/>
  <c r="P38" i="2"/>
  <c r="T38" i="2"/>
  <c r="T934" i="2"/>
  <c r="T159" i="2"/>
  <c r="P869" i="2"/>
  <c r="T869" i="2"/>
  <c r="P773" i="2"/>
  <c r="T773" i="2"/>
  <c r="P725" i="2"/>
  <c r="T725" i="2"/>
  <c r="P469" i="2"/>
  <c r="T469" i="2"/>
  <c r="P309" i="2"/>
  <c r="T309" i="2"/>
  <c r="P245" i="2"/>
  <c r="T245" i="2"/>
  <c r="P181" i="2"/>
  <c r="T181" i="2"/>
  <c r="T933" i="2"/>
  <c r="T784" i="2"/>
  <c r="T437" i="2"/>
  <c r="T341" i="2"/>
  <c r="T230" i="2"/>
  <c r="T64" i="2"/>
  <c r="T848" i="2"/>
  <c r="T229" i="2"/>
  <c r="T149" i="2"/>
  <c r="T63" i="2"/>
  <c r="T927" i="2"/>
  <c r="T757" i="2"/>
  <c r="T688" i="2"/>
  <c r="T597" i="2"/>
  <c r="T528" i="2"/>
  <c r="T432" i="2"/>
  <c r="T118" i="2"/>
  <c r="T54" i="2"/>
  <c r="P816" i="2"/>
  <c r="T816" i="2"/>
  <c r="P720" i="2"/>
  <c r="T720" i="2"/>
  <c r="P624" i="2"/>
  <c r="T624" i="2"/>
  <c r="P560" i="2"/>
  <c r="T560" i="2"/>
  <c r="P464" i="2"/>
  <c r="T464" i="2"/>
  <c r="P416" i="2"/>
  <c r="T416" i="2"/>
  <c r="P368" i="2"/>
  <c r="T368" i="2"/>
  <c r="P352" i="2"/>
  <c r="T352" i="2"/>
  <c r="P256" i="2"/>
  <c r="T256" i="2"/>
  <c r="P240" i="2"/>
  <c r="T240" i="2"/>
  <c r="P192" i="2"/>
  <c r="T192" i="2"/>
  <c r="P144" i="2"/>
  <c r="T144" i="2"/>
  <c r="P128" i="2"/>
  <c r="T128" i="2"/>
  <c r="P80" i="2"/>
  <c r="T80" i="2"/>
  <c r="T496" i="2"/>
  <c r="T320" i="2"/>
  <c r="P911" i="2"/>
  <c r="T911" i="2"/>
  <c r="P863" i="2"/>
  <c r="T863" i="2"/>
  <c r="P815" i="2"/>
  <c r="T815" i="2"/>
  <c r="P671" i="2"/>
  <c r="T671" i="2"/>
  <c r="P607" i="2"/>
  <c r="T607" i="2"/>
  <c r="P575" i="2"/>
  <c r="T575" i="2"/>
  <c r="P559" i="2"/>
  <c r="T559" i="2"/>
  <c r="P527" i="2"/>
  <c r="T527" i="2"/>
  <c r="P415" i="2"/>
  <c r="T415" i="2"/>
  <c r="P255" i="2"/>
  <c r="T255" i="2"/>
  <c r="P239" i="2"/>
  <c r="T239" i="2"/>
  <c r="P191" i="2"/>
  <c r="T191" i="2"/>
  <c r="P143" i="2"/>
  <c r="T143" i="2"/>
  <c r="P127" i="2"/>
  <c r="T127" i="2"/>
  <c r="P95" i="2"/>
  <c r="T95" i="2"/>
  <c r="P47" i="2"/>
  <c r="T47" i="2"/>
  <c r="T831" i="2"/>
  <c r="T656" i="2"/>
  <c r="T495" i="2"/>
  <c r="T400" i="2"/>
  <c r="T319" i="2"/>
  <c r="T112" i="2"/>
  <c r="T895" i="2"/>
  <c r="T655" i="2"/>
  <c r="T399" i="2"/>
  <c r="T288" i="2"/>
  <c r="T111" i="2"/>
  <c r="T287" i="2"/>
  <c r="T959" i="2"/>
  <c r="T735" i="2"/>
  <c r="T479" i="2"/>
  <c r="T384" i="2"/>
  <c r="T175" i="2"/>
  <c r="T639" i="2"/>
  <c r="T383" i="2"/>
  <c r="T79" i="2"/>
  <c r="T272" i="2"/>
  <c r="T880" i="2"/>
  <c r="T271" i="2"/>
  <c r="P966" i="2"/>
  <c r="T966" i="2"/>
  <c r="P758" i="2"/>
  <c r="T758" i="2"/>
  <c r="P662" i="2"/>
  <c r="T662" i="2"/>
  <c r="P502" i="2"/>
  <c r="T502" i="2"/>
  <c r="P294" i="2"/>
  <c r="T294" i="2"/>
  <c r="P246" i="2"/>
  <c r="T246" i="2"/>
  <c r="P182" i="2"/>
  <c r="T182" i="2"/>
  <c r="T534" i="2"/>
  <c r="T342" i="2"/>
  <c r="P981" i="2"/>
  <c r="T981" i="2"/>
  <c r="P613" i="2"/>
  <c r="T613" i="2"/>
  <c r="P517" i="2"/>
  <c r="T517" i="2"/>
  <c r="P421" i="2"/>
  <c r="T421" i="2"/>
  <c r="P357" i="2"/>
  <c r="T357" i="2"/>
  <c r="P293" i="2"/>
  <c r="T293" i="2"/>
  <c r="P85" i="2"/>
  <c r="T85" i="2"/>
  <c r="P37" i="2"/>
  <c r="T37" i="2"/>
  <c r="T693" i="2"/>
  <c r="T150" i="2"/>
  <c r="T783" i="2"/>
  <c r="P98" i="2"/>
  <c r="T98" i="2"/>
  <c r="P82" i="2"/>
  <c r="T82" i="2"/>
  <c r="P50" i="2"/>
  <c r="T50" i="2"/>
  <c r="P34" i="2"/>
  <c r="T34" i="2"/>
  <c r="T838" i="2"/>
  <c r="T501" i="2"/>
  <c r="T224" i="2"/>
  <c r="T117" i="2"/>
  <c r="T53" i="2"/>
  <c r="P942" i="2"/>
  <c r="T942" i="2"/>
  <c r="P686" i="2"/>
  <c r="T686" i="2"/>
  <c r="P654" i="2"/>
  <c r="T654" i="2"/>
  <c r="P558" i="2"/>
  <c r="T558" i="2"/>
  <c r="P318" i="2"/>
  <c r="T318" i="2"/>
  <c r="P286" i="2"/>
  <c r="T286" i="2"/>
  <c r="P222" i="2"/>
  <c r="T222" i="2"/>
  <c r="P126" i="2"/>
  <c r="T126" i="2"/>
  <c r="P30" i="2"/>
  <c r="T30" i="2"/>
  <c r="P973" i="2"/>
  <c r="T973" i="2"/>
  <c r="P893" i="2"/>
  <c r="T893" i="2"/>
  <c r="P797" i="2"/>
  <c r="T797" i="2"/>
  <c r="P765" i="2"/>
  <c r="T765" i="2"/>
  <c r="P717" i="2"/>
  <c r="T717" i="2"/>
  <c r="P685" i="2"/>
  <c r="T685" i="2"/>
  <c r="P621" i="2"/>
  <c r="T621" i="2"/>
  <c r="P589" i="2"/>
  <c r="T589" i="2"/>
  <c r="P541" i="2"/>
  <c r="T541" i="2"/>
  <c r="P381" i="2"/>
  <c r="T381" i="2"/>
  <c r="P301" i="2"/>
  <c r="T301" i="2"/>
  <c r="P269" i="2"/>
  <c r="T269" i="2"/>
  <c r="P221" i="2"/>
  <c r="T221" i="2"/>
  <c r="T830" i="2"/>
  <c r="P910" i="2"/>
  <c r="T910" i="2"/>
  <c r="P814" i="2"/>
  <c r="T814" i="2"/>
  <c r="P718" i="2"/>
  <c r="T718" i="2"/>
  <c r="P494" i="2"/>
  <c r="T494" i="2"/>
  <c r="P462" i="2"/>
  <c r="T462" i="2"/>
  <c r="P382" i="2"/>
  <c r="T382" i="2"/>
  <c r="P190" i="2"/>
  <c r="T190" i="2"/>
  <c r="P94" i="2"/>
  <c r="T94" i="2"/>
  <c r="P62" i="2"/>
  <c r="T62" i="2"/>
  <c r="P109" i="2"/>
  <c r="T109" i="2"/>
  <c r="P77" i="2"/>
  <c r="T77" i="2"/>
  <c r="P29" i="2"/>
  <c r="T29" i="2"/>
  <c r="T606" i="2"/>
  <c r="P974" i="2"/>
  <c r="T974" i="2"/>
  <c r="P750" i="2"/>
  <c r="T750" i="2"/>
  <c r="P478" i="2"/>
  <c r="T478" i="2"/>
  <c r="P430" i="2"/>
  <c r="T430" i="2"/>
  <c r="P398" i="2"/>
  <c r="T398" i="2"/>
  <c r="P350" i="2"/>
  <c r="T350" i="2"/>
  <c r="P254" i="2"/>
  <c r="T254" i="2"/>
  <c r="P158" i="2"/>
  <c r="T158" i="2"/>
  <c r="P989" i="2"/>
  <c r="T989" i="2"/>
  <c r="P941" i="2"/>
  <c r="T941" i="2"/>
  <c r="P669" i="2"/>
  <c r="T669" i="2"/>
  <c r="P461" i="2"/>
  <c r="T461" i="2"/>
  <c r="P429" i="2"/>
  <c r="T429" i="2"/>
  <c r="P333" i="2"/>
  <c r="T333" i="2"/>
  <c r="P189" i="2"/>
  <c r="T189" i="2"/>
  <c r="T734" i="2"/>
  <c r="T638" i="2"/>
  <c r="T862" i="2"/>
  <c r="T574" i="2"/>
  <c r="T946" i="2"/>
  <c r="T914" i="2"/>
  <c r="T850" i="2"/>
  <c r="T786" i="2"/>
  <c r="T722" i="2"/>
  <c r="T658" i="2"/>
  <c r="T594" i="2"/>
  <c r="T530" i="2"/>
  <c r="T466" i="2"/>
  <c r="P983" i="2"/>
  <c r="T983" i="2"/>
  <c r="P967" i="2"/>
  <c r="T967" i="2"/>
  <c r="P935" i="2"/>
  <c r="T935" i="2"/>
  <c r="P903" i="2"/>
  <c r="T903" i="2"/>
  <c r="P839" i="2"/>
  <c r="T839" i="2"/>
  <c r="P807" i="2"/>
  <c r="T807" i="2"/>
  <c r="P711" i="2"/>
  <c r="T711" i="2"/>
  <c r="T976" i="2"/>
  <c r="P908" i="2"/>
  <c r="T908" i="2"/>
  <c r="P892" i="2"/>
  <c r="T892" i="2"/>
  <c r="P844" i="2"/>
  <c r="T844" i="2"/>
  <c r="P812" i="2"/>
  <c r="T812" i="2"/>
  <c r="P796" i="2"/>
  <c r="T796" i="2"/>
  <c r="P764" i="2"/>
  <c r="T764" i="2"/>
  <c r="P748" i="2"/>
  <c r="T748" i="2"/>
  <c r="P716" i="2"/>
  <c r="T716" i="2"/>
  <c r="P668" i="2"/>
  <c r="T668" i="2"/>
  <c r="P620" i="2"/>
  <c r="T620" i="2"/>
  <c r="P588" i="2"/>
  <c r="T588" i="2"/>
  <c r="P556" i="2"/>
  <c r="T556" i="2"/>
  <c r="P540" i="2"/>
  <c r="T540" i="2"/>
  <c r="P508" i="2"/>
  <c r="T508" i="2"/>
  <c r="P476" i="2"/>
  <c r="T476" i="2"/>
  <c r="P460" i="2"/>
  <c r="T460" i="2"/>
  <c r="P428" i="2"/>
  <c r="T428" i="2"/>
  <c r="P332" i="2"/>
  <c r="T332" i="2"/>
  <c r="P300" i="2"/>
  <c r="T300" i="2"/>
  <c r="P220" i="2"/>
  <c r="T220" i="2"/>
  <c r="P28" i="2"/>
  <c r="T28" i="2"/>
  <c r="P953" i="2"/>
  <c r="T953" i="2"/>
  <c r="P745" i="2"/>
  <c r="T745" i="2"/>
  <c r="P713" i="2"/>
  <c r="T713" i="2"/>
  <c r="T978" i="2"/>
  <c r="T882" i="2"/>
  <c r="T818" i="2"/>
  <c r="T754" i="2"/>
  <c r="T690" i="2"/>
  <c r="T626" i="2"/>
  <c r="T562" i="2"/>
  <c r="T498" i="2"/>
  <c r="P919" i="2"/>
  <c r="T919" i="2"/>
  <c r="P887" i="2"/>
  <c r="T887" i="2"/>
  <c r="P791" i="2"/>
  <c r="T791" i="2"/>
  <c r="P759" i="2"/>
  <c r="T759" i="2"/>
  <c r="P727" i="2"/>
  <c r="T727" i="2"/>
  <c r="P663" i="2"/>
  <c r="T663" i="2"/>
  <c r="P631" i="2"/>
  <c r="T631" i="2"/>
  <c r="P615" i="2"/>
  <c r="T615" i="2"/>
  <c r="P583" i="2"/>
  <c r="T583" i="2"/>
  <c r="P551" i="2"/>
  <c r="T551" i="2"/>
  <c r="P535" i="2"/>
  <c r="T535" i="2"/>
  <c r="T944" i="2"/>
  <c r="P980" i="2"/>
  <c r="T980" i="2"/>
  <c r="P948" i="2"/>
  <c r="T948" i="2"/>
  <c r="P932" i="2"/>
  <c r="T932" i="2"/>
  <c r="P916" i="2"/>
  <c r="T916" i="2"/>
  <c r="P884" i="2"/>
  <c r="T884" i="2"/>
  <c r="P852" i="2"/>
  <c r="T852" i="2"/>
  <c r="P836" i="2"/>
  <c r="T836" i="2"/>
  <c r="P804" i="2"/>
  <c r="T804" i="2"/>
  <c r="P772" i="2"/>
  <c r="T772" i="2"/>
  <c r="P756" i="2"/>
  <c r="T756" i="2"/>
  <c r="P692" i="2"/>
  <c r="T692" i="2"/>
  <c r="P676" i="2"/>
  <c r="T676" i="2"/>
  <c r="P660" i="2"/>
  <c r="T660" i="2"/>
  <c r="P628" i="2"/>
  <c r="T628" i="2"/>
  <c r="P596" i="2"/>
  <c r="T596" i="2"/>
  <c r="P580" i="2"/>
  <c r="T580" i="2"/>
  <c r="P548" i="2"/>
  <c r="T548" i="2"/>
  <c r="P516" i="2"/>
  <c r="T516" i="2"/>
  <c r="P500" i="2"/>
  <c r="T500" i="2"/>
  <c r="P436" i="2"/>
  <c r="T436" i="2"/>
  <c r="P420" i="2"/>
  <c r="T420" i="2"/>
  <c r="P404" i="2"/>
  <c r="T404" i="2"/>
  <c r="P372" i="2"/>
  <c r="T372" i="2"/>
  <c r="P340" i="2"/>
  <c r="T340" i="2"/>
  <c r="P308" i="2"/>
  <c r="T308" i="2"/>
  <c r="P276" i="2"/>
  <c r="T276" i="2"/>
  <c r="P244" i="2"/>
  <c r="T244" i="2"/>
  <c r="P212" i="2"/>
  <c r="T212" i="2"/>
  <c r="P180" i="2"/>
  <c r="T180" i="2"/>
  <c r="P148" i="2"/>
  <c r="T148" i="2"/>
  <c r="P116" i="2"/>
  <c r="T116" i="2"/>
  <c r="P84" i="2"/>
  <c r="T84" i="2"/>
  <c r="P52" i="2"/>
  <c r="T52" i="2"/>
  <c r="P20" i="2"/>
  <c r="T20" i="2"/>
  <c r="T714" i="2"/>
  <c r="T618" i="2"/>
  <c r="T304" i="2"/>
  <c r="T176" i="2"/>
  <c r="T96" i="2"/>
  <c r="T21" i="2"/>
  <c r="P330" i="2"/>
  <c r="T330" i="2"/>
  <c r="P298" i="2"/>
  <c r="T298" i="2"/>
  <c r="P418" i="2"/>
  <c r="T418" i="2"/>
  <c r="P972" i="2"/>
  <c r="T972" i="2"/>
  <c r="P940" i="2"/>
  <c r="T940" i="2"/>
  <c r="P380" i="2"/>
  <c r="T380" i="2"/>
  <c r="P268" i="2"/>
  <c r="T268" i="2"/>
  <c r="P188" i="2"/>
  <c r="T188" i="2"/>
  <c r="P108" i="2"/>
  <c r="T108" i="2"/>
  <c r="P76" i="2"/>
  <c r="T76" i="2"/>
  <c r="P434" i="2"/>
  <c r="T434" i="2"/>
  <c r="P402" i="2"/>
  <c r="T402" i="2"/>
  <c r="P386" i="2"/>
  <c r="T386" i="2"/>
  <c r="P370" i="2"/>
  <c r="T370" i="2"/>
  <c r="P354" i="2"/>
  <c r="T354" i="2"/>
  <c r="P338" i="2"/>
  <c r="T338" i="2"/>
  <c r="P322" i="2"/>
  <c r="T322" i="2"/>
  <c r="P306" i="2"/>
  <c r="T306" i="2"/>
  <c r="P290" i="2"/>
  <c r="T290" i="2"/>
  <c r="P274" i="2"/>
  <c r="T274" i="2"/>
  <c r="P258" i="2"/>
  <c r="T258" i="2"/>
  <c r="P242" i="2"/>
  <c r="T242" i="2"/>
  <c r="P226" i="2"/>
  <c r="T226" i="2"/>
  <c r="P210" i="2"/>
  <c r="T210" i="2"/>
  <c r="P194" i="2"/>
  <c r="T194" i="2"/>
  <c r="P178" i="2"/>
  <c r="T178" i="2"/>
  <c r="P162" i="2"/>
  <c r="T162" i="2"/>
  <c r="P146" i="2"/>
  <c r="T146" i="2"/>
  <c r="P130" i="2"/>
  <c r="T130" i="2"/>
  <c r="P993" i="2"/>
  <c r="T993" i="2"/>
  <c r="P977" i="2"/>
  <c r="T977" i="2"/>
  <c r="P961" i="2"/>
  <c r="T961" i="2"/>
  <c r="P945" i="2"/>
  <c r="T945" i="2"/>
  <c r="P929" i="2"/>
  <c r="T929" i="2"/>
  <c r="P913" i="2"/>
  <c r="T913" i="2"/>
  <c r="P897" i="2"/>
  <c r="T897" i="2"/>
  <c r="P881" i="2"/>
  <c r="T881" i="2"/>
  <c r="P865" i="2"/>
  <c r="T865" i="2"/>
  <c r="P849" i="2"/>
  <c r="T849" i="2"/>
  <c r="P833" i="2"/>
  <c r="T833" i="2"/>
  <c r="P817" i="2"/>
  <c r="T817" i="2"/>
  <c r="P801" i="2"/>
  <c r="T801" i="2"/>
  <c r="P785" i="2"/>
  <c r="T785" i="2"/>
  <c r="P769" i="2"/>
  <c r="T769" i="2"/>
  <c r="P753" i="2"/>
  <c r="T753" i="2"/>
  <c r="P737" i="2"/>
  <c r="T737" i="2"/>
  <c r="P721" i="2"/>
  <c r="T721" i="2"/>
  <c r="P705" i="2"/>
  <c r="T705" i="2"/>
  <c r="P689" i="2"/>
  <c r="T689" i="2"/>
  <c r="P673" i="2"/>
  <c r="T673" i="2"/>
  <c r="P657" i="2"/>
  <c r="T657" i="2"/>
  <c r="P641" i="2"/>
  <c r="T641" i="2"/>
  <c r="P625" i="2"/>
  <c r="T625" i="2"/>
  <c r="P609" i="2"/>
  <c r="T609" i="2"/>
  <c r="P593" i="2"/>
  <c r="T593" i="2"/>
  <c r="P577" i="2"/>
  <c r="T577" i="2"/>
  <c r="P561" i="2"/>
  <c r="T561" i="2"/>
  <c r="P545" i="2"/>
  <c r="T545" i="2"/>
  <c r="P529" i="2"/>
  <c r="T529" i="2"/>
  <c r="P513" i="2"/>
  <c r="T513" i="2"/>
  <c r="P497" i="2"/>
  <c r="T497" i="2"/>
  <c r="P481" i="2"/>
  <c r="T481" i="2"/>
  <c r="P465" i="2"/>
  <c r="T465" i="2"/>
  <c r="P449" i="2"/>
  <c r="T449" i="2"/>
  <c r="P433" i="2"/>
  <c r="T433" i="2"/>
  <c r="P417" i="2"/>
  <c r="T417" i="2"/>
  <c r="P401" i="2"/>
  <c r="T401" i="2"/>
  <c r="P385" i="2"/>
  <c r="T385" i="2"/>
  <c r="P369" i="2"/>
  <c r="T369" i="2"/>
  <c r="P353" i="2"/>
  <c r="T353" i="2"/>
  <c r="P337" i="2"/>
  <c r="T337" i="2"/>
  <c r="P321" i="2"/>
  <c r="T321" i="2"/>
  <c r="P305" i="2"/>
  <c r="T305" i="2"/>
  <c r="P289" i="2"/>
  <c r="T289" i="2"/>
  <c r="P273" i="2"/>
  <c r="T273" i="2"/>
  <c r="P257" i="2"/>
  <c r="T257" i="2"/>
  <c r="P241" i="2"/>
  <c r="T241" i="2"/>
  <c r="P225" i="2"/>
  <c r="T225" i="2"/>
  <c r="P209" i="2"/>
  <c r="T209" i="2"/>
  <c r="P193" i="2"/>
  <c r="T193" i="2"/>
  <c r="P177" i="2"/>
  <c r="T177" i="2"/>
  <c r="P161" i="2"/>
  <c r="T161" i="2"/>
  <c r="P145" i="2"/>
  <c r="T145" i="2"/>
  <c r="P129" i="2"/>
  <c r="T129" i="2"/>
  <c r="P113" i="2"/>
  <c r="T113" i="2"/>
  <c r="P97" i="2"/>
  <c r="T97" i="2"/>
  <c r="P81" i="2"/>
  <c r="T81" i="2"/>
  <c r="P65" i="2"/>
  <c r="T65" i="2"/>
  <c r="P49" i="2"/>
  <c r="T49" i="2"/>
  <c r="P33" i="2"/>
  <c r="T33" i="2"/>
  <c r="P16" i="2"/>
  <c r="T16" i="2"/>
  <c r="T994" i="2"/>
  <c r="T962" i="2"/>
  <c r="T930" i="2"/>
  <c r="T898" i="2"/>
  <c r="T866" i="2"/>
  <c r="T834" i="2"/>
  <c r="T802" i="2"/>
  <c r="T770" i="2"/>
  <c r="T738" i="2"/>
  <c r="T706" i="2"/>
  <c r="T674" i="2"/>
  <c r="T642" i="2"/>
  <c r="T610" i="2"/>
  <c r="T578" i="2"/>
  <c r="T546" i="2"/>
  <c r="T514" i="2"/>
  <c r="T482" i="2"/>
  <c r="T450" i="2"/>
  <c r="T336" i="2"/>
  <c r="T208" i="2"/>
  <c r="P15" i="2"/>
  <c r="T15" i="2"/>
  <c r="T992" i="2"/>
  <c r="T960" i="2"/>
  <c r="T928" i="2"/>
  <c r="T896" i="2"/>
  <c r="T864" i="2"/>
  <c r="T832" i="2"/>
  <c r="T800" i="2"/>
  <c r="T768" i="2"/>
  <c r="T736" i="2"/>
  <c r="T704" i="2"/>
  <c r="T672" i="2"/>
  <c r="T640" i="2"/>
  <c r="T608" i="2"/>
  <c r="T576" i="2"/>
  <c r="T544" i="2"/>
  <c r="T512" i="2"/>
  <c r="T480" i="2"/>
  <c r="T448" i="2"/>
  <c r="T335" i="2"/>
  <c r="T207" i="2"/>
  <c r="T48" i="2"/>
  <c r="T17" i="2"/>
  <c r="T891" i="2"/>
  <c r="T619" i="2"/>
  <c r="T299" i="2"/>
  <c r="T267" i="2"/>
  <c r="T123" i="2"/>
  <c r="T503" i="2"/>
  <c r="T471" i="2"/>
  <c r="T455" i="2"/>
  <c r="T423" i="2"/>
  <c r="T407" i="2"/>
  <c r="T375" i="2"/>
  <c r="T343" i="2"/>
  <c r="T311" i="2"/>
  <c r="T295" i="2"/>
  <c r="T263" i="2"/>
  <c r="T247" i="2"/>
  <c r="T215" i="2"/>
  <c r="T183" i="2"/>
  <c r="T151" i="2"/>
  <c r="T119" i="2"/>
  <c r="T103" i="2"/>
  <c r="T71" i="2"/>
  <c r="T55" i="2"/>
  <c r="T39" i="2"/>
  <c r="T5" i="2"/>
  <c r="P999" i="2"/>
  <c r="P871" i="2"/>
  <c r="P743" i="2"/>
  <c r="P679" i="2"/>
  <c r="P647" i="2"/>
  <c r="P439" i="2"/>
  <c r="P359" i="2"/>
  <c r="P279" i="2"/>
  <c r="P231" i="2"/>
  <c r="P199" i="2"/>
  <c r="P167" i="2"/>
  <c r="P135" i="2"/>
  <c r="P7" i="2"/>
  <c r="P998" i="2"/>
  <c r="P822" i="2"/>
  <c r="P790" i="2"/>
  <c r="P774" i="2"/>
  <c r="P742" i="2"/>
  <c r="P678" i="2"/>
  <c r="P598" i="2"/>
  <c r="P566" i="2"/>
  <c r="P438" i="2"/>
  <c r="P278" i="2"/>
  <c r="P86" i="2"/>
  <c r="P22" i="2"/>
  <c r="P954" i="2"/>
  <c r="P922" i="2"/>
  <c r="P951" i="2"/>
  <c r="P855" i="2"/>
  <c r="P823" i="2"/>
  <c r="P775" i="2"/>
  <c r="P695" i="2"/>
  <c r="P599" i="2"/>
  <c r="P567" i="2"/>
  <c r="P519" i="2"/>
  <c r="P487" i="2"/>
  <c r="P391" i="2"/>
  <c r="P327" i="2"/>
  <c r="P87" i="2"/>
  <c r="P23" i="2"/>
  <c r="P950" i="2"/>
  <c r="P870" i="2"/>
  <c r="P726" i="2"/>
  <c r="P694" i="2"/>
  <c r="P646" i="2"/>
  <c r="P614" i="2"/>
  <c r="P518" i="2"/>
  <c r="P486" i="2"/>
  <c r="P454" i="2"/>
  <c r="P358" i="2"/>
  <c r="P326" i="2"/>
  <c r="P198" i="2"/>
  <c r="P166" i="2"/>
  <c r="P134" i="2"/>
  <c r="P102" i="2"/>
  <c r="P6" i="2"/>
  <c r="P909" i="2"/>
  <c r="P861" i="2"/>
  <c r="P829" i="2"/>
  <c r="P813" i="2"/>
  <c r="P733" i="2"/>
  <c r="P653" i="2"/>
  <c r="P637" i="2"/>
  <c r="P605" i="2"/>
  <c r="P573" i="2"/>
  <c r="P557" i="2"/>
  <c r="P525" i="2"/>
  <c r="P509" i="2"/>
  <c r="P493" i="2"/>
  <c r="P477" i="2"/>
  <c r="P445" i="2"/>
  <c r="P413" i="2"/>
  <c r="P397" i="2"/>
  <c r="P365" i="2"/>
  <c r="P349" i="2"/>
  <c r="P317" i="2"/>
  <c r="P285" i="2"/>
  <c r="P253" i="2"/>
  <c r="P237" i="2"/>
  <c r="P205" i="2"/>
  <c r="P173" i="2"/>
  <c r="P157" i="2"/>
  <c r="P141" i="2"/>
  <c r="P125" i="2"/>
  <c r="P93" i="2"/>
  <c r="P61" i="2"/>
  <c r="P45" i="2"/>
  <c r="P13" i="2"/>
  <c r="P988" i="2"/>
  <c r="P876" i="2"/>
  <c r="P860" i="2"/>
  <c r="P828" i="2"/>
  <c r="P780" i="2"/>
  <c r="P732" i="2"/>
  <c r="P700" i="2"/>
  <c r="P684" i="2"/>
  <c r="P652" i="2"/>
  <c r="P636" i="2"/>
  <c r="P604" i="2"/>
  <c r="P572" i="2"/>
  <c r="P524" i="2"/>
  <c r="P492" i="2"/>
  <c r="P444" i="2"/>
  <c r="P412" i="2"/>
  <c r="P396" i="2"/>
  <c r="P364" i="2"/>
  <c r="P348" i="2"/>
  <c r="P316" i="2"/>
  <c r="P284" i="2"/>
  <c r="P252" i="2"/>
  <c r="P236" i="2"/>
  <c r="P204" i="2"/>
  <c r="P172" i="2"/>
  <c r="P156" i="2"/>
  <c r="P140" i="2"/>
  <c r="P124" i="2"/>
  <c r="P92" i="2"/>
  <c r="P60" i="2"/>
  <c r="P44" i="2"/>
  <c r="P12" i="2"/>
  <c r="P987" i="2"/>
  <c r="P955" i="2"/>
  <c r="P923" i="2"/>
  <c r="P443" i="2"/>
  <c r="P1001" i="2"/>
  <c r="P985" i="2"/>
  <c r="P969" i="2"/>
  <c r="P937" i="2"/>
  <c r="P921" i="2"/>
  <c r="P905" i="2"/>
  <c r="P889" i="2"/>
  <c r="P873" i="2"/>
  <c r="P857" i="2"/>
  <c r="P841" i="2"/>
  <c r="P825" i="2"/>
  <c r="P809" i="2"/>
  <c r="P793" i="2"/>
  <c r="P777" i="2"/>
  <c r="P761" i="2"/>
  <c r="P729" i="2"/>
  <c r="P697" i="2"/>
  <c r="P681" i="2"/>
  <c r="P665" i="2"/>
  <c r="P649" i="2"/>
  <c r="P633" i="2"/>
  <c r="P617" i="2"/>
  <c r="P601" i="2"/>
  <c r="P585" i="2"/>
  <c r="P569" i="2"/>
  <c r="P553" i="2"/>
  <c r="P537" i="2"/>
  <c r="P521" i="2"/>
  <c r="P505" i="2"/>
  <c r="P489" i="2"/>
  <c r="P473" i="2"/>
  <c r="P457" i="2"/>
  <c r="P441" i="2"/>
  <c r="P425" i="2"/>
  <c r="P409" i="2"/>
  <c r="P393" i="2"/>
  <c r="P377" i="2"/>
  <c r="P361" i="2"/>
  <c r="P345" i="2"/>
  <c r="P329" i="2"/>
  <c r="P313" i="2"/>
  <c r="P297" i="2"/>
  <c r="P281" i="2"/>
  <c r="P265" i="2"/>
  <c r="P249" i="2"/>
  <c r="P233" i="2"/>
  <c r="P217" i="2"/>
  <c r="P201" i="2"/>
  <c r="P185" i="2"/>
  <c r="P169" i="2"/>
  <c r="P153" i="2"/>
  <c r="P137" i="2"/>
  <c r="P121" i="2"/>
  <c r="P105" i="2"/>
  <c r="P89" i="2"/>
  <c r="P73" i="2"/>
  <c r="P57" i="2"/>
  <c r="P41" i="2"/>
  <c r="P25" i="2"/>
  <c r="P9" i="2"/>
  <c r="P1000" i="2"/>
  <c r="P984" i="2"/>
  <c r="P968" i="2"/>
  <c r="P952" i="2"/>
  <c r="P936" i="2"/>
  <c r="P920" i="2"/>
  <c r="P904" i="2"/>
  <c r="P888" i="2"/>
  <c r="P872" i="2"/>
  <c r="P856" i="2"/>
  <c r="P840" i="2"/>
  <c r="P824" i="2"/>
  <c r="P808" i="2"/>
  <c r="P792" i="2"/>
  <c r="P776" i="2"/>
  <c r="P760" i="2"/>
  <c r="P744" i="2"/>
  <c r="P728" i="2"/>
  <c r="P712" i="2"/>
  <c r="P696" i="2"/>
  <c r="P680" i="2"/>
  <c r="P664" i="2"/>
  <c r="P648" i="2"/>
  <c r="P632" i="2"/>
  <c r="P616" i="2"/>
  <c r="P600" i="2"/>
  <c r="P584" i="2"/>
  <c r="P568" i="2"/>
  <c r="P552" i="2"/>
  <c r="P536" i="2"/>
  <c r="P520" i="2"/>
  <c r="P504" i="2"/>
  <c r="P488" i="2"/>
  <c r="P472" i="2"/>
  <c r="P456" i="2"/>
  <c r="P440" i="2"/>
  <c r="P424" i="2"/>
  <c r="P408" i="2"/>
  <c r="P392" i="2"/>
  <c r="P376" i="2"/>
  <c r="P360" i="2"/>
  <c r="P344" i="2"/>
  <c r="P328" i="2"/>
  <c r="P312" i="2"/>
  <c r="P296" i="2"/>
  <c r="P280" i="2"/>
  <c r="P264" i="2"/>
  <c r="P248" i="2"/>
  <c r="P232" i="2"/>
  <c r="P216" i="2"/>
  <c r="P200" i="2"/>
  <c r="P184" i="2"/>
  <c r="P168" i="2"/>
  <c r="P152" i="2"/>
  <c r="P136" i="2"/>
  <c r="P120" i="2"/>
  <c r="P104" i="2"/>
  <c r="P88" i="2"/>
  <c r="P72" i="2"/>
  <c r="P56" i="2"/>
  <c r="P40" i="2"/>
  <c r="P24" i="2"/>
  <c r="P8" i="2"/>
  <c r="P971" i="2"/>
  <c r="P939" i="2"/>
  <c r="P907" i="2"/>
  <c r="P875" i="2"/>
  <c r="P859" i="2"/>
  <c r="P843" i="2"/>
  <c r="P827" i="2"/>
  <c r="P811" i="2"/>
  <c r="P795" i="2"/>
  <c r="P779" i="2"/>
  <c r="P763" i="2"/>
  <c r="P747" i="2"/>
  <c r="P731" i="2"/>
  <c r="P715" i="2"/>
  <c r="P699" i="2"/>
  <c r="P683" i="2"/>
  <c r="P667" i="2"/>
  <c r="P651" i="2"/>
  <c r="P635" i="2"/>
  <c r="P603" i="2"/>
  <c r="P587" i="2"/>
  <c r="P571" i="2"/>
  <c r="P555" i="2"/>
  <c r="P539" i="2"/>
  <c r="P523" i="2"/>
  <c r="P507" i="2"/>
  <c r="P491" i="2"/>
  <c r="P475" i="2"/>
  <c r="P459" i="2"/>
  <c r="P427" i="2"/>
  <c r="P411" i="2"/>
  <c r="P395" i="2"/>
  <c r="P379" i="2"/>
  <c r="P363" i="2"/>
  <c r="P347" i="2"/>
  <c r="P331" i="2"/>
  <c r="P315" i="2"/>
  <c r="P283" i="2"/>
  <c r="P251" i="2"/>
  <c r="P235" i="2"/>
  <c r="P219" i="2"/>
  <c r="P203" i="2"/>
  <c r="P187" i="2"/>
  <c r="P171" i="2"/>
  <c r="P155" i="2"/>
  <c r="P139" i="2"/>
  <c r="P107" i="2"/>
  <c r="P91" i="2"/>
  <c r="P75" i="2"/>
  <c r="P59" i="2"/>
  <c r="P43" i="2"/>
  <c r="P27" i="2"/>
  <c r="P11" i="2"/>
  <c r="P986" i="2"/>
  <c r="P970" i="2"/>
  <c r="P938" i="2"/>
  <c r="P906" i="2"/>
  <c r="P890" i="2"/>
  <c r="P874" i="2"/>
  <c r="P858" i="2"/>
  <c r="P842" i="2"/>
  <c r="P826" i="2"/>
  <c r="P810" i="2"/>
  <c r="P794" i="2"/>
  <c r="P778" i="2"/>
  <c r="P762" i="2"/>
  <c r="P746" i="2"/>
  <c r="P730" i="2"/>
  <c r="P698" i="2"/>
  <c r="P682" i="2"/>
  <c r="P666" i="2"/>
  <c r="P650" i="2"/>
  <c r="P634" i="2"/>
  <c r="P602" i="2"/>
  <c r="P586" i="2"/>
  <c r="P570" i="2"/>
  <c r="P554" i="2"/>
  <c r="P538" i="2"/>
  <c r="P522" i="2"/>
  <c r="P506" i="2"/>
  <c r="P490" i="2"/>
  <c r="P474" i="2"/>
  <c r="P458" i="2"/>
  <c r="P442" i="2"/>
  <c r="P426" i="2"/>
  <c r="P410" i="2"/>
  <c r="P394" i="2"/>
  <c r="P378" i="2"/>
  <c r="P362" i="2"/>
  <c r="P346" i="2"/>
  <c r="P314" i="2"/>
  <c r="P282" i="2"/>
  <c r="P266" i="2"/>
  <c r="P250" i="2"/>
  <c r="P234" i="2"/>
  <c r="P218" i="2"/>
  <c r="P202" i="2"/>
  <c r="P186" i="2"/>
  <c r="P170" i="2"/>
  <c r="P154" i="2"/>
  <c r="P138" i="2"/>
  <c r="P122" i="2"/>
  <c r="P106" i="2"/>
  <c r="P90" i="2"/>
  <c r="P74" i="2"/>
  <c r="P58" i="2"/>
  <c r="P42" i="2"/>
  <c r="P26" i="2"/>
  <c r="P10" i="2"/>
  <c r="P325" i="2"/>
  <c r="P261" i="2"/>
  <c r="P997" i="2"/>
  <c r="P965" i="2"/>
  <c r="P917" i="2"/>
  <c r="P885" i="2"/>
  <c r="P821" i="2"/>
  <c r="P789" i="2"/>
  <c r="P197" i="2"/>
  <c r="P133" i="2"/>
  <c r="P69" i="2"/>
  <c r="P996" i="2"/>
  <c r="P964" i="2"/>
  <c r="P900" i="2"/>
  <c r="P868" i="2"/>
  <c r="P820" i="2"/>
  <c r="P788" i="2"/>
  <c r="P740" i="2"/>
  <c r="P724" i="2"/>
  <c r="P708" i="2"/>
  <c r="P644" i="2"/>
  <c r="P612" i="2"/>
  <c r="P564" i="2"/>
  <c r="P532" i="2"/>
  <c r="P484" i="2"/>
  <c r="P468" i="2"/>
  <c r="P452" i="2"/>
  <c r="P388" i="2"/>
  <c r="P356" i="2"/>
  <c r="P324" i="2"/>
  <c r="P292" i="2"/>
  <c r="P260" i="2"/>
  <c r="P228" i="2"/>
  <c r="P196" i="2"/>
  <c r="P164" i="2"/>
  <c r="P132" i="2"/>
  <c r="P100" i="2"/>
  <c r="P68" i="2"/>
  <c r="P36" i="2"/>
  <c r="P4" i="2"/>
  <c r="P995" i="2"/>
  <c r="P979" i="2"/>
  <c r="P963" i="2"/>
  <c r="P947" i="2"/>
  <c r="P931" i="2"/>
  <c r="P915" i="2"/>
  <c r="P899" i="2"/>
  <c r="P883" i="2"/>
  <c r="P867" i="2"/>
  <c r="P851" i="2"/>
  <c r="P835" i="2"/>
  <c r="P819" i="2"/>
  <c r="P803" i="2"/>
  <c r="P787" i="2"/>
  <c r="P771" i="2"/>
  <c r="P755" i="2"/>
  <c r="P739" i="2"/>
  <c r="P723" i="2"/>
  <c r="P707" i="2"/>
  <c r="P691" i="2"/>
  <c r="P675" i="2"/>
  <c r="P659" i="2"/>
  <c r="P643" i="2"/>
  <c r="P627" i="2"/>
  <c r="P611" i="2"/>
  <c r="P595" i="2"/>
  <c r="P579" i="2"/>
  <c r="P563" i="2"/>
  <c r="P547" i="2"/>
  <c r="P531" i="2"/>
  <c r="P515" i="2"/>
  <c r="P499" i="2"/>
  <c r="P483" i="2"/>
  <c r="P467" i="2"/>
  <c r="P451" i="2"/>
  <c r="P435" i="2"/>
  <c r="P419" i="2"/>
  <c r="P403" i="2"/>
  <c r="P387" i="2"/>
  <c r="P371" i="2"/>
  <c r="P355" i="2"/>
  <c r="P339" i="2"/>
  <c r="P323" i="2"/>
  <c r="P307" i="2"/>
  <c r="P291" i="2"/>
  <c r="P275" i="2"/>
  <c r="P259" i="2"/>
  <c r="P243" i="2"/>
  <c r="P227" i="2"/>
  <c r="P211" i="2"/>
  <c r="P195" i="2"/>
  <c r="P179" i="2"/>
  <c r="P163" i="2"/>
  <c r="P147" i="2"/>
  <c r="P131" i="2"/>
  <c r="P115" i="2"/>
  <c r="P99" i="2"/>
  <c r="P83" i="2"/>
  <c r="P67" i="2"/>
  <c r="P51" i="2"/>
  <c r="P35" i="2"/>
  <c r="P19" i="2"/>
  <c r="P3" i="2"/>
  <c r="P975" i="2"/>
  <c r="P943" i="2"/>
  <c r="P879" i="2"/>
  <c r="P847" i="2"/>
  <c r="P799" i="2"/>
  <c r="P767" i="2"/>
  <c r="P719" i="2"/>
  <c r="P703" i="2"/>
  <c r="P687" i="2"/>
  <c r="P623" i="2"/>
  <c r="P591" i="2"/>
  <c r="P543" i="2"/>
  <c r="P511" i="2"/>
  <c r="P463" i="2"/>
  <c r="P447" i="2"/>
  <c r="P431" i="2"/>
  <c r="P367" i="2"/>
  <c r="P303" i="2"/>
  <c r="P958" i="2"/>
  <c r="P926" i="2"/>
  <c r="P878" i="2"/>
  <c r="P846" i="2"/>
  <c r="P798" i="2"/>
  <c r="P782" i="2"/>
  <c r="P766" i="2"/>
  <c r="P702" i="2"/>
  <c r="P670" i="2"/>
  <c r="P622" i="2"/>
  <c r="P590" i="2"/>
  <c r="P542" i="2"/>
  <c r="P526" i="2"/>
  <c r="P510" i="2"/>
  <c r="P446" i="2"/>
  <c r="P414" i="2"/>
  <c r="P366" i="2"/>
  <c r="P334" i="2"/>
  <c r="P302" i="2"/>
  <c r="P270" i="2"/>
  <c r="P238" i="2"/>
  <c r="P206" i="2"/>
  <c r="P174" i="2"/>
  <c r="P142" i="2"/>
  <c r="P110" i="2"/>
  <c r="P78" i="2"/>
  <c r="P46" i="2"/>
  <c r="P14" i="2"/>
  <c r="P877" i="2"/>
  <c r="P845" i="2"/>
  <c r="P749" i="2"/>
  <c r="P741" i="2"/>
  <c r="P709" i="2"/>
  <c r="P661" i="2"/>
  <c r="P645" i="2"/>
  <c r="P629" i="2"/>
  <c r="P565" i="2"/>
  <c r="P533" i="2"/>
  <c r="P485" i="2"/>
  <c r="P453" i="2"/>
  <c r="P405" i="2"/>
  <c r="P389" i="2"/>
  <c r="P373" i="2"/>
  <c r="P957" i="2"/>
  <c r="P925" i="2"/>
  <c r="P781" i="2"/>
  <c r="P701" i="2"/>
  <c r="P956" i="2"/>
  <c r="P924" i="2"/>
  <c r="V17" i="4"/>
  <c r="V15" i="4"/>
  <c r="V13" i="4"/>
  <c r="V12" i="4"/>
  <c r="V10" i="4"/>
  <c r="V9" i="4"/>
  <c r="V8" i="4"/>
  <c r="V14" i="4"/>
  <c r="V4" i="4"/>
  <c r="V19" i="4"/>
  <c r="V3" i="4"/>
  <c r="V16" i="4"/>
  <c r="V11" i="4"/>
  <c r="V7" i="4"/>
  <c r="V6" i="4"/>
  <c r="V5" i="4"/>
  <c r="V18" i="4"/>
  <c r="V2" i="4"/>
  <c r="Q233" i="7" l="1"/>
  <c r="V233" i="7" s="1"/>
  <c r="T234" i="7"/>
  <c r="Q229" i="7"/>
  <c r="V229" i="7" s="1"/>
  <c r="Q232" i="7"/>
  <c r="V232" i="7" s="1"/>
  <c r="Q230" i="7"/>
  <c r="V230" i="7" s="1"/>
  <c r="Q225" i="7"/>
  <c r="V225" i="7" s="1"/>
  <c r="Q231" i="7"/>
  <c r="Q226" i="7"/>
  <c r="T226" i="7" s="1"/>
  <c r="Q227" i="7"/>
  <c r="T227" i="7" s="1"/>
  <c r="Q228" i="7"/>
  <c r="Q235" i="7"/>
  <c r="V235" i="7" s="1"/>
  <c r="Q236" i="7"/>
  <c r="V236" i="7" s="1"/>
  <c r="Q238" i="7"/>
  <c r="Q237" i="7"/>
  <c r="V237" i="7" s="1"/>
  <c r="U234" i="7"/>
  <c r="Q239" i="7"/>
  <c r="T230" i="7" l="1"/>
  <c r="U233" i="7"/>
  <c r="T236" i="7"/>
  <c r="T225" i="7"/>
  <c r="U235" i="7"/>
  <c r="T235" i="7"/>
  <c r="T233" i="7"/>
  <c r="V238" i="7"/>
  <c r="T238" i="7"/>
  <c r="U236" i="7"/>
  <c r="V228" i="7"/>
  <c r="U228" i="7"/>
  <c r="T229" i="7"/>
  <c r="U225" i="7"/>
  <c r="U238" i="7"/>
  <c r="V239" i="7"/>
  <c r="T239" i="7"/>
  <c r="V227" i="7"/>
  <c r="U227" i="7"/>
  <c r="U239" i="7"/>
  <c r="T237" i="7"/>
  <c r="V231" i="7"/>
  <c r="T231" i="7"/>
  <c r="T232" i="7"/>
  <c r="T228" i="7"/>
  <c r="V226" i="7"/>
  <c r="U226" i="7"/>
  <c r="U230" i="7"/>
  <c r="U232" i="7"/>
  <c r="U229" i="7"/>
  <c r="U237" i="7"/>
  <c r="U231"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<sst xmlns="http://schemas.openxmlformats.org/spreadsheetml/2006/main" count="43680" uniqueCount="3881">
  <si>
    <t>PO_ID</t>
  </si>
  <si>
    <t>Order_ID</t>
  </si>
  <si>
    <t>Actual_Delivery_Date</t>
  </si>
  <si>
    <t>Supplier_ID</t>
  </si>
  <si>
    <t>Supplier_Name</t>
  </si>
  <si>
    <t>Supplier_Country</t>
  </si>
  <si>
    <t>Buyer_Location</t>
  </si>
  <si>
    <t>Product_Category</t>
  </si>
  <si>
    <t>SKU</t>
  </si>
  <si>
    <t>Item_Description</t>
  </si>
  <si>
    <t>Unit_Cost</t>
  </si>
  <si>
    <t>Currency</t>
  </si>
  <si>
    <t>Order_Quantity</t>
  </si>
  <si>
    <t>Ordered_Value</t>
  </si>
  <si>
    <t>Defective_Units</t>
  </si>
  <si>
    <t>Defect_Rate</t>
  </si>
  <si>
    <t>Lead_Time_Days</t>
  </si>
  <si>
    <t>Promised_Lead_Time_Days</t>
  </si>
  <si>
    <t>Lead_Time_Variance_Days</t>
  </si>
  <si>
    <t>Delivery_Status</t>
  </si>
  <si>
    <t>Quality_Status</t>
  </si>
  <si>
    <t>Invoice_Status</t>
  </si>
  <si>
    <t>Payment_Terms</t>
  </si>
  <si>
    <t>Shipping_Mode</t>
  </si>
  <si>
    <t>Carrier</t>
  </si>
  <si>
    <t>Incoterm</t>
  </si>
  <si>
    <t>Rejection_Reason</t>
  </si>
  <si>
    <t>Supplier_Rating</t>
  </si>
  <si>
    <t>Data_Source</t>
  </si>
  <si>
    <t>Data_Quality_Notes</t>
  </si>
  <si>
    <t>PO-2026-00001</t>
  </si>
  <si>
    <t>ORD-585176</t>
  </si>
  <si>
    <t>SUP-007</t>
  </si>
  <si>
    <t>Dar Machinery Parts</t>
  </si>
  <si>
    <t>Lagos DC</t>
  </si>
  <si>
    <t>Machinery Parts</t>
  </si>
  <si>
    <t>SKU-MAC-466</t>
  </si>
  <si>
    <t>Hydraulic Hose</t>
  </si>
  <si>
    <t>KES</t>
  </si>
  <si>
    <t>Severely Delayed</t>
  </si>
  <si>
    <t>Accepted</t>
  </si>
  <si>
    <t>Pending</t>
  </si>
  <si>
    <t>Net 45</t>
  </si>
  <si>
    <t>Sea</t>
  </si>
  <si>
    <t>DDP</t>
  </si>
  <si>
    <t>Supplier Portal</t>
  </si>
  <si>
    <t>Late delivery</t>
  </si>
  <si>
    <t>ORD-317662</t>
  </si>
  <si>
    <t>SUP-009</t>
  </si>
  <si>
    <t>Kampala Warehouse</t>
  </si>
  <si>
    <t>Electronics</t>
  </si>
  <si>
    <t>SKU-ELE-426</t>
  </si>
  <si>
    <t>Power Adapter</t>
  </si>
  <si>
    <t>ZAR</t>
  </si>
  <si>
    <t>Rail</t>
  </si>
  <si>
    <t>Kuehne+Nagel</t>
  </si>
  <si>
    <t>EXW</t>
  </si>
  <si>
    <t>Legacy CSV</t>
  </si>
  <si>
    <t>PO-2026-00003</t>
  </si>
  <si>
    <t>ORD-541564</t>
  </si>
  <si>
    <t>SUP-014</t>
  </si>
  <si>
    <t>Accra Hub</t>
  </si>
  <si>
    <t>Industrial Supplies</t>
  </si>
  <si>
    <t>SKU-IND-171</t>
  </si>
  <si>
    <t>Filter Cartridge</t>
  </si>
  <si>
    <t>USD</t>
  </si>
  <si>
    <t>COD</t>
  </si>
  <si>
    <t>PO-2026-00004</t>
  </si>
  <si>
    <t>ORD-635943</t>
  </si>
  <si>
    <t>SUP-015</t>
  </si>
  <si>
    <t>Dar es Salaam Port</t>
  </si>
  <si>
    <t>Textiles</t>
  </si>
  <si>
    <t>SKU-TEX-310</t>
  </si>
  <si>
    <t>Polyester Roll</t>
  </si>
  <si>
    <t>Hold</t>
  </si>
  <si>
    <t>Damaged packaging</t>
  </si>
  <si>
    <t>Email Invoice</t>
  </si>
  <si>
    <t>Late delivery; Quality issue</t>
  </si>
  <si>
    <t>PO-2026-00005</t>
  </si>
  <si>
    <t>ORD-833742</t>
  </si>
  <si>
    <t>SUP-011</t>
  </si>
  <si>
    <t>Kigali Precision Tools</t>
  </si>
  <si>
    <t>Rwanda</t>
  </si>
  <si>
    <t>Kigali Assembly</t>
  </si>
  <si>
    <t>SKU-MAC-288</t>
  </si>
  <si>
    <t>Conveyor Belt</t>
  </si>
  <si>
    <t>GHS</t>
  </si>
  <si>
    <t>On Time</t>
  </si>
  <si>
    <t>Bollore Logistics</t>
  </si>
  <si>
    <t>ORD-660938</t>
  </si>
  <si>
    <t>SUP-004</t>
  </si>
  <si>
    <t>Nile Textiles Co.</t>
  </si>
  <si>
    <t>Abuja Plant</t>
  </si>
  <si>
    <t>SKU-IND-861</t>
  </si>
  <si>
    <t>Safety Gloves</t>
  </si>
  <si>
    <t>FOB</t>
  </si>
  <si>
    <t>Missing certificate</t>
  </si>
  <si>
    <t>Quality issue</t>
  </si>
  <si>
    <t>PO-2026-00007</t>
  </si>
  <si>
    <t>ORD-717922</t>
  </si>
  <si>
    <t>SUP-002</t>
  </si>
  <si>
    <t>Kentech Components</t>
  </si>
  <si>
    <t>Kenya</t>
  </si>
  <si>
    <t>SKU-ELE-698</t>
  </si>
  <si>
    <t>EGP</t>
  </si>
  <si>
    <t>Matched</t>
  </si>
  <si>
    <t>Net 30</t>
  </si>
  <si>
    <t>Courier</t>
  </si>
  <si>
    <t>ERP</t>
  </si>
  <si>
    <t>PO-2026-00008</t>
  </si>
  <si>
    <t>ORD-198520</t>
  </si>
  <si>
    <t>Kampala Packaging Hub</t>
  </si>
  <si>
    <t>Packaging</t>
  </si>
  <si>
    <t>SKU-PAC-104</t>
  </si>
  <si>
    <t>Corrugated Box</t>
  </si>
  <si>
    <t>API Feed</t>
  </si>
  <si>
    <t>PO-2026-00009</t>
  </si>
  <si>
    <t>ORD-346142</t>
  </si>
  <si>
    <t>SUP-005</t>
  </si>
  <si>
    <t>Cape Logistics Supplies</t>
  </si>
  <si>
    <t>Nairobi DC</t>
  </si>
  <si>
    <t>SKU-IND-637</t>
  </si>
  <si>
    <t>Lubricant Drum</t>
  </si>
  <si>
    <t>PO-2026-00010</t>
  </si>
  <si>
    <t>ORD-493495</t>
  </si>
  <si>
    <t>SKU-ELE-651</t>
  </si>
  <si>
    <t>Control Board</t>
  </si>
  <si>
    <t>Disputed</t>
  </si>
  <si>
    <t>Air</t>
  </si>
  <si>
    <t>DHL</t>
  </si>
  <si>
    <t>Invoice issue</t>
  </si>
  <si>
    <t>PO-2026-00011</t>
  </si>
  <si>
    <t>ORD-901706</t>
  </si>
  <si>
    <t>Egypt</t>
  </si>
  <si>
    <t>SKU-TEX-536</t>
  </si>
  <si>
    <t>Late</t>
  </si>
  <si>
    <t>Maersk</t>
  </si>
  <si>
    <t>CIF</t>
  </si>
  <si>
    <t>N/A</t>
  </si>
  <si>
    <t>Manual Excel Upload</t>
  </si>
  <si>
    <t>PO-2026-00012</t>
  </si>
  <si>
    <t>ORD-504910</t>
  </si>
  <si>
    <t>SUP-013</t>
  </si>
  <si>
    <t>Casablanca Components</t>
  </si>
  <si>
    <t>SKU-ELE-179</t>
  </si>
  <si>
    <t>LED Driver</t>
  </si>
  <si>
    <t>Missing Invoice</t>
  </si>
  <si>
    <t>fob</t>
  </si>
  <si>
    <t>Late delivery; Invoice issue</t>
  </si>
  <si>
    <t>PO-2026-00013</t>
  </si>
  <si>
    <t>ORD-105026</t>
  </si>
  <si>
    <t>SUP-003</t>
  </si>
  <si>
    <t>Nigeria</t>
  </si>
  <si>
    <t>Raw Materials</t>
  </si>
  <si>
    <t>SKU-RAW-990</t>
  </si>
  <si>
    <t>Chemical Additive</t>
  </si>
  <si>
    <t>PO-2026-00014</t>
  </si>
  <si>
    <t>ORD-659835</t>
  </si>
  <si>
    <t>SKU-RAW-121</t>
  </si>
  <si>
    <t>NGN</t>
  </si>
  <si>
    <t>PO-2026-00015</t>
  </si>
  <si>
    <t>ORD-389548</t>
  </si>
  <si>
    <t>SUP-001</t>
  </si>
  <si>
    <t>Metals</t>
  </si>
  <si>
    <t>SKU-MET-232</t>
  </si>
  <si>
    <t>Aluminium Sheet</t>
  </si>
  <si>
    <t>Delayed</t>
  </si>
  <si>
    <t>PO-2026-00016</t>
  </si>
  <si>
    <t>ORD-899022</t>
  </si>
  <si>
    <t>Morocco</t>
  </si>
  <si>
    <t>SKU-MET-608</t>
  </si>
  <si>
    <t>Steel Coil</t>
  </si>
  <si>
    <t>KES/NGN</t>
  </si>
  <si>
    <t>Road</t>
  </si>
  <si>
    <t>Local Truck Partner</t>
  </si>
  <si>
    <t>PO-2026-00017</t>
  </si>
  <si>
    <t>ORD-683817</t>
  </si>
  <si>
    <t>Tanzania</t>
  </si>
  <si>
    <t>Port Harcourt Warehouse</t>
  </si>
  <si>
    <t>SKU-MAC-888</t>
  </si>
  <si>
    <t>Bearing Set</t>
  </si>
  <si>
    <t>ORD-334714</t>
  </si>
  <si>
    <t>SKU-MAC-913</t>
  </si>
  <si>
    <t>Wrong specification</t>
  </si>
  <si>
    <t>Warehouse Scan</t>
  </si>
  <si>
    <t>Late delivery; Quality issue; Invoice issue</t>
  </si>
  <si>
    <t>PO-2026-00019</t>
  </si>
  <si>
    <t>ORD-808592</t>
  </si>
  <si>
    <t>SKU-ELE-297</t>
  </si>
  <si>
    <t>Sensor Module</t>
  </si>
  <si>
    <t>Advance</t>
  </si>
  <si>
    <t>DAP</t>
  </si>
  <si>
    <t>PO-2026-00020</t>
  </si>
  <si>
    <t>ORD-406468</t>
  </si>
  <si>
    <t>Uganda</t>
  </si>
  <si>
    <t>SKU-MAC-761</t>
  </si>
  <si>
    <t>Missing/invalid supplier ID; Late delivery; Invoice issue</t>
  </si>
  <si>
    <t>PO-2026-00021</t>
  </si>
  <si>
    <t>ORD-968088</t>
  </si>
  <si>
    <t>SKU-MAC-781</t>
  </si>
  <si>
    <t>Gear Assembly</t>
  </si>
  <si>
    <t>PO-2026-00022</t>
  </si>
  <si>
    <t>ORD-964937</t>
  </si>
  <si>
    <t>SKU-RAW-926</t>
  </si>
  <si>
    <t>Polymer Resin</t>
  </si>
  <si>
    <t>Very Late</t>
  </si>
  <si>
    <t>GIG Logistics</t>
  </si>
  <si>
    <t>PO-2026-00023</t>
  </si>
  <si>
    <t>ORD-282581</t>
  </si>
  <si>
    <t>SUP-006</t>
  </si>
  <si>
    <t>Accra Agro Inputs</t>
  </si>
  <si>
    <t>SKU-RAW-494</t>
  </si>
  <si>
    <t>50% Advance / 50% Delivery</t>
  </si>
  <si>
    <t>PO-2026-00024</t>
  </si>
  <si>
    <t>ORD-661755</t>
  </si>
  <si>
    <t>SUP-008</t>
  </si>
  <si>
    <t>Lagos Plastics &amp; Resin</t>
  </si>
  <si>
    <t>SKU-PAC-793</t>
  </si>
  <si>
    <t>Shipping Carton</t>
  </si>
  <si>
    <t>PO-2026-00025</t>
  </si>
  <si>
    <t>ORD-993058</t>
  </si>
  <si>
    <t>SKU-IND-272</t>
  </si>
  <si>
    <t>PO-2026-00026</t>
  </si>
  <si>
    <t>ORD-554955</t>
  </si>
  <si>
    <t>SKU-IND-780</t>
  </si>
  <si>
    <t>Welding Rod</t>
  </si>
  <si>
    <t>PO-2026-00027</t>
  </si>
  <si>
    <t>ORD-922995</t>
  </si>
  <si>
    <t>SKU-PAC-247</t>
  </si>
  <si>
    <t>Plastic Film Roll</t>
  </si>
  <si>
    <t>PO-2026-00028</t>
  </si>
  <si>
    <t>ORD-247297</t>
  </si>
  <si>
    <t>Mombasa Electricals</t>
  </si>
  <si>
    <t>SKU-ELE-420</t>
  </si>
  <si>
    <t>ORD-302588</t>
  </si>
  <si>
    <t>SUP-010</t>
  </si>
  <si>
    <t>Addis Fabric Works</t>
  </si>
  <si>
    <t>SKU-TEX-685</t>
  </si>
  <si>
    <t>Label Tape</t>
  </si>
  <si>
    <t>PO-2026-00030</t>
  </si>
  <si>
    <t>ORD-155259</t>
  </si>
  <si>
    <t>Cape Town Plant</t>
  </si>
  <si>
    <t>SKU-IND-332</t>
  </si>
  <si>
    <t>ORD-478850</t>
  </si>
  <si>
    <t>Sahara Packaging</t>
  </si>
  <si>
    <t>SKU-PAC-433</t>
  </si>
  <si>
    <t>Bottle Caps</t>
  </si>
  <si>
    <t>PO-2026-00032</t>
  </si>
  <si>
    <t>ORD-442501</t>
  </si>
  <si>
    <t>SKU-RAW-691</t>
  </si>
  <si>
    <t>PO-2026-00033</t>
  </si>
  <si>
    <t>ORD-614551</t>
  </si>
  <si>
    <t>SKU-MET-325</t>
  </si>
  <si>
    <t>Rebar Bundle</t>
  </si>
  <si>
    <t>PO-2026-00034</t>
  </si>
  <si>
    <t>ORD-371681</t>
  </si>
  <si>
    <t>SUP-012</t>
  </si>
  <si>
    <t>Abidjan Chemical Supply</t>
  </si>
  <si>
    <t>Ivory Coast</t>
  </si>
  <si>
    <t>SKU-TEX-695</t>
  </si>
  <si>
    <t>PO-2026-00035</t>
  </si>
  <si>
    <t>ORD-501471</t>
  </si>
  <si>
    <t>SKU-IND-561</t>
  </si>
  <si>
    <t>PO-2026-00036</t>
  </si>
  <si>
    <t>ORD-772564</t>
  </si>
  <si>
    <t>SKU-ELE-777</t>
  </si>
  <si>
    <t>PO-2026-00037</t>
  </si>
  <si>
    <t>ORD-110526</t>
  </si>
  <si>
    <t>SKU-MET-256</t>
  </si>
  <si>
    <t>Copper Rod</t>
  </si>
  <si>
    <t>Delivered Early</t>
  </si>
  <si>
    <t>PO-2026-00038</t>
  </si>
  <si>
    <t>ORD-739791</t>
  </si>
  <si>
    <t>SKU-ELE-619</t>
  </si>
  <si>
    <t>PO-2026-00039</t>
  </si>
  <si>
    <t>ORD-934912</t>
  </si>
  <si>
    <t>SKU-MET-507</t>
  </si>
  <si>
    <t>PO-2026-00040</t>
  </si>
  <si>
    <t>ORD-143438</t>
  </si>
  <si>
    <t>SKU-ELE-591</t>
  </si>
  <si>
    <t>PO-2026-00041</t>
  </si>
  <si>
    <t>ORD-558816</t>
  </si>
  <si>
    <t>SKU-TEX-651</t>
  </si>
  <si>
    <t>High defect rate</t>
  </si>
  <si>
    <t>Quality issue; Invoice issue</t>
  </si>
  <si>
    <t>PO-2026-00042</t>
  </si>
  <si>
    <t>ORD-673944</t>
  </si>
  <si>
    <t>SKU-PAC-153</t>
  </si>
  <si>
    <t>PO-2026-00043</t>
  </si>
  <si>
    <t>ORD-766386</t>
  </si>
  <si>
    <t>SKU-TEX-976</t>
  </si>
  <si>
    <t>ngn</t>
  </si>
  <si>
    <t>PO-2026-00044</t>
  </si>
  <si>
    <t>ORD-537224</t>
  </si>
  <si>
    <t>SKU-RAW-659</t>
  </si>
  <si>
    <t>Agro Binder</t>
  </si>
  <si>
    <t>PO-2026-00045</t>
  </si>
  <si>
    <t>ORD-525884</t>
  </si>
  <si>
    <t>SKU-ELE-825</t>
  </si>
  <si>
    <t>PO-2026-00046</t>
  </si>
  <si>
    <t>ORD-721440</t>
  </si>
  <si>
    <t>South Africa</t>
  </si>
  <si>
    <t>SKU-IND-280</t>
  </si>
  <si>
    <t>PO-2026-00047</t>
  </si>
  <si>
    <t>ORD-758310</t>
  </si>
  <si>
    <t>SKU-ELE-496</t>
  </si>
  <si>
    <t>PO-2026-00048</t>
  </si>
  <si>
    <t>ORD-353449</t>
  </si>
  <si>
    <t>SKU-PAC-146</t>
  </si>
  <si>
    <t>ORD-110052</t>
  </si>
  <si>
    <t>SKU-MAC-832</t>
  </si>
  <si>
    <t>PO-2026-00050</t>
  </si>
  <si>
    <t>ORD-208395</t>
  </si>
  <si>
    <t>SKU-PAC-769</t>
  </si>
  <si>
    <t>PO-2026-00051</t>
  </si>
  <si>
    <t>ORD-292989</t>
  </si>
  <si>
    <t>Ghana</t>
  </si>
  <si>
    <t>SKU-RAW-117</t>
  </si>
  <si>
    <t>Input Granules</t>
  </si>
  <si>
    <t>PO-2026-00052</t>
  </si>
  <si>
    <t>ORD-332376</t>
  </si>
  <si>
    <t>SKU-PAC-365</t>
  </si>
  <si>
    <t>PO-2026-00053</t>
  </si>
  <si>
    <t>ORD-850933</t>
  </si>
  <si>
    <t>SKU-TEX-873</t>
  </si>
  <si>
    <t>PO-2026-00054</t>
  </si>
  <si>
    <t>ORD-187106</t>
  </si>
  <si>
    <t>SKU-PAC-405</t>
  </si>
  <si>
    <t>PO-2026-00055</t>
  </si>
  <si>
    <t>ORD-437184</t>
  </si>
  <si>
    <t>SKU-RAW-221</t>
  </si>
  <si>
    <t>PO-2026-00056</t>
  </si>
  <si>
    <t>ORD-407433</t>
  </si>
  <si>
    <t>SKU-IND-470</t>
  </si>
  <si>
    <t>PO-2026-00057</t>
  </si>
  <si>
    <t>ORD-915148</t>
  </si>
  <si>
    <t>SKU-TEX-229</t>
  </si>
  <si>
    <t>Uniform Material</t>
  </si>
  <si>
    <t>PO-2026-00058</t>
  </si>
  <si>
    <t>ORD-213254</t>
  </si>
  <si>
    <t>SKU-IND-447</t>
  </si>
  <si>
    <t>PO-2026-00059</t>
  </si>
  <si>
    <t>ORD-458565</t>
  </si>
  <si>
    <t>SKU-IND-690</t>
  </si>
  <si>
    <t>PO-2026-00060</t>
  </si>
  <si>
    <t>ORD-969273</t>
  </si>
  <si>
    <t>SKU-PAC-844</t>
  </si>
  <si>
    <t>PO-2026-00061</t>
  </si>
  <si>
    <t>ORD-643588</t>
  </si>
  <si>
    <t>SKU-ELE-111</t>
  </si>
  <si>
    <t>PO-2026-00062</t>
  </si>
  <si>
    <t>ORD-940008</t>
  </si>
  <si>
    <t>SKU-RAW-644</t>
  </si>
  <si>
    <t>PO-2026-00063</t>
  </si>
  <si>
    <t>ORD-696299</t>
  </si>
  <si>
    <t>SKU-PAC-156</t>
  </si>
  <si>
    <t>PO-2026-00064</t>
  </si>
  <si>
    <t>ORD-967255</t>
  </si>
  <si>
    <t>SKU-MET-435</t>
  </si>
  <si>
    <t>PO-2026-00065</t>
  </si>
  <si>
    <t>ORD-279301</t>
  </si>
  <si>
    <t>SKU-PAC-291</t>
  </si>
  <si>
    <t>Invalid Lead Time</t>
  </si>
  <si>
    <t>PO-2026-00066</t>
  </si>
  <si>
    <t>ORD-297242</t>
  </si>
  <si>
    <t>SKU-MET-860</t>
  </si>
  <si>
    <t>Partial Reject</t>
  </si>
  <si>
    <t>PO-2026-00067</t>
  </si>
  <si>
    <t>ORD-302215</t>
  </si>
  <si>
    <t>SKU-RAW-952</t>
  </si>
  <si>
    <t>PO-2026-00068</t>
  </si>
  <si>
    <t>ORD-128886</t>
  </si>
  <si>
    <t>SKU-ELE-106</t>
  </si>
  <si>
    <t>Late + defective</t>
  </si>
  <si>
    <t>PO-2026-00069</t>
  </si>
  <si>
    <t>ORD-655280</t>
  </si>
  <si>
    <t>SKU-TEX-145</t>
  </si>
  <si>
    <t>PO-2026-00070</t>
  </si>
  <si>
    <t>ORD-862526</t>
  </si>
  <si>
    <t>SKU-MET-661</t>
  </si>
  <si>
    <t>PO-2026-00071</t>
  </si>
  <si>
    <t>ORD-905279</t>
  </si>
  <si>
    <t>SKU-IND-126</t>
  </si>
  <si>
    <t>PO-2026-00072</t>
  </si>
  <si>
    <t>ORD-173077</t>
  </si>
  <si>
    <t>SKU-RAW-315</t>
  </si>
  <si>
    <t>Missing/invalid supplier ID; Late delivery</t>
  </si>
  <si>
    <t>PO-2026-00073</t>
  </si>
  <si>
    <t>ORD-119658</t>
  </si>
  <si>
    <t>SKU-MET-182</t>
  </si>
  <si>
    <t>PO-2026-00074</t>
  </si>
  <si>
    <t>ORD-696495</t>
  </si>
  <si>
    <t>SUP-00X</t>
  </si>
  <si>
    <t>SKU-TEX-541</t>
  </si>
  <si>
    <t>Missing/invalid supplier ID; Late delivery; Quality issue</t>
  </si>
  <si>
    <t>PO-2026-00075</t>
  </si>
  <si>
    <t>ORD-796722</t>
  </si>
  <si>
    <t>SKU-TEX-356</t>
  </si>
  <si>
    <t>PO-2026-00076</t>
  </si>
  <si>
    <t>ORD-871588</t>
  </si>
  <si>
    <t>SKU-RAW-645</t>
  </si>
  <si>
    <t>PO-2026-00077</t>
  </si>
  <si>
    <t>ORD-542680</t>
  </si>
  <si>
    <t>SKU-TEX-779</t>
  </si>
  <si>
    <t>Pending QC</t>
  </si>
  <si>
    <t>PO-2026-00078</t>
  </si>
  <si>
    <t>ORD-887701</t>
  </si>
  <si>
    <t>SKU-PAC-249</t>
  </si>
  <si>
    <t>PO-2026-00079</t>
  </si>
  <si>
    <t>ORD-330695</t>
  </si>
  <si>
    <t>SKU-ELE-609</t>
  </si>
  <si>
    <t>PO-2026-00080</t>
  </si>
  <si>
    <t>ORD-273658</t>
  </si>
  <si>
    <t>SKU-MAC-953</t>
  </si>
  <si>
    <t>PO-2026-00081</t>
  </si>
  <si>
    <t>ORD-575754</t>
  </si>
  <si>
    <t>SKU-RAW-364</t>
  </si>
  <si>
    <t>PO-2026-00082</t>
  </si>
  <si>
    <t>ORD-305839</t>
  </si>
  <si>
    <t>SKU-TEX-369</t>
  </si>
  <si>
    <t>Rejected</t>
  </si>
  <si>
    <t>PO-2026-00083</t>
  </si>
  <si>
    <t>ORD-306086</t>
  </si>
  <si>
    <t>SKU-PAC-468</t>
  </si>
  <si>
    <t>PO-2026-00084</t>
  </si>
  <si>
    <t>ORD-566941</t>
  </si>
  <si>
    <t>SKU-ELE-699</t>
  </si>
  <si>
    <t>PO-2026-00085</t>
  </si>
  <si>
    <t>ORD-844455</t>
  </si>
  <si>
    <t>SKU-PAC-527</t>
  </si>
  <si>
    <t>PO-2026-00086</t>
  </si>
  <si>
    <t>ORD-525335</t>
  </si>
  <si>
    <t>SKU-RAW-710</t>
  </si>
  <si>
    <t>PO-2026-00087</t>
  </si>
  <si>
    <t>ORD-491744</t>
  </si>
  <si>
    <t>SKU-PAC-309</t>
  </si>
  <si>
    <t>PO-2026-00088</t>
  </si>
  <si>
    <t>ORD-137293</t>
  </si>
  <si>
    <t>SKU-RAW-780</t>
  </si>
  <si>
    <t>PO-2026-00089</t>
  </si>
  <si>
    <t>ORD-863842</t>
  </si>
  <si>
    <t>SKU-ELE-202</t>
  </si>
  <si>
    <t>PO-2026-00090</t>
  </si>
  <si>
    <t>ORD-641131</t>
  </si>
  <si>
    <t>SKU-TEX-884</t>
  </si>
  <si>
    <t>PO-2026-00091</t>
  </si>
  <si>
    <t>ORD-674114</t>
  </si>
  <si>
    <t>SKU-IND-452</t>
  </si>
  <si>
    <t>PO-2026-00092</t>
  </si>
  <si>
    <t>ORD-792581</t>
  </si>
  <si>
    <t>SKU-TEX-216</t>
  </si>
  <si>
    <t>PO-2026-00093</t>
  </si>
  <si>
    <t>ORD-464395</t>
  </si>
  <si>
    <t>SKU-ELE-244</t>
  </si>
  <si>
    <t>PO-2026-00094</t>
  </si>
  <si>
    <t>ORD-492610</t>
  </si>
  <si>
    <t>SKU-TEX-284</t>
  </si>
  <si>
    <t>ORD-792815</t>
  </si>
  <si>
    <t>SKU-MET-990</t>
  </si>
  <si>
    <t>PO-2026-00096</t>
  </si>
  <si>
    <t>ORD-392182</t>
  </si>
  <si>
    <t>SKU-IND-511</t>
  </si>
  <si>
    <t>PO-2026-00097</t>
  </si>
  <si>
    <t>ORD-626891</t>
  </si>
  <si>
    <t>PO-2026-00098</t>
  </si>
  <si>
    <t>ORD-324311</t>
  </si>
  <si>
    <t>Kano Industrial Traders</t>
  </si>
  <si>
    <t>SKU-PAC-781</t>
  </si>
  <si>
    <t>PO-2026-00099</t>
  </si>
  <si>
    <t>ORD-765302</t>
  </si>
  <si>
    <t>SKU-MAC-561</t>
  </si>
  <si>
    <t>PO-2026-00100</t>
  </si>
  <si>
    <t>ORD-829773</t>
  </si>
  <si>
    <t>SKU-IND-547</t>
  </si>
  <si>
    <t>PO-2026-00101</t>
  </si>
  <si>
    <t>ORD-445539</t>
  </si>
  <si>
    <t>SKU-MAC-498</t>
  </si>
  <si>
    <t>PO-2026-00102</t>
  </si>
  <si>
    <t>ORD-763327</t>
  </si>
  <si>
    <t>Ethiopia</t>
  </si>
  <si>
    <t>SKU-TEX-228</t>
  </si>
  <si>
    <t>PO-2026-00103</t>
  </si>
  <si>
    <t>ORD-659181</t>
  </si>
  <si>
    <t>SKU-ELE-794</t>
  </si>
  <si>
    <t>PO-2026-00104</t>
  </si>
  <si>
    <t>ORD-346784</t>
  </si>
  <si>
    <t>SKU-MAC-973</t>
  </si>
  <si>
    <t>PO-2026-00105</t>
  </si>
  <si>
    <t>ORD-387776</t>
  </si>
  <si>
    <t>SKU-MAC-550</t>
  </si>
  <si>
    <t>PO-2026-00106</t>
  </si>
  <si>
    <t>ORD-468451</t>
  </si>
  <si>
    <t>SKU-RAW-986</t>
  </si>
  <si>
    <t>PO-2026-00107</t>
  </si>
  <si>
    <t>ORD-238229</t>
  </si>
  <si>
    <t>SKU-RAW-546</t>
  </si>
  <si>
    <t>PO-2026-00108</t>
  </si>
  <si>
    <t>ORD-903981</t>
  </si>
  <si>
    <t>SKU-PAC-751</t>
  </si>
  <si>
    <t>PO-2026-00109</t>
  </si>
  <si>
    <t>ORD-238121</t>
  </si>
  <si>
    <t>SKU-MET-195</t>
  </si>
  <si>
    <t>PO-2026-00110</t>
  </si>
  <si>
    <t>ORD-912447</t>
  </si>
  <si>
    <t>SKU-RAW-171</t>
  </si>
  <si>
    <t>PO-2026-00111</t>
  </si>
  <si>
    <t>ORD-723443</t>
  </si>
  <si>
    <t>SKU-ELE-940</t>
  </si>
  <si>
    <t>PO-2026-00112</t>
  </si>
  <si>
    <t>ORD-941435</t>
  </si>
  <si>
    <t>SKU-ELE-962</t>
  </si>
  <si>
    <t>PO-2026-00113</t>
  </si>
  <si>
    <t>ORD-976196</t>
  </si>
  <si>
    <t>SKU-RAW-209</t>
  </si>
  <si>
    <t>PO-2026-00114</t>
  </si>
  <si>
    <t>ORD-661252</t>
  </si>
  <si>
    <t>SKU-ELE-719</t>
  </si>
  <si>
    <t>PO-2026-00115</t>
  </si>
  <si>
    <t>ORD-929791</t>
  </si>
  <si>
    <t>SKU-MAC-900</t>
  </si>
  <si>
    <t>PO-2026-00116</t>
  </si>
  <si>
    <t>ORD-777552</t>
  </si>
  <si>
    <t>SKU-TEX-392</t>
  </si>
  <si>
    <t>PO-2026-00117</t>
  </si>
  <si>
    <t>ORD-540710</t>
  </si>
  <si>
    <t>SKU-TEX-870</t>
  </si>
  <si>
    <t>PO-2026-00118</t>
  </si>
  <si>
    <t>ORD-655433</t>
  </si>
  <si>
    <t>SKU-PAC-907</t>
  </si>
  <si>
    <t>PO-2026-00119</t>
  </si>
  <si>
    <t>ORD-479412</t>
  </si>
  <si>
    <t>SKU-PAC-591</t>
  </si>
  <si>
    <t>PO-2026-00120</t>
  </si>
  <si>
    <t>ORD-973170</t>
  </si>
  <si>
    <t>SKU-TEX-813</t>
  </si>
  <si>
    <t>PO-2026-00121</t>
  </si>
  <si>
    <t>ORD-566281</t>
  </si>
  <si>
    <t>SKU-RAW-994</t>
  </si>
  <si>
    <t>PO-2026-00122</t>
  </si>
  <si>
    <t>ORD-583699</t>
  </si>
  <si>
    <t>SKU-MAC-167</t>
  </si>
  <si>
    <t>PO-2026-00123</t>
  </si>
  <si>
    <t>ORD-211720</t>
  </si>
  <si>
    <t>SKU-IND-914</t>
  </si>
  <si>
    <t>PO-2026-00124</t>
  </si>
  <si>
    <t>ORD-518754</t>
  </si>
  <si>
    <t>SKU-IND-903</t>
  </si>
  <si>
    <t>PO-2026-00125</t>
  </si>
  <si>
    <t>ORD-309315</t>
  </si>
  <si>
    <t>SKU-PAC-788</t>
  </si>
  <si>
    <t>PO-2026-00126</t>
  </si>
  <si>
    <t>ORD-717082</t>
  </si>
  <si>
    <t>SKU-TEX-918</t>
  </si>
  <si>
    <t>Cotton Fabric</t>
  </si>
  <si>
    <t>PO-2026-00127</t>
  </si>
  <si>
    <t>ORD-114066</t>
  </si>
  <si>
    <t>SKU-MET-638</t>
  </si>
  <si>
    <t>PO-2026-00128</t>
  </si>
  <si>
    <t>ORD-987667</t>
  </si>
  <si>
    <t>SKU-MAC-313</t>
  </si>
  <si>
    <t>ORD-609029</t>
  </si>
  <si>
    <t>SKU-PAC-465</t>
  </si>
  <si>
    <t>PO-2026-00130</t>
  </si>
  <si>
    <t>ORD-121070</t>
  </si>
  <si>
    <t>SKU-PAC-674</t>
  </si>
  <si>
    <t>PO-2026-00131</t>
  </si>
  <si>
    <t>ORD-776119</t>
  </si>
  <si>
    <t>SKU-MAC-777</t>
  </si>
  <si>
    <t>PO-2026-00132</t>
  </si>
  <si>
    <t>ORD-605984</t>
  </si>
  <si>
    <t>SKU-IND-320</t>
  </si>
  <si>
    <t>PO-2026-00133</t>
  </si>
  <si>
    <t>ORD-832467</t>
  </si>
  <si>
    <t>SKU-PAC-506</t>
  </si>
  <si>
    <t>PO-2026-00134</t>
  </si>
  <si>
    <t>ORD-366041</t>
  </si>
  <si>
    <t>SKU-MET-567</t>
  </si>
  <si>
    <t>PO-2026-00135</t>
  </si>
  <si>
    <t>ORD-189108</t>
  </si>
  <si>
    <t>SKU-PAC-641</t>
  </si>
  <si>
    <t>PO-2026-00136</t>
  </si>
  <si>
    <t>ORD-356961</t>
  </si>
  <si>
    <t>SKU-PAC-110</t>
  </si>
  <si>
    <t>PO-2026-00137</t>
  </si>
  <si>
    <t>ORD-691939</t>
  </si>
  <si>
    <t>SKU-MET-642</t>
  </si>
  <si>
    <t>PO-2026-00138</t>
  </si>
  <si>
    <t>ORD-548619</t>
  </si>
  <si>
    <t>SKU-PAC-233</t>
  </si>
  <si>
    <t>PO-2026-00139</t>
  </si>
  <si>
    <t>ORD-691673</t>
  </si>
  <si>
    <t>SKU-MET-478</t>
  </si>
  <si>
    <t>PO-2026-00140</t>
  </si>
  <si>
    <t>ORD-839287</t>
  </si>
  <si>
    <t>SKU-MAC-899</t>
  </si>
  <si>
    <t>PO-2026-00141</t>
  </si>
  <si>
    <t>ORD-703354</t>
  </si>
  <si>
    <t>SKU-MET-123</t>
  </si>
  <si>
    <t>PO-2026-00142</t>
  </si>
  <si>
    <t>ORD-913550</t>
  </si>
  <si>
    <t>SKU-MAC-457</t>
  </si>
  <si>
    <t>PO-2026-00143</t>
  </si>
  <si>
    <t>ORD-481156</t>
  </si>
  <si>
    <t>SKU-MET-987</t>
  </si>
  <si>
    <t>PO-2026-00144</t>
  </si>
  <si>
    <t>ORD-674038</t>
  </si>
  <si>
    <t>SKU-ELE-767</t>
  </si>
  <si>
    <t>PO-2026-00145</t>
  </si>
  <si>
    <t>ORD-358213</t>
  </si>
  <si>
    <t>SKU-RAW-793</t>
  </si>
  <si>
    <t>PO-2026-00146</t>
  </si>
  <si>
    <t>ORD-659277</t>
  </si>
  <si>
    <t>SKU-TEX-177</t>
  </si>
  <si>
    <t>PO-2026-00147</t>
  </si>
  <si>
    <t>ORD-185938</t>
  </si>
  <si>
    <t>SKU-RAW-975</t>
  </si>
  <si>
    <t>PO-2026-00148</t>
  </si>
  <si>
    <t>ORD-248276</t>
  </si>
  <si>
    <t>SKU-MET-931</t>
  </si>
  <si>
    <t>Missing/invalid supplier ID</t>
  </si>
  <si>
    <t>PO-2026-00149</t>
  </si>
  <si>
    <t>ORD-738489</t>
  </si>
  <si>
    <t>SKU-PAC-338</t>
  </si>
  <si>
    <t>PO-2026-00150</t>
  </si>
  <si>
    <t>ORD-412475</t>
  </si>
  <si>
    <t>SKU-ELE-793</t>
  </si>
  <si>
    <t>PO-2026-00151</t>
  </si>
  <si>
    <t>ORD-348558</t>
  </si>
  <si>
    <t>SKU-IND-458</t>
  </si>
  <si>
    <t>PO-2026-00152</t>
  </si>
  <si>
    <t>ORD-177200</t>
  </si>
  <si>
    <t>SKU-TEX-399</t>
  </si>
  <si>
    <t>PO-2026-00153</t>
  </si>
  <si>
    <t>ORD-140757</t>
  </si>
  <si>
    <t>SKU-PAC-892</t>
  </si>
  <si>
    <t>PO-2026-00154</t>
  </si>
  <si>
    <t>ORD-422188</t>
  </si>
  <si>
    <t>SKU-MAC-812</t>
  </si>
  <si>
    <t>PO-2026-00155</t>
  </si>
  <si>
    <t>ORD-467522</t>
  </si>
  <si>
    <t>SKU-TEX-588</t>
  </si>
  <si>
    <t>ORD-636286</t>
  </si>
  <si>
    <t>SKU-RAW-262</t>
  </si>
  <si>
    <t>PO-2026-00157</t>
  </si>
  <si>
    <t>ORD-738240</t>
  </si>
  <si>
    <t>SKU-PAC-602</t>
  </si>
  <si>
    <t>PO-2026-00158</t>
  </si>
  <si>
    <t>ORD-716412</t>
  </si>
  <si>
    <t>SKU-MAC-653</t>
  </si>
  <si>
    <t>accepted</t>
  </si>
  <si>
    <t>PO-2026-00159</t>
  </si>
  <si>
    <t>ORD-258270</t>
  </si>
  <si>
    <t>SKU-RAW-757</t>
  </si>
  <si>
    <t>PO-2026-00160</t>
  </si>
  <si>
    <t>ORD-237662</t>
  </si>
  <si>
    <t>SKU-TEX-793</t>
  </si>
  <si>
    <t>PO-2026-00161</t>
  </si>
  <si>
    <t>ORD-148514</t>
  </si>
  <si>
    <t>SKU-MET-118</t>
  </si>
  <si>
    <t>PO-2026-00162</t>
  </si>
  <si>
    <t>ORD-181339</t>
  </si>
  <si>
    <t>SKU-TEX-930</t>
  </si>
  <si>
    <t>PO-2026-00163</t>
  </si>
  <si>
    <t>ORD-413250</t>
  </si>
  <si>
    <t>SKU-MAC-383</t>
  </si>
  <si>
    <t>PO-2026-00164</t>
  </si>
  <si>
    <t>ORD-663459</t>
  </si>
  <si>
    <t>SKU-TEX-941</t>
  </si>
  <si>
    <t>PO-2026-00165</t>
  </si>
  <si>
    <t>ORD-890009</t>
  </si>
  <si>
    <t>SKU-MAC-766</t>
  </si>
  <si>
    <t>PO-2026-00166</t>
  </si>
  <si>
    <t>ORD-823235</t>
  </si>
  <si>
    <t>SKU-RAW-819</t>
  </si>
  <si>
    <t>PO-2026-00167</t>
  </si>
  <si>
    <t>ORD-215074</t>
  </si>
  <si>
    <t>SKU-ELE-874</t>
  </si>
  <si>
    <t>PO-2026-00168</t>
  </si>
  <si>
    <t>ORD-268673</t>
  </si>
  <si>
    <t>SKU-MAC-701</t>
  </si>
  <si>
    <t>ORD-701150</t>
  </si>
  <si>
    <t>SKU-IND-294</t>
  </si>
  <si>
    <t>PO-2026-00170</t>
  </si>
  <si>
    <t>ORD-772963</t>
  </si>
  <si>
    <t>SKU-PAC-225</t>
  </si>
  <si>
    <t>PO-2026-00171</t>
  </si>
  <si>
    <t>ORD-907541</t>
  </si>
  <si>
    <t>SKU-RAW-550</t>
  </si>
  <si>
    <t>PO-2026-00172</t>
  </si>
  <si>
    <t>ORD-254493</t>
  </si>
  <si>
    <t>SKU-PAC-227</t>
  </si>
  <si>
    <t>PO-2026-00173</t>
  </si>
  <si>
    <t>ORD-805230</t>
  </si>
  <si>
    <t>SKU-IND-252</t>
  </si>
  <si>
    <t>PO-2026-00174</t>
  </si>
  <si>
    <t>ORD-382567</t>
  </si>
  <si>
    <t>SKU-TEX-747</t>
  </si>
  <si>
    <t>PO-2026-00175</t>
  </si>
  <si>
    <t>ORD-980485</t>
  </si>
  <si>
    <t>SKU-IND-987</t>
  </si>
  <si>
    <t>PO-2026-00176</t>
  </si>
  <si>
    <t>ORD-638196</t>
  </si>
  <si>
    <t>Africa Region</t>
  </si>
  <si>
    <t>SKU-ELE-127</t>
  </si>
  <si>
    <t>PO-2026-00177</t>
  </si>
  <si>
    <t>ORD-688790</t>
  </si>
  <si>
    <t>SKU-IND-942</t>
  </si>
  <si>
    <t>PO-2026-00178</t>
  </si>
  <si>
    <t>ORD-601962</t>
  </si>
  <si>
    <t>SKU-IND-198</t>
  </si>
  <si>
    <t>PO-2026-00179</t>
  </si>
  <si>
    <t>ORD-389988</t>
  </si>
  <si>
    <t>SKU-PAC-894</t>
  </si>
  <si>
    <t>PO-2026-00180</t>
  </si>
  <si>
    <t>ORD-655340</t>
  </si>
  <si>
    <t>SKU-TEX-760</t>
  </si>
  <si>
    <t>PO-2026-00181</t>
  </si>
  <si>
    <t>ORD-392557</t>
  </si>
  <si>
    <t>SKU-PAC-937</t>
  </si>
  <si>
    <t>PO-2026-00182</t>
  </si>
  <si>
    <t>ORD-766488</t>
  </si>
  <si>
    <t>SKU-MAC-349</t>
  </si>
  <si>
    <t>PO-2026-00183</t>
  </si>
  <si>
    <t>ORD-969128</t>
  </si>
  <si>
    <t>SKU-IND-580</t>
  </si>
  <si>
    <t>PO-2026-00184</t>
  </si>
  <si>
    <t>ORD-781940</t>
  </si>
  <si>
    <t>SKU-TEX-901</t>
  </si>
  <si>
    <t>PO-2026-00185</t>
  </si>
  <si>
    <t>ORD-774919</t>
  </si>
  <si>
    <t>SKU-TEX-963</t>
  </si>
  <si>
    <t>PO-2026-00186</t>
  </si>
  <si>
    <t>ORD-552753</t>
  </si>
  <si>
    <t>SKU-MAC-852</t>
  </si>
  <si>
    <t>PO-2026-00187</t>
  </si>
  <si>
    <t>ORD-144952</t>
  </si>
  <si>
    <t>SKU-ELE-667</t>
  </si>
  <si>
    <t>PO-2026-00188</t>
  </si>
  <si>
    <t>ORD-880367</t>
  </si>
  <si>
    <t>SKU-IND-870</t>
  </si>
  <si>
    <t>PO-2026-00189</t>
  </si>
  <si>
    <t>ORD-627585</t>
  </si>
  <si>
    <t>SKU-MET-396</t>
  </si>
  <si>
    <t>PO-2026-00190</t>
  </si>
  <si>
    <t>ORD-798129</t>
  </si>
  <si>
    <t>PO-2026-00191</t>
  </si>
  <si>
    <t>ORD-433496</t>
  </si>
  <si>
    <t>SKU-IND-837</t>
  </si>
  <si>
    <t>PO-2026-00192</t>
  </si>
  <si>
    <t>ORD-236915</t>
  </si>
  <si>
    <t>SKU-PAC-268</t>
  </si>
  <si>
    <t>PO-2026-00193</t>
  </si>
  <si>
    <t>ORD-801033</t>
  </si>
  <si>
    <t>SKU-RAW-684</t>
  </si>
  <si>
    <t>PO-2026-00194</t>
  </si>
  <si>
    <t>ORD-699820</t>
  </si>
  <si>
    <t>PO-2026-00195</t>
  </si>
  <si>
    <t>ORD-410182</t>
  </si>
  <si>
    <t>SKU-IND-795</t>
  </si>
  <si>
    <t>PO-2026-00196</t>
  </si>
  <si>
    <t>ORD-518712</t>
  </si>
  <si>
    <t>SKU-PAC-897</t>
  </si>
  <si>
    <t>PO-2026-00197</t>
  </si>
  <si>
    <t>ORD-127178</t>
  </si>
  <si>
    <t>SKU-MET-490</t>
  </si>
  <si>
    <t>PO-2026-00198</t>
  </si>
  <si>
    <t>ORD-160669</t>
  </si>
  <si>
    <t>PO-2026-00199</t>
  </si>
  <si>
    <t>ORD-334489</t>
  </si>
  <si>
    <t>SKU-TEX-662</t>
  </si>
  <si>
    <t>PO-2026-00200</t>
  </si>
  <si>
    <t>ORD-615055</t>
  </si>
  <si>
    <t>SKU-ELE-570</t>
  </si>
  <si>
    <t>PO-2026-00201</t>
  </si>
  <si>
    <t>ORD-589497</t>
  </si>
  <si>
    <t>SKU-MAC-179</t>
  </si>
  <si>
    <t>PO-2026-00202</t>
  </si>
  <si>
    <t>ORD-611036</t>
  </si>
  <si>
    <t>SKU-MAC-775</t>
  </si>
  <si>
    <t>PO-2026-00203</t>
  </si>
  <si>
    <t>ORD-234193</t>
  </si>
  <si>
    <t>SKU-ELE-732</t>
  </si>
  <si>
    <t>PO-2026-00204</t>
  </si>
  <si>
    <t>ORD-470590</t>
  </si>
  <si>
    <t>SKU-MAC-192</t>
  </si>
  <si>
    <t>PO-2026-00205</t>
  </si>
  <si>
    <t>ORD-773712</t>
  </si>
  <si>
    <t>SKU-IND-848</t>
  </si>
  <si>
    <t>PO-2026-00206</t>
  </si>
  <si>
    <t>ORD-557768</t>
  </si>
  <si>
    <t>SKU-ELE-145</t>
  </si>
  <si>
    <t>PO-2026-00207</t>
  </si>
  <si>
    <t>ORD-359829</t>
  </si>
  <si>
    <t>SKU-PAC-856</t>
  </si>
  <si>
    <t>PO-2026-00208</t>
  </si>
  <si>
    <t>ORD-647419</t>
  </si>
  <si>
    <t>SKU-MET-821</t>
  </si>
  <si>
    <t>PO-2026-00209</t>
  </si>
  <si>
    <t>ORD-600850</t>
  </si>
  <si>
    <t>SKU-PAC-609</t>
  </si>
  <si>
    <t>PO-2026-00210</t>
  </si>
  <si>
    <t>ORD-476504</t>
  </si>
  <si>
    <t>SKU-RAW-383</t>
  </si>
  <si>
    <t>PO-2026-00211</t>
  </si>
  <si>
    <t>ORD-712656</t>
  </si>
  <si>
    <t>SKU-PAC-457</t>
  </si>
  <si>
    <t>PO-2026-00212</t>
  </si>
  <si>
    <t>ORD-798501</t>
  </si>
  <si>
    <t>SKU-IND-231</t>
  </si>
  <si>
    <t>PO-2026-00213</t>
  </si>
  <si>
    <t>ORD-805249</t>
  </si>
  <si>
    <t>SKU-MAC-453</t>
  </si>
  <si>
    <t>PO-2026-00214</t>
  </si>
  <si>
    <t>ORD-874311</t>
  </si>
  <si>
    <t>SKU-MET-513</t>
  </si>
  <si>
    <t>PO-2026-00215</t>
  </si>
  <si>
    <t>ORD-894776</t>
  </si>
  <si>
    <t>SKU-RAW-789</t>
  </si>
  <si>
    <t>PO-2026-00216</t>
  </si>
  <si>
    <t>ORD-302707</t>
  </si>
  <si>
    <t>SKU-PAC-373</t>
  </si>
  <si>
    <t>PO-2026-00217</t>
  </si>
  <si>
    <t>ORD-301040</t>
  </si>
  <si>
    <t>SKU-ELE-684</t>
  </si>
  <si>
    <t>PO-2026-00218</t>
  </si>
  <si>
    <t>ORD-897206</t>
  </si>
  <si>
    <t>SKU-ELE-958</t>
  </si>
  <si>
    <t>PO-2026-00219</t>
  </si>
  <si>
    <t>ORD-747377</t>
  </si>
  <si>
    <t>SKU-PAC-566</t>
  </si>
  <si>
    <t>PO-2026-00220</t>
  </si>
  <si>
    <t>ORD-920573</t>
  </si>
  <si>
    <t>SKU-IND-961</t>
  </si>
  <si>
    <t>PO-2026-00221</t>
  </si>
  <si>
    <t>ORD-165623</t>
  </si>
  <si>
    <t>SKU-ELE-205</t>
  </si>
  <si>
    <t>PO-2026-00222</t>
  </si>
  <si>
    <t>ORD-347405</t>
  </si>
  <si>
    <t>SKU-RAW-419</t>
  </si>
  <si>
    <t>PO-2026-00223</t>
  </si>
  <si>
    <t>ORD-171283</t>
  </si>
  <si>
    <t>SKU-IND-807</t>
  </si>
  <si>
    <t>PO-2026-00224</t>
  </si>
  <si>
    <t>ORD-392206</t>
  </si>
  <si>
    <t>SKU-RAW-761</t>
  </si>
  <si>
    <t>PO-2026-00225</t>
  </si>
  <si>
    <t>ORD-838482</t>
  </si>
  <si>
    <t>SKU-PAC-957</t>
  </si>
  <si>
    <t>PO-2026-00226</t>
  </si>
  <si>
    <t>ORD-148772</t>
  </si>
  <si>
    <t>SKU-ELE-705</t>
  </si>
  <si>
    <t>PO-2026-00227</t>
  </si>
  <si>
    <t>ORD-793690</t>
  </si>
  <si>
    <t>SKU-RAW-701</t>
  </si>
  <si>
    <t>PO-2026-00228</t>
  </si>
  <si>
    <t>ORD-401861</t>
  </si>
  <si>
    <t>SKU-RAW-451</t>
  </si>
  <si>
    <t>PO-2026-00229</t>
  </si>
  <si>
    <t>ORD-770394</t>
  </si>
  <si>
    <t>SKU-RAW-976</t>
  </si>
  <si>
    <t>PO-2026-00230</t>
  </si>
  <si>
    <t>ORD-824506</t>
  </si>
  <si>
    <t>PO-2026-00231</t>
  </si>
  <si>
    <t>ORD-298169</t>
  </si>
  <si>
    <t>SKU-TEX-339</t>
  </si>
  <si>
    <t>PO-2026-00232</t>
  </si>
  <si>
    <t>ORD-307484</t>
  </si>
  <si>
    <t>UNKNOWN</t>
  </si>
  <si>
    <t>SKU-ELE-872</t>
  </si>
  <si>
    <t>PO-2026-00233</t>
  </si>
  <si>
    <t>ORD-437375</t>
  </si>
  <si>
    <t>SKU-MAC-904</t>
  </si>
  <si>
    <t>PO-2026-00234</t>
  </si>
  <si>
    <t>ORD-515669</t>
  </si>
  <si>
    <t>SKU-TEX-803</t>
  </si>
  <si>
    <t>PO-2026-00235</t>
  </si>
  <si>
    <t>ORD-492268</t>
  </si>
  <si>
    <t>SKU-ELE-459</t>
  </si>
  <si>
    <t>PO-2026-00236</t>
  </si>
  <si>
    <t>ORD-205555</t>
  </si>
  <si>
    <t>SKU-MET-537</t>
  </si>
  <si>
    <t>PO-2026-00237</t>
  </si>
  <si>
    <t>ORD-755320</t>
  </si>
  <si>
    <t>SKU-ELE-979</t>
  </si>
  <si>
    <t>PO-2026-00238</t>
  </si>
  <si>
    <t>ORD-840438</t>
  </si>
  <si>
    <t>SKU-MAC-807</t>
  </si>
  <si>
    <t>ORD-823300</t>
  </si>
  <si>
    <t>SKU-PAC-361</t>
  </si>
  <si>
    <t>PO-2026-00240</t>
  </si>
  <si>
    <t>ORD-236609</t>
  </si>
  <si>
    <t>SKU-ELE-114</t>
  </si>
  <si>
    <t>PO-2026-00241</t>
  </si>
  <si>
    <t>ORD-521075</t>
  </si>
  <si>
    <t>SKU-RAW-879</t>
  </si>
  <si>
    <t>PO-2026-00242</t>
  </si>
  <si>
    <t>ORD-895165</t>
  </si>
  <si>
    <t>SKU-ELE-763</t>
  </si>
  <si>
    <t>PO-2026-00243</t>
  </si>
  <si>
    <t>ORD-988815</t>
  </si>
  <si>
    <t>SKU-PAC-295</t>
  </si>
  <si>
    <t>PO-2026-00244</t>
  </si>
  <si>
    <t>ORD-546908</t>
  </si>
  <si>
    <t>SKU-RAW-401</t>
  </si>
  <si>
    <t>PO-2026-00245</t>
  </si>
  <si>
    <t>ORD-128750</t>
  </si>
  <si>
    <t>SKU-ELE-645</t>
  </si>
  <si>
    <t>PO-2026-00246</t>
  </si>
  <si>
    <t>ORD-881203</t>
  </si>
  <si>
    <t>SKU-PAC-923</t>
  </si>
  <si>
    <t>PO-2026-00247</t>
  </si>
  <si>
    <t>ORD-665869</t>
  </si>
  <si>
    <t>SKU-IND-863</t>
  </si>
  <si>
    <t>PO-2026-00248</t>
  </si>
  <si>
    <t>ORD-310076</t>
  </si>
  <si>
    <t>SKU-ELE-546</t>
  </si>
  <si>
    <t>PO-2026-00249</t>
  </si>
  <si>
    <t>ORD-253358</t>
  </si>
  <si>
    <t>SKU-ELE-863</t>
  </si>
  <si>
    <t>PO-2026-00250</t>
  </si>
  <si>
    <t>ORD-547427</t>
  </si>
  <si>
    <t>SKU-ELE-238</t>
  </si>
  <si>
    <t>PO-2026-00251</t>
  </si>
  <si>
    <t>ORD-879581</t>
  </si>
  <si>
    <t>SKU-TEX-484</t>
  </si>
  <si>
    <t>PO-2026-00252</t>
  </si>
  <si>
    <t>ORD-356979</t>
  </si>
  <si>
    <t>SKU-MET-946</t>
  </si>
  <si>
    <t>PO-2026-00253</t>
  </si>
  <si>
    <t>ORD-743363</t>
  </si>
  <si>
    <t>SKU-ELE-476</t>
  </si>
  <si>
    <t>PO-2026-00254</t>
  </si>
  <si>
    <t>ORD-556103</t>
  </si>
  <si>
    <t>PO-2026-00255</t>
  </si>
  <si>
    <t>ORD-935357</t>
  </si>
  <si>
    <t>SKU-MET-230</t>
  </si>
  <si>
    <t>PO-2026-00256</t>
  </si>
  <si>
    <t>ORD-230559</t>
  </si>
  <si>
    <t>SKU-MET-360</t>
  </si>
  <si>
    <t>PO-2026-00257</t>
  </si>
  <si>
    <t>ORD-990786</t>
  </si>
  <si>
    <t>SKU-ELE-656</t>
  </si>
  <si>
    <t>PO-2026-00258</t>
  </si>
  <si>
    <t>ORD-415125</t>
  </si>
  <si>
    <t>SKU-ELE-976</t>
  </si>
  <si>
    <t>PO-2026-00259</t>
  </si>
  <si>
    <t>ORD-345116</t>
  </si>
  <si>
    <t>SKU-MET-731</t>
  </si>
  <si>
    <t>PO-2026-00260</t>
  </si>
  <si>
    <t>ORD-334263</t>
  </si>
  <si>
    <t>SKU-ELE-298</t>
  </si>
  <si>
    <t>ORD-854265</t>
  </si>
  <si>
    <t>SKU-IND-245</t>
  </si>
  <si>
    <t>PO-2026-00262</t>
  </si>
  <si>
    <t>ORD-616297</t>
  </si>
  <si>
    <t>SKU-MAC-452</t>
  </si>
  <si>
    <t>PO-2026-00263</t>
  </si>
  <si>
    <t>ORD-166468</t>
  </si>
  <si>
    <t>SKU-ELE-951</t>
  </si>
  <si>
    <t>PO-2026-00264</t>
  </si>
  <si>
    <t>ORD-559493</t>
  </si>
  <si>
    <t>SKU-TEX-503</t>
  </si>
  <si>
    <t>PO-2026-00265</t>
  </si>
  <si>
    <t>ORD-174333</t>
  </si>
  <si>
    <t>SKU-PAC-275</t>
  </si>
  <si>
    <t>PO-2026-00266</t>
  </si>
  <si>
    <t>ORD-901459</t>
  </si>
  <si>
    <t>SKU-ELE-980</t>
  </si>
  <si>
    <t>PO-2026-00267</t>
  </si>
  <si>
    <t>ORD-345716</t>
  </si>
  <si>
    <t>PO-2026-00268</t>
  </si>
  <si>
    <t>ORD-407964</t>
  </si>
  <si>
    <t>SKU-TEX-858</t>
  </si>
  <si>
    <t>PO-2026-00269</t>
  </si>
  <si>
    <t>ORD-173862</t>
  </si>
  <si>
    <t>SKU-IND-644</t>
  </si>
  <si>
    <t>PO-2026-00270</t>
  </si>
  <si>
    <t>ORD-769823</t>
  </si>
  <si>
    <t>SKU-IND-420</t>
  </si>
  <si>
    <t>PO-2026-00271</t>
  </si>
  <si>
    <t>ORD-466457</t>
  </si>
  <si>
    <t>SKU-IND-157</t>
  </si>
  <si>
    <t>PO-2026-00272</t>
  </si>
  <si>
    <t>ORD-804214</t>
  </si>
  <si>
    <t>SKU-MAC-994</t>
  </si>
  <si>
    <t>PO-2026-00273</t>
  </si>
  <si>
    <t>ORD-924678</t>
  </si>
  <si>
    <t>SKU-IND-709</t>
  </si>
  <si>
    <t>PO-2026-00274</t>
  </si>
  <si>
    <t>ORD-387254</t>
  </si>
  <si>
    <t>SKU-MAC-840</t>
  </si>
  <si>
    <t>PO-2026-00275</t>
  </si>
  <si>
    <t>ORD-671134</t>
  </si>
  <si>
    <t>SKU-MET-329</t>
  </si>
  <si>
    <t>PO-2026-00276</t>
  </si>
  <si>
    <t>ORD-426584</t>
  </si>
  <si>
    <t>SKU-RAW-768</t>
  </si>
  <si>
    <t>PO-2026-00277</t>
  </si>
  <si>
    <t>ORD-131413</t>
  </si>
  <si>
    <t>SKU-RAW-523</t>
  </si>
  <si>
    <t>PO-2026-00278</t>
  </si>
  <si>
    <t>ORD-505720</t>
  </si>
  <si>
    <t>SKU-IND-969</t>
  </si>
  <si>
    <t>PO-2026-00279</t>
  </si>
  <si>
    <t>ORD-563071</t>
  </si>
  <si>
    <t>SKU-PAC-950</t>
  </si>
  <si>
    <t>PO-2026-00280</t>
  </si>
  <si>
    <t>ORD-702179</t>
  </si>
  <si>
    <t>SKU-MAC-757</t>
  </si>
  <si>
    <t>PO-2026-00281</t>
  </si>
  <si>
    <t>ORD-242341</t>
  </si>
  <si>
    <t>SKU-PAC-645</t>
  </si>
  <si>
    <t>ORD-653604</t>
  </si>
  <si>
    <t>SKU-TEX-835</t>
  </si>
  <si>
    <t>PO-2026-00283</t>
  </si>
  <si>
    <t>ORD-911170</t>
  </si>
  <si>
    <t>SKU-MAC-408</t>
  </si>
  <si>
    <t>PO-2026-00284</t>
  </si>
  <si>
    <t>ORD-261765</t>
  </si>
  <si>
    <t>SKU-MET-322</t>
  </si>
  <si>
    <t>PO-2026-00285</t>
  </si>
  <si>
    <t>ORD-999255</t>
  </si>
  <si>
    <t>SKU-RAW-760</t>
  </si>
  <si>
    <t>PO-2026-00286</t>
  </si>
  <si>
    <t>ORD-293219</t>
  </si>
  <si>
    <t>SKU-TEX-498</t>
  </si>
  <si>
    <t>PO-2026-00287</t>
  </si>
  <si>
    <t>ORD-881567</t>
  </si>
  <si>
    <t>SKU-PAC-349</t>
  </si>
  <si>
    <t>PO-2026-00288</t>
  </si>
  <si>
    <t>ORD-710428</t>
  </si>
  <si>
    <t>SKU-PAC-439</t>
  </si>
  <si>
    <t>PO-2026-00289</t>
  </si>
  <si>
    <t>ORD-289825</t>
  </si>
  <si>
    <t>SKU-PAC-643</t>
  </si>
  <si>
    <t>PO-2026-00290</t>
  </si>
  <si>
    <t>ORD-836702</t>
  </si>
  <si>
    <t>SKU-ELE-652</t>
  </si>
  <si>
    <t>PO-2026-00291</t>
  </si>
  <si>
    <t>ORD-307646</t>
  </si>
  <si>
    <t>SKU-MAC-957</t>
  </si>
  <si>
    <t>PO-2026-00292</t>
  </si>
  <si>
    <t>ORD-852941</t>
  </si>
  <si>
    <t>SKU-ELE-273</t>
  </si>
  <si>
    <t>PO-2026-00293</t>
  </si>
  <si>
    <t>ORD-247494</t>
  </si>
  <si>
    <t>SKU-MET-321</t>
  </si>
  <si>
    <t>PO-2026-00294</t>
  </si>
  <si>
    <t>ORD-709743</t>
  </si>
  <si>
    <t>SKU-RAW-970</t>
  </si>
  <si>
    <t>PO-2026-00295</t>
  </si>
  <si>
    <t>ORD-654284</t>
  </si>
  <si>
    <t>SKU-ELE-506</t>
  </si>
  <si>
    <t>PO-2026-00296</t>
  </si>
  <si>
    <t>ORD-290504</t>
  </si>
  <si>
    <t>SKU-IND-938</t>
  </si>
  <si>
    <t>ORD-476075</t>
  </si>
  <si>
    <t>SKU-MAC-610</t>
  </si>
  <si>
    <t>PO-2026-00298</t>
  </si>
  <si>
    <t>ORD-120042</t>
  </si>
  <si>
    <t>PO-2026-00299</t>
  </si>
  <si>
    <t>ORD-330573</t>
  </si>
  <si>
    <t>SKU-MAC-823</t>
  </si>
  <si>
    <t>PO-2026-00300</t>
  </si>
  <si>
    <t>ORD-809730</t>
  </si>
  <si>
    <t>SKU-PAC-760</t>
  </si>
  <si>
    <t>PO-2026-00301</t>
  </si>
  <si>
    <t>ORD-423752</t>
  </si>
  <si>
    <t>SKU-ELE-310</t>
  </si>
  <si>
    <t>PO-2026-00302</t>
  </si>
  <si>
    <t>ORD-760695</t>
  </si>
  <si>
    <t>SKU-RAW-373</t>
  </si>
  <si>
    <t>PO-2026-00303</t>
  </si>
  <si>
    <t>ORD-114406</t>
  </si>
  <si>
    <t>SKU-RAW-358</t>
  </si>
  <si>
    <t>PO-2026-00304</t>
  </si>
  <si>
    <t>ORD-342242</t>
  </si>
  <si>
    <t>PO-2026-00305</t>
  </si>
  <si>
    <t>ORD-853199</t>
  </si>
  <si>
    <t>SKU-MAC-662</t>
  </si>
  <si>
    <t>PO-2026-00306</t>
  </si>
  <si>
    <t>ORD-972350</t>
  </si>
  <si>
    <t>SKU-MAC-626</t>
  </si>
  <si>
    <t>PO-2026-00307</t>
  </si>
  <si>
    <t>ORD-679431</t>
  </si>
  <si>
    <t>SKU-MAC-635</t>
  </si>
  <si>
    <t>PO-2026-00308</t>
  </si>
  <si>
    <t>ORD-195307</t>
  </si>
  <si>
    <t>SKU-ELE-450</t>
  </si>
  <si>
    <t>PO-2026-00309</t>
  </si>
  <si>
    <t>ORD-496340</t>
  </si>
  <si>
    <t>SKU-MET-857</t>
  </si>
  <si>
    <t>PO-2026-00310</t>
  </si>
  <si>
    <t>ORD-961277</t>
  </si>
  <si>
    <t>SKU-RAW-256</t>
  </si>
  <si>
    <t>PO-2026-00311</t>
  </si>
  <si>
    <t>ORD-160655</t>
  </si>
  <si>
    <t>SKU-IND-977</t>
  </si>
  <si>
    <t>PO-2026-00312</t>
  </si>
  <si>
    <t>ORD-488273</t>
  </si>
  <si>
    <t>SKU-IND-562</t>
  </si>
  <si>
    <t>PO-2026-00313</t>
  </si>
  <si>
    <t>ORD-167406</t>
  </si>
  <si>
    <t>SKU-PAC-456</t>
  </si>
  <si>
    <t>PO-2026-00314</t>
  </si>
  <si>
    <t>ORD-972000</t>
  </si>
  <si>
    <t>SKU-RAW-496</t>
  </si>
  <si>
    <t>PO-2026-00315</t>
  </si>
  <si>
    <t>ORD-214148</t>
  </si>
  <si>
    <t>SKU-RAW-673</t>
  </si>
  <si>
    <t>PO-2026-00316</t>
  </si>
  <si>
    <t>ORD-873716</t>
  </si>
  <si>
    <t>SKU-IND-472</t>
  </si>
  <si>
    <t>PO-2026-00317</t>
  </si>
  <si>
    <t>ORD-723238</t>
  </si>
  <si>
    <t>SKU-TEX-102</t>
  </si>
  <si>
    <t>PO-2026-00318</t>
  </si>
  <si>
    <t>ORD-295107</t>
  </si>
  <si>
    <t>SKU-ELE-955</t>
  </si>
  <si>
    <t>PO-2026-00319</t>
  </si>
  <si>
    <t>ORD-686315</t>
  </si>
  <si>
    <t>SKU-PAC-888</t>
  </si>
  <si>
    <t>PO-2026-00320</t>
  </si>
  <si>
    <t>ORD-760916</t>
  </si>
  <si>
    <t>SKU-PAC-436</t>
  </si>
  <si>
    <t>PO-2026-00321</t>
  </si>
  <si>
    <t>ORD-684563</t>
  </si>
  <si>
    <t>SKU-ELE-647</t>
  </si>
  <si>
    <t>PO-2026-00322</t>
  </si>
  <si>
    <t>ORD-163685</t>
  </si>
  <si>
    <t>SKU-IND-560</t>
  </si>
  <si>
    <t>PO-2026-00323</t>
  </si>
  <si>
    <t>ORD-280661</t>
  </si>
  <si>
    <t>SKU-ELE-370</t>
  </si>
  <si>
    <t>PO-2026-00324</t>
  </si>
  <si>
    <t>ORD-953961</t>
  </si>
  <si>
    <t>SKU-MET-354</t>
  </si>
  <si>
    <t>PO-2026-00325</t>
  </si>
  <si>
    <t>ORD-473095</t>
  </si>
  <si>
    <t>SKU-PAC-329</t>
  </si>
  <si>
    <t>PO-2026-00326</t>
  </si>
  <si>
    <t>ORD-291985</t>
  </si>
  <si>
    <t>SKU-RAW-389</t>
  </si>
  <si>
    <t>PO-2026-00327</t>
  </si>
  <si>
    <t>ORD-930768</t>
  </si>
  <si>
    <t>SKU-MET-410</t>
  </si>
  <si>
    <t>PO-2026-00328</t>
  </si>
  <si>
    <t>ORD-216221</t>
  </si>
  <si>
    <t>SKU-RAW-924</t>
  </si>
  <si>
    <t>PO-2026-00329</t>
  </si>
  <si>
    <t>ORD-670304</t>
  </si>
  <si>
    <t>SKU-RAW-904</t>
  </si>
  <si>
    <t>PO-2026-00330</t>
  </si>
  <si>
    <t>ORD-321988</t>
  </si>
  <si>
    <t>SKU-IND-888</t>
  </si>
  <si>
    <t>PO-2026-00331</t>
  </si>
  <si>
    <t>ORD-443063</t>
  </si>
  <si>
    <t>SKU-PAC-995</t>
  </si>
  <si>
    <t>PO-2026-00332</t>
  </si>
  <si>
    <t>ORD-787794</t>
  </si>
  <si>
    <t>SKU-TEX-161</t>
  </si>
  <si>
    <t>PO-2026-00333</t>
  </si>
  <si>
    <t>ORD-722220</t>
  </si>
  <si>
    <t>SKU-RAW-568</t>
  </si>
  <si>
    <t>PO-2026-00334</t>
  </si>
  <si>
    <t>ORD-144508</t>
  </si>
  <si>
    <t>SKU-PAC-392</t>
  </si>
  <si>
    <t>PO-2026-00335</t>
  </si>
  <si>
    <t>ORD-548147</t>
  </si>
  <si>
    <t>SKU-IND-598</t>
  </si>
  <si>
    <t>PO-2026-00336</t>
  </si>
  <si>
    <t>ORD-432772</t>
  </si>
  <si>
    <t>SKU-ELE-666</t>
  </si>
  <si>
    <t>PO-2026-00337</t>
  </si>
  <si>
    <t>ORD-873348</t>
  </si>
  <si>
    <t>SKU-TEX-263</t>
  </si>
  <si>
    <t>PO-2026-00338</t>
  </si>
  <si>
    <t>ORD-545361</t>
  </si>
  <si>
    <t>SKU-TEX-169</t>
  </si>
  <si>
    <t>PO-2026-00339</t>
  </si>
  <si>
    <t>ORD-275814</t>
  </si>
  <si>
    <t>SKU-RAW-931</t>
  </si>
  <si>
    <t>PO-2026-00340</t>
  </si>
  <si>
    <t>ORD-524188</t>
  </si>
  <si>
    <t>SKU-MAC-333</t>
  </si>
  <si>
    <t>PO-2026-00341</t>
  </si>
  <si>
    <t>ORD-624212</t>
  </si>
  <si>
    <t>SKU-TEX-786</t>
  </si>
  <si>
    <t>PO-2026-00342</t>
  </si>
  <si>
    <t>ORD-857802</t>
  </si>
  <si>
    <t>SKU-TEX-204</t>
  </si>
  <si>
    <t>PO-2026-00343</t>
  </si>
  <si>
    <t>ORD-694832</t>
  </si>
  <si>
    <t>SKU-PAC-474</t>
  </si>
  <si>
    <t>PO-2026-00344</t>
  </si>
  <si>
    <t>ORD-422738</t>
  </si>
  <si>
    <t>SKU-RAW-534</t>
  </si>
  <si>
    <t>PO-2026-00345</t>
  </si>
  <si>
    <t>ORD-874833</t>
  </si>
  <si>
    <t>SKU-PAC-454</t>
  </si>
  <si>
    <t>PO-2026-00346</t>
  </si>
  <si>
    <t>ORD-643370</t>
  </si>
  <si>
    <t>SKU-MAC-356</t>
  </si>
  <si>
    <t>PO-2026-00347</t>
  </si>
  <si>
    <t>ORD-629181</t>
  </si>
  <si>
    <t>SKU-MAC-612</t>
  </si>
  <si>
    <t>PO-2026-00348</t>
  </si>
  <si>
    <t>ORD-716836</t>
  </si>
  <si>
    <t>SKU-ELE-343</t>
  </si>
  <si>
    <t>PO-2026-00349</t>
  </si>
  <si>
    <t>ORD-253959</t>
  </si>
  <si>
    <t>SKU-IND-906</t>
  </si>
  <si>
    <t>PO-2026-00350</t>
  </si>
  <si>
    <t>ORD-707852</t>
  </si>
  <si>
    <t>SKU-PAC-151</t>
  </si>
  <si>
    <t>PO-2026-00351</t>
  </si>
  <si>
    <t>ORD-560304</t>
  </si>
  <si>
    <t>SKU-ELE-594</t>
  </si>
  <si>
    <t>ORD-562370</t>
  </si>
  <si>
    <t>ORD-952973</t>
  </si>
  <si>
    <t>SKU-ELE-913</t>
  </si>
  <si>
    <t>PO-2026-00354</t>
  </si>
  <si>
    <t>ORD-533606</t>
  </si>
  <si>
    <t>SKU-ELE-665</t>
  </si>
  <si>
    <t>PO-2026-00355</t>
  </si>
  <si>
    <t>ORD-262293</t>
  </si>
  <si>
    <t>SKU-PAC-213</t>
  </si>
  <si>
    <t>PO-2026-00356</t>
  </si>
  <si>
    <t>ORD-149858</t>
  </si>
  <si>
    <t>SKU-MAC-843</t>
  </si>
  <si>
    <t>PO-2026-00357</t>
  </si>
  <si>
    <t>ORD-429893</t>
  </si>
  <si>
    <t>SKU-TEX-638</t>
  </si>
  <si>
    <t>PO-2026-00358</t>
  </si>
  <si>
    <t>ORD-461390</t>
  </si>
  <si>
    <t>PO-2026-00359</t>
  </si>
  <si>
    <t>ORD-257953</t>
  </si>
  <si>
    <t>SKU-PAC-942</t>
  </si>
  <si>
    <t>PO-2026-00360</t>
  </si>
  <si>
    <t>ORD-359658</t>
  </si>
  <si>
    <t>SKU-MAC-577</t>
  </si>
  <si>
    <t>PO-2026-00361</t>
  </si>
  <si>
    <t>ORD-900225</t>
  </si>
  <si>
    <t>SKU-MAC-915</t>
  </si>
  <si>
    <t>PO-2026-00362</t>
  </si>
  <si>
    <t>ORD-105356</t>
  </si>
  <si>
    <t>SKU-TEX-926</t>
  </si>
  <si>
    <t>ORD-914233</t>
  </si>
  <si>
    <t>SKU-RAW-984</t>
  </si>
  <si>
    <t>PO-2026-00364</t>
  </si>
  <si>
    <t>ORD-689061</t>
  </si>
  <si>
    <t>SKU-ELE-302</t>
  </si>
  <si>
    <t>PO-2026-00365</t>
  </si>
  <si>
    <t>ORD-244814</t>
  </si>
  <si>
    <t>SKU-ELE-620</t>
  </si>
  <si>
    <t>PO-2026-00366</t>
  </si>
  <si>
    <t>ORD-309005</t>
  </si>
  <si>
    <t>SKU-PAC-370</t>
  </si>
  <si>
    <t>PO-2026-00367</t>
  </si>
  <si>
    <t>ORD-844580</t>
  </si>
  <si>
    <t>SKU-TEX-943</t>
  </si>
  <si>
    <t>PO-2026-00368</t>
  </si>
  <si>
    <t>ORD-513443</t>
  </si>
  <si>
    <t>SKU-PAC-586</t>
  </si>
  <si>
    <t>PO-2026-00369</t>
  </si>
  <si>
    <t>ORD-836831</t>
  </si>
  <si>
    <t>PO-2026-00370</t>
  </si>
  <si>
    <t>ORD-530176</t>
  </si>
  <si>
    <t>SKU-IND-186</t>
  </si>
  <si>
    <t>PO-2026-00371</t>
  </si>
  <si>
    <t>ORD-161214</t>
  </si>
  <si>
    <t>SKU-PAC-990</t>
  </si>
  <si>
    <t>PO-2026-00372</t>
  </si>
  <si>
    <t>ORD-413682</t>
  </si>
  <si>
    <t>SKU-RAW-728</t>
  </si>
  <si>
    <t>PO-2026-00373</t>
  </si>
  <si>
    <t>ORD-645351</t>
  </si>
  <si>
    <t>SKU-IND-369</t>
  </si>
  <si>
    <t>PO-2026-00374</t>
  </si>
  <si>
    <t>ORD-716511</t>
  </si>
  <si>
    <t>SKU-TEX-387</t>
  </si>
  <si>
    <t>PO-2026-00375</t>
  </si>
  <si>
    <t>ORD-747194</t>
  </si>
  <si>
    <t>SKU-TEX-248</t>
  </si>
  <si>
    <t>PO-2026-00376</t>
  </si>
  <si>
    <t>ORD-680997</t>
  </si>
  <si>
    <t>PO-2026-00377</t>
  </si>
  <si>
    <t>ORD-427183</t>
  </si>
  <si>
    <t>SKU-ELE-676</t>
  </si>
  <si>
    <t>PO-2026-00378</t>
  </si>
  <si>
    <t>ORD-712376</t>
  </si>
  <si>
    <t>SKU-TEX-222</t>
  </si>
  <si>
    <t>PO-2026-00379</t>
  </si>
  <si>
    <t>ORD-572259</t>
  </si>
  <si>
    <t>SKU-ELE-554</t>
  </si>
  <si>
    <t>PO-2026-00380</t>
  </si>
  <si>
    <t>ORD-860088</t>
  </si>
  <si>
    <t>SKU-IND-729</t>
  </si>
  <si>
    <t>ORD-858942</t>
  </si>
  <si>
    <t>SKU-ELE-757</t>
  </si>
  <si>
    <t>PO-2026-00382</t>
  </si>
  <si>
    <t>ORD-425409</t>
  </si>
  <si>
    <t>SKU-RAW-765</t>
  </si>
  <si>
    <t>PO-2026-00383</t>
  </si>
  <si>
    <t>ORD-504836</t>
  </si>
  <si>
    <t>SKU-MET-465</t>
  </si>
  <si>
    <t>PO-2026-00384</t>
  </si>
  <si>
    <t>ORD-919231</t>
  </si>
  <si>
    <t>Missing/invalid supplier ID; Invoice issue</t>
  </si>
  <si>
    <t>PO-2026-00385</t>
  </si>
  <si>
    <t>ORD-215388</t>
  </si>
  <si>
    <t>SKU-ELE-138</t>
  </si>
  <si>
    <t>PO-2026-00386</t>
  </si>
  <si>
    <t>ORD-104030</t>
  </si>
  <si>
    <t>SKU-IND-573</t>
  </si>
  <si>
    <t>PO-2026-00387</t>
  </si>
  <si>
    <t>ORD-651857</t>
  </si>
  <si>
    <t>SKU-MAC-468</t>
  </si>
  <si>
    <t>PO-2026-00388</t>
  </si>
  <si>
    <t>ORD-880188</t>
  </si>
  <si>
    <t>SKU-IND-622</t>
  </si>
  <si>
    <t>PO-2026-00389</t>
  </si>
  <si>
    <t>ORD-675830</t>
  </si>
  <si>
    <t>SKU-ELE-708</t>
  </si>
  <si>
    <t>PO-2026-00390</t>
  </si>
  <si>
    <t>ORD-728326</t>
  </si>
  <si>
    <t>SKU-PAC-197</t>
  </si>
  <si>
    <t>PO-2026-00391</t>
  </si>
  <si>
    <t>ORD-653980</t>
  </si>
  <si>
    <t>SKU-TEX-135</t>
  </si>
  <si>
    <t>PO-2026-00392</t>
  </si>
  <si>
    <t>ORD-467661</t>
  </si>
  <si>
    <t>SKU-RAW-805</t>
  </si>
  <si>
    <t>PO-2026-00393</t>
  </si>
  <si>
    <t>ORD-553963</t>
  </si>
  <si>
    <t>SKU-PAC-421</t>
  </si>
  <si>
    <t>PO-2026-00394</t>
  </si>
  <si>
    <t>ORD-470716</t>
  </si>
  <si>
    <t>SKU-RAW-722</t>
  </si>
  <si>
    <t>PO-2026-00395</t>
  </si>
  <si>
    <t>ORD-616516</t>
  </si>
  <si>
    <t>SKU-MAC-741</t>
  </si>
  <si>
    <t>PO-2026-00396</t>
  </si>
  <si>
    <t>ORD-278500</t>
  </si>
  <si>
    <t>SKU-MET-409</t>
  </si>
  <si>
    <t>PO-2026-00397</t>
  </si>
  <si>
    <t>ORD-425378</t>
  </si>
  <si>
    <t>SKU-IND-351</t>
  </si>
  <si>
    <t>PO-2026-00398</t>
  </si>
  <si>
    <t>ORD-146692</t>
  </si>
  <si>
    <t>PO-2026-00399</t>
  </si>
  <si>
    <t>ORD-289962</t>
  </si>
  <si>
    <t>SKU-ELE-989</t>
  </si>
  <si>
    <t>PO-2026-00400</t>
  </si>
  <si>
    <t>ORD-810568</t>
  </si>
  <si>
    <t>SKU-IND-616</t>
  </si>
  <si>
    <t>PO-2026-00401</t>
  </si>
  <si>
    <t>ORD-735479</t>
  </si>
  <si>
    <t>SKU-ELE-193</t>
  </si>
  <si>
    <t>PO-2026-00402</t>
  </si>
  <si>
    <t>ORD-807603</t>
  </si>
  <si>
    <t>SKU-ELE-584</t>
  </si>
  <si>
    <t>PO-2026-00403</t>
  </si>
  <si>
    <t>ORD-703771</t>
  </si>
  <si>
    <t>SKU-TEX-821</t>
  </si>
  <si>
    <t>PO-2026-00404</t>
  </si>
  <si>
    <t>ORD-516810</t>
  </si>
  <si>
    <t>SKU-IND-665</t>
  </si>
  <si>
    <t>PO-2026-00405</t>
  </si>
  <si>
    <t>ORD-538363</t>
  </si>
  <si>
    <t>SKU-ELE-953</t>
  </si>
  <si>
    <t>PO-2026-00406</t>
  </si>
  <si>
    <t>ORD-111750</t>
  </si>
  <si>
    <t>SKU-RAW-706</t>
  </si>
  <si>
    <t>PO-2026-00407</t>
  </si>
  <si>
    <t>ORD-587531</t>
  </si>
  <si>
    <t>SKU-TEX-664</t>
  </si>
  <si>
    <t>PO-2026-00408</t>
  </si>
  <si>
    <t>ORD-278635</t>
  </si>
  <si>
    <t>SKU-IND-134</t>
  </si>
  <si>
    <t>PO-2026-00409</t>
  </si>
  <si>
    <t>ORD-892741</t>
  </si>
  <si>
    <t>SKU-MAC-663</t>
  </si>
  <si>
    <t>PO-2026-00410</t>
  </si>
  <si>
    <t>ORD-301898</t>
  </si>
  <si>
    <t>SKU-MAC-455</t>
  </si>
  <si>
    <t>PO-2026-00411</t>
  </si>
  <si>
    <t>ORD-637809</t>
  </si>
  <si>
    <t>SKU-PAC-825</t>
  </si>
  <si>
    <t>PO-2026-00412</t>
  </si>
  <si>
    <t>ORD-292951</t>
  </si>
  <si>
    <t>SKU-ELE-711</t>
  </si>
  <si>
    <t>PO-2026-00413</t>
  </si>
  <si>
    <t>ORD-598157</t>
  </si>
  <si>
    <t>SKU-ELE-876</t>
  </si>
  <si>
    <t>PO-2026-00414</t>
  </si>
  <si>
    <t>ORD-764406</t>
  </si>
  <si>
    <t>SKU-ELE-504</t>
  </si>
  <si>
    <t>PO-2026-00415</t>
  </si>
  <si>
    <t>ORD-560192</t>
  </si>
  <si>
    <t>SKU-PAC-277</t>
  </si>
  <si>
    <t>PO-2026-00416</t>
  </si>
  <si>
    <t>ORD-962023</t>
  </si>
  <si>
    <t>SKU-ELE-525</t>
  </si>
  <si>
    <t>PO-2026-00417</t>
  </si>
  <si>
    <t>ORD-419548</t>
  </si>
  <si>
    <t>SKU-RAW-367</t>
  </si>
  <si>
    <t>PO-2026-00418</t>
  </si>
  <si>
    <t>ORD-967819</t>
  </si>
  <si>
    <t>SKU-TEX-697</t>
  </si>
  <si>
    <t>PO-2026-00419</t>
  </si>
  <si>
    <t>ORD-930382</t>
  </si>
  <si>
    <t>SKU-TEX-823</t>
  </si>
  <si>
    <t>PO-2026-00420</t>
  </si>
  <si>
    <t>ORD-688368</t>
  </si>
  <si>
    <t>SKU-TEX-936</t>
  </si>
  <si>
    <t>Missing/invalid supplier ID; Late delivery; Quality issue; Invoice issue</t>
  </si>
  <si>
    <t>PO-2026-00421</t>
  </si>
  <si>
    <t>ORD-573283</t>
  </si>
  <si>
    <t>PO-2026-00422</t>
  </si>
  <si>
    <t>ORD-332295</t>
  </si>
  <si>
    <t>PO-2026-00423</t>
  </si>
  <si>
    <t>ORD-334967</t>
  </si>
  <si>
    <t>SKU-PAC-423</t>
  </si>
  <si>
    <t>PO-2026-00424</t>
  </si>
  <si>
    <t>ORD-636223</t>
  </si>
  <si>
    <t>SKU-PAC-217</t>
  </si>
  <si>
    <t>PO-2026-00425</t>
  </si>
  <si>
    <t>ORD-665781</t>
  </si>
  <si>
    <t>SKU-MAC-853</t>
  </si>
  <si>
    <t>PO-2026-00426</t>
  </si>
  <si>
    <t>ORD-371376</t>
  </si>
  <si>
    <t>SKU-ELE-457</t>
  </si>
  <si>
    <t>PO-2026-00427</t>
  </si>
  <si>
    <t>ORD-485780</t>
  </si>
  <si>
    <t>SKU-RAW-846</t>
  </si>
  <si>
    <t>PO-2026-00428</t>
  </si>
  <si>
    <t>ORD-502556</t>
  </si>
  <si>
    <t>SKU-IND-619</t>
  </si>
  <si>
    <t>PO-2026-00429</t>
  </si>
  <si>
    <t>ORD-539506</t>
  </si>
  <si>
    <t>SKU-MAC-791</t>
  </si>
  <si>
    <t>PO-2026-00430</t>
  </si>
  <si>
    <t>ORD-577723</t>
  </si>
  <si>
    <t>SKU-ELE-873</t>
  </si>
  <si>
    <t>PO-2026-00431</t>
  </si>
  <si>
    <t>ORD-763747</t>
  </si>
  <si>
    <t>PO-2026-00432</t>
  </si>
  <si>
    <t>ORD-304106</t>
  </si>
  <si>
    <t>SKU-ELE-842</t>
  </si>
  <si>
    <t>PO-2026-00433</t>
  </si>
  <si>
    <t>ORD-111224</t>
  </si>
  <si>
    <t>SKU-RAW-213</t>
  </si>
  <si>
    <t>ORD-105472</t>
  </si>
  <si>
    <t>PO-2026-00435</t>
  </si>
  <si>
    <t>ORD-562092</t>
  </si>
  <si>
    <t>SKU-RAW-891</t>
  </si>
  <si>
    <t>PO-2026-00436</t>
  </si>
  <si>
    <t>ORD-206615</t>
  </si>
  <si>
    <t>SKU-ELE-282</t>
  </si>
  <si>
    <t>PO-2026-00437</t>
  </si>
  <si>
    <t>ORD-604123</t>
  </si>
  <si>
    <t>SKU-MAC-129</t>
  </si>
  <si>
    <t>PO-2026-00438</t>
  </si>
  <si>
    <t>ORD-536800</t>
  </si>
  <si>
    <t>SKU-ELE-410</t>
  </si>
  <si>
    <t>PO-2026-00439</t>
  </si>
  <si>
    <t>ORD-143694</t>
  </si>
  <si>
    <t>PO-2026-00440</t>
  </si>
  <si>
    <t>ORD-621483</t>
  </si>
  <si>
    <t>SKU-PAC-801</t>
  </si>
  <si>
    <t>PO-2026-00441</t>
  </si>
  <si>
    <t>ORD-323093</t>
  </si>
  <si>
    <t>SKU-TEX-898</t>
  </si>
  <si>
    <t>PO-2026-00442</t>
  </si>
  <si>
    <t>ORD-774080</t>
  </si>
  <si>
    <t>SKU-ELE-375</t>
  </si>
  <si>
    <t>PO-2026-00443</t>
  </si>
  <si>
    <t>ORD-647903</t>
  </si>
  <si>
    <t>SKU-PAC-916</t>
  </si>
  <si>
    <t>PO-2026-00444</t>
  </si>
  <si>
    <t>ORD-296406</t>
  </si>
  <si>
    <t>SKU-ELE-935</t>
  </si>
  <si>
    <t>PO-2026-00445</t>
  </si>
  <si>
    <t>ORD-693477</t>
  </si>
  <si>
    <t>PO-2026-00446</t>
  </si>
  <si>
    <t>ORD-934255</t>
  </si>
  <si>
    <t>SKU-IND-954</t>
  </si>
  <si>
    <t>PO-2026-00447</t>
  </si>
  <si>
    <t>ORD-153693</t>
  </si>
  <si>
    <t>SKU-PAC-971</t>
  </si>
  <si>
    <t>PO-2026-00448</t>
  </si>
  <si>
    <t>ORD-864668</t>
  </si>
  <si>
    <t>SKU-IND-381</t>
  </si>
  <si>
    <t>PO-2026-00449</t>
  </si>
  <si>
    <t>ORD-449875</t>
  </si>
  <si>
    <t>SKU-TEX-972</t>
  </si>
  <si>
    <t>PO-2026-00450</t>
  </si>
  <si>
    <t>ORD-344244</t>
  </si>
  <si>
    <t>SKU-RAW-991</t>
  </si>
  <si>
    <t>PO-2026-00451</t>
  </si>
  <si>
    <t>ORD-350454</t>
  </si>
  <si>
    <t>SKU-TEX-421</t>
  </si>
  <si>
    <t>PO-2026-00452</t>
  </si>
  <si>
    <t>ORD-424971</t>
  </si>
  <si>
    <t>SKU-PAC-413</t>
  </si>
  <si>
    <t>PO-2026-00453</t>
  </si>
  <si>
    <t>ORD-214673</t>
  </si>
  <si>
    <t>SKU-IND-297</t>
  </si>
  <si>
    <t>PO-2026-00454</t>
  </si>
  <si>
    <t>ORD-356631</t>
  </si>
  <si>
    <t>SKU-PAC-943</t>
  </si>
  <si>
    <t>PO-2026-00455</t>
  </si>
  <si>
    <t>ORD-938110</t>
  </si>
  <si>
    <t>SKU-ELE-414</t>
  </si>
  <si>
    <t>PO-2026-00456</t>
  </si>
  <si>
    <t>ORD-895117</t>
  </si>
  <si>
    <t>SKU-ELE-421</t>
  </si>
  <si>
    <t>PO-2026-00457</t>
  </si>
  <si>
    <t>ORD-944135</t>
  </si>
  <si>
    <t>SKU-RAW-849</t>
  </si>
  <si>
    <t>PO-2026-00458</t>
  </si>
  <si>
    <t>ORD-149100</t>
  </si>
  <si>
    <t>SKU-ELE-625</t>
  </si>
  <si>
    <t>PO-2026-00459</t>
  </si>
  <si>
    <t>ORD-187283</t>
  </si>
  <si>
    <t>SKU-MET-526</t>
  </si>
  <si>
    <t>PO-2026-00460</t>
  </si>
  <si>
    <t>ORD-170015</t>
  </si>
  <si>
    <t>SKU-ELE-772</t>
  </si>
  <si>
    <t>PO-2026-00461</t>
  </si>
  <si>
    <t>ORD-473752</t>
  </si>
  <si>
    <t>SKU-IND-905</t>
  </si>
  <si>
    <t>PO-2026-00462</t>
  </si>
  <si>
    <t>ORD-785797</t>
  </si>
  <si>
    <t>SKU-MAC-510</t>
  </si>
  <si>
    <t>PO-2026-00463</t>
  </si>
  <si>
    <t>ORD-449396</t>
  </si>
  <si>
    <t>SKU-ELE-574</t>
  </si>
  <si>
    <t>PO-2026-00464</t>
  </si>
  <si>
    <t>ORD-631605</t>
  </si>
  <si>
    <t>SKU-TEX-944</t>
  </si>
  <si>
    <t>ORD-280849</t>
  </si>
  <si>
    <t>SKU-IND-850</t>
  </si>
  <si>
    <t>PO-2026-00466</t>
  </si>
  <si>
    <t>ORD-484075</t>
  </si>
  <si>
    <t>SKU-ELE-271</t>
  </si>
  <si>
    <t>PO-2026-00467</t>
  </si>
  <si>
    <t>ORD-546699</t>
  </si>
  <si>
    <t>SKU-ELE-669</t>
  </si>
  <si>
    <t>PO-2026-00468</t>
  </si>
  <si>
    <t>ORD-239722</t>
  </si>
  <si>
    <t>PO-2026-00469</t>
  </si>
  <si>
    <t>ORD-436100</t>
  </si>
  <si>
    <t>SKU-MET-141</t>
  </si>
  <si>
    <t>PO-2026-00470</t>
  </si>
  <si>
    <t>ORD-670047</t>
  </si>
  <si>
    <t>SKU-PAC-707</t>
  </si>
  <si>
    <t>PO-2026-00471</t>
  </si>
  <si>
    <t>ORD-142657</t>
  </si>
  <si>
    <t>SKU-RAW-299</t>
  </si>
  <si>
    <t>PO-2026-00472</t>
  </si>
  <si>
    <t>ORD-906538</t>
  </si>
  <si>
    <t>SKU-MET-719</t>
  </si>
  <si>
    <t>PO-2026-00473</t>
  </si>
  <si>
    <t>ORD-610520</t>
  </si>
  <si>
    <t>SKU-IND-884</t>
  </si>
  <si>
    <t>PO-2026-00474</t>
  </si>
  <si>
    <t>ORD-155286</t>
  </si>
  <si>
    <t>SKU-MAC-319</t>
  </si>
  <si>
    <t>PO-2026-00475</t>
  </si>
  <si>
    <t>ORD-973281</t>
  </si>
  <si>
    <t>SKU-RAW-677</t>
  </si>
  <si>
    <t>PO-2026-00476</t>
  </si>
  <si>
    <t>ORD-687251</t>
  </si>
  <si>
    <t>SKU-PAC-147</t>
  </si>
  <si>
    <t>PO-2026-00477</t>
  </si>
  <si>
    <t>ORD-882841</t>
  </si>
  <si>
    <t>SKU-PAC-605</t>
  </si>
  <si>
    <t>PO-2026-00478</t>
  </si>
  <si>
    <t>ORD-520621</t>
  </si>
  <si>
    <t>SKU-TEX-276</t>
  </si>
  <si>
    <t>PO-2026-00479</t>
  </si>
  <si>
    <t>ORD-929838</t>
  </si>
  <si>
    <t>SKU-ELE-434</t>
  </si>
  <si>
    <t>PO-2026-00480</t>
  </si>
  <si>
    <t>ORD-808220</t>
  </si>
  <si>
    <t>SKU-IND-957</t>
  </si>
  <si>
    <t>PO-2026-00481</t>
  </si>
  <si>
    <t>ORD-683871</t>
  </si>
  <si>
    <t>PO-2026-00482</t>
  </si>
  <si>
    <t>ORD-231290</t>
  </si>
  <si>
    <t>SKU-IND-367</t>
  </si>
  <si>
    <t>PO-2026-00483</t>
  </si>
  <si>
    <t>ORD-431682</t>
  </si>
  <si>
    <t>SKU-MET-206</t>
  </si>
  <si>
    <t>PO-2026-00484</t>
  </si>
  <si>
    <t>ORD-911885</t>
  </si>
  <si>
    <t>SKU-MAC-571</t>
  </si>
  <si>
    <t>PO-2026-00485</t>
  </si>
  <si>
    <t>ORD-800133</t>
  </si>
  <si>
    <t>SKU-TEX-137</t>
  </si>
  <si>
    <t>PO-2026-00486</t>
  </si>
  <si>
    <t>ORD-952363</t>
  </si>
  <si>
    <t>SKU-MAC-151</t>
  </si>
  <si>
    <t>PO-2026-00487</t>
  </si>
  <si>
    <t>ORD-401400</t>
  </si>
  <si>
    <t>SKU-MAC-479</t>
  </si>
  <si>
    <t>PO-2026-00488</t>
  </si>
  <si>
    <t>ORD-101757</t>
  </si>
  <si>
    <t>SKU-ELE-578</t>
  </si>
  <si>
    <t>PO-2026-00489</t>
  </si>
  <si>
    <t>ORD-755960</t>
  </si>
  <si>
    <t>SKU-ELE-558</t>
  </si>
  <si>
    <t>Missing/invalid supplier ID; Quality issue; Invoice issue</t>
  </si>
  <si>
    <t>PO-2026-00490</t>
  </si>
  <si>
    <t>ORD-127824</t>
  </si>
  <si>
    <t>SKU-ELE-403</t>
  </si>
  <si>
    <t>ORD-550893</t>
  </si>
  <si>
    <t>SKU-PAC-239</t>
  </si>
  <si>
    <t>PO-2026-00492</t>
  </si>
  <si>
    <t>ORD-402946</t>
  </si>
  <si>
    <t>SKU-TEX-126</t>
  </si>
  <si>
    <t>PO-2026-00493</t>
  </si>
  <si>
    <t>ORD-252024</t>
  </si>
  <si>
    <t>SKU-PAC-867</t>
  </si>
  <si>
    <t>PO-2026-00494</t>
  </si>
  <si>
    <t>ORD-582550</t>
  </si>
  <si>
    <t>SKU-TEX-390</t>
  </si>
  <si>
    <t>PO-2026-00495</t>
  </si>
  <si>
    <t>ORD-675878</t>
  </si>
  <si>
    <t>SKU-RAW-685</t>
  </si>
  <si>
    <t>PO-2026-00496</t>
  </si>
  <si>
    <t>ORD-687343</t>
  </si>
  <si>
    <t>SKU-MAC-370</t>
  </si>
  <si>
    <t>PO-2026-00497</t>
  </si>
  <si>
    <t>ORD-513965</t>
  </si>
  <si>
    <t>SKU-MET-113</t>
  </si>
  <si>
    <t>PO-2026-00498</t>
  </si>
  <si>
    <t>ORD-434106</t>
  </si>
  <si>
    <t>SKU-IND-789</t>
  </si>
  <si>
    <t>PO-2026-00499</t>
  </si>
  <si>
    <t>ORD-809887</t>
  </si>
  <si>
    <t>SKU-MAC-854</t>
  </si>
  <si>
    <t>PO-2026-00500</t>
  </si>
  <si>
    <t>ORD-534730</t>
  </si>
  <si>
    <t>PO-2026-00501</t>
  </si>
  <si>
    <t>ORD-644533</t>
  </si>
  <si>
    <t>SKU-PAC-132</t>
  </si>
  <si>
    <t>PO-2026-00502</t>
  </si>
  <si>
    <t>ORD-917413</t>
  </si>
  <si>
    <t>SKU-RAW-168</t>
  </si>
  <si>
    <t>PO-2026-00503</t>
  </si>
  <si>
    <t>ORD-924400</t>
  </si>
  <si>
    <t>SKU-ELE-359</t>
  </si>
  <si>
    <t>PO-2026-00504</t>
  </si>
  <si>
    <t>ORD-257588</t>
  </si>
  <si>
    <t>SKU-RAW-497</t>
  </si>
  <si>
    <t>PO-2026-00505</t>
  </si>
  <si>
    <t>ORD-398151</t>
  </si>
  <si>
    <t>SKU-RAW-255</t>
  </si>
  <si>
    <t>PO-2026-00506</t>
  </si>
  <si>
    <t>ORD-539920</t>
  </si>
  <si>
    <t>SKU-PAC-666</t>
  </si>
  <si>
    <t>PO-2026-00507</t>
  </si>
  <si>
    <t>ORD-226112</t>
  </si>
  <si>
    <t>SKU-TEX-916</t>
  </si>
  <si>
    <t>PO-2026-00508</t>
  </si>
  <si>
    <t>ORD-991318</t>
  </si>
  <si>
    <t>SKU-IND-374</t>
  </si>
  <si>
    <t>PO-2026-00509</t>
  </si>
  <si>
    <t>ORD-142773</t>
  </si>
  <si>
    <t>SKU-IND-654</t>
  </si>
  <si>
    <t>PO-2026-00510</t>
  </si>
  <si>
    <t>ORD-772351</t>
  </si>
  <si>
    <t>SKU-RAW-901</t>
  </si>
  <si>
    <t>PO-2026-00511</t>
  </si>
  <si>
    <t>ORD-510186</t>
  </si>
  <si>
    <t>SKU-MET-187</t>
  </si>
  <si>
    <t>PO-2026-00512</t>
  </si>
  <si>
    <t>ORD-928658</t>
  </si>
  <si>
    <t>SKU-TEX-364</t>
  </si>
  <si>
    <t>PO-2026-00513</t>
  </si>
  <si>
    <t>ORD-562659</t>
  </si>
  <si>
    <t>SKU-PAC-571</t>
  </si>
  <si>
    <t>PO-2026-00514</t>
  </si>
  <si>
    <t>ORD-810093</t>
  </si>
  <si>
    <t>SKU-IND-431</t>
  </si>
  <si>
    <t>PO-2026-00515</t>
  </si>
  <si>
    <t>ORD-550135</t>
  </si>
  <si>
    <t>SKU-RAW-922</t>
  </si>
  <si>
    <t>PO-2026-00516</t>
  </si>
  <si>
    <t>ORD-379438</t>
  </si>
  <si>
    <t>SKU-IND-975</t>
  </si>
  <si>
    <t>PO-2026-00517</t>
  </si>
  <si>
    <t>ORD-459783</t>
  </si>
  <si>
    <t>SKU-ELE-513</t>
  </si>
  <si>
    <t>PO-2026-00518</t>
  </si>
  <si>
    <t>ORD-944952</t>
  </si>
  <si>
    <t>SKU-IND-503</t>
  </si>
  <si>
    <t>PO-2026-00519</t>
  </si>
  <si>
    <t>ORD-213315</t>
  </si>
  <si>
    <t>SKU-PAC-369</t>
  </si>
  <si>
    <t>PO-2026-00520</t>
  </si>
  <si>
    <t>ORD-709344</t>
  </si>
  <si>
    <t>SKU-MAC-298</t>
  </si>
  <si>
    <t>PO-2026-00521</t>
  </si>
  <si>
    <t>ORD-442250</t>
  </si>
  <si>
    <t>SKU-MAC-226</t>
  </si>
  <si>
    <t>PO-2026-00522</t>
  </si>
  <si>
    <t>ORD-847804</t>
  </si>
  <si>
    <t>SKU-RAW-278</t>
  </si>
  <si>
    <t>PO-2026-00523</t>
  </si>
  <si>
    <t>ORD-108083</t>
  </si>
  <si>
    <t>SKU-ELE-208</t>
  </si>
  <si>
    <t>PO-2026-00524</t>
  </si>
  <si>
    <t>ORD-207761</t>
  </si>
  <si>
    <t>SKU-IND-813</t>
  </si>
  <si>
    <t>PO-2026-00525</t>
  </si>
  <si>
    <t>ORD-733086</t>
  </si>
  <si>
    <t>SKU-RAW-101</t>
  </si>
  <si>
    <t>PO-2026-00526</t>
  </si>
  <si>
    <t>ORD-586799</t>
  </si>
  <si>
    <t>PO-2026-00527</t>
  </si>
  <si>
    <t>ORD-727603</t>
  </si>
  <si>
    <t>SKU-RAW-105</t>
  </si>
  <si>
    <t>PO-2026-00528</t>
  </si>
  <si>
    <t>ORD-579198</t>
  </si>
  <si>
    <t>SKU-IND-722</t>
  </si>
  <si>
    <t>PO-2026-00529</t>
  </si>
  <si>
    <t>ORD-656695</t>
  </si>
  <si>
    <t>SKU-RAW-973</t>
  </si>
  <si>
    <t>PO-2026-00530</t>
  </si>
  <si>
    <t>ORD-924385</t>
  </si>
  <si>
    <t>SKU-MAC-839</t>
  </si>
  <si>
    <t>PO-2026-00531</t>
  </si>
  <si>
    <t>ORD-612499</t>
  </si>
  <si>
    <t>SKU-PAC-638</t>
  </si>
  <si>
    <t>ORD-257752</t>
  </si>
  <si>
    <t>SKU-ELE-524</t>
  </si>
  <si>
    <t>PO-2026-00533</t>
  </si>
  <si>
    <t>ORD-667881</t>
  </si>
  <si>
    <t>SKU-RAW-420</t>
  </si>
  <si>
    <t>PO-2026-00534</t>
  </si>
  <si>
    <t>ORD-518027</t>
  </si>
  <si>
    <t>SKU-RAW-223</t>
  </si>
  <si>
    <t>PO-2026-00535</t>
  </si>
  <si>
    <t>ORD-871785</t>
  </si>
  <si>
    <t>SKU-RAW-283</t>
  </si>
  <si>
    <t>PO-2026-00536</t>
  </si>
  <si>
    <t>ORD-847535</t>
  </si>
  <si>
    <t>SKU-PAC-974</t>
  </si>
  <si>
    <t>PO-2026-00537</t>
  </si>
  <si>
    <t>ORD-481597</t>
  </si>
  <si>
    <t>SKU-RAW-139</t>
  </si>
  <si>
    <t>PO-2026-00538</t>
  </si>
  <si>
    <t>ORD-858224</t>
  </si>
  <si>
    <t>SKU-MAC-817</t>
  </si>
  <si>
    <t>Missing/invalid supplier ID; Quality issue</t>
  </si>
  <si>
    <t>PO-2026-00539</t>
  </si>
  <si>
    <t>ORD-313737</t>
  </si>
  <si>
    <t>SKU-MET-324</t>
  </si>
  <si>
    <t>PO-2026-00540</t>
  </si>
  <si>
    <t>ORD-778159</t>
  </si>
  <si>
    <t>SKU-RAW-552</t>
  </si>
  <si>
    <t>PO-2026-00541</t>
  </si>
  <si>
    <t>ORD-148817</t>
  </si>
  <si>
    <t>SKU-TEX-620</t>
  </si>
  <si>
    <t>PO-2026-00542</t>
  </si>
  <si>
    <t>ORD-111481</t>
  </si>
  <si>
    <t>SKU-MET-453</t>
  </si>
  <si>
    <t>PO-2026-00543</t>
  </si>
  <si>
    <t>ORD-635419</t>
  </si>
  <si>
    <t>ORD-780826</t>
  </si>
  <si>
    <t>SKU-PAC-105</t>
  </si>
  <si>
    <t>PO-2026-00545</t>
  </si>
  <si>
    <t>ORD-545069</t>
  </si>
  <si>
    <t>SKU-ELE-954</t>
  </si>
  <si>
    <t>PO-2026-00546</t>
  </si>
  <si>
    <t>ORD-442852</t>
  </si>
  <si>
    <t>SKU-PAC-441</t>
  </si>
  <si>
    <t>PO-2026-00547</t>
  </si>
  <si>
    <t>ORD-840645</t>
  </si>
  <si>
    <t>SKU-MAC-879</t>
  </si>
  <si>
    <t>PO-2026-00548</t>
  </si>
  <si>
    <t>ORD-729023</t>
  </si>
  <si>
    <t>SKU-MAC-988</t>
  </si>
  <si>
    <t>PO-2026-00549</t>
  </si>
  <si>
    <t>ORD-438839</t>
  </si>
  <si>
    <t>SKU-PAC-543</t>
  </si>
  <si>
    <t>PO-2026-00550</t>
  </si>
  <si>
    <t>ORD-598598</t>
  </si>
  <si>
    <t>SKU-PAC-178</t>
  </si>
  <si>
    <t>PO-2026-00551</t>
  </si>
  <si>
    <t>ORD-869180</t>
  </si>
  <si>
    <t>PO-2026-00552</t>
  </si>
  <si>
    <t>ORD-112398</t>
  </si>
  <si>
    <t>SKU-PAC-868</t>
  </si>
  <si>
    <t>PO-2026-00553</t>
  </si>
  <si>
    <t>ORD-182932</t>
  </si>
  <si>
    <t>SKU-PAC-861</t>
  </si>
  <si>
    <t>PO-2026-00554</t>
  </si>
  <si>
    <t>ORD-785103</t>
  </si>
  <si>
    <t>SKU-ELE-906</t>
  </si>
  <si>
    <t>PO-2026-00555</t>
  </si>
  <si>
    <t>ORD-269502</t>
  </si>
  <si>
    <t>SKU-MAC-447</t>
  </si>
  <si>
    <t>PO-2026-00556</t>
  </si>
  <si>
    <t>ORD-701183</t>
  </si>
  <si>
    <t>SKU-ELE-411</t>
  </si>
  <si>
    <t>PO-2026-00557</t>
  </si>
  <si>
    <t>ORD-780815</t>
  </si>
  <si>
    <t>SKU-MAC-797</t>
  </si>
  <si>
    <t>PO-2026-00558</t>
  </si>
  <si>
    <t>ORD-692299</t>
  </si>
  <si>
    <t>SKU-PAC-740</t>
  </si>
  <si>
    <t>PO-2026-00559</t>
  </si>
  <si>
    <t>ORD-264764</t>
  </si>
  <si>
    <t>SKU-TEX-544</t>
  </si>
  <si>
    <t>PO-2026-00560</t>
  </si>
  <si>
    <t>ORD-691145</t>
  </si>
  <si>
    <t>SKU-PAC-909</t>
  </si>
  <si>
    <t>PO-2026-00561</t>
  </si>
  <si>
    <t>ORD-225076</t>
  </si>
  <si>
    <t>SKU-PAC-843</t>
  </si>
  <si>
    <t>PO-2026-00562</t>
  </si>
  <si>
    <t>ORD-766868</t>
  </si>
  <si>
    <t>SKU-ELE-695</t>
  </si>
  <si>
    <t>PO-2026-00563</t>
  </si>
  <si>
    <t>ORD-519679</t>
  </si>
  <si>
    <t>SKU-PAC-334</t>
  </si>
  <si>
    <t>PO-2026-00564</t>
  </si>
  <si>
    <t>ORD-226037</t>
  </si>
  <si>
    <t>SKU-TEX-451</t>
  </si>
  <si>
    <t>PO-2026-00565</t>
  </si>
  <si>
    <t>ORD-716265</t>
  </si>
  <si>
    <t>SKU-ELE-374</t>
  </si>
  <si>
    <t>PO-2026-00566</t>
  </si>
  <si>
    <t>ORD-570409</t>
  </si>
  <si>
    <t>SKU-ELE-795</t>
  </si>
  <si>
    <t>PO-2026-00567</t>
  </si>
  <si>
    <t>ORD-306991</t>
  </si>
  <si>
    <t>SKU-PAC-172</t>
  </si>
  <si>
    <t>PO-2026-00568</t>
  </si>
  <si>
    <t>ORD-441687</t>
  </si>
  <si>
    <t>PO-2026-00569</t>
  </si>
  <si>
    <t>ORD-978762</t>
  </si>
  <si>
    <t>SKU-PAC-667</t>
  </si>
  <si>
    <t>PO-2026-00570</t>
  </si>
  <si>
    <t>ORD-591863</t>
  </si>
  <si>
    <t>PO-2026-00571</t>
  </si>
  <si>
    <t>ORD-130823</t>
  </si>
  <si>
    <t>SKU-ELE-154</t>
  </si>
  <si>
    <t>PO-2026-00572</t>
  </si>
  <si>
    <t>ORD-624321</t>
  </si>
  <si>
    <t>SKU-TEX-256</t>
  </si>
  <si>
    <t>PO-2026-00573</t>
  </si>
  <si>
    <t>ORD-825661</t>
  </si>
  <si>
    <t>SKU-PAC-978</t>
  </si>
  <si>
    <t>PO-2026-00574</t>
  </si>
  <si>
    <t>ORD-830564</t>
  </si>
  <si>
    <t>SKU-MET-178</t>
  </si>
  <si>
    <t>PO-2026-00575</t>
  </si>
  <si>
    <t>ORD-106783</t>
  </si>
  <si>
    <t>SKU-MAC-633</t>
  </si>
  <si>
    <t>PO-2026-00576</t>
  </si>
  <si>
    <t>ORD-373832</t>
  </si>
  <si>
    <t>PO-2026-00577</t>
  </si>
  <si>
    <t>ORD-673281</t>
  </si>
  <si>
    <t>SKU-MET-320</t>
  </si>
  <si>
    <t>PO-2026-00578</t>
  </si>
  <si>
    <t>ORD-363600</t>
  </si>
  <si>
    <t>SKU-TEX-528</t>
  </si>
  <si>
    <t>PO-2026-00579</t>
  </si>
  <si>
    <t>ORD-963956</t>
  </si>
  <si>
    <t>SKU-RAW-712</t>
  </si>
  <si>
    <t>PO-2026-00580</t>
  </si>
  <si>
    <t>ORD-595265</t>
  </si>
  <si>
    <t>SKU-ELE-115</t>
  </si>
  <si>
    <t>PO-2026-00581</t>
  </si>
  <si>
    <t>ORD-957309</t>
  </si>
  <si>
    <t>SKU-RAW-460</t>
  </si>
  <si>
    <t>PO-2026-00582</t>
  </si>
  <si>
    <t>ORD-100716</t>
  </si>
  <si>
    <t>SKU-ELE-690</t>
  </si>
  <si>
    <t>PO-2026-00583</t>
  </si>
  <si>
    <t>ORD-975595</t>
  </si>
  <si>
    <t>SKU-ELE-886</t>
  </si>
  <si>
    <t>PO-2026-00584</t>
  </si>
  <si>
    <t>ORD-248777</t>
  </si>
  <si>
    <t>SKU-ELE-383</t>
  </si>
  <si>
    <t>PO-2026-00585</t>
  </si>
  <si>
    <t>ORD-887217</t>
  </si>
  <si>
    <t>SKU-PAC-561</t>
  </si>
  <si>
    <t>PO-2026-00586</t>
  </si>
  <si>
    <t>ORD-715401</t>
  </si>
  <si>
    <t>SKU-ELE-372</t>
  </si>
  <si>
    <t>PO-2026-00587</t>
  </si>
  <si>
    <t>ORD-937372</t>
  </si>
  <si>
    <t>SKU-MAC-809</t>
  </si>
  <si>
    <t>PO-2026-00588</t>
  </si>
  <si>
    <t>ORD-256045</t>
  </si>
  <si>
    <t>SKU-MAC-123</t>
  </si>
  <si>
    <t>PO-2026-00589</t>
  </si>
  <si>
    <t>ORD-947637</t>
  </si>
  <si>
    <t>SKU-ELE-755</t>
  </si>
  <si>
    <t>PO-2026-00590</t>
  </si>
  <si>
    <t>ORD-391444</t>
  </si>
  <si>
    <t>PO-2026-00591</t>
  </si>
  <si>
    <t>ORD-891466</t>
  </si>
  <si>
    <t>PO-2026-00592</t>
  </si>
  <si>
    <t>ORD-694969</t>
  </si>
  <si>
    <t>SKU-MET-207</t>
  </si>
  <si>
    <t>PO-2026-00593</t>
  </si>
  <si>
    <t>ORD-780063</t>
  </si>
  <si>
    <t>SKU-IND-184</t>
  </si>
  <si>
    <t>PO-2026-00594</t>
  </si>
  <si>
    <t>ORD-758949</t>
  </si>
  <si>
    <t>SKU-MAC-446</t>
  </si>
  <si>
    <t>PO-2026-00595</t>
  </si>
  <si>
    <t>ORD-133995</t>
  </si>
  <si>
    <t>SKU-RAW-152</t>
  </si>
  <si>
    <t>PO-2026-00596</t>
  </si>
  <si>
    <t>ORD-245666</t>
  </si>
  <si>
    <t>SKU-IND-687</t>
  </si>
  <si>
    <t>PO-2026-00597</t>
  </si>
  <si>
    <t>ORD-551683</t>
  </si>
  <si>
    <t>SKU-TEX-974</t>
  </si>
  <si>
    <t>PO-2026-00598</t>
  </si>
  <si>
    <t>ORD-524757</t>
  </si>
  <si>
    <t>SKU-TEX-192</t>
  </si>
  <si>
    <t>PO-2026-00599</t>
  </si>
  <si>
    <t>ORD-797525</t>
  </si>
  <si>
    <t>SKU-ELE-983</t>
  </si>
  <si>
    <t>PO-2026-00600</t>
  </si>
  <si>
    <t>ORD-367464</t>
  </si>
  <si>
    <t>SKU-PAC-371</t>
  </si>
  <si>
    <t>PO-2026-00601</t>
  </si>
  <si>
    <t>ORD-634535</t>
  </si>
  <si>
    <t>SKU-PAC-714</t>
  </si>
  <si>
    <t>PO-2026-00602</t>
  </si>
  <si>
    <t>ORD-242337</t>
  </si>
  <si>
    <t>SKU-PAC-823</t>
  </si>
  <si>
    <t>PO-2026-00603</t>
  </si>
  <si>
    <t>ORD-403444</t>
  </si>
  <si>
    <t>SKU-PAC-422</t>
  </si>
  <si>
    <t>PO-2026-00604</t>
  </si>
  <si>
    <t>ORD-371903</t>
  </si>
  <si>
    <t>PO-2026-00605</t>
  </si>
  <si>
    <t>ORD-141701</t>
  </si>
  <si>
    <t>SKU-RAW-716</t>
  </si>
  <si>
    <t>PO-2026-00606</t>
  </si>
  <si>
    <t>ORD-962628</t>
  </si>
  <si>
    <t>SKU-PAC-238</t>
  </si>
  <si>
    <t>PO-2026-00607</t>
  </si>
  <si>
    <t>ORD-387303</t>
  </si>
  <si>
    <t>SKU-MAC-148</t>
  </si>
  <si>
    <t>PO-2026-00608</t>
  </si>
  <si>
    <t>ORD-189965</t>
  </si>
  <si>
    <t>PO-2026-00609</t>
  </si>
  <si>
    <t>ORD-648098</t>
  </si>
  <si>
    <t>SKU-IND-188</t>
  </si>
  <si>
    <t>PO-2026-00610</t>
  </si>
  <si>
    <t>ORD-115867</t>
  </si>
  <si>
    <t>SKU-MAC-849</t>
  </si>
  <si>
    <t>PO-2026-00611</t>
  </si>
  <si>
    <t>ORD-720500</t>
  </si>
  <si>
    <t>SKU-ELE-642</t>
  </si>
  <si>
    <t>PO-2026-00612</t>
  </si>
  <si>
    <t>ORD-685733</t>
  </si>
  <si>
    <t>SKU-MAC-469</t>
  </si>
  <si>
    <t>PO-2026-00613</t>
  </si>
  <si>
    <t>ORD-337515</t>
  </si>
  <si>
    <t>SKU-ELE-828</t>
  </si>
  <si>
    <t>PO-2026-00614</t>
  </si>
  <si>
    <t>ORD-460429</t>
  </si>
  <si>
    <t>SKU-RAW-997</t>
  </si>
  <si>
    <t>PO-2026-00615</t>
  </si>
  <si>
    <t>ORD-842716</t>
  </si>
  <si>
    <t>SKU-IND-785</t>
  </si>
  <si>
    <t>PO-2026-00616</t>
  </si>
  <si>
    <t>ORD-981463</t>
  </si>
  <si>
    <t>SKU-ELE-814</t>
  </si>
  <si>
    <t>PO-2026-00617</t>
  </si>
  <si>
    <t>ORD-422761</t>
  </si>
  <si>
    <t>SKU-RAW-308</t>
  </si>
  <si>
    <t>PO-2026-00618</t>
  </si>
  <si>
    <t>ORD-553019</t>
  </si>
  <si>
    <t>SKU-MAC-143</t>
  </si>
  <si>
    <t>PO-2026-00619</t>
  </si>
  <si>
    <t>ORD-963407</t>
  </si>
  <si>
    <t>SKU-MET-888</t>
  </si>
  <si>
    <t>PO-2026-00620</t>
  </si>
  <si>
    <t>ORD-951798</t>
  </si>
  <si>
    <t>SKU-PAC-335</t>
  </si>
  <si>
    <t>PO-2026-00621</t>
  </si>
  <si>
    <t>ORD-462055</t>
  </si>
  <si>
    <t>SKU-IND-775</t>
  </si>
  <si>
    <t>PO-2026-00622</t>
  </si>
  <si>
    <t>ORD-873072</t>
  </si>
  <si>
    <t>SKU-MAC-984</t>
  </si>
  <si>
    <t>ORD-489251</t>
  </si>
  <si>
    <t>SKU-IND-258</t>
  </si>
  <si>
    <t>PO-2026-00624</t>
  </si>
  <si>
    <t>ORD-669300</t>
  </si>
  <si>
    <t>SKU-MAC-891</t>
  </si>
  <si>
    <t>PO-2026-00625</t>
  </si>
  <si>
    <t>ORD-588167</t>
  </si>
  <si>
    <t>SKU-RAW-631</t>
  </si>
  <si>
    <t>PO-2026-00626</t>
  </si>
  <si>
    <t>ORD-203878</t>
  </si>
  <si>
    <t>SKU-ELE-348</t>
  </si>
  <si>
    <t>PO-2026-00627</t>
  </si>
  <si>
    <t>ORD-695867</t>
  </si>
  <si>
    <t>SKU-MET-362</t>
  </si>
  <si>
    <t>PO-2026-00628</t>
  </si>
  <si>
    <t>ORD-902417</t>
  </si>
  <si>
    <t>SKU-MET-400</t>
  </si>
  <si>
    <t>PO-2026-00629</t>
  </si>
  <si>
    <t>ORD-543885</t>
  </si>
  <si>
    <t>SKU-PAC-972</t>
  </si>
  <si>
    <t>PO-2026-00630</t>
  </si>
  <si>
    <t>ORD-889281</t>
  </si>
  <si>
    <t>SKU-TEX-304</t>
  </si>
  <si>
    <t>PO-2026-00631</t>
  </si>
  <si>
    <t>ORD-726422</t>
  </si>
  <si>
    <t>SKU-PAC-226</t>
  </si>
  <si>
    <t>PO-2026-00632</t>
  </si>
  <si>
    <t>ORD-986896</t>
  </si>
  <si>
    <t>SKU-TEX-728</t>
  </si>
  <si>
    <t>PO-2026-00633</t>
  </si>
  <si>
    <t>ORD-854425</t>
  </si>
  <si>
    <t>SKU-ELE-643</t>
  </si>
  <si>
    <t>PO-2026-00634</t>
  </si>
  <si>
    <t>ORD-562270</t>
  </si>
  <si>
    <t>SKU-MAC-815</t>
  </si>
  <si>
    <t>PO-2026-00635</t>
  </si>
  <si>
    <t>ORD-912978</t>
  </si>
  <si>
    <t>SKU-ELE-835</t>
  </si>
  <si>
    <t>PO-2026-00636</t>
  </si>
  <si>
    <t>ORD-275099</t>
  </si>
  <si>
    <t>SKU-MAC-139</t>
  </si>
  <si>
    <t>PO-2026-00637</t>
  </si>
  <si>
    <t>ORD-758755</t>
  </si>
  <si>
    <t>SKU-PAC-150</t>
  </si>
  <si>
    <t>PO-2026-00638</t>
  </si>
  <si>
    <t>ORD-584206</t>
  </si>
  <si>
    <t>SKU-PAC-799</t>
  </si>
  <si>
    <t>ORD-473550</t>
  </si>
  <si>
    <t>SKU-RAW-580</t>
  </si>
  <si>
    <t>PO-2026-00640</t>
  </si>
  <si>
    <t>ORD-645662</t>
  </si>
  <si>
    <t>SKU-TEX-240</t>
  </si>
  <si>
    <t>PO-2026-00641</t>
  </si>
  <si>
    <t>ORD-150285</t>
  </si>
  <si>
    <t>SKU-MAC-978</t>
  </si>
  <si>
    <t>PO-2026-00642</t>
  </si>
  <si>
    <t>ORD-950235</t>
  </si>
  <si>
    <t>SKU-MAC-982</t>
  </si>
  <si>
    <t>PO-2026-00643</t>
  </si>
  <si>
    <t>ORD-210233</t>
  </si>
  <si>
    <t>SKU-IND-116</t>
  </si>
  <si>
    <t>PO-2026-00644</t>
  </si>
  <si>
    <t>ORD-910797</t>
  </si>
  <si>
    <t>SKU-IND-365</t>
  </si>
  <si>
    <t>PO-2026-00645</t>
  </si>
  <si>
    <t>ORD-570517</t>
  </si>
  <si>
    <t>SKU-MET-437</t>
  </si>
  <si>
    <t>PO-2026-00646</t>
  </si>
  <si>
    <t>ORD-591685</t>
  </si>
  <si>
    <t>PO-2026-00647</t>
  </si>
  <si>
    <t>ORD-126029</t>
  </si>
  <si>
    <t>PO-2026-00648</t>
  </si>
  <si>
    <t>ORD-804724</t>
  </si>
  <si>
    <t>PO-2026-00649</t>
  </si>
  <si>
    <t>ORD-774288</t>
  </si>
  <si>
    <t>SKU-MAC-600</t>
  </si>
  <si>
    <t>PO-2026-00650</t>
  </si>
  <si>
    <t>ORD-860910</t>
  </si>
  <si>
    <t>SKU-TEX-493</t>
  </si>
  <si>
    <t>PO-2026-00651</t>
  </si>
  <si>
    <t>ORD-319962</t>
  </si>
  <si>
    <t>SKU-PAC-254</t>
  </si>
  <si>
    <t>PO-2026-00652</t>
  </si>
  <si>
    <t>ORD-141312</t>
  </si>
  <si>
    <t>SKU-MET-737</t>
  </si>
  <si>
    <t>PO-2026-00653</t>
  </si>
  <si>
    <t>ORD-303980</t>
  </si>
  <si>
    <t>SKU-MET-802</t>
  </si>
  <si>
    <t>PO-2026-00654</t>
  </si>
  <si>
    <t>ORD-549221</t>
  </si>
  <si>
    <t>SKU-ELE-612</t>
  </si>
  <si>
    <t>PO-2026-00655</t>
  </si>
  <si>
    <t>ORD-816875</t>
  </si>
  <si>
    <t>SKU-TEX-574</t>
  </si>
  <si>
    <t>PO-2026-00656</t>
  </si>
  <si>
    <t>ORD-371823</t>
  </si>
  <si>
    <t>SKU-ELE-598</t>
  </si>
  <si>
    <t>PO-2026-00657</t>
  </si>
  <si>
    <t>ORD-966234</t>
  </si>
  <si>
    <t>SKU-IND-568</t>
  </si>
  <si>
    <t>PO-2026-00658</t>
  </si>
  <si>
    <t>ORD-561569</t>
  </si>
  <si>
    <t>SKU-MET-667</t>
  </si>
  <si>
    <t>PO-2026-00659</t>
  </si>
  <si>
    <t>ORD-640240</t>
  </si>
  <si>
    <t>SKU-MAC-306</t>
  </si>
  <si>
    <t>PO-2026-00660</t>
  </si>
  <si>
    <t>ORD-830907</t>
  </si>
  <si>
    <t>SKU-MET-902</t>
  </si>
  <si>
    <t>PO-2026-00661</t>
  </si>
  <si>
    <t>ORD-879046</t>
  </si>
  <si>
    <t>SKU-PAC-205</t>
  </si>
  <si>
    <t>PO-2026-00662</t>
  </si>
  <si>
    <t>ORD-900971</t>
  </si>
  <si>
    <t>SKU-IND-973</t>
  </si>
  <si>
    <t>PO-2026-00663</t>
  </si>
  <si>
    <t>ORD-736191</t>
  </si>
  <si>
    <t>SKU-RAW-636</t>
  </si>
  <si>
    <t>PO-2026-00664</t>
  </si>
  <si>
    <t>ORD-831646</t>
  </si>
  <si>
    <t>SKU-TEX-653</t>
  </si>
  <si>
    <t>PO-2026-00665</t>
  </si>
  <si>
    <t>ORD-235320</t>
  </si>
  <si>
    <t>SKU-RAW-606</t>
  </si>
  <si>
    <t>PO-2026-00666</t>
  </si>
  <si>
    <t>ORD-261632</t>
  </si>
  <si>
    <t>SKU-ELE-569</t>
  </si>
  <si>
    <t>PO-2026-00667</t>
  </si>
  <si>
    <t>ORD-103903</t>
  </si>
  <si>
    <t>SKU-PAC-257</t>
  </si>
  <si>
    <t>PO-2026-00668</t>
  </si>
  <si>
    <t>ORD-940699</t>
  </si>
  <si>
    <t>SKU-RAW-382</t>
  </si>
  <si>
    <t>PO-2026-00669</t>
  </si>
  <si>
    <t>ORD-891925</t>
  </si>
  <si>
    <t>SKU-IND-386</t>
  </si>
  <si>
    <t>PO-2026-00670</t>
  </si>
  <si>
    <t>ORD-446393</t>
  </si>
  <si>
    <t>PO-2026-00671</t>
  </si>
  <si>
    <t>ORD-746186</t>
  </si>
  <si>
    <t>SKU-TEX-986</t>
  </si>
  <si>
    <t>PO-2026-00672</t>
  </si>
  <si>
    <t>ORD-757578</t>
  </si>
  <si>
    <t>SKU-MAC-870</t>
  </si>
  <si>
    <t>PO-2026-00673</t>
  </si>
  <si>
    <t>ORD-211253</t>
  </si>
  <si>
    <t>SKU-MAC-878</t>
  </si>
  <si>
    <t>PO-2026-00674</t>
  </si>
  <si>
    <t>ORD-480801</t>
  </si>
  <si>
    <t>SKU-IND-263</t>
  </si>
  <si>
    <t>PO-2026-00675</t>
  </si>
  <si>
    <t>ORD-631599</t>
  </si>
  <si>
    <t>SKU-RAW-391</t>
  </si>
  <si>
    <t>PO-2026-00676</t>
  </si>
  <si>
    <t>ORD-259209</t>
  </si>
  <si>
    <t>SKU-MAC-450</t>
  </si>
  <si>
    <t>PO-2026-00677</t>
  </si>
  <si>
    <t>ORD-328340</t>
  </si>
  <si>
    <t>SKU-MET-103</t>
  </si>
  <si>
    <t>PO-2026-00678</t>
  </si>
  <si>
    <t>ORD-163029</t>
  </si>
  <si>
    <t>SKU-TEX-525</t>
  </si>
  <si>
    <t>PO-2026-00679</t>
  </si>
  <si>
    <t>ORD-566826</t>
  </si>
  <si>
    <t>SKU-ELE-149</t>
  </si>
  <si>
    <t>PO-2026-00680</t>
  </si>
  <si>
    <t>ORD-461264</t>
  </si>
  <si>
    <t>SKU-RAW-403</t>
  </si>
  <si>
    <t>PO-2026-00681</t>
  </si>
  <si>
    <t>ORD-221967</t>
  </si>
  <si>
    <t>SKU-IND-918</t>
  </si>
  <si>
    <t>PO-2026-00682</t>
  </si>
  <si>
    <t>ORD-781827</t>
  </si>
  <si>
    <t>SKU-PAC-164</t>
  </si>
  <si>
    <t>PO-2026-00683</t>
  </si>
  <si>
    <t>ORD-480822</t>
  </si>
  <si>
    <t>SKU-ELE-858</t>
  </si>
  <si>
    <t>PO-2026-00684</t>
  </si>
  <si>
    <t>ORD-267214</t>
  </si>
  <si>
    <t>SKU-PAC-316</t>
  </si>
  <si>
    <t>PO-2026-00685</t>
  </si>
  <si>
    <t>ORD-137100</t>
  </si>
  <si>
    <t>SKU-PAC-518</t>
  </si>
  <si>
    <t>PO-2026-00686</t>
  </si>
  <si>
    <t>ORD-555934</t>
  </si>
  <si>
    <t>SKU-RAW-158</t>
  </si>
  <si>
    <t>PO-2026-00687</t>
  </si>
  <si>
    <t>ORD-867197</t>
  </si>
  <si>
    <t>SKU-ELE-242</t>
  </si>
  <si>
    <t>PO-2026-00688</t>
  </si>
  <si>
    <t>ORD-147929</t>
  </si>
  <si>
    <t>SKU-ELE-322</t>
  </si>
  <si>
    <t>PO-2026-00689</t>
  </si>
  <si>
    <t>ORD-364797</t>
  </si>
  <si>
    <t>SKU-PAC-834</t>
  </si>
  <si>
    <t>PO-2026-00690</t>
  </si>
  <si>
    <t>ORD-411471</t>
  </si>
  <si>
    <t>SKU-PAC-989</t>
  </si>
  <si>
    <t>PO-2026-00691</t>
  </si>
  <si>
    <t>ORD-335521</t>
  </si>
  <si>
    <t>SKU-ELE-235</t>
  </si>
  <si>
    <t>PO-2026-00692</t>
  </si>
  <si>
    <t>ORD-379223</t>
  </si>
  <si>
    <t>SKU-ELE-733</t>
  </si>
  <si>
    <t>ORD-109149</t>
  </si>
  <si>
    <t>SKU-PAC-475</t>
  </si>
  <si>
    <t>PO-2026-00694</t>
  </si>
  <si>
    <t>ORD-213044</t>
  </si>
  <si>
    <t>SKU-RAW-432</t>
  </si>
  <si>
    <t>ORD-738861</t>
  </si>
  <si>
    <t>PO-2026-00696</t>
  </si>
  <si>
    <t>ORD-608059</t>
  </si>
  <si>
    <t>SKU-ELE-718</t>
  </si>
  <si>
    <t>PO-2026-00697</t>
  </si>
  <si>
    <t>ORD-264107</t>
  </si>
  <si>
    <t>SKU-PAC-773</t>
  </si>
  <si>
    <t>PO-2026-00698</t>
  </si>
  <si>
    <t>ORD-524341</t>
  </si>
  <si>
    <t>SKU-PAC-849</t>
  </si>
  <si>
    <t>PO-2026-00699</t>
  </si>
  <si>
    <t>ORD-798406</t>
  </si>
  <si>
    <t>SKU-PAC-186</t>
  </si>
  <si>
    <t>PO-2026-00700</t>
  </si>
  <si>
    <t>ORD-567914</t>
  </si>
  <si>
    <t>SKU-TEX-246</t>
  </si>
  <si>
    <t>PO-2026-00701</t>
  </si>
  <si>
    <t>ORD-769810</t>
  </si>
  <si>
    <t>SKU-MAC-399</t>
  </si>
  <si>
    <t>PO-2026-00702</t>
  </si>
  <si>
    <t>ORD-916126</t>
  </si>
  <si>
    <t>SKU-PAC-175</t>
  </si>
  <si>
    <t>PO-2026-00703</t>
  </si>
  <si>
    <t>ORD-294724</t>
  </si>
  <si>
    <t>SKU-MAC-291</t>
  </si>
  <si>
    <t>PO-2026-00704</t>
  </si>
  <si>
    <t>ORD-759048</t>
  </si>
  <si>
    <t>SKU-MET-439</t>
  </si>
  <si>
    <t>PO-2026-00705</t>
  </si>
  <si>
    <t>ORD-938517</t>
  </si>
  <si>
    <t>SKU-RAW-254</t>
  </si>
  <si>
    <t>PO-2026-00706</t>
  </si>
  <si>
    <t>ORD-105775</t>
  </si>
  <si>
    <t>SKU-TEX-585</t>
  </si>
  <si>
    <t>PO-2026-00707</t>
  </si>
  <si>
    <t>ORD-862049</t>
  </si>
  <si>
    <t>SKU-IND-901</t>
  </si>
  <si>
    <t>PO-2026-00708</t>
  </si>
  <si>
    <t>ORD-639985</t>
  </si>
  <si>
    <t>SKU-RAW-540</t>
  </si>
  <si>
    <t>PO-2026-00709</t>
  </si>
  <si>
    <t>ORD-699657</t>
  </si>
  <si>
    <t>SKU-TEX-141</t>
  </si>
  <si>
    <t>PO-2026-00710</t>
  </si>
  <si>
    <t>ORD-894540</t>
  </si>
  <si>
    <t>SKU-MAC-819</t>
  </si>
  <si>
    <t>PO-2026-00711</t>
  </si>
  <si>
    <t>ORD-525894</t>
  </si>
  <si>
    <t>SKU-MAC-717</t>
  </si>
  <si>
    <t>PO-2026-00712</t>
  </si>
  <si>
    <t>ORD-773993</t>
  </si>
  <si>
    <t>SKU-TEX-328</t>
  </si>
  <si>
    <t>PO-2026-00713</t>
  </si>
  <si>
    <t>ORD-797063</t>
  </si>
  <si>
    <t>SKU-PAC-260</t>
  </si>
  <si>
    <t>PO-2026-00714</t>
  </si>
  <si>
    <t>ORD-572994</t>
  </si>
  <si>
    <t>SKU-MET-907</t>
  </si>
  <si>
    <t>PO-2026-00715</t>
  </si>
  <si>
    <t>ORD-413421</t>
  </si>
  <si>
    <t>SKU-ELE-257</t>
  </si>
  <si>
    <t>PO-2026-00716</t>
  </si>
  <si>
    <t>ORD-622696</t>
  </si>
  <si>
    <t>SKU-MAC-989</t>
  </si>
  <si>
    <t>PO-2026-00717</t>
  </si>
  <si>
    <t>ORD-818714</t>
  </si>
  <si>
    <t>SKU-RAW-831</t>
  </si>
  <si>
    <t>PO-2026-00718</t>
  </si>
  <si>
    <t>ORD-823620</t>
  </si>
  <si>
    <t>SKU-PAC-847</t>
  </si>
  <si>
    <t>PO-2026-00719</t>
  </si>
  <si>
    <t>ORD-383360</t>
  </si>
  <si>
    <t>SKU-TEX-471</t>
  </si>
  <si>
    <t>PO-2026-00720</t>
  </si>
  <si>
    <t>ORD-680539</t>
  </si>
  <si>
    <t>SKU-RAW-332</t>
  </si>
  <si>
    <t>PO-2026-00721</t>
  </si>
  <si>
    <t>ORD-498207</t>
  </si>
  <si>
    <t>SKU-RAW-692</t>
  </si>
  <si>
    <t>ORD-735624</t>
  </si>
  <si>
    <t>SKU-ELE-807</t>
  </si>
  <si>
    <t>PO-2026-00723</t>
  </si>
  <si>
    <t>ORD-992358</t>
  </si>
  <si>
    <t>SKU-TEX-213</t>
  </si>
  <si>
    <t>PO-2026-00724</t>
  </si>
  <si>
    <t>ORD-673713</t>
  </si>
  <si>
    <t>SKU-PAC-940</t>
  </si>
  <si>
    <t>PO-2026-00725</t>
  </si>
  <si>
    <t>ORD-843931</t>
  </si>
  <si>
    <t>SKU-PAC-264</t>
  </si>
  <si>
    <t>PO-2026-00726</t>
  </si>
  <si>
    <t>ORD-353302</t>
  </si>
  <si>
    <t>SKU-MET-398</t>
  </si>
  <si>
    <t>PO-2026-00727</t>
  </si>
  <si>
    <t>ORD-988041</t>
  </si>
  <si>
    <t>SKU-IND-606</t>
  </si>
  <si>
    <t>PO-2026-00728</t>
  </si>
  <si>
    <t>ORD-599273</t>
  </si>
  <si>
    <t>SKU-ELE-878</t>
  </si>
  <si>
    <t>PO-2026-00729</t>
  </si>
  <si>
    <t>ORD-940229</t>
  </si>
  <si>
    <t>PO-2026-00730</t>
  </si>
  <si>
    <t>ORD-408136</t>
  </si>
  <si>
    <t>SKU-PAC-994</t>
  </si>
  <si>
    <t>PO-2026-00731</t>
  </si>
  <si>
    <t>ORD-198160</t>
  </si>
  <si>
    <t>SKU-MET-730</t>
  </si>
  <si>
    <t>PO-2026-00732</t>
  </si>
  <si>
    <t>ORD-170296</t>
  </si>
  <si>
    <t>SKU-MET-294</t>
  </si>
  <si>
    <t>PO-2026-00733</t>
  </si>
  <si>
    <t>ORD-511837</t>
  </si>
  <si>
    <t>SKU-PAC-410</t>
  </si>
  <si>
    <t>PO-2026-00734</t>
  </si>
  <si>
    <t>ORD-819198</t>
  </si>
  <si>
    <t>SKU-PAC-687</t>
  </si>
  <si>
    <t>PO-2026-00735</t>
  </si>
  <si>
    <t>ORD-528197</t>
  </si>
  <si>
    <t>SKU-MET-582</t>
  </si>
  <si>
    <t>PO-2026-00736</t>
  </si>
  <si>
    <t>ORD-640141</t>
  </si>
  <si>
    <t>SKU-PAC-126</t>
  </si>
  <si>
    <t>PO-2026-00737</t>
  </si>
  <si>
    <t>ORD-136027</t>
  </si>
  <si>
    <t>SKU-MET-210</t>
  </si>
  <si>
    <t>PO-2026-00738</t>
  </si>
  <si>
    <t>ORD-141855</t>
  </si>
  <si>
    <t>SKU-PAC-521</t>
  </si>
  <si>
    <t>PO-2026-00739</t>
  </si>
  <si>
    <t>ORD-996925</t>
  </si>
  <si>
    <t>SKU-PAC-302</t>
  </si>
  <si>
    <t>PO-2026-00740</t>
  </si>
  <si>
    <t>ORD-362716</t>
  </si>
  <si>
    <t>PO-2026-00741</t>
  </si>
  <si>
    <t>ORD-298573</t>
  </si>
  <si>
    <t>SKU-IND-757</t>
  </si>
  <si>
    <t>PO-2026-00742</t>
  </si>
  <si>
    <t>ORD-605457</t>
  </si>
  <si>
    <t>SKU-PAC-280</t>
  </si>
  <si>
    <t>PO-2026-00743</t>
  </si>
  <si>
    <t>ORD-762723</t>
  </si>
  <si>
    <t>SKU-PAC-912</t>
  </si>
  <si>
    <t>ORD-209218</t>
  </si>
  <si>
    <t>SKU-IND-235</t>
  </si>
  <si>
    <t>PO-2026-00745</t>
  </si>
  <si>
    <t>ORD-946881</t>
  </si>
  <si>
    <t>PO-2026-00746</t>
  </si>
  <si>
    <t>ORD-936148</t>
  </si>
  <si>
    <t>SKU-PAC-148</t>
  </si>
  <si>
    <t>PO-2026-00747</t>
  </si>
  <si>
    <t>ORD-515022</t>
  </si>
  <si>
    <t>SKU-PAC-963</t>
  </si>
  <si>
    <t>PO-2026-00748</t>
  </si>
  <si>
    <t>ORD-139472</t>
  </si>
  <si>
    <t>PO-2026-00749</t>
  </si>
  <si>
    <t>ORD-373580</t>
  </si>
  <si>
    <t>SKU-RAW-398</t>
  </si>
  <si>
    <t>PO-2026-00750</t>
  </si>
  <si>
    <t>ORD-501211</t>
  </si>
  <si>
    <t>SKU-TEX-200</t>
  </si>
  <si>
    <t>PO-2026-00751</t>
  </si>
  <si>
    <t>ORD-368544</t>
  </si>
  <si>
    <t>SKU-RAW-589</t>
  </si>
  <si>
    <t>PO-2026-00752</t>
  </si>
  <si>
    <t>ORD-900542</t>
  </si>
  <si>
    <t>SKU-ELE-356</t>
  </si>
  <si>
    <t>PO-2026-00753</t>
  </si>
  <si>
    <t>ORD-248643</t>
  </si>
  <si>
    <t>SKU-ELE-986</t>
  </si>
  <si>
    <t>PO-2026-00754</t>
  </si>
  <si>
    <t>ORD-545756</t>
  </si>
  <si>
    <t>SKU-MET-185</t>
  </si>
  <si>
    <t>PO-2026-00755</t>
  </si>
  <si>
    <t>ORD-194983</t>
  </si>
  <si>
    <t>SKU-PAC-930</t>
  </si>
  <si>
    <t>PO-2026-00756</t>
  </si>
  <si>
    <t>ORD-830826</t>
  </si>
  <si>
    <t>SKU-MET-813</t>
  </si>
  <si>
    <t>PO-2026-00757</t>
  </si>
  <si>
    <t>ORD-836848</t>
  </si>
  <si>
    <t>SKU-ELE-797</t>
  </si>
  <si>
    <t>PO-2026-00758</t>
  </si>
  <si>
    <t>ORD-781205</t>
  </si>
  <si>
    <t>SKU-ELE-490</t>
  </si>
  <si>
    <t>PO-2026-00759</t>
  </si>
  <si>
    <t>ORD-245052</t>
  </si>
  <si>
    <t>SKU-ELE-216</t>
  </si>
  <si>
    <t>PO-2026-00760</t>
  </si>
  <si>
    <t>ORD-793788</t>
  </si>
  <si>
    <t>ORD-374684</t>
  </si>
  <si>
    <t>SKU-IND-667</t>
  </si>
  <si>
    <t>PO-2026-00762</t>
  </si>
  <si>
    <t>ORD-378061</t>
  </si>
  <si>
    <t>SKU-MAC-573</t>
  </si>
  <si>
    <t>PO-2026-00763</t>
  </si>
  <si>
    <t>ORD-824666</t>
  </si>
  <si>
    <t>SKU-RAW-747</t>
  </si>
  <si>
    <t>PO-2026-00764</t>
  </si>
  <si>
    <t>ORD-997118</t>
  </si>
  <si>
    <t>SKU-TEX-227</t>
  </si>
  <si>
    <t>PO-2026-00765</t>
  </si>
  <si>
    <t>ORD-197707</t>
  </si>
  <si>
    <t>SKU-ELE-964</t>
  </si>
  <si>
    <t>PO-2026-00766</t>
  </si>
  <si>
    <t>ORD-574841</t>
  </si>
  <si>
    <t>SKU-TEX-199</t>
  </si>
  <si>
    <t>PO-2026-00767</t>
  </si>
  <si>
    <t>ORD-967695</t>
  </si>
  <si>
    <t>SKU-RAW-288</t>
  </si>
  <si>
    <t>PO-2026-00768</t>
  </si>
  <si>
    <t>ORD-448560</t>
  </si>
  <si>
    <t>SKU-IND-778</t>
  </si>
  <si>
    <t>PO-2026-00769</t>
  </si>
  <si>
    <t>ORD-797691</t>
  </si>
  <si>
    <t>PO-2026-00770</t>
  </si>
  <si>
    <t>ORD-596867</t>
  </si>
  <si>
    <t>SKU-IND-376</t>
  </si>
  <si>
    <t>PO-2026-00771</t>
  </si>
  <si>
    <t>ORD-237935</t>
  </si>
  <si>
    <t>SKU-PAC-597</t>
  </si>
  <si>
    <t>PO-2026-00772</t>
  </si>
  <si>
    <t>ORD-985853</t>
  </si>
  <si>
    <t>SKU-PAC-180</t>
  </si>
  <si>
    <t>PO-2026-00773</t>
  </si>
  <si>
    <t>ORD-455566</t>
  </si>
  <si>
    <t>SKU-MAC-119</t>
  </si>
  <si>
    <t>PO-2026-00774</t>
  </si>
  <si>
    <t>ORD-728425</t>
  </si>
  <si>
    <t>SKU-TEX-827</t>
  </si>
  <si>
    <t>PO-2026-00775</t>
  </si>
  <si>
    <t>ORD-190447</t>
  </si>
  <si>
    <t>SKU-PAC-828</t>
  </si>
  <si>
    <t>PO-2026-00776</t>
  </si>
  <si>
    <t>ORD-926416</t>
  </si>
  <si>
    <t>PO-2026-00777</t>
  </si>
  <si>
    <t>ORD-109297</t>
  </si>
  <si>
    <t>SKU-ELE-682</t>
  </si>
  <si>
    <t>PO-2026-00778</t>
  </si>
  <si>
    <t>ORD-753614</t>
  </si>
  <si>
    <t>PO-2026-00779</t>
  </si>
  <si>
    <t>ORD-405468</t>
  </si>
  <si>
    <t>SKU-ELE-431</t>
  </si>
  <si>
    <t>PO-2026-00780</t>
  </si>
  <si>
    <t>ORD-580858</t>
  </si>
  <si>
    <t>SKU-IND-661</t>
  </si>
  <si>
    <t>PO-2026-00781</t>
  </si>
  <si>
    <t>ORD-263737</t>
  </si>
  <si>
    <t>PO-2026-00782</t>
  </si>
  <si>
    <t>ORD-500411</t>
  </si>
  <si>
    <t>SKU-TEX-837</t>
  </si>
  <si>
    <t>PO-2026-00783</t>
  </si>
  <si>
    <t>ORD-655538</t>
  </si>
  <si>
    <t>SKU-MET-517</t>
  </si>
  <si>
    <t>PO-2026-00784</t>
  </si>
  <si>
    <t>ORD-199828</t>
  </si>
  <si>
    <t>SKU-PAC-761</t>
  </si>
  <si>
    <t>PO-2026-00785</t>
  </si>
  <si>
    <t>ORD-888360</t>
  </si>
  <si>
    <t>SKU-ELE-925</t>
  </si>
  <si>
    <t>PO-2026-00786</t>
  </si>
  <si>
    <t>ORD-234904</t>
  </si>
  <si>
    <t>SKU-IND-489</t>
  </si>
  <si>
    <t>PO-2026-00787</t>
  </si>
  <si>
    <t>ORD-396492</t>
  </si>
  <si>
    <t>SKU-TEX-221</t>
  </si>
  <si>
    <t>PO-2026-00788</t>
  </si>
  <si>
    <t>ORD-794319</t>
  </si>
  <si>
    <t>SKU-ELE-291</t>
  </si>
  <si>
    <t>PO-2026-00789</t>
  </si>
  <si>
    <t>ORD-811540</t>
  </si>
  <si>
    <t>PO-2026-00790</t>
  </si>
  <si>
    <t>ORD-833058</t>
  </si>
  <si>
    <t>SKU-PAC-727</t>
  </si>
  <si>
    <t>PO-2026-00791</t>
  </si>
  <si>
    <t>ORD-683336</t>
  </si>
  <si>
    <t>SKU-TEX-384</t>
  </si>
  <si>
    <t>PO-2026-00792</t>
  </si>
  <si>
    <t>ORD-578465</t>
  </si>
  <si>
    <t>SKU-MAC-887</t>
  </si>
  <si>
    <t>PO-2026-00793</t>
  </si>
  <si>
    <t>ORD-488171</t>
  </si>
  <si>
    <t>SKU-PAC-434</t>
  </si>
  <si>
    <t>PO-2026-00794</t>
  </si>
  <si>
    <t>ORD-971258</t>
  </si>
  <si>
    <t>SKU-PAC-732</t>
  </si>
  <si>
    <t>PO-2026-00795</t>
  </si>
  <si>
    <t>ORD-574693</t>
  </si>
  <si>
    <t>SKU-TEX-460</t>
  </si>
  <si>
    <t>PO-2026-00796</t>
  </si>
  <si>
    <t>ORD-935014</t>
  </si>
  <si>
    <t>SKU-PAC-431</t>
  </si>
  <si>
    <t>PO-2026-00797</t>
  </si>
  <si>
    <t>ORD-447744</t>
  </si>
  <si>
    <t>SKU-MET-269</t>
  </si>
  <si>
    <t>PO-2026-00798</t>
  </si>
  <si>
    <t>ORD-755721</t>
  </si>
  <si>
    <t>SKU-ELE-313</t>
  </si>
  <si>
    <t>ORD-932175</t>
  </si>
  <si>
    <t>SKU-RAW-586</t>
  </si>
  <si>
    <t>PO-2026-00800</t>
  </si>
  <si>
    <t>ORD-788972</t>
  </si>
  <si>
    <t>SKU-MAC-436</t>
  </si>
  <si>
    <t>PO-2026-00801</t>
  </si>
  <si>
    <t>ORD-236970</t>
  </si>
  <si>
    <t>SKU-TEX-155</t>
  </si>
  <si>
    <t>PO-2026-00802</t>
  </si>
  <si>
    <t>ORD-527329</t>
  </si>
  <si>
    <t>SKU-TEX-353</t>
  </si>
  <si>
    <t>PO-2026-00803</t>
  </si>
  <si>
    <t>ORD-931653</t>
  </si>
  <si>
    <t>SKU-IND-135</t>
  </si>
  <si>
    <t>PO-2026-00804</t>
  </si>
  <si>
    <t>ORD-290919</t>
  </si>
  <si>
    <t>SKU-PAC-319</t>
  </si>
  <si>
    <t>PO-2026-00805</t>
  </si>
  <si>
    <t>ORD-661519</t>
  </si>
  <si>
    <t>SKU-MET-145</t>
  </si>
  <si>
    <t>PO-2026-00806</t>
  </si>
  <si>
    <t>ORD-894273</t>
  </si>
  <si>
    <t>SKU-PAC-870</t>
  </si>
  <si>
    <t>PO-2026-00807</t>
  </si>
  <si>
    <t>ORD-675882</t>
  </si>
  <si>
    <t>SKU-TEX-475</t>
  </si>
  <si>
    <t>PO-2026-00808</t>
  </si>
  <si>
    <t>ORD-867593</t>
  </si>
  <si>
    <t>PO-2026-00809</t>
  </si>
  <si>
    <t>ORD-112289</t>
  </si>
  <si>
    <t>SKU-RAW-155</t>
  </si>
  <si>
    <t>PO-2026-00810</t>
  </si>
  <si>
    <t>ORD-966766</t>
  </si>
  <si>
    <t>SKU-RAW-643</t>
  </si>
  <si>
    <t>PO-2026-00811</t>
  </si>
  <si>
    <t>ORD-954385</t>
  </si>
  <si>
    <t>SKU-PAC-129</t>
  </si>
  <si>
    <t>PO-2026-00812</t>
  </si>
  <si>
    <t>ORD-759982</t>
  </si>
  <si>
    <t>SKU-RAW-437</t>
  </si>
  <si>
    <t>PO-2026-00813</t>
  </si>
  <si>
    <t>ORD-956084</t>
  </si>
  <si>
    <t>PO-2026-00814</t>
  </si>
  <si>
    <t>ORD-604622</t>
  </si>
  <si>
    <t>SKU-PAC-582</t>
  </si>
  <si>
    <t>PO-2026-00815</t>
  </si>
  <si>
    <t>ORD-584536</t>
  </si>
  <si>
    <t>SKU-MET-460</t>
  </si>
  <si>
    <t>PO-2026-00816</t>
  </si>
  <si>
    <t>ORD-338612</t>
  </si>
  <si>
    <t>SKU-MET-101</t>
  </si>
  <si>
    <t>ORD-746985</t>
  </si>
  <si>
    <t>SKU-ELE-947</t>
  </si>
  <si>
    <t>PO-2026-00818</t>
  </si>
  <si>
    <t>ORD-116781</t>
  </si>
  <si>
    <t>SKU-PAC-161</t>
  </si>
  <si>
    <t>PO-2026-00819</t>
  </si>
  <si>
    <t>ORD-210394</t>
  </si>
  <si>
    <t>PO-2026-00820</t>
  </si>
  <si>
    <t>ORD-874113</t>
  </si>
  <si>
    <t>SKU-MAC-735</t>
  </si>
  <si>
    <t>PO-2026-00821</t>
  </si>
  <si>
    <t>ORD-989687</t>
  </si>
  <si>
    <t>SKU-RAW-663</t>
  </si>
  <si>
    <t>PO-2026-00822</t>
  </si>
  <si>
    <t>ORD-519407</t>
  </si>
  <si>
    <t>SKU-TEX-921</t>
  </si>
  <si>
    <t>PO-2026-00823</t>
  </si>
  <si>
    <t>ORD-110290</t>
  </si>
  <si>
    <t>SKU-IND-524</t>
  </si>
  <si>
    <t>PO-2026-00824</t>
  </si>
  <si>
    <t>ORD-587104</t>
  </si>
  <si>
    <t>SKU-MAC-112</t>
  </si>
  <si>
    <t>PO-2026-00825</t>
  </si>
  <si>
    <t>ORD-733084</t>
  </si>
  <si>
    <t>SKU-TEX-209</t>
  </si>
  <si>
    <t>PO-2026-00826</t>
  </si>
  <si>
    <t>ORD-416636</t>
  </si>
  <si>
    <t>SKU-RAW-767</t>
  </si>
  <si>
    <t>PO-2026-00827</t>
  </si>
  <si>
    <t>ORD-795531</t>
  </si>
  <si>
    <t>SKU-IND-731</t>
  </si>
  <si>
    <t>PO-2026-00828</t>
  </si>
  <si>
    <t>ORD-506462</t>
  </si>
  <si>
    <t>SKU-IND-777</t>
  </si>
  <si>
    <t>PO-2026-00829</t>
  </si>
  <si>
    <t>ORD-579048</t>
  </si>
  <si>
    <t>SKU-IND-827</t>
  </si>
  <si>
    <t>PO-2026-00830</t>
  </si>
  <si>
    <t>ORD-620548</t>
  </si>
  <si>
    <t>SKU-RAW-340</t>
  </si>
  <si>
    <t>PO-2026-00831</t>
  </si>
  <si>
    <t>ORD-443275</t>
  </si>
  <si>
    <t>SKU-MAC-801</t>
  </si>
  <si>
    <t>PO-2026-00832</t>
  </si>
  <si>
    <t>ORD-956955</t>
  </si>
  <si>
    <t>SKU-ELE-672</t>
  </si>
  <si>
    <t>PO-2026-00833</t>
  </si>
  <si>
    <t>ORD-614037</t>
  </si>
  <si>
    <t>SKU-IND-595</t>
  </si>
  <si>
    <t>PO-2026-00834</t>
  </si>
  <si>
    <t>ORD-986430</t>
  </si>
  <si>
    <t>SKU-TEX-318</t>
  </si>
  <si>
    <t>PO-2026-00835</t>
  </si>
  <si>
    <t>ORD-326900</t>
  </si>
  <si>
    <t>SKU-ELE-219</t>
  </si>
  <si>
    <t>PO-2026-00836</t>
  </si>
  <si>
    <t>ORD-530329</t>
  </si>
  <si>
    <t>SKU-PAC-580</t>
  </si>
  <si>
    <t>PO-2026-00837</t>
  </si>
  <si>
    <t>ORD-872816</t>
  </si>
  <si>
    <t>SKU-TEX-799</t>
  </si>
  <si>
    <t>PO-2026-00838</t>
  </si>
  <si>
    <t>ORD-120248</t>
  </si>
  <si>
    <t>SKU-ELE-319</t>
  </si>
  <si>
    <t>PO-2026-00839</t>
  </si>
  <si>
    <t>ORD-833315</t>
  </si>
  <si>
    <t>SKU-RAW-266</t>
  </si>
  <si>
    <t>PO-2026-00840</t>
  </si>
  <si>
    <t>ORD-165497</t>
  </si>
  <si>
    <t>SKU-TEX-450</t>
  </si>
  <si>
    <t>PO-2026-00841</t>
  </si>
  <si>
    <t>ORD-740232</t>
  </si>
  <si>
    <t>SKU-PAC-507</t>
  </si>
  <si>
    <t>PO-2026-00842</t>
  </si>
  <si>
    <t>ORD-434891</t>
  </si>
  <si>
    <t>SKU-MAC-231</t>
  </si>
  <si>
    <t>PO-2026-00843</t>
  </si>
  <si>
    <t>ORD-566609</t>
  </si>
  <si>
    <t>SKU-RAW-802</t>
  </si>
  <si>
    <t>PO-2026-00844</t>
  </si>
  <si>
    <t>ORD-609723</t>
  </si>
  <si>
    <t>SKU-TEX-681</t>
  </si>
  <si>
    <t>PO-2026-00845</t>
  </si>
  <si>
    <t>ORD-411152</t>
  </si>
  <si>
    <t>PO-2026-00846</t>
  </si>
  <si>
    <t>ORD-294987</t>
  </si>
  <si>
    <t>SKU-MET-771</t>
  </si>
  <si>
    <t>PO-2026-00847</t>
  </si>
  <si>
    <t>ORD-726210</t>
  </si>
  <si>
    <t>SKU-ELE-493</t>
  </si>
  <si>
    <t>PO-2026-00848</t>
  </si>
  <si>
    <t>ORD-776436</t>
  </si>
  <si>
    <t>SKU-TEX-667</t>
  </si>
  <si>
    <t>PO-2026-00849</t>
  </si>
  <si>
    <t>ORD-932210</t>
  </si>
  <si>
    <t>PO-2026-00850</t>
  </si>
  <si>
    <t>ORD-413133</t>
  </si>
  <si>
    <t>PO-2026-00851</t>
  </si>
  <si>
    <t>ORD-317463</t>
  </si>
  <si>
    <t>SKU-ELE-192</t>
  </si>
  <si>
    <t>PO-2026-00852</t>
  </si>
  <si>
    <t>ORD-385268</t>
  </si>
  <si>
    <t>SKU-MET-432</t>
  </si>
  <si>
    <t>PO-2026-00853</t>
  </si>
  <si>
    <t>ORD-218620</t>
  </si>
  <si>
    <t>SKU-MAC-175</t>
  </si>
  <si>
    <t>PO-2026-00854</t>
  </si>
  <si>
    <t>ORD-677715</t>
  </si>
  <si>
    <t>SKU-RAW-187</t>
  </si>
  <si>
    <t>PO-2026-00855</t>
  </si>
  <si>
    <t>ORD-980937</t>
  </si>
  <si>
    <t>SKU-RAW-125</t>
  </si>
  <si>
    <t>PO-2026-00856</t>
  </si>
  <si>
    <t>ORD-285748</t>
  </si>
  <si>
    <t>PO-2026-00857</t>
  </si>
  <si>
    <t>ORD-889406</t>
  </si>
  <si>
    <t>SKU-RAW-143</t>
  </si>
  <si>
    <t>PO-2026-00858</t>
  </si>
  <si>
    <t>ORD-220374</t>
  </si>
  <si>
    <t>SKU-ELE-151</t>
  </si>
  <si>
    <t>PO-2026-00859</t>
  </si>
  <si>
    <t>ORD-942595</t>
  </si>
  <si>
    <t>SKU-PAC-171</t>
  </si>
  <si>
    <t>PO-2026-00860</t>
  </si>
  <si>
    <t>ORD-383582</t>
  </si>
  <si>
    <t>PO-2026-00861</t>
  </si>
  <si>
    <t>ORD-239771</t>
  </si>
  <si>
    <t>SKU-RAW-394</t>
  </si>
  <si>
    <t>PO-2026-00862</t>
  </si>
  <si>
    <t>ORD-994062</t>
  </si>
  <si>
    <t>SKU-ELE-405</t>
  </si>
  <si>
    <t>PO-2026-00863</t>
  </si>
  <si>
    <t>ORD-996732</t>
  </si>
  <si>
    <t>SKU-ELE-975</t>
  </si>
  <si>
    <t>PO-2026-00864</t>
  </si>
  <si>
    <t>ORD-340835</t>
  </si>
  <si>
    <t>SKU-IND-968</t>
  </si>
  <si>
    <t>PO-2026-00865</t>
  </si>
  <si>
    <t>ORD-543766</t>
  </si>
  <si>
    <t>SKU-ELE-103</t>
  </si>
  <si>
    <t>PO-2026-00866</t>
  </si>
  <si>
    <t>ORD-856921</t>
  </si>
  <si>
    <t>SKU-MAC-723</t>
  </si>
  <si>
    <t>PO-2026-00867</t>
  </si>
  <si>
    <t>ORD-323911</t>
  </si>
  <si>
    <t>SKU-IND-434</t>
  </si>
  <si>
    <t>PO-2026-00868</t>
  </si>
  <si>
    <t>ORD-716790</t>
  </si>
  <si>
    <t>SKU-PAC-865</t>
  </si>
  <si>
    <t>PO-2026-00869</t>
  </si>
  <si>
    <t>ORD-450033</t>
  </si>
  <si>
    <t>SKU-IND-268</t>
  </si>
  <si>
    <t>PO-2026-00870</t>
  </si>
  <si>
    <t>ORD-756959</t>
  </si>
  <si>
    <t>SKU-ELE-752</t>
  </si>
  <si>
    <t>PO-2026-00871</t>
  </si>
  <si>
    <t>ORD-228473</t>
  </si>
  <si>
    <t>SKU-RAW-238</t>
  </si>
  <si>
    <t>PO-2026-00872</t>
  </si>
  <si>
    <t>ORD-577625</t>
  </si>
  <si>
    <t>SKU-ELE-762</t>
  </si>
  <si>
    <t>PO-2026-00873</t>
  </si>
  <si>
    <t>ORD-290607</t>
  </si>
  <si>
    <t>SKU-PAC-587</t>
  </si>
  <si>
    <t>PO-2026-00874</t>
  </si>
  <si>
    <t>ORD-161758</t>
  </si>
  <si>
    <t>SKU-ELE-473</t>
  </si>
  <si>
    <t>PO-2026-00875</t>
  </si>
  <si>
    <t>ORD-529368</t>
  </si>
  <si>
    <t>SKU-MAC-523</t>
  </si>
  <si>
    <t>PO-2026-00876</t>
  </si>
  <si>
    <t>ORD-553592</t>
  </si>
  <si>
    <t>SKU-ELE-577</t>
  </si>
  <si>
    <t>PO-2026-00877</t>
  </si>
  <si>
    <t>ORD-236784</t>
  </si>
  <si>
    <t>SKU-ELE-250</t>
  </si>
  <si>
    <t>PO-2026-00878</t>
  </si>
  <si>
    <t>ORD-399866</t>
  </si>
  <si>
    <t>PO-2026-00879</t>
  </si>
  <si>
    <t>ORD-170367</t>
  </si>
  <si>
    <t>PO-2026-00880</t>
  </si>
  <si>
    <t>ORD-743405</t>
  </si>
  <si>
    <t>SKU-IND-533</t>
  </si>
  <si>
    <t>PO-2026-00881</t>
  </si>
  <si>
    <t>ORD-551477</t>
  </si>
  <si>
    <t>SKU-IND-843</t>
  </si>
  <si>
    <t>PO-2026-00882</t>
  </si>
  <si>
    <t>ORD-866653</t>
  </si>
  <si>
    <t>SKU-ELE-565</t>
  </si>
  <si>
    <t>PO-2026-00883</t>
  </si>
  <si>
    <t>ORD-409885</t>
  </si>
  <si>
    <t>SKU-RAW-472</t>
  </si>
  <si>
    <t>PO-2026-00884</t>
  </si>
  <si>
    <t>ORD-873628</t>
  </si>
  <si>
    <t>SKU-PAC-733</t>
  </si>
  <si>
    <t>PO-2026-00885</t>
  </si>
  <si>
    <t>ORD-449563</t>
  </si>
  <si>
    <t>SKU-RAW-327</t>
  </si>
  <si>
    <t>PO-2026-00886</t>
  </si>
  <si>
    <t>ORD-955211</t>
  </si>
  <si>
    <t>SKU-MAC-555</t>
  </si>
  <si>
    <t>PO-2026-00887</t>
  </si>
  <si>
    <t>ORD-124617</t>
  </si>
  <si>
    <t>SKU-RAW-363</t>
  </si>
  <si>
    <t>PO-2026-00888</t>
  </si>
  <si>
    <t>ORD-601205</t>
  </si>
  <si>
    <t>SKU-IND-361</t>
  </si>
  <si>
    <t>PO-2026-00889</t>
  </si>
  <si>
    <t>ORD-219461</t>
  </si>
  <si>
    <t>SKU-PAC-388</t>
  </si>
  <si>
    <t>PO-2026-00890</t>
  </si>
  <si>
    <t>ORD-689801</t>
  </si>
  <si>
    <t>SKU-PAC-286</t>
  </si>
  <si>
    <t>PO-2026-00891</t>
  </si>
  <si>
    <t>ORD-633731</t>
  </si>
  <si>
    <t>PO-2026-00892</t>
  </si>
  <si>
    <t>ORD-201293</t>
  </si>
  <si>
    <t>PO-2026-00893</t>
  </si>
  <si>
    <t>ORD-593590</t>
  </si>
  <si>
    <t>SKU-TEX-576</t>
  </si>
  <si>
    <t>PO-2026-00894</t>
  </si>
  <si>
    <t>ORD-782804</t>
  </si>
  <si>
    <t>SKU-MAC-402</t>
  </si>
  <si>
    <t>ORD-592251</t>
  </si>
  <si>
    <t>PO-2026-00896</t>
  </si>
  <si>
    <t>ORD-159255</t>
  </si>
  <si>
    <t>SKU-MAC-485</t>
  </si>
  <si>
    <t>PO-2026-00897</t>
  </si>
  <si>
    <t>ORD-299432</t>
  </si>
  <si>
    <t>SKU-ELE-902</t>
  </si>
  <si>
    <t>PO-2026-00898</t>
  </si>
  <si>
    <t>ORD-253934</t>
  </si>
  <si>
    <t>SKU-PAC-155</t>
  </si>
  <si>
    <t>PO-2026-00899</t>
  </si>
  <si>
    <t>ORD-509383</t>
  </si>
  <si>
    <t>SKU-IND-363</t>
  </si>
  <si>
    <t>PO-2026-00900</t>
  </si>
  <si>
    <t>ORD-331893</t>
  </si>
  <si>
    <t>SKU-IND-449</t>
  </si>
  <si>
    <t>PO-2026-00901</t>
  </si>
  <si>
    <t>ORD-384908</t>
  </si>
  <si>
    <t>ORD-236808</t>
  </si>
  <si>
    <t>SKU-MAC-444</t>
  </si>
  <si>
    <t>PO-2026-00903</t>
  </si>
  <si>
    <t>ORD-543235</t>
  </si>
  <si>
    <t>PO-2026-00904</t>
  </si>
  <si>
    <t>ORD-640580</t>
  </si>
  <si>
    <t>SKU-TEX-877</t>
  </si>
  <si>
    <t>PO-2026-00905</t>
  </si>
  <si>
    <t>ORD-357911</t>
  </si>
  <si>
    <t>PO-2026-00906</t>
  </si>
  <si>
    <t>ORD-311942</t>
  </si>
  <si>
    <t>SKU-IND-385</t>
  </si>
  <si>
    <t>PO-2026-00907</t>
  </si>
  <si>
    <t>ORD-390938</t>
  </si>
  <si>
    <t>SKU-PAC-841</t>
  </si>
  <si>
    <t>PO-2026-00908</t>
  </si>
  <si>
    <t>ORD-586255</t>
  </si>
  <si>
    <t>SKU-RAW-838</t>
  </si>
  <si>
    <t>PO-2026-00909</t>
  </si>
  <si>
    <t>ORD-619376</t>
  </si>
  <si>
    <t>SKU-ELE-966</t>
  </si>
  <si>
    <t>PO-2026-00910</t>
  </si>
  <si>
    <t>ORD-171345</t>
  </si>
  <si>
    <t>PO-2026-00911</t>
  </si>
  <si>
    <t>ORD-553331</t>
  </si>
  <si>
    <t>SKU-RAW-396</t>
  </si>
  <si>
    <t>PO-2026-00912</t>
  </si>
  <si>
    <t>ORD-944666</t>
  </si>
  <si>
    <t>SKU-PAC-837</t>
  </si>
  <si>
    <t>PO-2026-00913</t>
  </si>
  <si>
    <t>ORD-927286</t>
  </si>
  <si>
    <t>SKU-ELE-552</t>
  </si>
  <si>
    <t>ORD-130843</t>
  </si>
  <si>
    <t>SKU-IND-517</t>
  </si>
  <si>
    <t>PO-2026-00915</t>
  </si>
  <si>
    <t>ORD-395997</t>
  </si>
  <si>
    <t>SKU-RAW-937</t>
  </si>
  <si>
    <t>PO-2026-00916</t>
  </si>
  <si>
    <t>ORD-839086</t>
  </si>
  <si>
    <t>SKU-RAW-858</t>
  </si>
  <si>
    <t>PO-2026-00917</t>
  </si>
  <si>
    <t>ORD-126331</t>
  </si>
  <si>
    <t>SKU-PAC-212</t>
  </si>
  <si>
    <t>PO-2026-00918</t>
  </si>
  <si>
    <t>ORD-286461</t>
  </si>
  <si>
    <t>SKU-PAC-344</t>
  </si>
  <si>
    <t>PO-2026-00919</t>
  </si>
  <si>
    <t>ORD-472583</t>
  </si>
  <si>
    <t>PO-2026-00920</t>
  </si>
  <si>
    <t>ORD-451609</t>
  </si>
  <si>
    <t>PO-2026-00921</t>
  </si>
  <si>
    <t>ORD-804897</t>
  </si>
  <si>
    <t>SKU-PAC-757</t>
  </si>
  <si>
    <t>ORD-958151</t>
  </si>
  <si>
    <t>SKU-TEX-116</t>
  </si>
  <si>
    <t>PO-2026-00923</t>
  </si>
  <si>
    <t>ORD-552012</t>
  </si>
  <si>
    <t>SKU-PAC-652</t>
  </si>
  <si>
    <t>PO-2026-00924</t>
  </si>
  <si>
    <t>ORD-577737</t>
  </si>
  <si>
    <t>SKU-RAW-257</t>
  </si>
  <si>
    <t>PO-2026-00925</t>
  </si>
  <si>
    <t>ORD-509869</t>
  </si>
  <si>
    <t>SKU-ELE-188</t>
  </si>
  <si>
    <t>PO-2026-00926</t>
  </si>
  <si>
    <t>ORD-647941</t>
  </si>
  <si>
    <t>SKU-ELE-365</t>
  </si>
  <si>
    <t>PO-2026-00927</t>
  </si>
  <si>
    <t>ORD-275636</t>
  </si>
  <si>
    <t>PO-2026-00928</t>
  </si>
  <si>
    <t>ORD-280771</t>
  </si>
  <si>
    <t>SKU-ELE-197</t>
  </si>
  <si>
    <t>PO-2026-00929</t>
  </si>
  <si>
    <t>ORD-364218</t>
  </si>
  <si>
    <t>PO-2026-00930</t>
  </si>
  <si>
    <t>ORD-191710</t>
  </si>
  <si>
    <t>SKU-PAC-936</t>
  </si>
  <si>
    <t>PO-2026-00931</t>
  </si>
  <si>
    <t>ORD-428537</t>
  </si>
  <si>
    <t>PO-2026-00932</t>
  </si>
  <si>
    <t>ORD-825114</t>
  </si>
  <si>
    <t>SKU-IND-995</t>
  </si>
  <si>
    <t>PO-2026-00933</t>
  </si>
  <si>
    <t>ORD-936914</t>
  </si>
  <si>
    <t>SKU-ELE-659</t>
  </si>
  <si>
    <t>PO-2026-00934</t>
  </si>
  <si>
    <t>ORD-685579</t>
  </si>
  <si>
    <t>SKU-ELE-363</t>
  </si>
  <si>
    <t>PO-2026-00935</t>
  </si>
  <si>
    <t>ORD-336425</t>
  </si>
  <si>
    <t>SKU-PAC-975</t>
  </si>
  <si>
    <t>PO-2026-00936</t>
  </si>
  <si>
    <t>ORD-130264</t>
  </si>
  <si>
    <t>SKU-MAC-826</t>
  </si>
  <si>
    <t>ORD-758185</t>
  </si>
  <si>
    <t>SKU-PAC-503</t>
  </si>
  <si>
    <t>PO-2026-00938</t>
  </si>
  <si>
    <t>ORD-926276</t>
  </si>
  <si>
    <t>SKU-ELE-610</t>
  </si>
  <si>
    <t>PO-2026-00939</t>
  </si>
  <si>
    <t>ORD-925155</t>
  </si>
  <si>
    <t>SKU-IND-224</t>
  </si>
  <si>
    <t>PO-2026-00940</t>
  </si>
  <si>
    <t>ORD-104622</t>
  </si>
  <si>
    <t>PO-2026-00941</t>
  </si>
  <si>
    <t>ORD-250270</t>
  </si>
  <si>
    <t>SKU-PAC-473</t>
  </si>
  <si>
    <t>PO-2026-00942</t>
  </si>
  <si>
    <t>ORD-859368</t>
  </si>
  <si>
    <t>SKU-ELE-740</t>
  </si>
  <si>
    <t>PO-2026-00943</t>
  </si>
  <si>
    <t>ORD-803253</t>
  </si>
  <si>
    <t>PO-2026-00944</t>
  </si>
  <si>
    <t>ORD-892095</t>
  </si>
  <si>
    <t>SKU-TEX-607</t>
  </si>
  <si>
    <t>PO-2026-00945</t>
  </si>
  <si>
    <t>ORD-786064</t>
  </si>
  <si>
    <t>SKU-MAC-959</t>
  </si>
  <si>
    <t>PO-2026-00946</t>
  </si>
  <si>
    <t>ORD-179813</t>
  </si>
  <si>
    <t>SKU-PAC-517</t>
  </si>
  <si>
    <t>PO-2026-00947</t>
  </si>
  <si>
    <t>ORD-679645</t>
  </si>
  <si>
    <t>SKU-ELE-443</t>
  </si>
  <si>
    <t>PO-2026-00948</t>
  </si>
  <si>
    <t>ORD-105935</t>
  </si>
  <si>
    <t>PO-2026-00949</t>
  </si>
  <si>
    <t>ORD-104516</t>
  </si>
  <si>
    <t>SKU-MAC-748</t>
  </si>
  <si>
    <t>PO-2026-00950</t>
  </si>
  <si>
    <t>ORD-157483</t>
  </si>
  <si>
    <t>PO-2026-00951</t>
  </si>
  <si>
    <t>ORD-555349</t>
  </si>
  <si>
    <t>SKU-MAC-424</t>
  </si>
  <si>
    <t>PO-2026-00952</t>
  </si>
  <si>
    <t>ORD-329827</t>
  </si>
  <si>
    <t>SKU-TEX-456</t>
  </si>
  <si>
    <t>PO-2026-00953</t>
  </si>
  <si>
    <t>ORD-464758</t>
  </si>
  <si>
    <t>SKU-MAC-546</t>
  </si>
  <si>
    <t>PO-2026-00954</t>
  </si>
  <si>
    <t>ORD-351473</t>
  </si>
  <si>
    <t>PO-2026-00955</t>
  </si>
  <si>
    <t>ORD-149680</t>
  </si>
  <si>
    <t>SKU-MET-227</t>
  </si>
  <si>
    <t>PO-2026-00956</t>
  </si>
  <si>
    <t>ORD-969056</t>
  </si>
  <si>
    <t>SKU-ELE-827</t>
  </si>
  <si>
    <t>PO-2026-00957</t>
  </si>
  <si>
    <t>ORD-198319</t>
  </si>
  <si>
    <t>SKU-IND-335</t>
  </si>
  <si>
    <t>PO-2026-00958</t>
  </si>
  <si>
    <t>ORD-893562</t>
  </si>
  <si>
    <t>SKU-PAC-522</t>
  </si>
  <si>
    <t>PO-2026-00959</t>
  </si>
  <si>
    <t>ORD-227992</t>
  </si>
  <si>
    <t>SKU-MAC-763</t>
  </si>
  <si>
    <t>PO-2026-00960</t>
  </si>
  <si>
    <t>ORD-922229</t>
  </si>
  <si>
    <t>SKU-MET-666</t>
  </si>
  <si>
    <t>PO-2026-00961</t>
  </si>
  <si>
    <t>ORD-163097</t>
  </si>
  <si>
    <t>PO-2026-00962</t>
  </si>
  <si>
    <t>ORD-358214</t>
  </si>
  <si>
    <t>SKU-MAC-386</t>
  </si>
  <si>
    <t>PO-2026-00963</t>
  </si>
  <si>
    <t>ORD-301427</t>
  </si>
  <si>
    <t>SKU-IND-747</t>
  </si>
  <si>
    <t>PO-2026-00964</t>
  </si>
  <si>
    <t>ORD-595878</t>
  </si>
  <si>
    <t>SKU-IND-710</t>
  </si>
  <si>
    <t>PO-2026-00965</t>
  </si>
  <si>
    <t>ORD-770645</t>
  </si>
  <si>
    <t>SKU-IND-508</t>
  </si>
  <si>
    <t>PO-2026-00966</t>
  </si>
  <si>
    <t>ORD-773780</t>
  </si>
  <si>
    <t>SKU-PAC-725</t>
  </si>
  <si>
    <t>PO-2026-00967</t>
  </si>
  <si>
    <t>ORD-245410</t>
  </si>
  <si>
    <t>SKU-TEX-634</t>
  </si>
  <si>
    <t>PO-2026-00968</t>
  </si>
  <si>
    <t>ORD-166678</t>
  </si>
  <si>
    <t>SKU-TEX-151</t>
  </si>
  <si>
    <t>PO-2026-00969</t>
  </si>
  <si>
    <t>ORD-702048</t>
  </si>
  <si>
    <t>SKU-PAC-874</t>
  </si>
  <si>
    <t>PO-2026-00970</t>
  </si>
  <si>
    <t>ORD-551828</t>
  </si>
  <si>
    <t>SKU-TEX-281</t>
  </si>
  <si>
    <t>PO-2026-00971</t>
  </si>
  <si>
    <t>ORD-450494</t>
  </si>
  <si>
    <t>SKU-MAC-650</t>
  </si>
  <si>
    <t>PO-2026-00972</t>
  </si>
  <si>
    <t>ORD-193834</t>
  </si>
  <si>
    <t>SKU-PAC-541</t>
  </si>
  <si>
    <t>PO-2026-00973</t>
  </si>
  <si>
    <t>ORD-831050</t>
  </si>
  <si>
    <t>SKU-RAW-794</t>
  </si>
  <si>
    <t>PO-2026-00974</t>
  </si>
  <si>
    <t>ORD-227136</t>
  </si>
  <si>
    <t>SKU-RAW-778</t>
  </si>
  <si>
    <t>PO-2026-00975</t>
  </si>
  <si>
    <t>ORD-537713</t>
  </si>
  <si>
    <t>PO-2026-00976</t>
  </si>
  <si>
    <t>ORD-711760</t>
  </si>
  <si>
    <t>SKU-TEX-855</t>
  </si>
  <si>
    <t>PO-2026-00977</t>
  </si>
  <si>
    <t>ORD-373903</t>
  </si>
  <si>
    <t>SKU-MAC-692</t>
  </si>
  <si>
    <t>PO-2026-00978</t>
  </si>
  <si>
    <t>ORD-581410</t>
  </si>
  <si>
    <t>SKU-IND-193</t>
  </si>
  <si>
    <t>PO-2026-00979</t>
  </si>
  <si>
    <t>ORD-156915</t>
  </si>
  <si>
    <t>PO-2026-00980</t>
  </si>
  <si>
    <t>ORD-539993</t>
  </si>
  <si>
    <t>SKU-MAC-705</t>
  </si>
  <si>
    <t>PO-2026-00981</t>
  </si>
  <si>
    <t>ORD-266230</t>
  </si>
  <si>
    <t>SKU-TEX-946</t>
  </si>
  <si>
    <t>PO-2026-00982</t>
  </si>
  <si>
    <t>ORD-946096</t>
  </si>
  <si>
    <t>SKU-PAC-880</t>
  </si>
  <si>
    <t>PO-2026-00983</t>
  </si>
  <si>
    <t>ORD-316539</t>
  </si>
  <si>
    <t>SKU-TEX-488</t>
  </si>
  <si>
    <t>PO-2026-00984</t>
  </si>
  <si>
    <t>ORD-805399</t>
  </si>
  <si>
    <t>SKU-RAW-566</t>
  </si>
  <si>
    <t>PO-2026-00985</t>
  </si>
  <si>
    <t>ORD-641208</t>
  </si>
  <si>
    <t>SKU-RAW-167</t>
  </si>
  <si>
    <t>PO-2026-00986</t>
  </si>
  <si>
    <t>ORD-548621</t>
  </si>
  <si>
    <t>SKU-ELE-654</t>
  </si>
  <si>
    <t>PO-2026-00987</t>
  </si>
  <si>
    <t>ORD-498876</t>
  </si>
  <si>
    <t>SKU-TEX-968</t>
  </si>
  <si>
    <t>PO-2026-00988</t>
  </si>
  <si>
    <t>ORD-652885</t>
  </si>
  <si>
    <t>SKU-PAC-578</t>
  </si>
  <si>
    <t>PO-2026-00989</t>
  </si>
  <si>
    <t>ORD-904358</t>
  </si>
  <si>
    <t>SKU-RAW-181</t>
  </si>
  <si>
    <t>PO-2026-00990</t>
  </si>
  <si>
    <t>ORD-124407</t>
  </si>
  <si>
    <t>SKU-MAC-122</t>
  </si>
  <si>
    <t>PO-2026-00991</t>
  </si>
  <si>
    <t>ORD-781479</t>
  </si>
  <si>
    <t>SKU-RAW-142</t>
  </si>
  <si>
    <t>PO-2026-00992</t>
  </si>
  <si>
    <t>ORD-116651</t>
  </si>
  <si>
    <t>SKU-ELE-253</t>
  </si>
  <si>
    <t>PO-2026-00993</t>
  </si>
  <si>
    <t>ORD-288050</t>
  </si>
  <si>
    <t>SKU-MET-954</t>
  </si>
  <si>
    <t>PO-2026-00994</t>
  </si>
  <si>
    <t>ORD-323425</t>
  </si>
  <si>
    <t>SKU-IND-284</t>
  </si>
  <si>
    <t>PO-2026-00995</t>
  </si>
  <si>
    <t>ORD-742738</t>
  </si>
  <si>
    <t>SKU-PAC-731</t>
  </si>
  <si>
    <t>PO-2026-00996</t>
  </si>
  <si>
    <t>ORD-227712</t>
  </si>
  <si>
    <t>PO-2026-00997</t>
  </si>
  <si>
    <t>ORD-155274</t>
  </si>
  <si>
    <t>SKU-ELE-207</t>
  </si>
  <si>
    <t>PO-2026-00998</t>
  </si>
  <si>
    <t>ORD-528705</t>
  </si>
  <si>
    <t>SKU-RAW-342</t>
  </si>
  <si>
    <t>PO-2026-00999</t>
  </si>
  <si>
    <t>ORD-601355</t>
  </si>
  <si>
    <t>SKU-IND-864</t>
  </si>
  <si>
    <t>PO-2026-01000</t>
  </si>
  <si>
    <t>ORD-348082</t>
  </si>
  <si>
    <t>XOF</t>
  </si>
  <si>
    <t>ETB</t>
  </si>
  <si>
    <t>RWF</t>
  </si>
  <si>
    <t>TZS</t>
  </si>
  <si>
    <t>UGX</t>
  </si>
  <si>
    <t>Order Date</t>
  </si>
  <si>
    <t/>
  </si>
  <si>
    <t>Expected Delivery_Date</t>
  </si>
  <si>
    <t>Primesteel Limited</t>
  </si>
  <si>
    <t>Data Quality Notes - replaced blank with N/A</t>
  </si>
  <si>
    <t>Rejection Reason - replaced blank with N/A</t>
  </si>
  <si>
    <t>Intercom - replaced blank with N/A</t>
  </si>
  <si>
    <t>Supplier Rating - Numerical field (replaced N/A with blank) , clarify Negative rating issue with the stakeholder, I expected minimum rating to be 0. Replace about 5 existing NA in the column wwith Blanks</t>
  </si>
  <si>
    <t>Carrier - About 122 No Carrier Listed already exist in the column, added the 130 remaining blanks in the column to No Carrier listed</t>
  </si>
  <si>
    <t>Not Stated</t>
  </si>
  <si>
    <t>Shipping Mode - Replaced 126 blanks with "Not Stated"</t>
  </si>
  <si>
    <t>Payment Terms - Replaced 148 blanks with Not Stated</t>
  </si>
  <si>
    <t>Invoice Status - Replaced 115 blanks with "Not Stated"</t>
  </si>
  <si>
    <t>Quality Status - Replaced 21 blanks with "Not Stated"</t>
  </si>
  <si>
    <t>Lead Time Variance Day - Replaced 9 Checks with Blank (Numerical column)</t>
  </si>
  <si>
    <t>Defective Units - replaced 6 N/As with Blank</t>
  </si>
  <si>
    <t>Currency - Used XLOOK Upo to serach up the currencies of about 17 countries without Currency in the Currency Field</t>
  </si>
  <si>
    <t>Supplier Name - The Supplier Name of 10 records were not inputted, I used Supplier ID to locate the correct Supplier Name by looking up the Supplier ID and corresponding supplier in other rows or records</t>
  </si>
  <si>
    <t>Supplier ID - Some Unknown Supplier ID were re-assigned to the correct Supplier ID. I sense check the output of the XLOOK to ensure it is returning the correct Supplier Name for each Supplier ID</t>
  </si>
  <si>
    <t>For Uniformity, some Supplier name were inconsistent e.g some end with Limited while others end with Ltd</t>
  </si>
  <si>
    <t>Casablanca Componentsonents</t>
  </si>
  <si>
    <t>Reassigned about 6 Supplier ID named SUP-00X and 7 Supplier ID named UNKNOWN to the appropriate Supplier ID</t>
  </si>
  <si>
    <t>Blank</t>
  </si>
  <si>
    <t>Casablanca Components and Kentech components weere not correctly spelt in some instance, the entries were corrected</t>
  </si>
  <si>
    <t>Order Date = Blank and Invalid Dates were placed with Not Stated</t>
  </si>
  <si>
    <t>Initially I wanted to classify all as "Not Stated" to avoid redundancy, but not stated is different from Inaccurate/Invalid dates, hence the differentiation</t>
  </si>
  <si>
    <t>We had about 16 Blank dates,  11 unknown dates and 10 Invalid dates ( Blanks and unknown were classified as "Not stated", while the Invalid dates were labbelled Invalid dates</t>
  </si>
  <si>
    <t>The formula used for Order Date returned blank as 00/01/1900, while unknown and Invalid dates were returned as blank in the column</t>
  </si>
  <si>
    <t>Invalid Date</t>
  </si>
  <si>
    <t>Invalid date</t>
  </si>
  <si>
    <t>Additional Invalid Dates</t>
  </si>
  <si>
    <t>2026/13/01</t>
  </si>
  <si>
    <t>Quality Status - Changed QUALITY HOLD to Hold</t>
  </si>
  <si>
    <t>No Carrier Listed</t>
  </si>
  <si>
    <t>Country</t>
  </si>
  <si>
    <t>MAD</t>
  </si>
  <si>
    <t>Dollar Equivalent as @ 12/05/26</t>
  </si>
  <si>
    <t>Dollar Equivalent</t>
  </si>
  <si>
    <t>USA</t>
  </si>
  <si>
    <t>Correct currency</t>
  </si>
  <si>
    <t>Ordered_Value in $</t>
  </si>
  <si>
    <t>Unit_Cost in $</t>
  </si>
  <si>
    <t>Calculated_Order_Value</t>
  </si>
  <si>
    <t>Grand Total</t>
  </si>
  <si>
    <t>SUP-001 Total</t>
  </si>
  <si>
    <t>SUP-002 Total</t>
  </si>
  <si>
    <t>SUP-003 Total</t>
  </si>
  <si>
    <t>SUP-004 Total</t>
  </si>
  <si>
    <t>SUP-005 Total</t>
  </si>
  <si>
    <t>SUP-006 Total</t>
  </si>
  <si>
    <t>SUP-007 Total</t>
  </si>
  <si>
    <t>SUP-008 Total</t>
  </si>
  <si>
    <t>SUP-009 Total</t>
  </si>
  <si>
    <t>SUP-010 Total</t>
  </si>
  <si>
    <t>SUP-011 Total</t>
  </si>
  <si>
    <t>SUP-012 Total</t>
  </si>
  <si>
    <t>SUP-013 Total</t>
  </si>
  <si>
    <t>SUP-014 Total</t>
  </si>
  <si>
    <t>SUP-015 Total</t>
  </si>
  <si>
    <t>Count of Supplier_Name</t>
  </si>
  <si>
    <t>Average of Supplier_Rating</t>
  </si>
  <si>
    <t>Count of Ordered_Value in $</t>
  </si>
  <si>
    <t>Sum of Ordered_Value in $</t>
  </si>
  <si>
    <t>Count of Supplier_ID</t>
  </si>
  <si>
    <t>Sum of Defective_Units</t>
  </si>
  <si>
    <t>Average of Defect_Rate</t>
  </si>
  <si>
    <t>Sum of Lead_Time_Variance_Days</t>
  </si>
  <si>
    <t>Average of Lead_Time_Variance_Days</t>
  </si>
  <si>
    <t>% of Total Ordered_Value in $</t>
  </si>
  <si>
    <t>% of  Defective_Units</t>
  </si>
  <si>
    <t>Count</t>
  </si>
  <si>
    <t>Average Rating</t>
  </si>
  <si>
    <t>Supplier Rating - The following Supplier Rating were blank, henece were replaced with Average of 3.0</t>
  </si>
  <si>
    <t>Average Supplier Rating</t>
  </si>
  <si>
    <t>Sum of Order_Quantity</t>
  </si>
  <si>
    <t>Calculated % Defect on Total Order</t>
  </si>
  <si>
    <t>which route, oproduct or carrier is major contributor to the lead time</t>
  </si>
  <si>
    <t>Calculated_Lead_Time2</t>
  </si>
  <si>
    <t>Calculated_Expected_Lead_Time</t>
  </si>
  <si>
    <t>Sum of Lead_Time_Days</t>
  </si>
  <si>
    <t>May</t>
  </si>
  <si>
    <t>Trend Analysis of Lead Time</t>
  </si>
  <si>
    <t>Actual LT</t>
  </si>
  <si>
    <t>Expected LT</t>
  </si>
  <si>
    <t>I had about 40 Null cells in the Order Date column ( 27 - Not Stated &amp; 13- Invalid dates)</t>
  </si>
  <si>
    <t>EDD_Calc</t>
  </si>
  <si>
    <t>ADD_Calc</t>
  </si>
  <si>
    <t>Calc_OD</t>
  </si>
  <si>
    <t>Order Date (Expected Delivery Date - Promised Lead TimeDays)</t>
  </si>
  <si>
    <t>Sample from fully populated cell</t>
  </si>
  <si>
    <t>Extract from Invalid cell</t>
  </si>
  <si>
    <t>promised leadtime</t>
  </si>
  <si>
    <t>Calc_OD2</t>
  </si>
  <si>
    <t>Calc LT</t>
  </si>
  <si>
    <t>Medain - Order date</t>
  </si>
  <si>
    <t>expected Delivery Date minus</t>
  </si>
  <si>
    <t>order Date plus</t>
  </si>
  <si>
    <t>EDD_Calc plus</t>
  </si>
  <si>
    <t>Lead Time variance</t>
  </si>
  <si>
    <t>Median - Expected Delivery Date</t>
  </si>
  <si>
    <t>Unit Cost (Supplier Country Currency)</t>
  </si>
  <si>
    <t>Find median for each Supplier Xtry</t>
  </si>
  <si>
    <t>2 Negative Values in the Claculated Lead time was replaced with the numbers in the original table</t>
  </si>
  <si>
    <t>Qty Ordered_Value in $</t>
  </si>
  <si>
    <t>Actual LeadTime</t>
  </si>
  <si>
    <t>Expected LeadTime</t>
  </si>
  <si>
    <t>Count of Order_ID</t>
  </si>
  <si>
    <t>Calculated_Lead_Time_Variance_Days</t>
  </si>
  <si>
    <t>Sum of Calculated_Lead_Time_Variance_Days</t>
  </si>
  <si>
    <t>Average of Calculated_Lead_Time_Variance_Days</t>
  </si>
  <si>
    <t>Count of Delivery_Status</t>
  </si>
  <si>
    <t>On-Tme Deliver Rate</t>
  </si>
  <si>
    <t>performance in% terms</t>
  </si>
  <si>
    <t>How many were good/accepted out of the total goods delivered, rather than using number of times they deliver</t>
  </si>
  <si>
    <t>recheck % of defect it does not seem to tally with my calc</t>
  </si>
  <si>
    <t>Abidjan, Dar &amp; Nile had the highest average defect rate</t>
  </si>
  <si>
    <t xml:space="preserve">Cape Logistics contributed to 1/5th of  the total defective units and about 1/10th of the company supply is defective. While Saharah Packaging had the least defect rate of about 3% of total defect rate and </t>
  </si>
  <si>
    <t>Average Defect_Rate</t>
  </si>
  <si>
    <t>% of defect in Total Qty Supplied</t>
  </si>
  <si>
    <t>% of  Overall Defective_Units</t>
  </si>
  <si>
    <t>% of defect in Total Supply</t>
  </si>
  <si>
    <t>On-Tme Delivery Rate</t>
  </si>
  <si>
    <t>Avg Lead Time Variance</t>
  </si>
  <si>
    <t>Sum of Calculated_Lead_Time2</t>
  </si>
  <si>
    <t>Average of Calculated_Lead_Time2</t>
  </si>
  <si>
    <t>Avg. Lead Time Variance</t>
  </si>
  <si>
    <t>Which Carrier contributed to the Highest On-Time Delivery</t>
  </si>
  <si>
    <t>% of Total Supply Accepted</t>
  </si>
  <si>
    <t>% of Supply Accepted</t>
  </si>
  <si>
    <t>The Defect % and % of Acceptance is not adding up, does it mean some partially defected supplies were accepted</t>
  </si>
  <si>
    <t>% of Good Delivered Early</t>
  </si>
  <si>
    <t>Values</t>
  </si>
  <si>
    <t>Total Sum of Order_Quantity</t>
  </si>
  <si>
    <t>Total Sum of Order_Quantity2</t>
  </si>
  <si>
    <t>Sum of Order_Quantity2</t>
  </si>
  <si>
    <t>Supplier Country - About 16 Supplier Countries were not stated in the Supplier Country column, I used the records of the supplier name to look up the Supplier country in the table using Xlook up</t>
  </si>
  <si>
    <t>Analysis of Count of Delivery as per delivery Status by Supplier - It is better to use Quantity rather than count</t>
  </si>
  <si>
    <t>Note - Sort was not working correctly when I used formatted cell i.e. cell with formula for sorting On-Time Delivery rate</t>
  </si>
  <si>
    <t>Severely Delayed + Very Late = Late Delivery</t>
  </si>
  <si>
    <t>Months (Actual_Delivery_Date)</t>
  </si>
  <si>
    <t>Months</t>
  </si>
  <si>
    <t>Delivery Status Count by Product Category</t>
  </si>
  <si>
    <t>Avg Supplier Rating</t>
  </si>
  <si>
    <t>Supplier Count by Country</t>
  </si>
  <si>
    <t>Rating by Supplier</t>
  </si>
  <si>
    <t>Rating by Product</t>
  </si>
  <si>
    <t>Volume &amp; Amount by Country</t>
  </si>
  <si>
    <t>Order Summary - Supplier, Product Category, Order Count, Value &amp; Qty</t>
  </si>
  <si>
    <t>use it to map variance defective rate etc</t>
  </si>
  <si>
    <t>Supplier Rating by Product Category</t>
  </si>
  <si>
    <t xml:space="preserve">Build a multiple bar chart for supply rating by product category </t>
  </si>
  <si>
    <t>it will be interesting to know the products that are usually delivered early and late - investigate the reason. Also product with highest rate of rejection and acceptance</t>
  </si>
  <si>
    <t>Delivery Status by Supplier</t>
  </si>
  <si>
    <t>Draw a barchart</t>
  </si>
  <si>
    <t>draw a barchart -0 convert it to %</t>
  </si>
  <si>
    <t>DataQualityNotesbySupplier</t>
  </si>
  <si>
    <t>Which supplier contributed most to our leadtime in any particular month</t>
  </si>
  <si>
    <t>Create Bar Chart for this pivot</t>
  </si>
  <si>
    <t>Analysis of Count of Late Delivery by Supplier</t>
  </si>
  <si>
    <t>Analysis of Count of Early &amp; OnTime Delivery by Supplier</t>
  </si>
  <si>
    <t>Total</t>
  </si>
  <si>
    <t>Sort function - not working well (Solution)</t>
  </si>
  <si>
    <t xml:space="preserve">Delayed </t>
  </si>
  <si>
    <t>Analysis in %</t>
  </si>
  <si>
    <t>whether carrier is influencing the delivery</t>
  </si>
  <si>
    <t>whether shipping mode is influencing the delivery</t>
  </si>
  <si>
    <t>DeliveryStatusbyCarrier</t>
  </si>
  <si>
    <t>DefectRatebyCarrier</t>
  </si>
  <si>
    <t>DefectiveUnitsbyCarrieras%ofTotal</t>
  </si>
  <si>
    <t>DeliveryStatusbyShppingMode</t>
  </si>
  <si>
    <t>DefectRatebyShippingMode</t>
  </si>
  <si>
    <t>Defectas%ofTotalShippingMode</t>
  </si>
  <si>
    <t>Defectas%ofBuyerLocation</t>
  </si>
  <si>
    <t>DefectRate byBuyerLocation</t>
  </si>
  <si>
    <t>DeliveryStatusbyCountry</t>
  </si>
  <si>
    <t>Defectas%ofSupplierCountry</t>
  </si>
  <si>
    <t>Percent of Defect on Order by Country</t>
  </si>
  <si>
    <t>Percent of Defect of Total</t>
  </si>
  <si>
    <t>Percent of Defect on Order by Location</t>
  </si>
  <si>
    <t>KeyMetrics</t>
  </si>
  <si>
    <t>KeyMetrics2</t>
  </si>
  <si>
    <t>Max of Calculated_Lead_Time_Variance_Days</t>
  </si>
  <si>
    <t>Min of Calculated_Lead_Time_Variance_Days</t>
  </si>
  <si>
    <t>Min of Supplier_Rating</t>
  </si>
  <si>
    <t>Max of Supplier_Rating</t>
  </si>
  <si>
    <t>Max of Defect_Rate</t>
  </si>
  <si>
    <t>Min of Defect_Rate</t>
  </si>
  <si>
    <t>Analysis of Sum of Delivery as per delivery Status by Supplier - Best Approach to determine On-Time Delivery Rate (better than count</t>
  </si>
  <si>
    <t>cassablanca</t>
  </si>
  <si>
    <t>sahara</t>
  </si>
  <si>
    <t>I am interested in knowing the % of supply accepted across supplier and the supplier with least and highest acceptance rate</t>
  </si>
  <si>
    <t>8 suppliers</t>
  </si>
  <si>
    <t>Primesteel Limited, Kigali Precision Tools, Kentech Components, Lagos Plastics &amp; Resin</t>
  </si>
  <si>
    <t>5 spplier with -1 lowest rating</t>
  </si>
  <si>
    <t>8 suppliers with highest rating of 6</t>
  </si>
  <si>
    <t>Abidjan had the highrest defective rate of 16%</t>
  </si>
  <si>
    <t>The average defect rate of all the carrier is below 3% with Bollore logistics having the minimum of 2.31% , while Kuehne+Nagel had the maximum of 2.81%</t>
  </si>
  <si>
    <t>% of Total Defective_Units</t>
  </si>
  <si>
    <t>Maersk had the highest % of defect of total supplies of 5.21% which amounts to 21.23% of total defects recorded</t>
  </si>
  <si>
    <t>Bollore Logistics had the lowest % of defect of total supplies of 2.27% which amounts to 10.06% of total defects recorded. GIG Logistics on the other had the least contribution to % of total defective units</t>
  </si>
  <si>
    <t>Sea had the highest % of defect of total supplies of 4.02% which amounts to 22.68% of total defects recorded</t>
  </si>
  <si>
    <t>Courier had the lowest % of defect of total supplies of 2.73% which amounts to 11.76% of total defects recorded.</t>
  </si>
  <si>
    <t xml:space="preserve">Kampala Warehouse had the lowest % of defect of total supplies of 1.72% which amounts to 6.02% of total defects recorded. </t>
  </si>
  <si>
    <t>We can ask Kampala what they are doing differently and encourage others to emulate it</t>
  </si>
  <si>
    <t>Dar es Salaam Port had the highest % of defect of total supplies of 5.42% which amounts to 22.12% of total defects recorded. This is contrary to expectation because the port had the lowest average defect rate of 2.15%, this calls for investigation</t>
  </si>
  <si>
    <t>max</t>
  </si>
  <si>
    <t>min</t>
  </si>
  <si>
    <t>South Africa had the highest % of defect of total supplies of 9.42% which amounts to 23% of total defects recorded</t>
  </si>
  <si>
    <t>Africa Region had the lowest % of defect of total supplies of 1.67% which amounts to 0.03% of total defects recorded.</t>
  </si>
  <si>
    <t>3.32% o total order is defective</t>
  </si>
  <si>
    <t>% of Defect on Product Category Order</t>
  </si>
  <si>
    <t>industry supplies (both)</t>
  </si>
  <si>
    <t>packaging</t>
  </si>
  <si>
    <t>textiles</t>
  </si>
  <si>
    <t>what it is</t>
  </si>
  <si>
    <t>how to use it</t>
  </si>
  <si>
    <t>when to generate it</t>
  </si>
  <si>
    <t>study power &amp; poer of God</t>
  </si>
  <si>
    <t>power is genrated but authority is given</t>
  </si>
  <si>
    <t>The two worked hand in hand for the fulfilment of destiny</t>
  </si>
  <si>
    <t xml:space="preserve">power of God can be felt - </t>
  </si>
  <si>
    <t>we fat bcos we want to generate power</t>
  </si>
  <si>
    <t>know how to receive power</t>
  </si>
  <si>
    <t>Industry supplies had the highest % of defect of total supplies of 6.59% which amounts to 26.54% of total defects recorded</t>
  </si>
  <si>
    <t>Packaging had the lowest % of defect of total supplies of 2.23% which amounts to 14.26% of total defects recorded. Textile product category had the lowest contribution of 10.25% to the total defects</t>
  </si>
  <si>
    <t>We had the highest volume of transaction from Nigeria</t>
  </si>
  <si>
    <t>Top 3 Supplier with highest value</t>
  </si>
  <si>
    <t>Top 3 Highest Volume in  Yellow</t>
  </si>
  <si>
    <t>Top 3 supplier by volume</t>
  </si>
  <si>
    <t>Cape logistics had the highest % contribution to defective unit</t>
  </si>
  <si>
    <t>sahara had the lowest contribution to defective units</t>
  </si>
  <si>
    <t xml:space="preserve">On Time </t>
  </si>
  <si>
    <t>Invalid</t>
  </si>
  <si>
    <t>Dar Machinery Parts and Nile Textile Co. had the highest on time delivery rate, while Primesteel Ltd and Cassablanca Components had the loest on-time delivery</t>
  </si>
  <si>
    <t>Accra Agro Inputs ans Mombasa Electricals had the highest average Lead time of 3, while Dar Machinery Parts had the lowest average lead time variance of 1.1</t>
  </si>
  <si>
    <t>Metal had the highest average rating of 3.1%, while raw materials had the lowest rating of 2.8%</t>
  </si>
  <si>
    <t>Sahara Packaging had the highest rating of 3.4, while Accra Agro Input had a lowest rating of 2.6</t>
  </si>
  <si>
    <t>Order_Date</t>
  </si>
  <si>
    <t>Expected_Delivery_Date</t>
  </si>
  <si>
    <t>Column1</t>
  </si>
  <si>
    <t>TZA</t>
  </si>
  <si>
    <t>data quality note and rejection reason - blank</t>
  </si>
  <si>
    <t>MOMBASA ELECTRICALS</t>
  </si>
  <si>
    <t>KEN</t>
  </si>
  <si>
    <t>late</t>
  </si>
  <si>
    <t>PENDING</t>
  </si>
  <si>
    <t>rating-negaive and 4 star</t>
  </si>
  <si>
    <t>KANO INDUSTRIAL TRADERS</t>
  </si>
  <si>
    <t>NGA</t>
  </si>
  <si>
    <t>LATE</t>
  </si>
  <si>
    <t>matched</t>
  </si>
  <si>
    <t>road</t>
  </si>
  <si>
    <t>kampala packaging hub</t>
  </si>
  <si>
    <t>UGA</t>
  </si>
  <si>
    <t>SEA</t>
  </si>
  <si>
    <t>net30</t>
  </si>
  <si>
    <t>05-07-2026</t>
  </si>
  <si>
    <t>EG</t>
  </si>
  <si>
    <t>ON TIME</t>
  </si>
  <si>
    <t>UG</t>
  </si>
  <si>
    <t>16/02/2026</t>
  </si>
  <si>
    <t>SA</t>
  </si>
  <si>
    <t>No carrier listed</t>
  </si>
  <si>
    <t>07/06/2026</t>
  </si>
  <si>
    <t>KENTECH COMPONENTS</t>
  </si>
  <si>
    <t>300 units</t>
  </si>
  <si>
    <t>1,097,838.00</t>
  </si>
  <si>
    <t>nile textiles co.</t>
  </si>
  <si>
    <t>04/04/2026</t>
  </si>
  <si>
    <t>50</t>
  </si>
  <si>
    <t>06-04-2026</t>
  </si>
  <si>
    <t>10/06/2026</t>
  </si>
  <si>
    <t>SAHARA PACKAGING</t>
  </si>
  <si>
    <t>on-time</t>
  </si>
  <si>
    <t>sahara packaging</t>
  </si>
  <si>
    <t>NG</t>
  </si>
  <si>
    <t>26/06/2026</t>
  </si>
  <si>
    <t>PrimeSteel Limited</t>
  </si>
  <si>
    <t>2026.06.10</t>
  </si>
  <si>
    <t>24 days</t>
  </si>
  <si>
    <t>dar machinery parts</t>
  </si>
  <si>
    <t>200</t>
  </si>
  <si>
    <t>KE</t>
  </si>
  <si>
    <t>KAMPALA PACKAGING HUB</t>
  </si>
  <si>
    <t>31/31/2026</t>
  </si>
  <si>
    <t>23/03/2026</t>
  </si>
  <si>
    <t>GH</t>
  </si>
  <si>
    <t>GHS 194.64</t>
  </si>
  <si>
    <t>22 days</t>
  </si>
  <si>
    <t>2026.02.22</t>
  </si>
  <si>
    <t>ZAF</t>
  </si>
  <si>
    <t>05/04/2026</t>
  </si>
  <si>
    <t>ETH</t>
  </si>
  <si>
    <t>NGN 173,220.00</t>
  </si>
  <si>
    <t>27/06/2026</t>
  </si>
  <si>
    <t>ET</t>
  </si>
  <si>
    <t>09/03/2026</t>
  </si>
  <si>
    <t>15 days</t>
  </si>
  <si>
    <t>28/06/2026</t>
  </si>
  <si>
    <t>28/05/2026</t>
  </si>
  <si>
    <t>21 days</t>
  </si>
  <si>
    <t>check</t>
  </si>
  <si>
    <t>04-02-2026</t>
  </si>
  <si>
    <t>primesteel ltd</t>
  </si>
  <si>
    <t>PRIMESTEEL LTD</t>
  </si>
  <si>
    <t>QUALITY HOLD</t>
  </si>
  <si>
    <t>18/05/2026</t>
  </si>
  <si>
    <t>2026.06.07</t>
  </si>
  <si>
    <t>06-15-2026</t>
  </si>
  <si>
    <t>2026.07.02</t>
  </si>
  <si>
    <t>ACCRA AGRO INPUTS</t>
  </si>
  <si>
    <t>GHA</t>
  </si>
  <si>
    <t>CASABLANCA COMPONENTS</t>
  </si>
  <si>
    <t>MAR</t>
  </si>
  <si>
    <t>CAPE LOGISTICS SUPPLIES</t>
  </si>
  <si>
    <t>18/02/2026</t>
  </si>
  <si>
    <t>TZ</t>
  </si>
  <si>
    <t>2026.01.31</t>
  </si>
  <si>
    <t>26/04/2026</t>
  </si>
  <si>
    <t>75</t>
  </si>
  <si>
    <t>06-18-2026</t>
  </si>
  <si>
    <t>TBD</t>
  </si>
  <si>
    <t>31/01/2026</t>
  </si>
  <si>
    <t>USD 134,406.00</t>
  </si>
  <si>
    <t>01-Apr-2026</t>
  </si>
  <si>
    <t>2026.04.06</t>
  </si>
  <si>
    <t>MA</t>
  </si>
  <si>
    <t>unknown</t>
  </si>
  <si>
    <t>S. Africa</t>
  </si>
  <si>
    <t>nigeria</t>
  </si>
  <si>
    <t>20/03/2026</t>
  </si>
  <si>
    <t>CIV</t>
  </si>
  <si>
    <t>27/03/2026</t>
  </si>
  <si>
    <t>693.41</t>
  </si>
  <si>
    <t>KIGALI PRECISION TOOLS</t>
  </si>
  <si>
    <t>RWA</t>
  </si>
  <si>
    <t>lagos plastics &amp; resin</t>
  </si>
  <si>
    <t>15/03/2026</t>
  </si>
  <si>
    <t>2026.03.14</t>
  </si>
  <si>
    <t>2026.05.09</t>
  </si>
  <si>
    <t>abidjan chemical supply</t>
  </si>
  <si>
    <t>CI</t>
  </si>
  <si>
    <t>23-Mar-2026</t>
  </si>
  <si>
    <t>DAR MACHINERY PARTS</t>
  </si>
  <si>
    <t>04-04-2026</t>
  </si>
  <si>
    <t>02-21-2026</t>
  </si>
  <si>
    <t>EGY</t>
  </si>
  <si>
    <t>ADDIS FABRIC WORKS</t>
  </si>
  <si>
    <t>61,232.25</t>
  </si>
  <si>
    <t>17-May-2026</t>
  </si>
  <si>
    <t>kentech components</t>
  </si>
  <si>
    <t>250</t>
  </si>
  <si>
    <t>4 stars</t>
  </si>
  <si>
    <t>ABIDJAN CHEMICAL SUPPLY</t>
  </si>
  <si>
    <t>Côte d’Ivoire</t>
  </si>
  <si>
    <t>2026.02.25</t>
  </si>
  <si>
    <t>06-21-2026</t>
  </si>
  <si>
    <t>invalid date</t>
  </si>
  <si>
    <t>GHS 15,109.50</t>
  </si>
  <si>
    <t>7 days</t>
  </si>
  <si>
    <t>2026.06.12</t>
  </si>
  <si>
    <t>NILE TEXTILES CO.</t>
  </si>
  <si>
    <t>17 Days</t>
  </si>
  <si>
    <t>RW</t>
  </si>
  <si>
    <t>03-29-2026</t>
  </si>
  <si>
    <t>PrimeSteel Ltd</t>
  </si>
  <si>
    <t>30/06/2026</t>
  </si>
  <si>
    <t>17/07/2026</t>
  </si>
  <si>
    <t>18/04/2026</t>
  </si>
  <si>
    <t>371.15</t>
  </si>
  <si>
    <t>08-May-2026</t>
  </si>
  <si>
    <t>3,792.89</t>
  </si>
  <si>
    <t>06-Apr-2026</t>
  </si>
  <si>
    <t>not delivered</t>
  </si>
  <si>
    <t>2026.04.14</t>
  </si>
  <si>
    <t>n/a</t>
  </si>
  <si>
    <t>20/06/2026</t>
  </si>
  <si>
    <t>13/05/2026</t>
  </si>
  <si>
    <t>31/03/2026</t>
  </si>
  <si>
    <t>412.30</t>
  </si>
  <si>
    <t>21/03/2026</t>
  </si>
  <si>
    <t>2026.05.19</t>
  </si>
  <si>
    <t>cape logistics supplies</t>
  </si>
  <si>
    <t>01-01-2026</t>
  </si>
  <si>
    <t>21/01/2026</t>
  </si>
  <si>
    <t>13/02/2026</t>
  </si>
  <si>
    <t>50 units</t>
  </si>
  <si>
    <t>17/04/2026</t>
  </si>
  <si>
    <t>mombasa electricals</t>
  </si>
  <si>
    <t>6,892.50</t>
  </si>
  <si>
    <t>03/04/2026</t>
  </si>
  <si>
    <t>kigali precision tools</t>
  </si>
  <si>
    <t>21/06/2026</t>
  </si>
  <si>
    <t>01/05/2026</t>
  </si>
  <si>
    <t>GHS 270.43</t>
  </si>
  <si>
    <t>addis fabric works</t>
  </si>
  <si>
    <t>75 units</t>
  </si>
  <si>
    <t>03-21-2026</t>
  </si>
  <si>
    <t>10/02/2026</t>
  </si>
  <si>
    <t>16-Jan-2026</t>
  </si>
  <si>
    <t>8 Days</t>
  </si>
  <si>
    <t>1,351.08</t>
  </si>
  <si>
    <t>2026.04.15</t>
  </si>
  <si>
    <t>accra agro inputs</t>
  </si>
  <si>
    <t>03-24-2026</t>
  </si>
  <si>
    <t>2026.03.29</t>
  </si>
  <si>
    <t>Kentech Comp.</t>
  </si>
  <si>
    <t>ngn 37,683.75</t>
  </si>
  <si>
    <t>2026.06.05</t>
  </si>
  <si>
    <t>kano industrial traders</t>
  </si>
  <si>
    <t>ZAR 8,598.00</t>
  </si>
  <si>
    <t>22/02/2026</t>
  </si>
  <si>
    <t>KES 819.91</t>
  </si>
  <si>
    <t>09/04/2026</t>
  </si>
  <si>
    <t>-3 days</t>
  </si>
  <si>
    <t>01-28-2026</t>
  </si>
  <si>
    <t>24/04/2026</t>
  </si>
  <si>
    <t>05-Jul-2026</t>
  </si>
  <si>
    <t>28/01/2026</t>
  </si>
  <si>
    <t>21/05/2026</t>
  </si>
  <si>
    <t>3,599,360.00</t>
  </si>
  <si>
    <t>2026.03.30</t>
  </si>
  <si>
    <t>09-May-2026</t>
  </si>
  <si>
    <t>LAGOS PLASTICS &amp; RESIN</t>
  </si>
  <si>
    <t>1,186.13</t>
  </si>
  <si>
    <t>07/03/2026</t>
  </si>
  <si>
    <t>12/05/2026</t>
  </si>
  <si>
    <t>11 Days</t>
  </si>
  <si>
    <t>1,027.75</t>
  </si>
  <si>
    <t>14-May-2026</t>
  </si>
  <si>
    <t>USD 628.58</t>
  </si>
  <si>
    <t>KES 114,040.00</t>
  </si>
  <si>
    <t>2026.03.02</t>
  </si>
  <si>
    <t>2026.06.20</t>
  </si>
  <si>
    <t>23/06/2026</t>
  </si>
  <si>
    <t>27/05/2026</t>
  </si>
  <si>
    <t>20/02/2026</t>
  </si>
  <si>
    <t>871,295.00</t>
  </si>
  <si>
    <t>6,437.00</t>
  </si>
  <si>
    <t>2026.04.30</t>
  </si>
  <si>
    <t>12/02/2026</t>
  </si>
  <si>
    <t>05-15-2026</t>
  </si>
  <si>
    <t>18/03/2026</t>
  </si>
  <si>
    <t>22/03/2026</t>
  </si>
  <si>
    <t>05-21-2026</t>
  </si>
  <si>
    <t>2026.06.08</t>
  </si>
  <si>
    <t>KES 695.68</t>
  </si>
  <si>
    <t>10/07/2026</t>
  </si>
  <si>
    <t>2026.02.01</t>
  </si>
  <si>
    <t>08-Feb-2026</t>
  </si>
  <si>
    <t>2,233.25</t>
  </si>
  <si>
    <t>15/04/2026</t>
  </si>
  <si>
    <t>01-26-2026</t>
  </si>
  <si>
    <t>03-03-2026</t>
  </si>
  <si>
    <t>21-Apr-2026</t>
  </si>
  <si>
    <t>Naira</t>
  </si>
  <si>
    <t>04-12-2026</t>
  </si>
  <si>
    <t>2026.03.04</t>
  </si>
  <si>
    <t>2026.04.17</t>
  </si>
  <si>
    <t>150</t>
  </si>
  <si>
    <t>ZAR 110,458.50</t>
  </si>
  <si>
    <t>2026.07.07</t>
  </si>
  <si>
    <t>220,089.00</t>
  </si>
  <si>
    <t>Casablanca Comp.</t>
  </si>
  <si>
    <t>25/06/2026</t>
  </si>
  <si>
    <t>01-Jul-2026</t>
  </si>
  <si>
    <t>14/03/2026</t>
  </si>
  <si>
    <t>06-28-2026</t>
  </si>
  <si>
    <t>1,213,600.00</t>
  </si>
  <si>
    <t>03/05/2026</t>
  </si>
  <si>
    <t>1500 units</t>
  </si>
  <si>
    <t>08/04/2026</t>
  </si>
  <si>
    <t>GHS 217,520.00</t>
  </si>
  <si>
    <t>15 Days</t>
  </si>
  <si>
    <t>08/05/2026</t>
  </si>
  <si>
    <t>16/05/2026</t>
  </si>
  <si>
    <t>GHS 53,085.00</t>
  </si>
  <si>
    <t>04/02/2026</t>
  </si>
  <si>
    <t>3 Days</t>
  </si>
  <si>
    <t>19/01/2026</t>
  </si>
  <si>
    <t>2026.02.11</t>
  </si>
  <si>
    <t>17/05/2026</t>
  </si>
  <si>
    <t>casablanca components</t>
  </si>
  <si>
    <t>30/05/2026</t>
  </si>
  <si>
    <t>2026.06.18</t>
  </si>
  <si>
    <t>2,159.03</t>
  </si>
  <si>
    <t>22/05/2026</t>
  </si>
  <si>
    <t>04/01/2026</t>
  </si>
  <si>
    <t>23 days</t>
  </si>
  <si>
    <t>05-19-2026</t>
  </si>
  <si>
    <t>12/06/2026</t>
  </si>
  <si>
    <t>14 Days</t>
  </si>
  <si>
    <t>12/04/2026</t>
  </si>
  <si>
    <t>2026.01.27</t>
  </si>
  <si>
    <t>2026.03.26</t>
  </si>
  <si>
    <t>2026.03.28</t>
  </si>
  <si>
    <t>100 units</t>
  </si>
  <si>
    <t>02/03/2026</t>
  </si>
  <si>
    <t>11/03/2026</t>
  </si>
  <si>
    <t>2026.06.25</t>
  </si>
  <si>
    <t>2026.02.23</t>
  </si>
  <si>
    <t>10/03/2026</t>
  </si>
  <si>
    <t>26-Apr-2026</t>
  </si>
  <si>
    <t>06-17-2026</t>
  </si>
  <si>
    <t>2026.05.08</t>
  </si>
  <si>
    <t>05-13-2026</t>
  </si>
  <si>
    <t>2026.06.04</t>
  </si>
  <si>
    <t>10-Jun-2026</t>
  </si>
  <si>
    <t>EGP 757.21</t>
  </si>
  <si>
    <t>14/05/2026</t>
  </si>
  <si>
    <t>6 days</t>
  </si>
  <si>
    <t>03-02-2026</t>
  </si>
  <si>
    <t>11/04/2026</t>
  </si>
  <si>
    <t>23/02/2026</t>
  </si>
  <si>
    <t>02/06/2026</t>
  </si>
  <si>
    <t>11/05/2026</t>
  </si>
  <si>
    <t>2026.02.27</t>
  </si>
  <si>
    <t>492,741.00</t>
  </si>
  <si>
    <t>02/04/2026</t>
  </si>
  <si>
    <t>KES 2,653.21</t>
  </si>
  <si>
    <t>20 days</t>
  </si>
  <si>
    <t>05/02/2026</t>
  </si>
  <si>
    <t>20/01/2026</t>
  </si>
  <si>
    <t>04-13-2026</t>
  </si>
  <si>
    <t>15/02/2026</t>
  </si>
  <si>
    <t>2026.07.12</t>
  </si>
  <si>
    <t>16-Mar-2026</t>
  </si>
  <si>
    <t>USD 180.39</t>
  </si>
  <si>
    <t>43,379.50</t>
  </si>
  <si>
    <t>26/05/2026</t>
  </si>
  <si>
    <t>426,570.00</t>
  </si>
  <si>
    <t>07/01/2026</t>
  </si>
  <si>
    <t>10-Apr-2026</t>
  </si>
  <si>
    <t>13/04/2026</t>
  </si>
  <si>
    <t>01-19-2026</t>
  </si>
  <si>
    <t>1,941,285.00</t>
  </si>
  <si>
    <t>18 days</t>
  </si>
  <si>
    <t>15-Mar-2026</t>
  </si>
  <si>
    <t>300</t>
  </si>
  <si>
    <t>2026.05.12</t>
  </si>
  <si>
    <t>14/02/2026</t>
  </si>
  <si>
    <t>19/06/2026</t>
  </si>
  <si>
    <t>17/02/2026</t>
  </si>
  <si>
    <t>05-Apr-2026</t>
  </si>
  <si>
    <t>05/05/2026</t>
  </si>
  <si>
    <t>86,005.50</t>
  </si>
  <si>
    <t>05/06/2026</t>
  </si>
  <si>
    <t>370.76</t>
  </si>
  <si>
    <t>200 units</t>
  </si>
  <si>
    <t>01-13-2026</t>
  </si>
  <si>
    <t>02-16-2026</t>
  </si>
  <si>
    <t>2026.05.15</t>
  </si>
  <si>
    <t>10/05/2026</t>
  </si>
  <si>
    <t>26-Mar-2026</t>
  </si>
  <si>
    <t>2026.03.17</t>
  </si>
  <si>
    <t>19/05/2026</t>
  </si>
  <si>
    <t>06-02-2026</t>
  </si>
  <si>
    <t>23/01/2026</t>
  </si>
  <si>
    <t>22/04/2026</t>
  </si>
  <si>
    <t>05-17-2026</t>
  </si>
  <si>
    <t>23/04/2026</t>
  </si>
  <si>
    <t>03-31-2026</t>
  </si>
  <si>
    <t>760.70</t>
  </si>
  <si>
    <t>05-06-2026</t>
  </si>
  <si>
    <t>14-Apr-2026</t>
  </si>
  <si>
    <t>30/01/2026</t>
  </si>
  <si>
    <t>01-17-2026</t>
  </si>
  <si>
    <t>10/01/2026</t>
  </si>
  <si>
    <t>04/05/2026</t>
  </si>
  <si>
    <t>06/02/2026</t>
  </si>
  <si>
    <t>02-15-2026</t>
  </si>
  <si>
    <t>19,266.00</t>
  </si>
  <si>
    <t>09/07/2026</t>
  </si>
  <si>
    <t>29/05/2026</t>
  </si>
  <si>
    <t>10 Days</t>
  </si>
  <si>
    <t>08-Mar-2026</t>
  </si>
  <si>
    <t>15-Jun-2026</t>
  </si>
  <si>
    <t>04-06-2026</t>
  </si>
  <si>
    <t>01-12-2026</t>
  </si>
  <si>
    <t>2026.01.29</t>
  </si>
  <si>
    <t>01-08-2026</t>
  </si>
  <si>
    <t>06-11-2026</t>
  </si>
  <si>
    <t>2026.04.28</t>
  </si>
  <si>
    <t>ZAR 305.42</t>
  </si>
  <si>
    <t>28/02/2026</t>
  </si>
  <si>
    <t>02-13-2026</t>
  </si>
  <si>
    <t>06-07-2026</t>
  </si>
  <si>
    <t>USD 28,560.00</t>
  </si>
  <si>
    <t>18 Days</t>
  </si>
  <si>
    <t>08/03/2026</t>
  </si>
  <si>
    <t>19-Jun-2026</t>
  </si>
  <si>
    <t>787,400.00</t>
  </si>
  <si>
    <t>27/04/2026</t>
  </si>
  <si>
    <t>05-31-2026</t>
  </si>
  <si>
    <t>750 units</t>
  </si>
  <si>
    <t>14 days</t>
  </si>
  <si>
    <t>06-19-2026</t>
  </si>
  <si>
    <t>24/01/2026</t>
  </si>
  <si>
    <t>13-Jun-2026</t>
  </si>
  <si>
    <t>01/03/2026</t>
  </si>
  <si>
    <t>1000 units</t>
  </si>
  <si>
    <t>2026.03.25</t>
  </si>
  <si>
    <t>2026.07.24</t>
  </si>
  <si>
    <t>22-Apr-2026</t>
  </si>
  <si>
    <t>09-Feb-2026</t>
  </si>
  <si>
    <t>2026.03.19</t>
  </si>
  <si>
    <t>2026.02.24</t>
  </si>
  <si>
    <t>24/06/2026</t>
  </si>
  <si>
    <t>2026.04.23</t>
  </si>
  <si>
    <t>09-Jun-2026</t>
  </si>
  <si>
    <t>15/01/2026</t>
  </si>
  <si>
    <t>2026.05.10</t>
  </si>
  <si>
    <t>01-14-2026</t>
  </si>
  <si>
    <t>12-Mar-2026</t>
  </si>
  <si>
    <t>2026.03.13</t>
  </si>
  <si>
    <t>GHS 106,996.00</t>
  </si>
  <si>
    <t>2026.07.11</t>
  </si>
  <si>
    <t>93,700.00</t>
  </si>
  <si>
    <t>2026.06.13</t>
  </si>
  <si>
    <t>26-Jan-2026</t>
  </si>
  <si>
    <t>23-Feb-2026</t>
  </si>
  <si>
    <t>01/04/2026</t>
  </si>
  <si>
    <t>18/01/2026</t>
  </si>
  <si>
    <t>14/04/2026</t>
  </si>
  <si>
    <t>2026.07.29</t>
  </si>
  <si>
    <t>21 Days</t>
  </si>
  <si>
    <t>ZAR 558,480.00</t>
  </si>
  <si>
    <t>29/03/2026</t>
  </si>
  <si>
    <t>552.75</t>
  </si>
  <si>
    <t>2026.07.25</t>
  </si>
  <si>
    <t>16/04/2026</t>
  </si>
  <si>
    <t>03/01/2026</t>
  </si>
  <si>
    <t>2026.01.03</t>
  </si>
  <si>
    <t>2000 units</t>
  </si>
  <si>
    <t>54,804.00</t>
  </si>
  <si>
    <t>186.73</t>
  </si>
  <si>
    <t>05-16-2026</t>
  </si>
  <si>
    <t>02/01/2026</t>
  </si>
  <si>
    <t>2026.02.17</t>
  </si>
  <si>
    <t>29.26</t>
  </si>
  <si>
    <t>2026.05.23</t>
  </si>
  <si>
    <t>19/03/2026</t>
  </si>
  <si>
    <t>22/06/2026</t>
  </si>
  <si>
    <t>413.10</t>
  </si>
  <si>
    <t>12 days</t>
  </si>
  <si>
    <t>14-Feb-2026</t>
  </si>
  <si>
    <t>ZAR 142,665.00</t>
  </si>
  <si>
    <t>GHS 31,681.00</t>
  </si>
  <si>
    <t>ZAR 702.05</t>
  </si>
  <si>
    <t>25/05/2026</t>
  </si>
  <si>
    <t>03-19-2026</t>
  </si>
  <si>
    <t>24/02/2026</t>
  </si>
  <si>
    <t>11 days</t>
  </si>
  <si>
    <t>02-07-2026</t>
  </si>
  <si>
    <t>GHS 2,579.70</t>
  </si>
  <si>
    <t>185.59</t>
  </si>
  <si>
    <t>2026.02.06</t>
  </si>
  <si>
    <t>137.83</t>
  </si>
  <si>
    <t>02-04-2026</t>
  </si>
  <si>
    <t>03/06/2026</t>
  </si>
  <si>
    <t>USD 120,895.00</t>
  </si>
  <si>
    <t>19 Days</t>
  </si>
  <si>
    <t>2026.01.25</t>
  </si>
  <si>
    <t>GHS 706.01</t>
  </si>
  <si>
    <t>05-30-2026</t>
  </si>
  <si>
    <t>36,318.00</t>
  </si>
  <si>
    <t>581,275.00</t>
  </si>
  <si>
    <t>2026.03.06</t>
  </si>
  <si>
    <t>04/07/2026</t>
  </si>
  <si>
    <t>2026.03.11</t>
  </si>
  <si>
    <t>19-May-2026</t>
  </si>
  <si>
    <t>15-May-2026</t>
  </si>
  <si>
    <t>03-10-2026</t>
  </si>
  <si>
    <t>KES 205,230.00</t>
  </si>
  <si>
    <t>NGN 51,100.50</t>
  </si>
  <si>
    <t>05-10-2026</t>
  </si>
  <si>
    <t>24/05/2026</t>
  </si>
  <si>
    <t>11/07/2026</t>
  </si>
  <si>
    <t>1,500</t>
  </si>
  <si>
    <t>13/06/2026</t>
  </si>
  <si>
    <t>2026.03.09</t>
  </si>
  <si>
    <t>03-23-2026</t>
  </si>
  <si>
    <t>NGN 119,844.00</t>
  </si>
  <si>
    <t>28/03/2026</t>
  </si>
  <si>
    <t>06-22-2026</t>
  </si>
  <si>
    <t>2026.07.04</t>
  </si>
  <si>
    <t>26/02/2026</t>
  </si>
  <si>
    <t>02-17-2026</t>
  </si>
  <si>
    <t>04-28-2026</t>
  </si>
  <si>
    <t>224.34</t>
  </si>
  <si>
    <t>13/03/2026</t>
  </si>
  <si>
    <t>2026.06.26</t>
  </si>
  <si>
    <t>12/03/2026</t>
  </si>
  <si>
    <t>05-18-2026</t>
  </si>
  <si>
    <t>08/07/2026</t>
  </si>
  <si>
    <t>21-Jan-2026</t>
  </si>
  <si>
    <t>2026.02.02</t>
  </si>
  <si>
    <t>26/01/2026</t>
  </si>
  <si>
    <t>09/02/2026</t>
  </si>
  <si>
    <t>211.19</t>
  </si>
  <si>
    <t>4,399.58</t>
  </si>
  <si>
    <t>GHS 155,994.00</t>
  </si>
  <si>
    <t>496.22</t>
  </si>
  <si>
    <t>11/06/2026</t>
  </si>
  <si>
    <t>23-Jun-2026</t>
  </si>
  <si>
    <t>684.02</t>
  </si>
  <si>
    <t>21/04/2026</t>
  </si>
  <si>
    <t>138.22</t>
  </si>
  <si>
    <t>04-18-2026</t>
  </si>
  <si>
    <t>07-May-2026</t>
  </si>
  <si>
    <t>03-09-2026</t>
  </si>
  <si>
    <t>Naira 196,080.00</t>
  </si>
  <si>
    <t>05-Jun-2026</t>
  </si>
  <si>
    <t>19 days</t>
  </si>
  <si>
    <t>USD 633.19</t>
  </si>
  <si>
    <t>03-25-2026</t>
  </si>
  <si>
    <t>2026.04.19</t>
  </si>
  <si>
    <t>2026.06.27</t>
  </si>
  <si>
    <t>GHS 264,458.00</t>
  </si>
  <si>
    <t>154,635.00</t>
  </si>
  <si>
    <t>NGN 1,541.67</t>
  </si>
  <si>
    <t>20/05/2026</t>
  </si>
  <si>
    <t>2026.05.02</t>
  </si>
  <si>
    <t>9 Days</t>
  </si>
  <si>
    <t>04-20-2026</t>
  </si>
  <si>
    <t>28/04/2026</t>
  </si>
  <si>
    <t>8 days</t>
  </si>
  <si>
    <t>2026.02.15</t>
  </si>
  <si>
    <t>16/03/2026</t>
  </si>
  <si>
    <t>01-31-2026</t>
  </si>
  <si>
    <t>06-23-2026</t>
  </si>
  <si>
    <t>2026.05.01</t>
  </si>
  <si>
    <t>793.68</t>
  </si>
  <si>
    <t>2026.05.29</t>
  </si>
  <si>
    <t>04/03/2026</t>
  </si>
  <si>
    <t>5 suppliers that had-1 lowest rating</t>
  </si>
  <si>
    <t>Delivery Status by Product Category</t>
  </si>
  <si>
    <t>Delivery Status by Supplier &amp; Ordered Quantity</t>
  </si>
  <si>
    <t>Delivery Status by Count &amp; Supplier</t>
  </si>
  <si>
    <t>Delivery Status by Product Type&amp; Order Quantity</t>
  </si>
  <si>
    <t>Count of Data Quality Notes by Supplier</t>
  </si>
  <si>
    <t>Count of Data Source by Supplier</t>
  </si>
  <si>
    <t>Count of Rejection Reason by Supplier</t>
  </si>
  <si>
    <t>Count of Incoterm by Supplier</t>
  </si>
  <si>
    <t>Count of Carrier by Supplier</t>
  </si>
  <si>
    <t>Count of Shipping Mode by Supplier</t>
  </si>
  <si>
    <t>Count of Payment Terms by Supplier</t>
  </si>
  <si>
    <t>Sum of Order Quantity by Supplier &amp; Quality Status</t>
  </si>
  <si>
    <t>Count of Quality Status Supplier</t>
  </si>
  <si>
    <t>Count of Supplier by Data Quality Notes</t>
  </si>
  <si>
    <t>Sum of Supplier Leadtime in Days</t>
  </si>
  <si>
    <t>Trend Analysis of Maersk Supply Lead Time</t>
  </si>
  <si>
    <t>Month on Months Analysis of Maresk Supplier Leadtime</t>
  </si>
  <si>
    <t>Supplier OnTime Delivery Rate &amp; Average Lead Time Variance</t>
  </si>
  <si>
    <t>Analysis of Supplier Lead Time</t>
  </si>
  <si>
    <t>Trend Analysis of Lead Time Variance</t>
  </si>
  <si>
    <t>Dar</t>
  </si>
  <si>
    <t>Mombasa</t>
  </si>
  <si>
    <t>Kano</t>
  </si>
  <si>
    <t>Kampala</t>
  </si>
  <si>
    <t>Kigali</t>
  </si>
  <si>
    <t>Nile</t>
  </si>
  <si>
    <t>Kentech</t>
  </si>
  <si>
    <t>Cape</t>
  </si>
  <si>
    <t>Casablanca</t>
  </si>
  <si>
    <t>Sahara</t>
  </si>
  <si>
    <t>AccraAI</t>
  </si>
  <si>
    <t>LagosPR</t>
  </si>
  <si>
    <t>Primesteel</t>
  </si>
  <si>
    <t>AddisFW</t>
  </si>
  <si>
    <t>AbidjanCS</t>
  </si>
  <si>
    <t>Primesteel Total</t>
  </si>
  <si>
    <t>Kentech Total</t>
  </si>
  <si>
    <t>Sahara Total</t>
  </si>
  <si>
    <t>Nile Total</t>
  </si>
  <si>
    <t>Cape Total</t>
  </si>
  <si>
    <t>AccraAI Total</t>
  </si>
  <si>
    <t>Dar Total</t>
  </si>
  <si>
    <t>LagosPR Total</t>
  </si>
  <si>
    <t>Mombasa Total</t>
  </si>
  <si>
    <t>AddisFW Total</t>
  </si>
  <si>
    <t>Kigali Total</t>
  </si>
  <si>
    <t>AbidjanCS Total</t>
  </si>
  <si>
    <t>Casablanca Total</t>
  </si>
  <si>
    <t>Kano Total</t>
  </si>
  <si>
    <t>Kampala Total</t>
  </si>
  <si>
    <t>% of Defect on Supplies</t>
  </si>
  <si>
    <t>Jan</t>
  </si>
  <si>
    <t>Feb</t>
  </si>
  <si>
    <t>Mar</t>
  </si>
  <si>
    <t>Apr</t>
  </si>
  <si>
    <t>Jun</t>
  </si>
  <si>
    <t>Jul</t>
  </si>
  <si>
    <t>Count of Invoice Status by Supplier</t>
  </si>
  <si>
    <t>KanoIT</t>
  </si>
  <si>
    <t xml:space="preserve">Dar </t>
  </si>
  <si>
    <t>Invoice Status</t>
  </si>
  <si>
    <t>Payment Terms</t>
  </si>
  <si>
    <t>Unmatched</t>
  </si>
  <si>
    <t>Percentage</t>
  </si>
  <si>
    <t>Perecntage</t>
  </si>
  <si>
    <t>vstack / xlookup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</si>
</sst>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
    <numFmt numFmtId="165" formatCode="0.0000"/>
    <numFmt numFmtId="166" formatCode="&quot;£&quot;#,##0"/>
    <numFmt numFmtId="167" formatCode="&quot;£&quot;#,##0.00,,&quot;m&quot;"/>
    <numFmt numFmtId="168" formatCode="#,##0.0,&quot;k&quot;"/>
  </numFmts>
  <fonts count="16">
    <font>
      <sz val="11"/>
      <color rgb="FF000000"/>
      <name val="Carlito"/>
      <scheme val="minor"/>
    </font>
    <font>
      <sz val="10"/>
      <color theme="1"/>
      <name val="Carlito"/>
    </font>
    <font>
      <b/>
      <sz val="10"/>
      <name val="Carlito"/>
    </font>
    <font>
      <sz val="11"/>
      <name val="Carlito"/>
      <scheme val="minor"/>
    </font>
    <font>
      <sz val="8"/>
      <name val="Carlito"/>
      <scheme val="minor"/>
    </font>
    <font>
      <sz val="9"/>
      <color rgb="FF000000"/>
      <name val="Carlito"/>
      <scheme val="minor"/>
    </font>
    <font>
      <sz val="10"/>
      <color rgb="FF000000"/>
      <name val="Carlito"/>
      <scheme val="minor"/>
    </font>
    <font>
      <sz val="10"/>
      <name val="Carlito"/>
      <scheme val="minor"/>
    </font>
    <font>
      <sz val="11"/>
      <color rgb="FF000000"/>
      <name val="Carlito"/>
      <scheme val="minor"/>
    </font>
    <font>
      <b/>
      <sz val="10"/>
      <color rgb="FFFF0000"/>
      <name val="Carlito"/>
    </font>
    <font>
      <b/>
      <sz val="11"/>
      <color rgb="FF000000"/>
      <name val="Carlito"/>
      <scheme val="minor"/>
    </font>
    <font>
      <sz val="9"/>
      <color theme="1"/>
      <name val="Carlito"/>
    </font>
    <font>
      <b/>
      <sz val="10"/>
      <color rgb="FF002060"/>
      <name val="Carlito"/>
    </font>
    <font>
      <b/>
      <sz val="13"/>
      <color rgb="FF000000"/>
      <name val="Carlito"/>
      <scheme val="minor"/>
    </font>
    <font>
      <b/>
      <sz val="13"/>
      <color theme="7" tint="-0.499984740745262"/>
      <name val="Carlito"/>
      <scheme val="minor"/>
    </font>
    <font>
      <sz val="11"/>
      <color rgb="FFFF0000"/>
      <name val="Carlito"/>
      <scheme val="minor"/>
    </font>
  </fonts>
  <fills count="6">
    <fill>
      <patternFill patternType="none"/>
    </fill>
    <fill>
      <patternFill patternType="gray125"/>
    </fill>
    <fill>
      <patternFill patternType="solid">
        <fgColor rgb="FFE8F0FE"/>
        <bgColor rgb="FFE8F0FE"/>
      </patternFill>
    </fill>
    <fill>
      <patternFill patternType="solid">
        <fgColor rgb="FFFFFF00"/>
        <bgColor indexed="64"/>
      </patternFill>
    </fill>
    <fill>
      <patternFill patternType="solid">
        <fgColor rgb="FFFFFF00"/>
        <bgColor rgb="FFE8F0FE"/>
      </patternFill>
    </fill>
    <fill>
      <patternFill patternType="solid">
        <fgColor rgb="FF92D050"/>
        <bgColor indexed="64"/>
      </patternFill>
    </fill>
  </fills>
  <borders count="27">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style="thin">
        <color rgb="FFABABAB"/>
      </left>
      <right/>
      <top/>
      <bottom/>
      <diagonal/>
    </border>
    <border>
      <left style="thin">
        <color indexed="65"/>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bottom/>
      <diagonal/>
    </border>
    <border>
      <left style="thin">
        <color rgb="FFABABAB"/>
      </left>
      <right style="thin">
        <color rgb="FFABABAB"/>
      </right>
      <top style="thin">
        <color rgb="FFABABAB"/>
      </top>
      <bottom style="thin">
        <color rgb="FFABABAB"/>
      </bottom>
      <diagonal/>
    </border>
    <border>
      <left style="thin">
        <color indexed="65"/>
      </left>
      <right style="thin">
        <color rgb="FFABABAB"/>
      </right>
      <top style="thin">
        <color rgb="FFABABAB"/>
      </top>
      <bottom/>
      <diagonal/>
    </border>
    <border>
      <left style="thin">
        <color rgb="FFABABAB"/>
      </left>
      <right style="thin">
        <color rgb="FFABABAB"/>
      </right>
      <top style="thin">
        <color rgb="FFABABAB"/>
      </top>
      <bottom/>
      <diagonal/>
    </border>
    <border>
      <left/>
      <right/>
      <top style="thin">
        <color rgb="FFABABAB"/>
      </top>
      <bottom/>
      <diagonal/>
    </border>
    <border>
      <left style="thin">
        <color rgb="FFABABAB"/>
      </left>
      <right style="thin">
        <color rgb="FFABABAB"/>
      </right>
      <top/>
      <bottom/>
      <diagonal/>
    </border>
    <border>
      <left/>
      <right/>
      <top style="thin">
        <color rgb="FFABABAB"/>
      </top>
      <bottom style="thin">
        <color rgb="FFABABAB"/>
      </bottom>
      <diagonal/>
    </border>
    <border>
      <left style="thin">
        <color rgb="FFABABAB"/>
      </left>
      <right/>
      <top/>
      <bottom style="thin">
        <color rgb="FFABABAB"/>
      </bottom>
      <diagonal/>
    </border>
    <border>
      <left/>
      <right style="thin">
        <color rgb="FFABABAB"/>
      </right>
      <top/>
      <bottom style="thin">
        <color rgb="FFABABAB"/>
      </bottom>
      <diagonal/>
    </border>
    <border>
      <left style="thin">
        <color rgb="FFABABAB"/>
      </left>
      <right style="thin">
        <color rgb="FFABABAB"/>
      </right>
      <top/>
      <bottom style="thin">
        <color rgb="FFABABAB"/>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ABABAB"/>
      </left>
      <right style="thin">
        <color rgb="FFABABAB"/>
      </right>
      <top style="thin">
        <color indexed="65"/>
      </top>
      <bottom/>
      <diagonal/>
    </border>
    <border>
      <left style="thin">
        <color rgb="FFABABAB"/>
      </left>
      <right/>
      <top style="thin">
        <color indexed="65"/>
      </top>
      <bottom style="thin">
        <color rgb="FFABABAB"/>
      </bottom>
      <diagonal/>
    </border>
  </borders>
  <cellStyleXfs count="3">
    <xf numFmtId="0" fontId="0" fillId="0" borderId="0"/>
    <xf numFmtId="43" fontId="8" fillId="0" borderId="0" applyFont="0" applyFill="0" applyBorder="0" applyAlignment="0" applyProtection="0"/>
    <xf numFmtId="9" fontId="8" fillId="0" borderId="0" applyFont="0" applyFill="0" applyBorder="0" applyAlignment="0" applyProtection="0"/>
  </cellStyleXfs>
  <cellXfs count="185">
    <xf numFmtId="0" fontId="0" fillId="0" borderId="0" xfId="0"/>
    <xf numFmtId="0" fontId="1" fillId="0" borderId="0" xfId="0" applyFont="1"/>
    <xf numFmtId="0" fontId="2" fillId="2" borderId="0" xfId="0" applyFont="1" applyFill="1" applyAlignment="1">
      <alignment wrapText="1"/>
    </xf>
    <xf numFmtId="0" fontId="3" fillId="0" borderId="0" xfId="0" applyFont="1"/>
    <xf numFmtId="14" fontId="1" fillId="0" borderId="0" xfId="0" applyNumberFormat="1" applyFont="1"/>
    <xf numFmtId="14" fontId="2" fillId="2" borderId="0" xfId="0" applyNumberFormat="1" applyFont="1" applyFill="1" applyAlignment="1">
      <alignment wrapText="1"/>
    </xf>
    <xf numFmtId="14" fontId="5" fillId="0" borderId="0" xfId="0" applyNumberFormat="1" applyFont="1"/>
    <xf numFmtId="10" fontId="1" fillId="0" borderId="0" xfId="0" applyNumberFormat="1" applyFont="1"/>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4" xfId="0" applyBorder="1"/>
    <xf numFmtId="0" fontId="0" fillId="0" borderId="5" xfId="0" applyBorder="1"/>
    <xf numFmtId="0" fontId="0" fillId="0" borderId="6" xfId="0" applyBorder="1"/>
    <xf numFmtId="0" fontId="0" fillId="0" borderId="7" xfId="0" applyBorder="1"/>
    <xf numFmtId="164" fontId="0" fillId="0" borderId="7" xfId="0" applyNumberFormat="1" applyBorder="1"/>
    <xf numFmtId="164" fontId="0" fillId="0" borderId="8" xfId="0" applyNumberFormat="1" applyBorder="1"/>
    <xf numFmtId="4" fontId="0" fillId="0" borderId="7" xfId="0" applyNumberFormat="1" applyBorder="1"/>
    <xf numFmtId="4" fontId="0" fillId="0" borderId="8" xfId="0" applyNumberFormat="1" applyBorder="1"/>
    <xf numFmtId="0" fontId="0" fillId="0" borderId="11" xfId="0" applyBorder="1"/>
    <xf numFmtId="0" fontId="0" fillId="0" borderId="13" xfId="0" applyBorder="1"/>
    <xf numFmtId="0" fontId="0" fillId="0" borderId="1"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164" fontId="0" fillId="0" borderId="1" xfId="0" applyNumberFormat="1" applyBorder="1" applyAlignment="1">
      <alignment horizontal="center"/>
    </xf>
    <xf numFmtId="164" fontId="0" fillId="0" borderId="13" xfId="0" applyNumberFormat="1" applyBorder="1" applyAlignment="1">
      <alignment horizontal="center"/>
    </xf>
    <xf numFmtId="164" fontId="0" fillId="0" borderId="12" xfId="0" applyNumberFormat="1" applyBorder="1" applyAlignment="1">
      <alignment horizontal="center"/>
    </xf>
    <xf numFmtId="164" fontId="0" fillId="0" borderId="4" xfId="0" applyNumberFormat="1" applyBorder="1" applyAlignment="1">
      <alignment horizontal="center"/>
    </xf>
    <xf numFmtId="164" fontId="0" fillId="0" borderId="15" xfId="0" applyNumberFormat="1" applyBorder="1" applyAlignment="1">
      <alignment horizontal="center"/>
    </xf>
    <xf numFmtId="164" fontId="0" fillId="0" borderId="10" xfId="0" applyNumberFormat="1" applyBorder="1" applyAlignment="1">
      <alignment horizontal="center"/>
    </xf>
    <xf numFmtId="4" fontId="0" fillId="0" borderId="7" xfId="0" applyNumberFormat="1" applyBorder="1" applyAlignment="1">
      <alignment horizontal="right"/>
    </xf>
    <xf numFmtId="4" fontId="0" fillId="0" borderId="9" xfId="0" applyNumberFormat="1" applyBorder="1" applyAlignment="1">
      <alignment horizontal="right"/>
    </xf>
    <xf numFmtId="4" fontId="0" fillId="0" borderId="8" xfId="0" applyNumberFormat="1" applyBorder="1" applyAlignment="1">
      <alignment horizontal="right"/>
    </xf>
    <xf numFmtId="0" fontId="10" fillId="0" borderId="1" xfId="0" pivotButton="1" applyFont="1" applyBorder="1"/>
    <xf numFmtId="0" fontId="10" fillId="0" borderId="1" xfId="0" applyFont="1" applyBorder="1" applyAlignment="1">
      <alignment horizontal="center"/>
    </xf>
    <xf numFmtId="0" fontId="10" fillId="0" borderId="13" xfId="0" applyFont="1" applyBorder="1" applyAlignment="1">
      <alignment horizontal="center"/>
    </xf>
    <xf numFmtId="0" fontId="10" fillId="0" borderId="12" xfId="0" applyFont="1" applyBorder="1" applyAlignment="1">
      <alignment horizontal="center"/>
    </xf>
    <xf numFmtId="0" fontId="10" fillId="0" borderId="0" xfId="0" applyFont="1"/>
    <xf numFmtId="0" fontId="10" fillId="0" borderId="0" xfId="0" applyFont="1" applyAlignment="1">
      <alignment horizontal="center"/>
    </xf>
    <xf numFmtId="0" fontId="10" fillId="0" borderId="4" xfId="0" applyFont="1" applyBorder="1"/>
    <xf numFmtId="0" fontId="10" fillId="0" borderId="1" xfId="0" pivotButton="1" applyFont="1" applyBorder="1" applyAlignment="1">
      <alignment horizontal="left"/>
    </xf>
    <xf numFmtId="4" fontId="0" fillId="0" borderId="0" xfId="0" applyNumberFormat="1"/>
    <xf numFmtId="4" fontId="0" fillId="0" borderId="15" xfId="0" applyNumberFormat="1" applyBorder="1"/>
    <xf numFmtId="10" fontId="0" fillId="0" borderId="7" xfId="0" applyNumberFormat="1" applyBorder="1"/>
    <xf numFmtId="10" fontId="0" fillId="0" borderId="9" xfId="0" applyNumberFormat="1" applyBorder="1"/>
    <xf numFmtId="10" fontId="0" fillId="0" borderId="8" xfId="0" applyNumberFormat="1" applyBorder="1"/>
    <xf numFmtId="10" fontId="0" fillId="0" borderId="13" xfId="0" applyNumberFormat="1" applyBorder="1"/>
    <xf numFmtId="10" fontId="0" fillId="0" borderId="15" xfId="0" applyNumberFormat="1" applyBorder="1"/>
    <xf numFmtId="0" fontId="0" fillId="0" borderId="0" xfId="0" pivotButton="1"/>
    <xf numFmtId="164" fontId="0" fillId="0" borderId="0" xfId="0" applyNumberFormat="1" applyAlignment="1">
      <alignment horizontal="center"/>
    </xf>
    <xf numFmtId="0" fontId="0" fillId="0" borderId="12" xfId="0" applyBorder="1"/>
    <xf numFmtId="4" fontId="0" fillId="0" borderId="9" xfId="0" applyNumberFormat="1" applyBorder="1"/>
    <xf numFmtId="1" fontId="1" fillId="0" borderId="0" xfId="0" applyNumberFormat="1" applyFont="1" applyAlignment="1">
      <alignment horizontal="center"/>
    </xf>
    <xf numFmtId="1" fontId="11" fillId="0" borderId="0" xfId="0" applyNumberFormat="1" applyFont="1" applyAlignment="1">
      <alignment horizontal="center"/>
    </xf>
    <xf numFmtId="1" fontId="12" fillId="2" borderId="0" xfId="0" applyNumberFormat="1" applyFont="1" applyFill="1" applyAlignment="1">
      <alignment horizontal="center" wrapText="1"/>
    </xf>
    <xf numFmtId="14" fontId="0" fillId="0" borderId="5" xfId="0" applyNumberFormat="1" applyBorder="1"/>
    <xf numFmtId="0" fontId="10" fillId="0" borderId="6" xfId="0" applyFont="1" applyBorder="1"/>
    <xf numFmtId="14" fontId="0" fillId="0" borderId="1" xfId="0" applyNumberFormat="1" applyBorder="1"/>
    <xf numFmtId="1" fontId="0" fillId="0" borderId="1" xfId="0" applyNumberFormat="1" applyBorder="1" applyAlignment="1">
      <alignment horizontal="center"/>
    </xf>
    <xf numFmtId="49" fontId="2" fillId="0" borderId="0" xfId="0" applyNumberFormat="1" applyFont="1" applyAlignment="1">
      <alignment wrapText="1"/>
    </xf>
    <xf numFmtId="49" fontId="1" fillId="0" borderId="0" xfId="0" applyNumberFormat="1" applyFont="1"/>
    <xf numFmtId="49" fontId="0" fillId="0" borderId="0" xfId="0" applyNumberFormat="1"/>
    <xf numFmtId="49" fontId="2" fillId="2" borderId="0" xfId="0" applyNumberFormat="1" applyFont="1" applyFill="1" applyAlignment="1">
      <alignment wrapText="1"/>
    </xf>
    <xf numFmtId="49" fontId="7" fillId="0" borderId="0" xfId="0" applyNumberFormat="1" applyFont="1"/>
    <xf numFmtId="49" fontId="6" fillId="0" borderId="0" xfId="0" applyNumberFormat="1" applyFont="1"/>
    <xf numFmtId="2" fontId="9" fillId="2" borderId="0" xfId="0" applyNumberFormat="1" applyFont="1" applyFill="1" applyAlignment="1">
      <alignment wrapText="1"/>
    </xf>
    <xf numFmtId="2" fontId="1" fillId="0" borderId="0" xfId="0" applyNumberFormat="1" applyFont="1"/>
    <xf numFmtId="2" fontId="0" fillId="0" borderId="0" xfId="0" applyNumberFormat="1"/>
    <xf numFmtId="49" fontId="9" fillId="2" borderId="0" xfId="0" applyNumberFormat="1" applyFont="1" applyFill="1" applyAlignment="1">
      <alignment wrapText="1"/>
    </xf>
    <xf numFmtId="165" fontId="9" fillId="2" borderId="0" xfId="0" applyNumberFormat="1" applyFont="1" applyFill="1" applyAlignment="1">
      <alignment wrapText="1"/>
    </xf>
    <xf numFmtId="165" fontId="0" fillId="0" borderId="0" xfId="0" applyNumberFormat="1"/>
    <xf numFmtId="1" fontId="9" fillId="2" borderId="0" xfId="0" applyNumberFormat="1" applyFont="1" applyFill="1" applyAlignment="1">
      <alignment wrapText="1"/>
    </xf>
    <xf numFmtId="1" fontId="1" fillId="0" borderId="0" xfId="0" applyNumberFormat="1" applyFont="1"/>
    <xf numFmtId="1" fontId="0" fillId="0" borderId="0" xfId="0" applyNumberFormat="1"/>
    <xf numFmtId="1" fontId="2" fillId="2" borderId="0" xfId="0" applyNumberFormat="1" applyFont="1" applyFill="1" applyAlignment="1">
      <alignment wrapText="1"/>
    </xf>
    <xf numFmtId="1" fontId="9" fillId="0" borderId="0" xfId="0" applyNumberFormat="1" applyFont="1" applyAlignment="1">
      <alignment wrapText="1"/>
    </xf>
    <xf numFmtId="10" fontId="2" fillId="0" borderId="0" xfId="0" applyNumberFormat="1" applyFont="1" applyAlignment="1">
      <alignment wrapText="1"/>
    </xf>
    <xf numFmtId="10" fontId="0" fillId="0" borderId="0" xfId="0" applyNumberFormat="1"/>
    <xf numFmtId="49" fontId="0" fillId="0" borderId="0" xfId="1" applyNumberFormat="1" applyFont="1" applyFill="1"/>
    <xf numFmtId="2" fontId="9" fillId="2" borderId="0" xfId="1" applyNumberFormat="1" applyFont="1" applyFill="1" applyAlignment="1">
      <alignment wrapText="1"/>
    </xf>
    <xf numFmtId="2" fontId="1" fillId="0" borderId="0" xfId="1" applyNumberFormat="1" applyFont="1"/>
    <xf numFmtId="14" fontId="0" fillId="0" borderId="0" xfId="0" applyNumberFormat="1"/>
    <xf numFmtId="14" fontId="0" fillId="3" borderId="0" xfId="0" applyNumberFormat="1" applyFill="1"/>
    <xf numFmtId="14" fontId="6" fillId="0" borderId="0" xfId="0" applyNumberFormat="1" applyFont="1"/>
    <xf numFmtId="2" fontId="9" fillId="4" borderId="0" xfId="0" applyNumberFormat="1" applyFont="1" applyFill="1" applyAlignment="1">
      <alignment wrapText="1"/>
    </xf>
    <xf numFmtId="0" fontId="13" fillId="0" borderId="0" xfId="0" applyFont="1" applyAlignment="1">
      <alignment horizontal="center"/>
    </xf>
    <xf numFmtId="14" fontId="0" fillId="0" borderId="16" xfId="0" applyNumberFormat="1" applyBorder="1"/>
    <xf numFmtId="0" fontId="14" fillId="0" borderId="0" xfId="0" applyFont="1" applyAlignment="1">
      <alignment horizontal="center"/>
    </xf>
    <xf numFmtId="3" fontId="0" fillId="0" borderId="0" xfId="0" applyNumberFormat="1" applyAlignment="1">
      <alignment horizontal="center"/>
    </xf>
    <xf numFmtId="0" fontId="0" fillId="0" borderId="0" xfId="0" applyAlignment="1">
      <alignment horizontal="right"/>
    </xf>
    <xf numFmtId="166" fontId="0" fillId="0" borderId="0" xfId="0" applyNumberFormat="1" applyAlignment="1">
      <alignment horizontal="right"/>
    </xf>
    <xf numFmtId="167" fontId="0" fillId="0" borderId="0" xfId="0" applyNumberFormat="1" applyAlignment="1">
      <alignment horizontal="right"/>
    </xf>
    <xf numFmtId="1" fontId="0" fillId="0" borderId="0" xfId="0" applyNumberFormat="1" applyAlignment="1">
      <alignment horizontal="center"/>
    </xf>
    <xf numFmtId="10" fontId="0" fillId="0" borderId="0" xfId="0" applyNumberFormat="1" applyAlignment="1">
      <alignment horizontal="center"/>
    </xf>
    <xf numFmtId="10" fontId="0" fillId="0" borderId="0" xfId="2" applyNumberFormat="1" applyFont="1"/>
    <xf numFmtId="10" fontId="0" fillId="0" borderId="0" xfId="2" applyNumberFormat="1" applyFont="1" applyAlignment="1">
      <alignment horizontal="center"/>
    </xf>
    <xf numFmtId="1" fontId="0" fillId="0" borderId="12" xfId="0" applyNumberFormat="1" applyBorder="1" applyAlignment="1">
      <alignment horizontal="center"/>
    </xf>
    <xf numFmtId="1" fontId="0" fillId="0" borderId="14" xfId="0" applyNumberFormat="1" applyBorder="1" applyAlignment="1">
      <alignment horizontal="center"/>
    </xf>
    <xf numFmtId="1" fontId="0" fillId="0" borderId="18" xfId="0" applyNumberFormat="1" applyBorder="1" applyAlignment="1">
      <alignment horizontal="center"/>
    </xf>
    <xf numFmtId="0" fontId="0" fillId="3" borderId="0" xfId="0" applyFill="1"/>
    <xf numFmtId="0" fontId="0" fillId="5" borderId="0" xfId="0" applyFill="1"/>
    <xf numFmtId="0" fontId="0" fillId="5" borderId="0" xfId="0" applyFill="1" applyAlignment="1">
      <alignment horizontal="center"/>
    </xf>
    <xf numFmtId="9" fontId="0" fillId="0" borderId="0" xfId="2" applyFont="1" applyAlignment="1">
      <alignment horizontal="center"/>
    </xf>
    <xf numFmtId="10" fontId="0" fillId="0" borderId="20" xfId="2" applyNumberFormat="1" applyFont="1" applyBorder="1" applyAlignment="1">
      <alignment horizontal="center"/>
    </xf>
    <xf numFmtId="10" fontId="0" fillId="0" borderId="21" xfId="2" applyNumberFormat="1" applyFont="1" applyBorder="1" applyAlignment="1">
      <alignment horizontal="center"/>
    </xf>
    <xf numFmtId="10" fontId="10" fillId="0" borderId="22" xfId="2" applyNumberFormat="1" applyFont="1" applyBorder="1" applyAlignment="1">
      <alignment horizontal="center"/>
    </xf>
    <xf numFmtId="0" fontId="10" fillId="0" borderId="19" xfId="0" applyFont="1" applyBorder="1"/>
    <xf numFmtId="0" fontId="0" fillId="0" borderId="23" xfId="0" applyBorder="1"/>
    <xf numFmtId="0" fontId="0" fillId="0" borderId="24" xfId="0" applyBorder="1"/>
    <xf numFmtId="1" fontId="0" fillId="0" borderId="4" xfId="0" applyNumberFormat="1" applyBorder="1" applyAlignment="1">
      <alignment horizontal="center"/>
    </xf>
    <xf numFmtId="1" fontId="0" fillId="0" borderId="13" xfId="0" applyNumberFormat="1" applyBorder="1" applyAlignment="1">
      <alignment horizontal="center"/>
    </xf>
    <xf numFmtId="1" fontId="0" fillId="0" borderId="15" xfId="0" applyNumberFormat="1" applyBorder="1" applyAlignment="1">
      <alignment horizontal="center"/>
    </xf>
    <xf numFmtId="10" fontId="10" fillId="0" borderId="19" xfId="2" applyNumberFormat="1" applyFont="1" applyBorder="1" applyAlignment="1">
      <alignment horizontal="center"/>
    </xf>
    <xf numFmtId="3" fontId="0" fillId="0" borderId="23" xfId="0" applyNumberFormat="1" applyBorder="1" applyAlignment="1">
      <alignment horizontal="center"/>
    </xf>
    <xf numFmtId="3" fontId="0" fillId="0" borderId="24" xfId="0" applyNumberFormat="1" applyBorder="1" applyAlignment="1">
      <alignment horizontal="center"/>
    </xf>
    <xf numFmtId="0" fontId="0" fillId="0" borderId="23" xfId="0" applyBorder="1" applyAlignment="1">
      <alignment horizontal="left"/>
    </xf>
    <xf numFmtId="0" fontId="0" fillId="0" borderId="24" xfId="0" applyBorder="1" applyAlignment="1">
      <alignment horizontal="left"/>
    </xf>
    <xf numFmtId="9" fontId="10" fillId="0" borderId="22" xfId="2" applyFont="1" applyBorder="1" applyAlignment="1">
      <alignment horizontal="center"/>
    </xf>
    <xf numFmtId="0" fontId="0" fillId="3" borderId="0" xfId="0" applyFill="1" applyAlignment="1">
      <alignment horizontal="center"/>
    </xf>
    <xf numFmtId="9" fontId="0" fillId="3" borderId="0" xfId="2" applyFont="1" applyFill="1" applyAlignment="1">
      <alignment horizontal="center"/>
    </xf>
    <xf numFmtId="0" fontId="0" fillId="0" borderId="2" xfId="0" pivotButton="1" applyBorder="1"/>
    <xf numFmtId="0" fontId="0" fillId="0" borderId="25" xfId="0" applyBorder="1" applyAlignment="1">
      <alignment horizontal="center"/>
    </xf>
    <xf numFmtId="0" fontId="0" fillId="0" borderId="3" xfId="0" applyBorder="1" applyAlignment="1">
      <alignment horizontal="center"/>
    </xf>
    <xf numFmtId="10" fontId="0" fillId="0" borderId="13" xfId="0" applyNumberFormat="1" applyBorder="1" applyAlignment="1">
      <alignment horizontal="center"/>
    </xf>
    <xf numFmtId="10" fontId="0" fillId="0" borderId="12" xfId="0" applyNumberFormat="1" applyBorder="1" applyAlignment="1">
      <alignment horizontal="center"/>
    </xf>
    <xf numFmtId="10" fontId="0" fillId="0" borderId="14" xfId="0" applyNumberFormat="1" applyBorder="1" applyAlignment="1">
      <alignment horizontal="center"/>
    </xf>
    <xf numFmtId="10" fontId="10" fillId="0" borderId="15" xfId="0" applyNumberFormat="1" applyFont="1" applyBorder="1" applyAlignment="1">
      <alignment horizontal="center"/>
    </xf>
    <xf numFmtId="10" fontId="10" fillId="0" borderId="10" xfId="0" applyNumberFormat="1" applyFont="1" applyBorder="1" applyAlignment="1">
      <alignment horizontal="center"/>
    </xf>
    <xf numFmtId="10" fontId="10" fillId="0" borderId="4" xfId="0" applyNumberFormat="1" applyFont="1" applyBorder="1" applyAlignment="1">
      <alignment horizontal="center"/>
    </xf>
    <xf numFmtId="10" fontId="0" fillId="0" borderId="1" xfId="0" applyNumberFormat="1" applyBorder="1" applyAlignment="1">
      <alignment horizontal="center"/>
    </xf>
    <xf numFmtId="10" fontId="0" fillId="0" borderId="5" xfId="0" applyNumberFormat="1" applyBorder="1" applyAlignment="1">
      <alignment horizontal="center"/>
    </xf>
    <xf numFmtId="0" fontId="0" fillId="0" borderId="0" xfId="0" applyAlignment="1">
      <alignment horizontal="left"/>
    </xf>
    <xf numFmtId="0" fontId="0" fillId="0" borderId="26" xfId="0" applyBorder="1"/>
    <xf numFmtId="0" fontId="15" fillId="0" borderId="0" xfId="0" applyFont="1" applyAlignment="1">
      <alignment horizontal="center"/>
    </xf>
    <xf numFmtId="0" fontId="15" fillId="0" borderId="0" xfId="0" applyFont="1"/>
    <xf numFmtId="9" fontId="0" fillId="0" borderId="0" xfId="2" applyFont="1"/>
    <xf numFmtId="167" fontId="0" fillId="0" borderId="0" xfId="0" applyNumberFormat="1" applyAlignment="1">
      <alignment horizontal="center"/>
    </xf>
    <xf numFmtId="167" fontId="0" fillId="3" borderId="0" xfId="0" applyNumberFormat="1" applyFill="1" applyAlignment="1">
      <alignment horizontal="right"/>
    </xf>
    <xf numFmtId="3" fontId="0" fillId="3" borderId="0" xfId="0" applyNumberFormat="1" applyFill="1" applyAlignment="1">
      <alignment horizontal="center"/>
    </xf>
    <xf numFmtId="4" fontId="0" fillId="3" borderId="13" xfId="0" applyNumberFormat="1" applyFill="1" applyBorder="1"/>
    <xf numFmtId="4" fontId="0" fillId="3" borderId="0" xfId="0" applyNumberFormat="1" applyFill="1"/>
    <xf numFmtId="0" fontId="15" fillId="0" borderId="7" xfId="0" applyFont="1" applyBorder="1"/>
    <xf numFmtId="168" fontId="0" fillId="0" borderId="1" xfId="0" applyNumberFormat="1" applyBorder="1" applyAlignment="1">
      <alignment horizontal="center"/>
    </xf>
    <xf numFmtId="168" fontId="0" fillId="0" borderId="13" xfId="0" applyNumberFormat="1" applyBorder="1" applyAlignment="1">
      <alignment horizontal="center"/>
    </xf>
    <xf numFmtId="168" fontId="0" fillId="0" borderId="12" xfId="0" applyNumberFormat="1" applyBorder="1" applyAlignment="1">
      <alignment horizontal="center"/>
    </xf>
    <xf numFmtId="168" fontId="0" fillId="0" borderId="5" xfId="0" applyNumberFormat="1" applyBorder="1" applyAlignment="1">
      <alignment horizontal="center"/>
    </xf>
    <xf numFmtId="168" fontId="0" fillId="0" borderId="0" xfId="0" applyNumberFormat="1" applyAlignment="1">
      <alignment horizontal="center"/>
    </xf>
    <xf numFmtId="168" fontId="0" fillId="0" borderId="14" xfId="0" applyNumberFormat="1" applyBorder="1" applyAlignment="1">
      <alignment horizontal="center"/>
    </xf>
    <xf numFmtId="168" fontId="10" fillId="0" borderId="4" xfId="0" applyNumberFormat="1" applyFont="1" applyBorder="1" applyAlignment="1">
      <alignment horizontal="center"/>
    </xf>
    <xf numFmtId="168" fontId="10" fillId="0" borderId="15" xfId="0" applyNumberFormat="1" applyFont="1" applyBorder="1" applyAlignment="1">
      <alignment horizontal="center"/>
    </xf>
    <xf numFmtId="168" fontId="10" fillId="0" borderId="10" xfId="0" applyNumberFormat="1" applyFont="1" applyBorder="1" applyAlignment="1">
      <alignment horizontal="center"/>
    </xf>
    <xf numFmtId="0" fontId="10" fillId="0" borderId="19" xfId="0" applyFont="1" applyBorder="1" applyAlignment="1">
      <alignment horizontal="left"/>
    </xf>
    <xf numFmtId="0" fontId="0" fillId="3" borderId="0" xfId="0" applyFill="1" applyAlignment="1">
      <alignment horizontal="left"/>
    </xf>
    <xf numFmtId="0" fontId="15" fillId="3" borderId="0" xfId="0" applyFont="1" applyFill="1"/>
    <xf numFmtId="0" fontId="10" fillId="0" borderId="0" xfId="0" applyFont="1" applyAlignment="1">
      <alignment horizontal="left"/>
    </xf>
    <xf numFmtId="0" fontId="10" fillId="5" borderId="0" xfId="0" applyFont="1" applyFill="1"/>
    <xf numFmtId="9" fontId="0" fillId="0" borderId="20" xfId="2" applyFont="1" applyBorder="1" applyAlignment="1">
      <alignment horizontal="center"/>
    </xf>
    <xf numFmtId="9" fontId="0" fillId="0" borderId="21" xfId="2" applyFont="1" applyBorder="1" applyAlignment="1">
      <alignment horizontal="center"/>
    </xf>
    <xf numFmtId="0" fontId="0" fillId="0" borderId="1" xfId="0" applyNumberFormat="1" applyBorder="1"/>
    <xf numFmtId="0" fontId="0" fillId="0" borderId="5" xfId="0" applyNumberFormat="1" applyBorder="1"/>
    <xf numFmtId="0" fontId="0" fillId="0" borderId="4" xfId="0" applyNumberFormat="1" applyBorder="1"/>
    <xf numFmtId="0" fontId="0" fillId="0" borderId="1" xfId="0" applyNumberFormat="1" applyBorder="1" applyAlignment="1">
      <alignment horizontal="center"/>
    </xf>
    <xf numFmtId="0" fontId="0" fillId="0" borderId="7" xfId="0" applyNumberFormat="1" applyBorder="1" applyAlignment="1">
      <alignment horizontal="center"/>
    </xf>
    <xf numFmtId="0" fontId="0" fillId="0" borderId="5" xfId="0" applyNumberFormat="1" applyBorder="1" applyAlignment="1">
      <alignment horizontal="center"/>
    </xf>
    <xf numFmtId="0" fontId="0" fillId="0" borderId="9" xfId="0" applyNumberFormat="1" applyBorder="1" applyAlignment="1">
      <alignment horizontal="center"/>
    </xf>
    <xf numFmtId="0" fontId="0" fillId="0" borderId="4" xfId="0" applyNumberFormat="1" applyBorder="1" applyAlignment="1">
      <alignment horizontal="center"/>
    </xf>
    <xf numFmtId="0" fontId="0" fillId="0" borderId="8" xfId="0" applyNumberFormat="1" applyBorder="1" applyAlignment="1">
      <alignment horizontal="center"/>
    </xf>
    <xf numFmtId="0" fontId="10" fillId="0" borderId="4" xfId="0" applyNumberFormat="1" applyFont="1" applyBorder="1" applyAlignment="1">
      <alignment horizontal="center"/>
    </xf>
    <xf numFmtId="0" fontId="10" fillId="0" borderId="8" xfId="0" applyNumberFormat="1" applyFont="1" applyBorder="1" applyAlignment="1">
      <alignment horizontal="center"/>
    </xf>
    <xf numFmtId="0" fontId="0" fillId="0" borderId="13" xfId="0" applyNumberFormat="1" applyBorder="1"/>
    <xf numFmtId="0" fontId="0" fillId="0" borderId="15" xfId="0" applyNumberFormat="1" applyBorder="1"/>
    <xf numFmtId="0" fontId="0" fillId="0" borderId="13" xfId="0" applyNumberFormat="1" applyBorder="1" applyAlignment="1">
      <alignment horizontal="center"/>
    </xf>
    <xf numFmtId="0" fontId="0" fillId="0" borderId="12" xfId="0" applyNumberFormat="1" applyBorder="1" applyAlignment="1">
      <alignment horizontal="center"/>
    </xf>
    <xf numFmtId="0" fontId="0" fillId="0" borderId="15" xfId="0" applyNumberFormat="1" applyBorder="1" applyAlignment="1">
      <alignment horizontal="center"/>
    </xf>
    <xf numFmtId="0" fontId="0" fillId="0" borderId="10" xfId="0" applyNumberFormat="1" applyBorder="1" applyAlignment="1">
      <alignment horizontal="center"/>
    </xf>
    <xf numFmtId="0" fontId="0" fillId="0" borderId="0" xfId="0" applyNumberFormat="1"/>
    <xf numFmtId="0" fontId="0" fillId="0" borderId="0" xfId="0" applyNumberFormat="1" applyAlignment="1">
      <alignment horizontal="center"/>
    </xf>
    <xf numFmtId="0" fontId="0" fillId="0" borderId="14" xfId="0" applyNumberFormat="1" applyBorder="1" applyAlignment="1">
      <alignment horizontal="center"/>
    </xf>
    <xf numFmtId="0" fontId="10" fillId="0" borderId="15" xfId="0" applyNumberFormat="1" applyFont="1" applyBorder="1" applyAlignment="1">
      <alignment horizontal="center"/>
    </xf>
    <xf numFmtId="0" fontId="10" fillId="0" borderId="10" xfId="0" applyNumberFormat="1" applyFont="1" applyBorder="1" applyAlignment="1">
      <alignment horizontal="center"/>
    </xf>
    <xf numFmtId="0" fontId="0" fillId="0" borderId="16" xfId="0" applyNumberFormat="1" applyBorder="1" applyAlignment="1">
      <alignment horizontal="center"/>
    </xf>
    <xf numFmtId="0" fontId="0" fillId="0" borderId="17" xfId="0" applyNumberFormat="1" applyBorder="1" applyAlignment="1">
      <alignment horizontal="center"/>
    </xf>
  </cellXfs>
  <cellStyles count="3">
    <cellStyle name="Comma" xfId="1" builtinId="3"/>
    <cellStyle name="Normal" xfId="0" builtinId="0"/>
    <cellStyle name="Percent" xfId="2" builtinId="5"/>
  </cellStyles>
  <dxfs count="22517">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4" formatCode="0.0"/>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4" formatCode="0.0"/>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numFmt numFmtId="4" formatCode="#,##0.00"/>
    </dxf>
    <dxf>
      <alignment horizontal="center"/>
    </dxf>
    <dxf>
      <numFmt numFmtId="164" formatCode="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4" formatCode="0.0"/>
    </dxf>
    <dxf>
      <alignment horizontal="center"/>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numFmt numFmtId="4" formatCode="#,##0.00"/>
    </dxf>
    <dxf>
      <numFmt numFmtId="14" formatCode="0.00%"/>
    </dxf>
    <dxf>
      <fill>
        <patternFill patternType="solid">
          <bgColor rgb="FFFFFF00"/>
        </patternFill>
      </fill>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4" formatCode="0.00%"/>
    </dxf>
    <dxf>
      <numFmt numFmtId="14" formatCode="0.00%"/>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numFmt numFmtId="164" formatCode="0.0"/>
    </dxf>
    <dxf>
      <alignment horizontal="center"/>
    </dxf>
    <dxf>
      <numFmt numFmtId="3" formatCode="#,##0"/>
    </dxf>
    <dxf>
      <numFmt numFmtId="164" formatCode="0.0"/>
    </dxf>
    <dxf>
      <alignment horizontal="center"/>
    </dxf>
    <dxf>
      <numFmt numFmtId="3" formatCode="#,##0"/>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alignment horizontal="center"/>
    </dxf>
    <dxf>
      <numFmt numFmtId="14" formatCode="0.00%"/>
    </dxf>
    <dxf>
      <numFmt numFmtId="14" formatCode="0.00%"/>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4" formatCode="0.0"/>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4" formatCode="0.0"/>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4" formatCode="0.0"/>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4" formatCode="0.0"/>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numFmt numFmtId="4" formatCode="#,##0.00"/>
    </dxf>
    <dxf>
      <alignment horizontal="center"/>
    </dxf>
    <dxf>
      <numFmt numFmtId="164" formatCode="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4" formatCode="0.0"/>
    </dxf>
    <dxf>
      <alignment horizontal="center"/>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numFmt numFmtId="4" formatCode="#,##0.00"/>
    </dxf>
    <dxf>
      <numFmt numFmtId="14" formatCode="0.00%"/>
    </dxf>
    <dxf>
      <fill>
        <patternFill patternType="solid">
          <bgColor rgb="FFFFFF00"/>
        </patternFill>
      </fill>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4" formatCode="0.00%"/>
    </dxf>
    <dxf>
      <numFmt numFmtId="14" formatCode="0.00%"/>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numFmt numFmtId="164" formatCode="0.0"/>
    </dxf>
    <dxf>
      <alignment horizontal="center"/>
    </dxf>
    <dxf>
      <numFmt numFmtId="3" formatCode="#,##0"/>
    </dxf>
    <dxf>
      <numFmt numFmtId="164" formatCode="0.0"/>
    </dxf>
    <dxf>
      <alignment horizontal="center"/>
    </dxf>
    <dxf>
      <numFmt numFmtId="3" formatCode="#,##0"/>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alignment horizontal="center"/>
    </dxf>
    <dxf>
      <numFmt numFmtId="14" formatCode="0.00%"/>
    </dxf>
    <dxf>
      <numFmt numFmtId="14" formatCode="0.00%"/>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numFmt numFmtId="4" formatCode="#,##0.00"/>
    </dxf>
    <dxf>
      <alignment horizontal="center"/>
    </dxf>
    <dxf>
      <numFmt numFmtId="164" formatCode="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4" formatCode="0.0"/>
    </dxf>
    <dxf>
      <alignment horizontal="center"/>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numFmt numFmtId="4" formatCode="#,##0.00"/>
    </dxf>
    <dxf>
      <numFmt numFmtId="14" formatCode="0.00%"/>
    </dxf>
    <dxf>
      <fill>
        <patternFill patternType="solid">
          <bgColor rgb="FFFFFF00"/>
        </patternFill>
      </fill>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4" formatCode="0.00%"/>
    </dxf>
    <dxf>
      <numFmt numFmtId="14" formatCode="0.00%"/>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numFmt numFmtId="164" formatCode="0.0"/>
    </dxf>
    <dxf>
      <alignment horizontal="center"/>
    </dxf>
    <dxf>
      <numFmt numFmtId="3" formatCode="#,##0"/>
    </dxf>
    <dxf>
      <numFmt numFmtId="164" formatCode="0.0"/>
    </dxf>
    <dxf>
      <alignment horizontal="center"/>
    </dxf>
    <dxf>
      <numFmt numFmtId="3" formatCode="#,##0"/>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alignment horizontal="center"/>
    </dxf>
    <dxf>
      <numFmt numFmtId="14" formatCode="0.00%"/>
    </dxf>
    <dxf>
      <numFmt numFmtId="14" formatCode="0.00%"/>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alignment horizontal="center"/>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numFmt numFmtId="4" formatCode="#,##0.00"/>
    </dxf>
    <dxf>
      <alignment horizontal="center"/>
    </dxf>
    <dxf>
      <numFmt numFmtId="164" formatCode="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4" formatCode="0.0"/>
    </dxf>
    <dxf>
      <alignment horizontal="center"/>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numFmt numFmtId="4" formatCode="#,##0.00"/>
    </dxf>
    <dxf>
      <numFmt numFmtId="14" formatCode="0.00%"/>
    </dxf>
    <dxf>
      <fill>
        <patternFill patternType="solid">
          <bgColor rgb="FFFFFF00"/>
        </patternFill>
      </fill>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4" formatCode="0.00%"/>
    </dxf>
    <dxf>
      <numFmt numFmtId="14" formatCode="0.00%"/>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numFmt numFmtId="164" formatCode="0.0"/>
    </dxf>
    <dxf>
      <alignment horizontal="center"/>
    </dxf>
    <dxf>
      <numFmt numFmtId="3" formatCode="#,##0"/>
    </dxf>
    <dxf>
      <numFmt numFmtId="164" formatCode="0.0"/>
    </dxf>
    <dxf>
      <alignment horizontal="center"/>
    </dxf>
    <dxf>
      <numFmt numFmtId="3" formatCode="#,##0"/>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alignment horizontal="center"/>
    </dxf>
    <dxf>
      <numFmt numFmtId="14" formatCode="0.00%"/>
    </dxf>
    <dxf>
      <numFmt numFmtId="14" formatCode="0.00%"/>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4" formatCode="0.0"/>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4" formatCode="0.0"/>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numFmt numFmtId="4" formatCode="#,##0.00"/>
    </dxf>
    <dxf>
      <alignment horizontal="center"/>
    </dxf>
    <dxf>
      <numFmt numFmtId="164" formatCode="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4" formatCode="0.0"/>
    </dxf>
    <dxf>
      <alignment horizontal="center"/>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numFmt numFmtId="4" formatCode="#,##0.00"/>
    </dxf>
    <dxf>
      <numFmt numFmtId="14" formatCode="0.00%"/>
    </dxf>
    <dxf>
      <fill>
        <patternFill patternType="solid">
          <bgColor rgb="FFFFFF00"/>
        </patternFill>
      </fill>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4" formatCode="0.00%"/>
    </dxf>
    <dxf>
      <numFmt numFmtId="14" formatCode="0.00%"/>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numFmt numFmtId="164" formatCode="0.0"/>
    </dxf>
    <dxf>
      <alignment horizontal="center"/>
    </dxf>
    <dxf>
      <numFmt numFmtId="3" formatCode="#,##0"/>
    </dxf>
    <dxf>
      <numFmt numFmtId="164" formatCode="0.0"/>
    </dxf>
    <dxf>
      <alignment horizontal="center"/>
    </dxf>
    <dxf>
      <numFmt numFmtId="3" formatCode="#,##0"/>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alignment horizontal="center"/>
    </dxf>
    <dxf>
      <numFmt numFmtId="14" formatCode="0.00%"/>
    </dxf>
    <dxf>
      <numFmt numFmtId="14" formatCode="0.00%"/>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numFmt numFmtId="3" formatCode="#,##0"/>
    </dxf>
    <dxf>
      <alignment horizontal="center"/>
    </dxf>
    <dxf>
      <numFmt numFmtId="14" formatCode="0.00%"/>
    </dxf>
    <dxf>
      <numFmt numFmtId="14" formatCode="0.00%"/>
    </dxf>
    <dxf>
      <numFmt numFmtId="164" formatCode="0.0"/>
    </dxf>
    <dxf>
      <alignment horizontal="center"/>
    </dxf>
    <dxf>
      <numFmt numFmtId="3" formatCode="#,##0"/>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numFmt numFmtId="164" formatCode="0.0"/>
    </dxf>
    <dxf>
      <alignment horizontal="center"/>
    </dxf>
    <dxf>
      <numFmt numFmtId="3" formatCode="#,##0"/>
    </dxf>
    <dxf>
      <numFmt numFmtId="164" formatCode="0.0"/>
    </dxf>
    <dxf>
      <alignment horizontal="center"/>
    </dxf>
    <dxf>
      <numFmt numFmtId="4" formatCode="#,##0.00"/>
    </dxf>
    <dxf>
      <alignment horizontal="righ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alignment horizontal="center"/>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alignment horizontal="center"/>
    </dxf>
    <dxf>
      <numFmt numFmtId="164" formatCode="0.0"/>
    </dxf>
    <dxf>
      <alignment horizontal="center"/>
    </dxf>
    <dxf>
      <alignment horizontal="center"/>
    </dxf>
    <dxf>
      <alignment horizontal="center"/>
    </dxf>
    <dxf>
      <numFmt numFmtId="164" formatCode="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numFmt numFmtId="4" formatCode="#,##0.00"/>
    </dxf>
    <dxf>
      <alignment horizontal="center"/>
    </dxf>
    <dxf>
      <numFmt numFmtId="164" formatCode="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4" formatCode="0.0"/>
    </dxf>
    <dxf>
      <alignment horizontal="center"/>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numFmt numFmtId="4" formatCode="#,##0.00"/>
    </dxf>
    <dxf>
      <numFmt numFmtId="14" formatCode="0.00%"/>
    </dxf>
    <dxf>
      <fill>
        <patternFill patternType="solid">
          <bgColor rgb="FFFFFF00"/>
        </patternFill>
      </fill>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4" formatCode="0.00%"/>
    </dxf>
    <dxf>
      <numFmt numFmtId="14" formatCode="0.00%"/>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numFmt numFmtId="164" formatCode="0.0"/>
    </dxf>
    <dxf>
      <alignment horizontal="center"/>
    </dxf>
    <dxf>
      <numFmt numFmtId="3" formatCode="#,##0"/>
    </dxf>
    <dxf>
      <numFmt numFmtId="164" formatCode="0.0"/>
    </dxf>
    <dxf>
      <alignment horizontal="center"/>
    </dxf>
    <dxf>
      <numFmt numFmtId="3" formatCode="#,##0"/>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alignment horizontal="center"/>
    </dxf>
    <dxf>
      <numFmt numFmtId="14" formatCode="0.00%"/>
    </dxf>
    <dxf>
      <numFmt numFmtId="14" formatCode="0.00%"/>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numFmt numFmtId="164" formatCode="0.0"/>
    </dxf>
    <dxf>
      <alignment horizontal="center"/>
    </dxf>
    <dxf>
      <numFmt numFmtId="3" formatCode="#,##0"/>
    </dxf>
    <dxf>
      <alignment horizontal="center"/>
    </dxf>
    <dxf>
      <alignment horizontal="center"/>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font>
        <b/>
      </font>
    </dxf>
    <dxf>
      <font>
        <b/>
      </font>
    </dxf>
    <dxf>
      <font>
        <b/>
      </font>
    </dxf>
    <dxf>
      <font>
        <b/>
      </font>
    </dxf>
    <dxf>
      <font>
        <b/>
      </font>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alignment horizontal="center"/>
    </dxf>
    <dxf>
      <alignment horizontal="center"/>
    </dxf>
    <dxf>
      <font>
        <b/>
      </font>
    </dxf>
    <dxf>
      <font>
        <b/>
      </font>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numFmt numFmtId="164" formatCode="0.0"/>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numFmt numFmtId="164" formatCode="0.0"/>
    </dxf>
    <dxf>
      <alignment horizontal="center"/>
    </dxf>
    <dxf>
      <numFmt numFmtId="3" formatCode="#,##0"/>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alignment horizontal="right"/>
    </dxf>
    <dxf>
      <alignment horizontal="center"/>
    </dxf>
    <dxf>
      <numFmt numFmtId="164" formatCode="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numFmt numFmtId="4" formatCode="#,##0.00"/>
    </dxf>
    <dxf>
      <numFmt numFmtId="14" formatCode="0.00%"/>
    </dxf>
    <dxf>
      <fill>
        <patternFill patternType="solid">
          <bgColor rgb="FFFFFF00"/>
        </patternFill>
      </fill>
    </dxf>
    <dxf>
      <numFmt numFmtId="4" formatCode="#,##0.00"/>
    </dxf>
    <dxf>
      <fill>
        <patternFill patternType="solid">
          <bgColor rgb="FFFFFF00"/>
        </patternFill>
      </fill>
    </dxf>
    <dxf>
      <alignment horizontal="center"/>
    </dxf>
    <dxf>
      <numFmt numFmtId="14" formatCode="0.00%"/>
    </dxf>
    <dxf>
      <numFmt numFmtId="14" formatCode="0.00%"/>
    </dxf>
    <dxf>
      <alignment horizontal="center"/>
    </dxf>
    <dxf>
      <numFmt numFmtId="4" formatCode="#,##0.00"/>
    </dxf>
    <dxf>
      <alignment horizontal="center"/>
    </dxf>
    <dxf>
      <alignment horizontal="center"/>
    </dxf>
    <dxf>
      <numFmt numFmtId="14" formatCode="0.00%"/>
    </dxf>
    <dxf>
      <numFmt numFmtId="14" formatCode="0.00%"/>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numFmt numFmtId="14" formatCode="0.00%"/>
    </dxf>
    <dxf>
      <numFmt numFmtId="14" formatCode="0.00%"/>
    </dxf>
    <dxf>
      <numFmt numFmtId="14" formatCode="0.00%"/>
    </dxf>
    <dxf>
      <numFmt numFmtId="14" formatCode="0.00%"/>
    </dxf>
    <dxf>
      <font>
        <color rgb="FFFF0000"/>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alignment horizontal="center"/>
    </dxf>
    <dxf>
      <alignment horizontal="center"/>
    </dxf>
    <dxf>
      <numFmt numFmtId="166" formatCode="&quot;£&quot;#,##0"/>
    </dxf>
    <dxf>
      <alignment horizontal="right"/>
    </dxf>
    <dxf>
      <alignment horizontal="right"/>
    </dxf>
    <dxf>
      <numFmt numFmtId="3"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4" formatCode="#,##0.00"/>
    </dxf>
    <dxf>
      <numFmt numFmtId="4" formatCode="#,##0.00"/>
    </dxf>
    <dxf>
      <alignment horizontal="center"/>
    </dxf>
    <dxf>
      <numFmt numFmtId="164" formatCode="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64" formatCode="0.0"/>
    </dxf>
    <dxf>
      <alignment horizontal="center"/>
    </dxf>
    <dxf>
      <alignment horizontal="center"/>
    </dxf>
    <dxf>
      <numFmt numFmtId="164" formatCode="0.0"/>
    </dxf>
    <dxf>
      <alignment horizontal="center"/>
    </dxf>
    <dxf>
      <alignment horizontal="center"/>
    </dxf>
    <dxf>
      <alignment horizontal="center"/>
    </dxf>
    <dxf>
      <alignment horizontal="center"/>
    </dxf>
    <dxf>
      <font>
        <b/>
      </font>
    </dxf>
    <dxf>
      <font>
        <b/>
      </font>
    </dxf>
    <dxf>
      <font>
        <b/>
      </font>
    </dxf>
    <dxf>
      <font>
        <b/>
      </font>
    </dxf>
    <dxf>
      <font>
        <b/>
      </font>
    </dxf>
    <dxf>
      <numFmt numFmtId="169" formatCode="#,##0.00,&quot;k&quot;"/>
    </dxf>
    <dxf>
      <numFmt numFmtId="168" formatCode="#,##0.0,&quot;k&quot;"/>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font>
        <b/>
      </font>
    </dxf>
    <dxf>
      <font>
        <b/>
      </font>
    </dxf>
    <dxf>
      <numFmt numFmtId="4" formatCode="#,##0.00"/>
    </dxf>
    <dxf>
      <numFmt numFmtId="14" formatCode="0.00%"/>
    </dxf>
    <dxf>
      <fill>
        <patternFill patternType="solid">
          <bgColor rgb="FFFFFF00"/>
        </patternFill>
      </fill>
    </dxf>
    <dxf>
      <alignment horizontal="center"/>
    </dxf>
    <dxf>
      <alignment horizontal="center"/>
    </dxf>
    <dxf>
      <alignment horizontal="center"/>
    </dxf>
    <dxf>
      <font>
        <b/>
      </font>
    </dxf>
    <dxf>
      <font>
        <b/>
      </font>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4" formatCode="0.00%"/>
    </dxf>
    <dxf>
      <numFmt numFmtId="14" formatCode="0.00%"/>
    </dxf>
    <dxf>
      <alignment horizontal="center"/>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numFmt numFmtId="4" formatCode="#,##0.00"/>
    </dxf>
    <dxf>
      <alignment horizontal="righ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164" formatCode="0.0"/>
    </dxf>
    <dxf>
      <alignment horizontal="center"/>
    </dxf>
    <dxf>
      <alignment horizontal="center"/>
    </dxf>
    <dxf>
      <numFmt numFmtId="164" formatCode="0.0"/>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 formatCode="0"/>
    </dxf>
    <dxf>
      <numFmt numFmtId="164" formatCode="0.0"/>
    </dxf>
    <dxf>
      <alignment horizontal="center"/>
    </dxf>
    <dxf>
      <numFmt numFmtId="3" formatCode="#,##0"/>
    </dxf>
    <dxf>
      <numFmt numFmtId="164" formatCode="0.0"/>
    </dxf>
    <dxf>
      <alignment horizontal="center"/>
    </dxf>
    <dxf>
      <numFmt numFmtId="3" formatCode="#,##0"/>
    </dxf>
    <dxf>
      <alignment horizontal="center"/>
    </dxf>
    <dxf>
      <alignment horizontal="center"/>
    </dxf>
    <dxf>
      <font>
        <b/>
      </font>
    </dxf>
    <dxf>
      <font>
        <b/>
      </font>
    </dxf>
    <dxf>
      <font>
        <b val="0"/>
      </font>
    </dxf>
    <dxf>
      <font>
        <b val="0"/>
      </font>
    </dxf>
    <dxf>
      <font>
        <b val="0"/>
      </font>
    </dxf>
    <dxf>
      <alignment horizontal="center"/>
    </dxf>
    <dxf>
      <alignment horizontal="center"/>
    </dxf>
    <dxf>
      <alignment horizontal="center"/>
    </dxf>
    <dxf>
      <font>
        <b/>
      </font>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numFmt numFmtId="14" formatCode="0.00%"/>
    </dxf>
    <dxf>
      <numFmt numFmtId="14" formatCode="0.00%"/>
    </dxf>
    <dxf>
      <alignment horizontal="center"/>
    </dxf>
    <dxf>
      <numFmt numFmtId="14" formatCode="0.00%"/>
    </dxf>
    <dxf>
      <numFmt numFmtId="14" formatCode="0.00%"/>
    </dxf>
    <dxf>
      <alignment horizontal="center"/>
    </dxf>
    <dxf>
      <numFmt numFmtId="14" formatCode="0.00%"/>
    </dxf>
    <dxf>
      <numFmt numFmtId="14" formatCode="0.00%"/>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alignment horizontal="center"/>
    </dxf>
    <dxf>
      <alignment horizontal="center"/>
    </dxf>
    <dxf>
      <font>
        <b/>
      </font>
    </dxf>
    <dxf>
      <font>
        <b/>
      </fon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alignment horizontal="center"/>
    </dxf>
    <dxf>
      <numFmt numFmtId="4" formatCode="#,##0.00"/>
    </dxf>
    <dxf>
      <fill>
        <patternFill patternType="solid">
          <bgColor rgb="FFFFFF00"/>
        </patternFill>
      </fill>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alignment horizontal="center"/>
    </dxf>
    <dxf>
      <font>
        <b/>
      </font>
    </dxf>
    <dxf>
      <font>
        <b/>
      </font>
    </dxf>
    <dxf>
      <font>
        <b val="0"/>
      </font>
    </dxf>
    <dxf>
      <font>
        <b val="0"/>
      </font>
    </dxf>
    <dxf>
      <alignment horizontal="center"/>
    </dxf>
    <dxf>
      <alignment horizontal="center"/>
    </dxf>
    <dxf>
      <font>
        <b/>
      </font>
    </dxf>
    <dxf>
      <font>
        <b/>
      </font>
    </dxf>
    <dxf>
      <alignment horizontal="left"/>
    </dxf>
    <dxf>
      <alignment horizontal="center"/>
    </dxf>
    <dxf>
      <font>
        <b/>
      </font>
    </dxf>
    <dxf>
      <alignment horizontal="center"/>
    </dxf>
    <dxf>
      <font>
        <b/>
      </font>
    </dxf>
    <dxf>
      <numFmt numFmtId="14" formatCode="0.00%"/>
    </dxf>
    <dxf>
      <numFmt numFmtId="14" formatCode="0.00%"/>
    </dxf>
    <dxf>
      <font>
        <color rgb="FFFF0000"/>
      </font>
    </dxf>
    <dxf>
      <numFmt numFmtId="164" formatCode="0.0"/>
    </dxf>
    <dxf>
      <alignment horizontal="center"/>
    </dxf>
    <dxf>
      <numFmt numFmtId="3" formatCode="#,##0"/>
    </dxf>
    <dxf>
      <numFmt numFmtId="19" formatCode="dd/mm/yyyy"/>
    </dxf>
    <dxf>
      <numFmt numFmtId="19" formatCode="dd/mm/yyyy"/>
    </dxf>
    <dxf>
      <font>
        <strike val="0"/>
        <outline val="0"/>
        <shadow val="0"/>
        <u val="none"/>
        <vertAlign val="baseline"/>
        <color auto="1"/>
        <name val="Carlito"/>
      </font>
    </dxf>
    <dxf>
      <numFmt numFmtId="30" formatCode="@"/>
    </dxf>
    <dxf>
      <fill>
        <patternFill patternType="solid">
          <fgColor indexed="64"/>
          <bgColor rgb="FFFFFF00"/>
        </patternFill>
      </fill>
    </dxf>
    <dxf>
      <numFmt numFmtId="30" formatCode="@"/>
      <fill>
        <patternFill patternType="none">
          <fgColor indexed="64"/>
          <bgColor auto="1"/>
        </patternFill>
      </fill>
    </dxf>
    <dxf>
      <font>
        <b val="0"/>
        <i val="0"/>
        <strike val="0"/>
        <condense val="0"/>
        <extend val="0"/>
        <outline val="0"/>
        <shadow val="0"/>
        <u val="none"/>
        <vertAlign val="baseline"/>
        <sz val="11"/>
        <color rgb="FF000000"/>
        <name val="Carlito"/>
        <scheme val="minor"/>
      </font>
      <numFmt numFmtId="35" formatCode="_-* #,##0.00_-;\-* #,##0.00_-;_-* &quot;-&quot;??_-;_-@_-"/>
    </dxf>
    <dxf>
      <font>
        <b val="0"/>
        <i val="0"/>
        <strike val="0"/>
        <condense val="0"/>
        <extend val="0"/>
        <outline val="0"/>
        <shadow val="0"/>
        <u val="none"/>
        <vertAlign val="baseline"/>
        <sz val="10"/>
        <color theme="1"/>
        <name val="Carlito"/>
        <scheme val="none"/>
      </font>
      <numFmt numFmtId="2" formatCode="0.00"/>
    </dxf>
    <dxf>
      <numFmt numFmtId="30" formatCode="@"/>
    </dxf>
    <dxf>
      <numFmt numFmtId="30" formatCode="@"/>
    </dxf>
    <dxf>
      <numFmt numFmtId="30" formatCode="@"/>
    </dxf>
    <dxf>
      <numFmt numFmtId="30" formatCode="@"/>
    </dxf>
    <dxf>
      <numFmt numFmtId="30" formatCode="@"/>
    </dxf>
    <dxf>
      <numFmt numFmtId="30" formatCode="@"/>
    </dxf>
    <dxf>
      <numFmt numFmtId="30" formatCode="@"/>
    </dxf>
    <dxf>
      <fill>
        <patternFill patternType="solid">
          <fgColor indexed="64"/>
          <bgColor rgb="FFFFFF00"/>
        </patternFill>
      </fill>
    </dxf>
    <dxf>
      <numFmt numFmtId="30" formatCode="@"/>
      <fill>
        <patternFill patternType="none">
          <fgColor indexed="64"/>
          <bgColor auto="1"/>
        </patternFill>
      </fill>
    </dxf>
    <dxf>
      <numFmt numFmtId="1" formatCode="0"/>
    </dxf>
    <dxf>
      <font>
        <b val="0"/>
        <i val="0"/>
        <strike val="0"/>
        <condense val="0"/>
        <extend val="0"/>
        <outline val="0"/>
        <shadow val="0"/>
        <u val="none"/>
        <vertAlign val="baseline"/>
        <sz val="9"/>
        <color theme="1"/>
        <name val="Carlito"/>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9"/>
        <color theme="1"/>
        <name val="Carlito"/>
        <scheme val="none"/>
      </font>
      <numFmt numFmtId="1" formatCode="0"/>
      <alignment horizontal="center" vertical="bottom" textRotation="0" wrapText="0" indent="0" justifyLastLine="0" shrinkToFit="0" readingOrder="0"/>
    </dxf>
    <dxf>
      <numFmt numFmtId="1" formatCode="0"/>
    </dxf>
    <dxf>
      <font>
        <b val="0"/>
        <i val="0"/>
        <strike val="0"/>
        <condense val="0"/>
        <extend val="0"/>
        <outline val="0"/>
        <shadow val="0"/>
        <u val="none"/>
        <vertAlign val="baseline"/>
        <sz val="10"/>
        <color theme="1"/>
        <name val="Carlito"/>
        <scheme val="none"/>
      </font>
      <numFmt numFmtId="1" formatCode="0"/>
      <alignment horizontal="center" vertical="bottom" textRotation="0" wrapText="0" indent="0" justifyLastLine="0" shrinkToFit="0" readingOrder="0"/>
    </dxf>
    <dxf>
      <numFmt numFmtId="1" formatCode="0"/>
    </dxf>
    <dxf>
      <fill>
        <patternFill patternType="solid">
          <fgColor indexed="64"/>
          <bgColor rgb="FFFFFF00"/>
        </patternFill>
      </fill>
    </dxf>
    <dxf>
      <numFmt numFmtId="14" formatCode="0.00%"/>
      <fill>
        <patternFill patternType="none">
          <fgColor indexed="64"/>
          <bgColor auto="1"/>
        </patternFill>
      </fill>
    </dxf>
    <dxf>
      <fill>
        <patternFill patternType="solid">
          <fgColor indexed="64"/>
          <bgColor rgb="FFFFFF00"/>
        </patternFill>
      </fill>
    </dxf>
    <dxf>
      <numFmt numFmtId="1" formatCode="0"/>
      <fill>
        <patternFill patternType="none">
          <fgColor indexed="64"/>
          <bgColor auto="1"/>
        </patternFill>
      </fill>
    </dxf>
    <dxf>
      <font>
        <b val="0"/>
        <i val="0"/>
        <strike val="0"/>
        <condense val="0"/>
        <extend val="0"/>
        <outline val="0"/>
        <shadow val="0"/>
        <u val="none"/>
        <vertAlign val="baseline"/>
        <sz val="10"/>
        <color theme="1"/>
        <name val="Carlito"/>
        <scheme val="none"/>
      </font>
      <numFmt numFmtId="1" formatCode="0"/>
    </dxf>
    <dxf>
      <font>
        <b val="0"/>
        <i val="0"/>
        <strike val="0"/>
        <condense val="0"/>
        <extend val="0"/>
        <outline val="0"/>
        <shadow val="0"/>
        <u val="none"/>
        <vertAlign val="baseline"/>
        <sz val="10"/>
        <color theme="1"/>
        <name val="Carlito"/>
        <scheme val="none"/>
      </font>
      <numFmt numFmtId="1" formatCode="0"/>
    </dxf>
    <dxf>
      <numFmt numFmtId="1" formatCode="0"/>
    </dxf>
    <dxf>
      <font>
        <b val="0"/>
        <i val="0"/>
        <strike val="0"/>
        <condense val="0"/>
        <extend val="0"/>
        <outline val="0"/>
        <shadow val="0"/>
        <u val="none"/>
        <vertAlign val="baseline"/>
        <sz val="10"/>
        <color theme="1"/>
        <name val="Carlito"/>
        <scheme val="none"/>
      </font>
      <numFmt numFmtId="2" formatCode="0.00"/>
    </dxf>
    <dxf>
      <font>
        <b val="0"/>
        <i val="0"/>
        <strike val="0"/>
        <condense val="0"/>
        <extend val="0"/>
        <outline val="0"/>
        <shadow val="0"/>
        <u val="none"/>
        <vertAlign val="baseline"/>
        <sz val="10"/>
        <color theme="1"/>
        <name val="Carlito"/>
        <scheme val="none"/>
      </font>
      <numFmt numFmtId="165" formatCode="0.0000"/>
    </dxf>
    <dxf>
      <numFmt numFmtId="30" formatCode="@"/>
    </dxf>
    <dxf>
      <numFmt numFmtId="2" formatCode="0.00"/>
    </dxf>
    <dxf>
      <fill>
        <patternFill patternType="solid">
          <fgColor indexed="64"/>
          <bgColor rgb="FFFFFF00"/>
        </patternFill>
      </fill>
    </dxf>
    <dxf>
      <numFmt numFmtId="30" formatCode="@"/>
      <fill>
        <patternFill patternType="none">
          <fgColor indexed="64"/>
          <bgColor auto="1"/>
        </patternFill>
      </fill>
    </dxf>
    <dxf>
      <fill>
        <patternFill patternType="solid">
          <fgColor indexed="64"/>
          <bgColor rgb="FFFFFF00"/>
        </patternFill>
      </fill>
    </dxf>
    <dxf>
      <numFmt numFmtId="30" formatCode="@"/>
      <fill>
        <patternFill patternType="none">
          <fgColor indexed="64"/>
          <bgColor auto="1"/>
        </patternFill>
      </fill>
    </dxf>
    <dxf>
      <fill>
        <patternFill patternType="solid">
          <fgColor indexed="64"/>
          <bgColor rgb="FFFFFF00"/>
        </patternFill>
      </fill>
    </dxf>
    <dxf>
      <numFmt numFmtId="30" formatCode="@"/>
      <fill>
        <patternFill patternType="none">
          <fgColor indexed="64"/>
          <bgColor auto="1"/>
        </patternFill>
      </fill>
    </dxf>
    <dxf>
      <fill>
        <patternFill patternType="solid">
          <fgColor indexed="64"/>
          <bgColor rgb="FFFFFF00"/>
        </patternFill>
      </fill>
    </dxf>
    <dxf>
      <numFmt numFmtId="30" formatCode="@"/>
      <fill>
        <patternFill patternType="none">
          <fgColor indexed="64"/>
          <bgColor auto="1"/>
        </patternFill>
      </fill>
    </dxf>
    <dxf>
      <numFmt numFmtId="30" formatCode="@"/>
    </dxf>
    <dxf>
      <numFmt numFmtId="30" formatCode="@"/>
    </dxf>
    <dxf>
      <numFmt numFmtId="30" formatCode="@"/>
    </dxf>
    <dxf>
      <font>
        <b val="0"/>
        <i val="0"/>
        <strike val="0"/>
        <condense val="0"/>
        <extend val="0"/>
        <outline val="0"/>
        <shadow val="0"/>
        <u val="none"/>
        <vertAlign val="baseline"/>
        <sz val="10"/>
        <color rgb="FF000000"/>
        <name val="Carlito"/>
        <scheme val="minor"/>
      </font>
      <numFmt numFmtId="19" formatCode="dd/mm/yyyy"/>
    </dxf>
    <dxf>
      <font>
        <strike val="0"/>
        <outline val="0"/>
        <shadow val="0"/>
        <u val="none"/>
        <vertAlign val="baseline"/>
        <sz val="10"/>
        <name val="Carlito"/>
      </font>
      <numFmt numFmtId="19" formatCode="dd/mm/yyyy"/>
    </dxf>
    <dxf>
      <numFmt numFmtId="19" formatCode="dd/mm/yyyy"/>
    </dxf>
    <dxf>
      <numFmt numFmtId="19" formatCode="dd/mm/yyyy"/>
    </dxf>
    <dxf>
      <numFmt numFmtId="19" formatCode="dd/mm/yyyy"/>
    </dxf>
    <dxf>
      <fill>
        <patternFill patternType="solid">
          <fgColor indexed="64"/>
          <bgColor rgb="FFFFFF00"/>
        </patternFill>
      </fill>
    </dxf>
    <dxf>
      <fill>
        <patternFill patternType="none">
          <fgColor indexed="64"/>
          <bgColor auto="1"/>
        </patternFill>
      </fill>
    </dxf>
    <dxf>
      <fill>
        <patternFill patternType="solid">
          <fgColor indexed="64"/>
          <bgColor rgb="FFFFFF00"/>
        </patternFill>
      </fill>
    </dxf>
    <dxf>
      <fill>
        <patternFill patternType="none">
          <fgColor indexed="64"/>
          <bgColor auto="1"/>
        </patternFill>
      </fill>
    </dxf>
    <dxf>
      <font>
        <strike val="0"/>
        <outline val="0"/>
        <shadow val="0"/>
        <u val="none"/>
        <vertAlign val="baseline"/>
        <color auto="1"/>
        <name val="Carlito"/>
      </font>
    </dxf>
    <dxf>
      <font>
        <b/>
        <color theme="1"/>
      </font>
      <border>
        <bottom style="thin">
          <color theme="4"/>
        </bottom>
        <vertical/>
        <horizontal/>
      </border>
    </dxf>
    <dxf>
      <font>
        <b/>
        <i val="0"/>
        <sz val="24"/>
        <color theme="0"/>
        <name val="Carlito"/>
        <scheme val="minor"/>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20"/>
        <color theme="2"/>
      </font>
      <border>
        <left style="thin">
          <color theme="4"/>
        </left>
        <right style="thin">
          <color theme="4"/>
        </right>
        <top style="thin">
          <color theme="4"/>
        </top>
        <bottom style="thin">
          <color theme="4"/>
        </bottom>
        <vertical/>
        <horizontal/>
      </border>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3">
    <tableStyle name="Raw_Dirty_Data-style" pivot="0" count="3" xr9:uid="{00000000-0011-0000-FFFF-FFFF00000000}">
      <tableStyleElement type="headerRow" dxfId="22516"/>
      <tableStyleElement type="firstRowStripe" dxfId="22515"/>
      <tableStyleElement type="secondRowStripe" dxfId="22514"/>
    </tableStyle>
    <tableStyle name="SlicerStyleLight1 2" pivot="0" table="0" count="10" xr9:uid="{C39E3AE7-7AED-452D-9BC2-ADED84E4197C}">
      <tableStyleElement type="wholeTable" dxfId="22513"/>
      <tableStyleElement type="headerRow" dxfId="22512"/>
    </tableStyle>
    <tableStyle name="SlicerStyleLight1 2 2" pivot="0" table="0" count="10" xr9:uid="{BDBE3B9E-7C85-44C3-B93A-87D064DCBE32}">
      <tableStyleElement type="wholeTable" dxfId="22511"/>
      <tableStyleElement type="headerRow" dxfId="22510"/>
    </tableStyle>
  </tableStyles>
  <colors>
    <mruColors>
      <color rgb="FF70AD47"/>
      <color rgb="FFF3722C"/>
      <color rgb="FFD32F2F"/>
      <color rgb="FFF4511E"/>
      <color rgb="FFFF9800"/>
      <color rgb="FFFFC107"/>
      <color rgb="FFD9D9D9"/>
      <color rgb="FFED7D31"/>
      <color rgb="FFC00000"/>
      <color rgb="FF5B9BD5"/>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1.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[Maersk-Ahmed Lawal_revised.xlsx]Pivot!CountofDeliveryStatusbySupplier</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Count of Delivery</a:t>
            </a:r>
            <a:r>
              <a:rPr lang="en-GB" sz="1600" b="1" baseline="0"/>
              <a:t> Status by Supplier</a:t>
            </a:r>
            <a:endParaRPr lang="en-GB" sz="1600" b="1"/>
          </a:p>
        </c:rich>
      </c:tx>
      <c:layout>
        <c:manualLayout>
          <c:xMode val="edge"/>
          <c:yMode val="edge"/>
          <c:x val="0.26458518253400143"/>
          <c:y val="3.841085147757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F4B4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E9E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57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ACB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539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ACB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4B4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57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539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E9E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7ACB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4B4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57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E539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8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9E9E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7530422333572E-2"/>
          <c:y val="0.12864785737399262"/>
          <c:w val="0.74071367215461692"/>
          <c:h val="0.60256961030556111"/>
        </c:manualLayout>
      </c:layout>
      <c:barChart>
        <c:barDir val="col"/>
        <c:grouping val="stacked"/>
        <c:varyColors val="0"/>
        <c:ser>
          <c:idx val="0"/>
          <c:order val="0"/>
          <c:tx>
            <c:strRef>
              <c:f>Pivot!$B$801:$B$802</c:f>
              <c:strCache>
                <c:ptCount val="1"/>
                <c:pt idx="0">
                  <c:v>Delivered Early</c:v>
                </c:pt>
              </c:strCache>
            </c:strRef>
          </c:tx>
          <c:spPr>
            <a:solidFill>
              <a:srgbClr val="00B050"/>
            </a:solidFill>
            <a:ln>
              <a:noFill/>
            </a:ln>
            <a:effectLst/>
          </c:spPr>
          <c:invertIfNegative val="0"/>
          <c:cat>
            <c:strRef>
              <c:f>Pivot!$A$803:$A$818</c:f>
              <c:strCache>
                <c:ptCount val="15"/>
                <c:pt idx="0">
                  <c:v>Sahara</c:v>
                </c:pt>
                <c:pt idx="1">
                  <c:v>Kampala</c:v>
                </c:pt>
                <c:pt idx="2">
                  <c:v>Kentech</c:v>
                </c:pt>
                <c:pt idx="3">
                  <c:v>AddisFW</c:v>
                </c:pt>
                <c:pt idx="4">
                  <c:v>Kigali</c:v>
                </c:pt>
                <c:pt idx="5">
                  <c:v>AccraAI</c:v>
                </c:pt>
                <c:pt idx="6">
                  <c:v>LagosPR</c:v>
                </c:pt>
                <c:pt idx="7">
                  <c:v>Mombasa</c:v>
                </c:pt>
                <c:pt idx="8">
                  <c:v>Cape</c:v>
                </c:pt>
                <c:pt idx="9">
                  <c:v>Kano</c:v>
                </c:pt>
                <c:pt idx="10">
                  <c:v>AbidjanCS</c:v>
                </c:pt>
                <c:pt idx="11">
                  <c:v>Nile</c:v>
                </c:pt>
                <c:pt idx="12">
                  <c:v>Primesteel</c:v>
                </c:pt>
                <c:pt idx="13">
                  <c:v>Dar</c:v>
                </c:pt>
                <c:pt idx="14">
                  <c:v>Casablanca</c:v>
                </c:pt>
              </c:strCache>
            </c:strRef>
          </c:cat>
          <c:val>
            <c:numRef>
              <c:f>Pivot!$B$803:$B$818</c:f>
              <c:numCache>
                <c:formatCode>General</c:formatCode>
                <c:ptCount val="15"/>
                <c:pt idx="0">
                  <c:v>8</c:v>
                </c:pt>
                <c:pt idx="1">
                  <c:v>8</c:v>
                </c:pt>
                <c:pt idx="2">
                  <c:v>5</c:v>
                </c:pt>
                <c:pt idx="3">
                  <c:v>7</c:v>
                </c:pt>
                <c:pt idx="4">
                  <c:v>7</c:v>
                </c:pt>
                <c:pt idx="5">
                  <c:v>6</c:v>
                </c:pt>
                <c:pt idx="6">
                  <c:v>11</c:v>
                </c:pt>
                <c:pt idx="7">
                  <c:v>10</c:v>
                </c:pt>
                <c:pt idx="8">
                  <c:v>7</c:v>
                </c:pt>
                <c:pt idx="9">
                  <c:v>4</c:v>
                </c:pt>
                <c:pt idx="10">
                  <c:v>8</c:v>
                </c:pt>
                <c:pt idx="11">
                  <c:v>4</c:v>
                </c:pt>
                <c:pt idx="12">
                  <c:v>7</c:v>
                </c:pt>
                <c:pt idx="13">
                  <c:v>5</c:v>
                </c:pt>
                <c:pt idx="14">
                  <c:v>7</c:v>
                </c:pt>
              </c:numCache>
            </c:numRef>
          </c:val>
          <c:extLst>
            <c:ext xmlns:c16="http://schemas.microsoft.com/office/drawing/2014/chart" uri="{C3380CC4-5D6E-409C-BE32-E72D297353CC}">
              <c16:uniqueId val="{00000000-1D96-4DFC-A39C-53CD0FA9D5BF}"/>
            </c:ext>
          </c:extLst>
        </c:ser>
        <c:ser>
          <c:idx val="1"/>
          <c:order val="1"/>
          <c:tx>
            <c:strRef>
              <c:f>Pivot!$C$801:$C$802</c:f>
              <c:strCache>
                <c:ptCount val="1"/>
                <c:pt idx="0">
                  <c:v>On Time</c:v>
                </c:pt>
              </c:strCache>
            </c:strRef>
          </c:tx>
          <c:spPr>
            <a:solidFill>
              <a:srgbClr val="7ACB5A"/>
            </a:solidFill>
            <a:ln>
              <a:noFill/>
            </a:ln>
            <a:effectLst/>
          </c:spPr>
          <c:invertIfNegative val="0"/>
          <c:cat>
            <c:strRef>
              <c:f>Pivot!$A$803:$A$818</c:f>
              <c:strCache>
                <c:ptCount val="15"/>
                <c:pt idx="0">
                  <c:v>Sahara</c:v>
                </c:pt>
                <c:pt idx="1">
                  <c:v>Kampala</c:v>
                </c:pt>
                <c:pt idx="2">
                  <c:v>Kentech</c:v>
                </c:pt>
                <c:pt idx="3">
                  <c:v>AddisFW</c:v>
                </c:pt>
                <c:pt idx="4">
                  <c:v>Kigali</c:v>
                </c:pt>
                <c:pt idx="5">
                  <c:v>AccraAI</c:v>
                </c:pt>
                <c:pt idx="6">
                  <c:v>LagosPR</c:v>
                </c:pt>
                <c:pt idx="7">
                  <c:v>Mombasa</c:v>
                </c:pt>
                <c:pt idx="8">
                  <c:v>Cape</c:v>
                </c:pt>
                <c:pt idx="9">
                  <c:v>Kano</c:v>
                </c:pt>
                <c:pt idx="10">
                  <c:v>AbidjanCS</c:v>
                </c:pt>
                <c:pt idx="11">
                  <c:v>Nile</c:v>
                </c:pt>
                <c:pt idx="12">
                  <c:v>Primesteel</c:v>
                </c:pt>
                <c:pt idx="13">
                  <c:v>Dar</c:v>
                </c:pt>
                <c:pt idx="14">
                  <c:v>Casablanca</c:v>
                </c:pt>
              </c:strCache>
            </c:strRef>
          </c:cat>
          <c:val>
            <c:numRef>
              <c:f>Pivot!$C$803:$C$818</c:f>
              <c:numCache>
                <c:formatCode>General</c:formatCode>
                <c:ptCount val="15"/>
                <c:pt idx="0">
                  <c:v>20</c:v>
                </c:pt>
                <c:pt idx="1">
                  <c:v>18</c:v>
                </c:pt>
                <c:pt idx="2">
                  <c:v>25</c:v>
                </c:pt>
                <c:pt idx="3">
                  <c:v>21</c:v>
                </c:pt>
                <c:pt idx="4">
                  <c:v>17</c:v>
                </c:pt>
                <c:pt idx="5">
                  <c:v>17</c:v>
                </c:pt>
                <c:pt idx="6">
                  <c:v>15</c:v>
                </c:pt>
                <c:pt idx="7">
                  <c:v>16</c:v>
                </c:pt>
                <c:pt idx="8">
                  <c:v>18</c:v>
                </c:pt>
                <c:pt idx="9">
                  <c:v>16</c:v>
                </c:pt>
                <c:pt idx="10">
                  <c:v>19</c:v>
                </c:pt>
                <c:pt idx="11">
                  <c:v>23</c:v>
                </c:pt>
                <c:pt idx="12">
                  <c:v>11</c:v>
                </c:pt>
                <c:pt idx="13">
                  <c:v>22</c:v>
                </c:pt>
                <c:pt idx="14">
                  <c:v>10</c:v>
                </c:pt>
              </c:numCache>
            </c:numRef>
          </c:val>
          <c:extLst>
            <c:ext xmlns:c16="http://schemas.microsoft.com/office/drawing/2014/chart" uri="{C3380CC4-5D6E-409C-BE32-E72D297353CC}">
              <c16:uniqueId val="{00000010-81F0-4A87-B7B6-3C3912E2CC68}"/>
            </c:ext>
          </c:extLst>
        </c:ser>
        <c:ser>
          <c:idx val="2"/>
          <c:order val="2"/>
          <c:tx>
            <c:strRef>
              <c:f>Pivot!$D$801:$D$802</c:f>
              <c:strCache>
                <c:ptCount val="1"/>
                <c:pt idx="0">
                  <c:v>Delayed</c:v>
                </c:pt>
              </c:strCache>
            </c:strRef>
          </c:tx>
          <c:spPr>
            <a:solidFill>
              <a:srgbClr val="F4B400"/>
            </a:solidFill>
            <a:ln>
              <a:noFill/>
            </a:ln>
            <a:effectLst/>
          </c:spPr>
          <c:invertIfNegative val="0"/>
          <c:cat>
            <c:strRef>
              <c:f>Pivot!$A$803:$A$818</c:f>
              <c:strCache>
                <c:ptCount val="15"/>
                <c:pt idx="0">
                  <c:v>Sahara</c:v>
                </c:pt>
                <c:pt idx="1">
                  <c:v>Kampala</c:v>
                </c:pt>
                <c:pt idx="2">
                  <c:v>Kentech</c:v>
                </c:pt>
                <c:pt idx="3">
                  <c:v>AddisFW</c:v>
                </c:pt>
                <c:pt idx="4">
                  <c:v>Kigali</c:v>
                </c:pt>
                <c:pt idx="5">
                  <c:v>AccraAI</c:v>
                </c:pt>
                <c:pt idx="6">
                  <c:v>LagosPR</c:v>
                </c:pt>
                <c:pt idx="7">
                  <c:v>Mombasa</c:v>
                </c:pt>
                <c:pt idx="8">
                  <c:v>Cape</c:v>
                </c:pt>
                <c:pt idx="9">
                  <c:v>Kano</c:v>
                </c:pt>
                <c:pt idx="10">
                  <c:v>AbidjanCS</c:v>
                </c:pt>
                <c:pt idx="11">
                  <c:v>Nile</c:v>
                </c:pt>
                <c:pt idx="12">
                  <c:v>Primesteel</c:v>
                </c:pt>
                <c:pt idx="13">
                  <c:v>Dar</c:v>
                </c:pt>
                <c:pt idx="14">
                  <c:v>Casablanca</c:v>
                </c:pt>
              </c:strCache>
            </c:strRef>
          </c:cat>
          <c:val>
            <c:numRef>
              <c:f>Pivot!$D$803:$D$818</c:f>
              <c:numCache>
                <c:formatCode>General</c:formatCode>
                <c:ptCount val="15"/>
                <c:pt idx="0">
                  <c:v>4</c:v>
                </c:pt>
                <c:pt idx="1">
                  <c:v>4</c:v>
                </c:pt>
                <c:pt idx="2">
                  <c:v>6</c:v>
                </c:pt>
                <c:pt idx="3">
                  <c:v>3</c:v>
                </c:pt>
                <c:pt idx="4">
                  <c:v>2</c:v>
                </c:pt>
                <c:pt idx="5">
                  <c:v>2</c:v>
                </c:pt>
                <c:pt idx="6">
                  <c:v>8</c:v>
                </c:pt>
                <c:pt idx="7">
                  <c:v>4</c:v>
                </c:pt>
                <c:pt idx="8">
                  <c:v>5</c:v>
                </c:pt>
                <c:pt idx="9">
                  <c:v>5</c:v>
                </c:pt>
                <c:pt idx="10">
                  <c:v>4</c:v>
                </c:pt>
                <c:pt idx="11">
                  <c:v>4</c:v>
                </c:pt>
                <c:pt idx="12">
                  <c:v>7</c:v>
                </c:pt>
                <c:pt idx="13">
                  <c:v>3</c:v>
                </c:pt>
                <c:pt idx="14">
                  <c:v>6</c:v>
                </c:pt>
              </c:numCache>
            </c:numRef>
          </c:val>
          <c:extLst>
            <c:ext xmlns:c16="http://schemas.microsoft.com/office/drawing/2014/chart" uri="{C3380CC4-5D6E-409C-BE32-E72D297353CC}">
              <c16:uniqueId val="{00000011-81F0-4A87-B7B6-3C3912E2CC68}"/>
            </c:ext>
          </c:extLst>
        </c:ser>
        <c:ser>
          <c:idx val="3"/>
          <c:order val="3"/>
          <c:tx>
            <c:strRef>
              <c:f>Pivot!$E$801:$E$802</c:f>
              <c:strCache>
                <c:ptCount val="1"/>
                <c:pt idx="0">
                  <c:v>Late</c:v>
                </c:pt>
              </c:strCache>
            </c:strRef>
          </c:tx>
          <c:spPr>
            <a:solidFill>
              <a:srgbClr val="F57C00"/>
            </a:solidFill>
            <a:ln>
              <a:noFill/>
            </a:ln>
            <a:effectLst/>
          </c:spPr>
          <c:invertIfNegative val="0"/>
          <c:cat>
            <c:strRef>
              <c:f>Pivot!$A$803:$A$818</c:f>
              <c:strCache>
                <c:ptCount val="15"/>
                <c:pt idx="0">
                  <c:v>Sahara</c:v>
                </c:pt>
                <c:pt idx="1">
                  <c:v>Kampala</c:v>
                </c:pt>
                <c:pt idx="2">
                  <c:v>Kentech</c:v>
                </c:pt>
                <c:pt idx="3">
                  <c:v>AddisFW</c:v>
                </c:pt>
                <c:pt idx="4">
                  <c:v>Kigali</c:v>
                </c:pt>
                <c:pt idx="5">
                  <c:v>AccraAI</c:v>
                </c:pt>
                <c:pt idx="6">
                  <c:v>LagosPR</c:v>
                </c:pt>
                <c:pt idx="7">
                  <c:v>Mombasa</c:v>
                </c:pt>
                <c:pt idx="8">
                  <c:v>Cape</c:v>
                </c:pt>
                <c:pt idx="9">
                  <c:v>Kano</c:v>
                </c:pt>
                <c:pt idx="10">
                  <c:v>AbidjanCS</c:v>
                </c:pt>
                <c:pt idx="11">
                  <c:v>Nile</c:v>
                </c:pt>
                <c:pt idx="12">
                  <c:v>Primesteel</c:v>
                </c:pt>
                <c:pt idx="13">
                  <c:v>Dar</c:v>
                </c:pt>
                <c:pt idx="14">
                  <c:v>Casablanca</c:v>
                </c:pt>
              </c:strCache>
            </c:strRef>
          </c:cat>
          <c:val>
            <c:numRef>
              <c:f>Pivot!$E$803:$E$818</c:f>
              <c:numCache>
                <c:formatCode>General</c:formatCode>
                <c:ptCount val="15"/>
                <c:pt idx="0">
                  <c:v>25</c:v>
                </c:pt>
                <c:pt idx="1">
                  <c:v>27</c:v>
                </c:pt>
                <c:pt idx="2">
                  <c:v>20</c:v>
                </c:pt>
                <c:pt idx="3">
                  <c:v>20</c:v>
                </c:pt>
                <c:pt idx="4">
                  <c:v>22</c:v>
                </c:pt>
                <c:pt idx="5">
                  <c:v>22</c:v>
                </c:pt>
                <c:pt idx="6">
                  <c:v>13</c:v>
                </c:pt>
                <c:pt idx="7">
                  <c:v>14</c:v>
                </c:pt>
                <c:pt idx="8">
                  <c:v>17</c:v>
                </c:pt>
                <c:pt idx="9">
                  <c:v>25</c:v>
                </c:pt>
                <c:pt idx="10">
                  <c:v>14</c:v>
                </c:pt>
                <c:pt idx="11">
                  <c:v>12</c:v>
                </c:pt>
                <c:pt idx="12">
                  <c:v>16</c:v>
                </c:pt>
                <c:pt idx="13">
                  <c:v>14</c:v>
                </c:pt>
                <c:pt idx="14">
                  <c:v>17</c:v>
                </c:pt>
              </c:numCache>
            </c:numRef>
          </c:val>
          <c:extLst>
            <c:ext xmlns:c16="http://schemas.microsoft.com/office/drawing/2014/chart" uri="{C3380CC4-5D6E-409C-BE32-E72D297353CC}">
              <c16:uniqueId val="{00000012-81F0-4A87-B7B6-3C3912E2CC68}"/>
            </c:ext>
          </c:extLst>
        </c:ser>
        <c:ser>
          <c:idx val="4"/>
          <c:order val="4"/>
          <c:tx>
            <c:strRef>
              <c:f>Pivot!$F$801:$F$802</c:f>
              <c:strCache>
                <c:ptCount val="1"/>
                <c:pt idx="0">
                  <c:v>Very Late</c:v>
                </c:pt>
              </c:strCache>
            </c:strRef>
          </c:tx>
          <c:spPr>
            <a:solidFill>
              <a:srgbClr val="E53935"/>
            </a:solidFill>
            <a:ln>
              <a:noFill/>
            </a:ln>
            <a:effectLst/>
          </c:spPr>
          <c:invertIfNegative val="0"/>
          <c:cat>
            <c:strRef>
              <c:f>Pivot!$A$803:$A$818</c:f>
              <c:strCache>
                <c:ptCount val="15"/>
                <c:pt idx="0">
                  <c:v>Sahara</c:v>
                </c:pt>
                <c:pt idx="1">
                  <c:v>Kampala</c:v>
                </c:pt>
                <c:pt idx="2">
                  <c:v>Kentech</c:v>
                </c:pt>
                <c:pt idx="3">
                  <c:v>AddisFW</c:v>
                </c:pt>
                <c:pt idx="4">
                  <c:v>Kigali</c:v>
                </c:pt>
                <c:pt idx="5">
                  <c:v>AccraAI</c:v>
                </c:pt>
                <c:pt idx="6">
                  <c:v>LagosPR</c:v>
                </c:pt>
                <c:pt idx="7">
                  <c:v>Mombasa</c:v>
                </c:pt>
                <c:pt idx="8">
                  <c:v>Cape</c:v>
                </c:pt>
                <c:pt idx="9">
                  <c:v>Kano</c:v>
                </c:pt>
                <c:pt idx="10">
                  <c:v>AbidjanCS</c:v>
                </c:pt>
                <c:pt idx="11">
                  <c:v>Nile</c:v>
                </c:pt>
                <c:pt idx="12">
                  <c:v>Primesteel</c:v>
                </c:pt>
                <c:pt idx="13">
                  <c:v>Dar</c:v>
                </c:pt>
                <c:pt idx="14">
                  <c:v>Casablanca</c:v>
                </c:pt>
              </c:strCache>
            </c:strRef>
          </c:cat>
          <c:val>
            <c:numRef>
              <c:f>Pivot!$F$803:$F$818</c:f>
              <c:numCache>
                <c:formatCode>General</c:formatCode>
                <c:ptCount val="15"/>
                <c:pt idx="0">
                  <c:v>5</c:v>
                </c:pt>
                <c:pt idx="1">
                  <c:v>10</c:v>
                </c:pt>
                <c:pt idx="2">
                  <c:v>9</c:v>
                </c:pt>
                <c:pt idx="3">
                  <c:v>9</c:v>
                </c:pt>
                <c:pt idx="4">
                  <c:v>15</c:v>
                </c:pt>
                <c:pt idx="5">
                  <c:v>9</c:v>
                </c:pt>
                <c:pt idx="6">
                  <c:v>5</c:v>
                </c:pt>
                <c:pt idx="7">
                  <c:v>9</c:v>
                </c:pt>
                <c:pt idx="8">
                  <c:v>10</c:v>
                </c:pt>
                <c:pt idx="9">
                  <c:v>3</c:v>
                </c:pt>
                <c:pt idx="10">
                  <c:v>11</c:v>
                </c:pt>
                <c:pt idx="11">
                  <c:v>8</c:v>
                </c:pt>
                <c:pt idx="12">
                  <c:v>6</c:v>
                </c:pt>
                <c:pt idx="13">
                  <c:v>5</c:v>
                </c:pt>
                <c:pt idx="14">
                  <c:v>6</c:v>
                </c:pt>
              </c:numCache>
            </c:numRef>
          </c:val>
          <c:extLst>
            <c:ext xmlns:c16="http://schemas.microsoft.com/office/drawing/2014/chart" uri="{C3380CC4-5D6E-409C-BE32-E72D297353CC}">
              <c16:uniqueId val="{00000013-81F0-4A87-B7B6-3C3912E2CC68}"/>
            </c:ext>
          </c:extLst>
        </c:ser>
        <c:ser>
          <c:idx val="5"/>
          <c:order val="5"/>
          <c:tx>
            <c:strRef>
              <c:f>Pivot!$G$801:$G$802</c:f>
              <c:strCache>
                <c:ptCount val="1"/>
                <c:pt idx="0">
                  <c:v>Severely Delayed</c:v>
                </c:pt>
              </c:strCache>
            </c:strRef>
          </c:tx>
          <c:spPr>
            <a:solidFill>
              <a:srgbClr val="8E0000"/>
            </a:solidFill>
            <a:ln>
              <a:noFill/>
            </a:ln>
            <a:effectLst/>
          </c:spPr>
          <c:invertIfNegative val="0"/>
          <c:cat>
            <c:strRef>
              <c:f>Pivot!$A$803:$A$818</c:f>
              <c:strCache>
                <c:ptCount val="15"/>
                <c:pt idx="0">
                  <c:v>Sahara</c:v>
                </c:pt>
                <c:pt idx="1">
                  <c:v>Kampala</c:v>
                </c:pt>
                <c:pt idx="2">
                  <c:v>Kentech</c:v>
                </c:pt>
                <c:pt idx="3">
                  <c:v>AddisFW</c:v>
                </c:pt>
                <c:pt idx="4">
                  <c:v>Kigali</c:v>
                </c:pt>
                <c:pt idx="5">
                  <c:v>AccraAI</c:v>
                </c:pt>
                <c:pt idx="6">
                  <c:v>LagosPR</c:v>
                </c:pt>
                <c:pt idx="7">
                  <c:v>Mombasa</c:v>
                </c:pt>
                <c:pt idx="8">
                  <c:v>Cape</c:v>
                </c:pt>
                <c:pt idx="9">
                  <c:v>Kano</c:v>
                </c:pt>
                <c:pt idx="10">
                  <c:v>AbidjanCS</c:v>
                </c:pt>
                <c:pt idx="11">
                  <c:v>Nile</c:v>
                </c:pt>
                <c:pt idx="12">
                  <c:v>Primesteel</c:v>
                </c:pt>
                <c:pt idx="13">
                  <c:v>Dar</c:v>
                </c:pt>
                <c:pt idx="14">
                  <c:v>Casablanca</c:v>
                </c:pt>
              </c:strCache>
            </c:strRef>
          </c:cat>
          <c:val>
            <c:numRef>
              <c:f>Pivot!$G$803:$G$818</c:f>
              <c:numCache>
                <c:formatCode>General</c:formatCode>
                <c:ptCount val="15"/>
                <c:pt idx="0">
                  <c:v>12</c:v>
                </c:pt>
                <c:pt idx="1">
                  <c:v>8</c:v>
                </c:pt>
                <c:pt idx="2">
                  <c:v>11</c:v>
                </c:pt>
                <c:pt idx="3">
                  <c:v>14</c:v>
                </c:pt>
                <c:pt idx="4">
                  <c:v>9</c:v>
                </c:pt>
                <c:pt idx="5">
                  <c:v>12</c:v>
                </c:pt>
                <c:pt idx="6">
                  <c:v>12</c:v>
                </c:pt>
                <c:pt idx="7">
                  <c:v>14</c:v>
                </c:pt>
                <c:pt idx="8">
                  <c:v>8</c:v>
                </c:pt>
                <c:pt idx="9">
                  <c:v>8</c:v>
                </c:pt>
                <c:pt idx="10">
                  <c:v>7</c:v>
                </c:pt>
                <c:pt idx="11">
                  <c:v>10</c:v>
                </c:pt>
                <c:pt idx="12">
                  <c:v>11</c:v>
                </c:pt>
                <c:pt idx="13">
                  <c:v>6</c:v>
                </c:pt>
                <c:pt idx="14">
                  <c:v>7</c:v>
                </c:pt>
              </c:numCache>
            </c:numRef>
          </c:val>
          <c:extLst>
            <c:ext xmlns:c16="http://schemas.microsoft.com/office/drawing/2014/chart" uri="{C3380CC4-5D6E-409C-BE32-E72D297353CC}">
              <c16:uniqueId val="{00000014-81F0-4A87-B7B6-3C3912E2CC68}"/>
            </c:ext>
          </c:extLst>
        </c:ser>
        <c:ser>
          <c:idx val="6"/>
          <c:order val="6"/>
          <c:tx>
            <c:strRef>
              <c:f>Pivot!$H$801:$H$802</c:f>
              <c:strCache>
                <c:ptCount val="1"/>
                <c:pt idx="0">
                  <c:v>Invalid Lead Time</c:v>
                </c:pt>
              </c:strCache>
            </c:strRef>
          </c:tx>
          <c:spPr>
            <a:solidFill>
              <a:srgbClr val="9E9E9E"/>
            </a:solidFill>
            <a:ln>
              <a:noFill/>
            </a:ln>
            <a:effectLst/>
          </c:spPr>
          <c:invertIfNegative val="0"/>
          <c:cat>
            <c:strRef>
              <c:f>Pivot!$A$803:$A$818</c:f>
              <c:strCache>
                <c:ptCount val="15"/>
                <c:pt idx="0">
                  <c:v>Sahara</c:v>
                </c:pt>
                <c:pt idx="1">
                  <c:v>Kampala</c:v>
                </c:pt>
                <c:pt idx="2">
                  <c:v>Kentech</c:v>
                </c:pt>
                <c:pt idx="3">
                  <c:v>AddisFW</c:v>
                </c:pt>
                <c:pt idx="4">
                  <c:v>Kigali</c:v>
                </c:pt>
                <c:pt idx="5">
                  <c:v>AccraAI</c:v>
                </c:pt>
                <c:pt idx="6">
                  <c:v>LagosPR</c:v>
                </c:pt>
                <c:pt idx="7">
                  <c:v>Mombasa</c:v>
                </c:pt>
                <c:pt idx="8">
                  <c:v>Cape</c:v>
                </c:pt>
                <c:pt idx="9">
                  <c:v>Kano</c:v>
                </c:pt>
                <c:pt idx="10">
                  <c:v>AbidjanCS</c:v>
                </c:pt>
                <c:pt idx="11">
                  <c:v>Nile</c:v>
                </c:pt>
                <c:pt idx="12">
                  <c:v>Primesteel</c:v>
                </c:pt>
                <c:pt idx="13">
                  <c:v>Dar</c:v>
                </c:pt>
                <c:pt idx="14">
                  <c:v>Casablanca</c:v>
                </c:pt>
              </c:strCache>
            </c:strRef>
          </c:cat>
          <c:val>
            <c:numRef>
              <c:f>Pivot!$H$803:$H$818</c:f>
              <c:numCache>
                <c:formatCode>General</c:formatCode>
                <c:ptCount val="15"/>
                <c:pt idx="0">
                  <c:v>4</c:v>
                </c:pt>
                <c:pt idx="1">
                  <c:v>2</c:v>
                </c:pt>
                <c:pt idx="5">
                  <c:v>1</c:v>
                </c:pt>
                <c:pt idx="6">
                  <c:v>3</c:v>
                </c:pt>
                <c:pt idx="9">
                  <c:v>3</c:v>
                </c:pt>
                <c:pt idx="12">
                  <c:v>1</c:v>
                </c:pt>
              </c:numCache>
            </c:numRef>
          </c:val>
          <c:extLst>
            <c:ext xmlns:c16="http://schemas.microsoft.com/office/drawing/2014/chart" uri="{C3380CC4-5D6E-409C-BE32-E72D297353CC}">
              <c16:uniqueId val="{00000018-81F0-4A87-B7B6-3C3912E2CC68}"/>
            </c:ext>
          </c:extLst>
        </c:ser>
        <c:dLbls>
          <c:showLegendKey val="0"/>
          <c:showVal val="0"/>
          <c:showCatName val="0"/>
          <c:showSerName val="0"/>
          <c:showPercent val="0"/>
          <c:showBubbleSize val="0"/>
        </c:dLbls>
        <c:gapWidth val="50"/>
        <c:overlap val="100"/>
        <c:axId val="201694095"/>
        <c:axId val="201701295"/>
      </c:barChart>
      <c:catAx>
        <c:axId val="20169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01295"/>
        <c:crosses val="autoZero"/>
        <c:auto val="1"/>
        <c:lblAlgn val="ctr"/>
        <c:lblOffset val="100"/>
        <c:noMultiLvlLbl val="0"/>
      </c:catAx>
      <c:valAx>
        <c:axId val="201701295"/>
        <c:scaling>
          <c:orientation val="minMax"/>
          <c:max val="80"/>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9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Delivery</a:t>
            </a:r>
            <a:r>
              <a:rPr lang="en-GB" b="1" baseline="0"/>
              <a:t> Status of Total Qty by Product Category</a:t>
            </a:r>
            <a:endParaRPr lang="en-GB" b="1"/>
          </a:p>
        </c:rich>
      </c:tx>
      <c:layout>
        <c:manualLayout>
          <c:xMode val="edge"/>
          <c:yMode val="edge"/>
          <c:x val="2.8937445319335117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11724759405074366"/>
          <c:y val="0.14335702828813066"/>
          <c:w val="0.85219685039370074"/>
          <c:h val="0.69838692038495198"/>
        </c:manualLayout>
      </c:layout>
      <c:barChart>
        <c:barDir val="col"/>
        <c:grouping val="percentStacked"/>
        <c:varyColors val="0"/>
        <c:ser>
          <c:idx val="0"/>
          <c:order val="0"/>
          <c:tx>
            <c:strRef>
              <c:f>Pivot!$B$880</c:f>
              <c:strCache>
                <c:ptCount val="1"/>
                <c:pt idx="0">
                  <c:v>On Time </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Pivot!$A$881:$A$887</c:f>
              <c:strCache>
                <c:ptCount val="7"/>
                <c:pt idx="0">
                  <c:v>Electronics</c:v>
                </c:pt>
                <c:pt idx="1">
                  <c:v>Industrial Supplies</c:v>
                </c:pt>
                <c:pt idx="2">
                  <c:v>Machinery Parts</c:v>
                </c:pt>
                <c:pt idx="3">
                  <c:v>Metals</c:v>
                </c:pt>
                <c:pt idx="4">
                  <c:v>Packaging</c:v>
                </c:pt>
                <c:pt idx="5">
                  <c:v>Raw Materials</c:v>
                </c:pt>
                <c:pt idx="6">
                  <c:v>Textiles</c:v>
                </c:pt>
              </c:strCache>
            </c:strRef>
          </c:cat>
          <c:val>
            <c:numRef>
              <c:f>Pivot!$B$881:$B$887</c:f>
              <c:numCache>
                <c:formatCode>General</c:formatCode>
                <c:ptCount val="7"/>
                <c:pt idx="0">
                  <c:v>39350</c:v>
                </c:pt>
                <c:pt idx="1">
                  <c:v>26125</c:v>
                </c:pt>
                <c:pt idx="2">
                  <c:v>31925</c:v>
                </c:pt>
                <c:pt idx="3">
                  <c:v>17375</c:v>
                </c:pt>
                <c:pt idx="4">
                  <c:v>45325</c:v>
                </c:pt>
                <c:pt idx="5">
                  <c:v>21575</c:v>
                </c:pt>
                <c:pt idx="6">
                  <c:v>24075</c:v>
                </c:pt>
              </c:numCache>
            </c:numRef>
          </c:val>
          <c:extLst>
            <c:ext xmlns:c16="http://schemas.microsoft.com/office/drawing/2014/chart" uri="{C3380CC4-5D6E-409C-BE32-E72D297353CC}">
              <c16:uniqueId val="{00000000-C17E-4368-AF71-0DFE8DB185FB}"/>
            </c:ext>
          </c:extLst>
        </c:ser>
        <c:ser>
          <c:idx val="1"/>
          <c:order val="1"/>
          <c:tx>
            <c:strRef>
              <c:f>Pivot!$C$880</c:f>
              <c:strCache>
                <c:ptCount val="1"/>
                <c:pt idx="0">
                  <c:v>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Pivot!$A$881:$A$887</c:f>
              <c:strCache>
                <c:ptCount val="7"/>
                <c:pt idx="0">
                  <c:v>Electronics</c:v>
                </c:pt>
                <c:pt idx="1">
                  <c:v>Industrial Supplies</c:v>
                </c:pt>
                <c:pt idx="2">
                  <c:v>Machinery Parts</c:v>
                </c:pt>
                <c:pt idx="3">
                  <c:v>Metals</c:v>
                </c:pt>
                <c:pt idx="4">
                  <c:v>Packaging</c:v>
                </c:pt>
                <c:pt idx="5">
                  <c:v>Raw Materials</c:v>
                </c:pt>
                <c:pt idx="6">
                  <c:v>Textiles</c:v>
                </c:pt>
              </c:strCache>
            </c:strRef>
          </c:cat>
          <c:val>
            <c:numRef>
              <c:f>Pivot!$C$881:$C$887</c:f>
              <c:numCache>
                <c:formatCode>General</c:formatCode>
                <c:ptCount val="7"/>
                <c:pt idx="0">
                  <c:v>58575</c:v>
                </c:pt>
                <c:pt idx="1">
                  <c:v>46850</c:v>
                </c:pt>
                <c:pt idx="2">
                  <c:v>36700</c:v>
                </c:pt>
                <c:pt idx="3">
                  <c:v>42375</c:v>
                </c:pt>
                <c:pt idx="4">
                  <c:v>62175</c:v>
                </c:pt>
                <c:pt idx="5">
                  <c:v>43200</c:v>
                </c:pt>
                <c:pt idx="6">
                  <c:v>42575</c:v>
                </c:pt>
              </c:numCache>
            </c:numRef>
          </c:val>
          <c:extLst>
            <c:ext xmlns:c16="http://schemas.microsoft.com/office/drawing/2014/chart" uri="{C3380CC4-5D6E-409C-BE32-E72D297353CC}">
              <c16:uniqueId val="{00000001-C17E-4368-AF71-0DFE8DB185FB}"/>
            </c:ext>
          </c:extLst>
        </c:ser>
        <c:ser>
          <c:idx val="2"/>
          <c:order val="2"/>
          <c:tx>
            <c:strRef>
              <c:f>Pivot!$D$880</c:f>
              <c:strCache>
                <c:ptCount val="1"/>
                <c:pt idx="0">
                  <c:v>Invalid</c:v>
                </c:pt>
              </c:strCache>
            </c:strRef>
          </c:tx>
          <c:spPr>
            <a:solidFill>
              <a:schemeClr val="bg2">
                <a:lumMod val="65000"/>
              </a:schemeClr>
            </a:solidFill>
            <a:ln>
              <a:noFill/>
            </a:ln>
            <a:effectLst/>
          </c:spPr>
          <c:invertIfNegative val="0"/>
          <c:cat>
            <c:strRef>
              <c:f>Pivot!$A$881:$A$887</c:f>
              <c:strCache>
                <c:ptCount val="7"/>
                <c:pt idx="0">
                  <c:v>Electronics</c:v>
                </c:pt>
                <c:pt idx="1">
                  <c:v>Industrial Supplies</c:v>
                </c:pt>
                <c:pt idx="2">
                  <c:v>Machinery Parts</c:v>
                </c:pt>
                <c:pt idx="3">
                  <c:v>Metals</c:v>
                </c:pt>
                <c:pt idx="4">
                  <c:v>Packaging</c:v>
                </c:pt>
                <c:pt idx="5">
                  <c:v>Raw Materials</c:v>
                </c:pt>
                <c:pt idx="6">
                  <c:v>Textiles</c:v>
                </c:pt>
              </c:strCache>
            </c:strRef>
          </c:cat>
          <c:val>
            <c:numRef>
              <c:f>Pivot!$D$881:$D$887</c:f>
              <c:numCache>
                <c:formatCode>General</c:formatCode>
                <c:ptCount val="7"/>
                <c:pt idx="0">
                  <c:v>75</c:v>
                </c:pt>
                <c:pt idx="1">
                  <c:v>300</c:v>
                </c:pt>
                <c:pt idx="2">
                  <c:v>200</c:v>
                </c:pt>
                <c:pt idx="3">
                  <c:v>300</c:v>
                </c:pt>
                <c:pt idx="4">
                  <c:v>9000</c:v>
                </c:pt>
                <c:pt idx="5">
                  <c:v>150</c:v>
                </c:pt>
                <c:pt idx="6">
                  <c:v>150</c:v>
                </c:pt>
              </c:numCache>
            </c:numRef>
          </c:val>
          <c:extLst>
            <c:ext xmlns:c16="http://schemas.microsoft.com/office/drawing/2014/chart" uri="{C3380CC4-5D6E-409C-BE32-E72D297353CC}">
              <c16:uniqueId val="{00000002-C17E-4368-AF71-0DFE8DB185FB}"/>
            </c:ext>
          </c:extLst>
        </c:ser>
        <c:dLbls>
          <c:showLegendKey val="0"/>
          <c:showVal val="0"/>
          <c:showCatName val="0"/>
          <c:showSerName val="0"/>
          <c:showPercent val="0"/>
          <c:showBubbleSize val="0"/>
        </c:dLbls>
        <c:gapWidth val="76"/>
        <c:overlap val="100"/>
        <c:axId val="1481124080"/>
        <c:axId val="1481121680"/>
      </c:barChart>
      <c:catAx>
        <c:axId val="148112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121680"/>
        <c:crosses val="autoZero"/>
        <c:auto val="1"/>
        <c:lblAlgn val="ctr"/>
        <c:lblOffset val="100"/>
        <c:noMultiLvlLbl val="0"/>
      </c:catAx>
      <c:valAx>
        <c:axId val="14811216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124080"/>
        <c:crosses val="autoZero"/>
        <c:crossBetween val="between"/>
      </c:valAx>
      <c:spPr>
        <a:noFill/>
        <a:ln>
          <a:noFill/>
        </a:ln>
        <a:effectLst/>
      </c:spPr>
    </c:plotArea>
    <c:legend>
      <c:legendPos val="t"/>
      <c:layout>
        <c:manualLayout>
          <c:xMode val="edge"/>
          <c:yMode val="edge"/>
          <c:x val="0.65869444444444447"/>
          <c:y val="3.2824074074074075E-2"/>
          <c:w val="0.3347065868263473"/>
          <c:h val="9.58813528990694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[Maersk-Ahmed Lawal_revised.xlsx]Pivot!DeliveryStatusbyCarrier</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Count</a:t>
            </a:r>
            <a:r>
              <a:rPr lang="en-GB" b="1" baseline="0"/>
              <a:t> of Delivery Status by Carrier</a:t>
            </a:r>
            <a:endParaRPr lang="en-GB" b="1"/>
          </a:p>
        </c:rich>
      </c:tx>
      <c:layout>
        <c:manualLayout>
          <c:xMode val="edge"/>
          <c:yMode val="edge"/>
          <c:x val="1.3038643944723136E-3"/>
          <c:y val="1.75438596491228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C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B92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91C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8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AC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B92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8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B91C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AC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B92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8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B91C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AC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B92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8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B91C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AC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B92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F8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B91C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Pivot!$B$37:$B$38</c:f>
              <c:strCache>
                <c:ptCount val="1"/>
                <c:pt idx="0">
                  <c:v>Delivered Early</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Pivot!$A$39:$A$46</c:f>
              <c:strCache>
                <c:ptCount val="7"/>
                <c:pt idx="0">
                  <c:v>Bollore Logistics</c:v>
                </c:pt>
                <c:pt idx="1">
                  <c:v>DHL</c:v>
                </c:pt>
                <c:pt idx="2">
                  <c:v>GIG Logistics</c:v>
                </c:pt>
                <c:pt idx="3">
                  <c:v>Kuehne+Nagel</c:v>
                </c:pt>
                <c:pt idx="4">
                  <c:v>Local Truck Partner</c:v>
                </c:pt>
                <c:pt idx="5">
                  <c:v>Maersk</c:v>
                </c:pt>
                <c:pt idx="6">
                  <c:v>No Carrier Listed</c:v>
                </c:pt>
              </c:strCache>
            </c:strRef>
          </c:cat>
          <c:val>
            <c:numRef>
              <c:f>Pivot!$B$39:$B$46</c:f>
              <c:numCache>
                <c:formatCode>General</c:formatCode>
                <c:ptCount val="7"/>
                <c:pt idx="0">
                  <c:v>20</c:v>
                </c:pt>
                <c:pt idx="1">
                  <c:v>20</c:v>
                </c:pt>
                <c:pt idx="2">
                  <c:v>11</c:v>
                </c:pt>
                <c:pt idx="3">
                  <c:v>6</c:v>
                </c:pt>
                <c:pt idx="4">
                  <c:v>14</c:v>
                </c:pt>
                <c:pt idx="5">
                  <c:v>5</c:v>
                </c:pt>
                <c:pt idx="6">
                  <c:v>28</c:v>
                </c:pt>
              </c:numCache>
            </c:numRef>
          </c:val>
          <c:extLst>
            <c:ext xmlns:c16="http://schemas.microsoft.com/office/drawing/2014/chart" uri="{C3380CC4-5D6E-409C-BE32-E72D297353CC}">
              <c16:uniqueId val="{00000000-08B4-4DC1-B7FA-B8759990148A}"/>
            </c:ext>
          </c:extLst>
        </c:ser>
        <c:ser>
          <c:idx val="1"/>
          <c:order val="1"/>
          <c:tx>
            <c:strRef>
              <c:f>Pivot!$C$37:$C$38</c:f>
              <c:strCache>
                <c:ptCount val="1"/>
                <c:pt idx="0">
                  <c:v>On Time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Pivot!$A$39:$A$46</c:f>
              <c:strCache>
                <c:ptCount val="7"/>
                <c:pt idx="0">
                  <c:v>Bollore Logistics</c:v>
                </c:pt>
                <c:pt idx="1">
                  <c:v>DHL</c:v>
                </c:pt>
                <c:pt idx="2">
                  <c:v>GIG Logistics</c:v>
                </c:pt>
                <c:pt idx="3">
                  <c:v>Kuehne+Nagel</c:v>
                </c:pt>
                <c:pt idx="4">
                  <c:v>Local Truck Partner</c:v>
                </c:pt>
                <c:pt idx="5">
                  <c:v>Maersk</c:v>
                </c:pt>
                <c:pt idx="6">
                  <c:v>No Carrier Listed</c:v>
                </c:pt>
              </c:strCache>
            </c:strRef>
          </c:cat>
          <c:val>
            <c:numRef>
              <c:f>Pivot!$C$39:$C$46</c:f>
              <c:numCache>
                <c:formatCode>General</c:formatCode>
                <c:ptCount val="7"/>
                <c:pt idx="0">
                  <c:v>34</c:v>
                </c:pt>
                <c:pt idx="1">
                  <c:v>45</c:v>
                </c:pt>
                <c:pt idx="2">
                  <c:v>34</c:v>
                </c:pt>
                <c:pt idx="3">
                  <c:v>21</c:v>
                </c:pt>
                <c:pt idx="4">
                  <c:v>28</c:v>
                </c:pt>
                <c:pt idx="5">
                  <c:v>40</c:v>
                </c:pt>
                <c:pt idx="6">
                  <c:v>66</c:v>
                </c:pt>
              </c:numCache>
            </c:numRef>
          </c:val>
          <c:extLst>
            <c:ext xmlns:c16="http://schemas.microsoft.com/office/drawing/2014/chart" uri="{C3380CC4-5D6E-409C-BE32-E72D297353CC}">
              <c16:uniqueId val="{00000010-B297-40F9-B1E3-1703953045C6}"/>
            </c:ext>
          </c:extLst>
        </c:ser>
        <c:ser>
          <c:idx val="2"/>
          <c:order val="2"/>
          <c:tx>
            <c:strRef>
              <c:f>Pivot!$D$37:$D$38</c:f>
              <c:strCache>
                <c:ptCount val="1"/>
                <c:pt idx="0">
                  <c:v>Delayed</c:v>
                </c:pt>
              </c:strCache>
            </c:strRef>
          </c:tx>
          <c:spPr>
            <a:solidFill>
              <a:srgbClr val="FACC1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Pivot!$A$39:$A$46</c:f>
              <c:strCache>
                <c:ptCount val="7"/>
                <c:pt idx="0">
                  <c:v>Bollore Logistics</c:v>
                </c:pt>
                <c:pt idx="1">
                  <c:v>DHL</c:v>
                </c:pt>
                <c:pt idx="2">
                  <c:v>GIG Logistics</c:v>
                </c:pt>
                <c:pt idx="3">
                  <c:v>Kuehne+Nagel</c:v>
                </c:pt>
                <c:pt idx="4">
                  <c:v>Local Truck Partner</c:v>
                </c:pt>
                <c:pt idx="5">
                  <c:v>Maersk</c:v>
                </c:pt>
                <c:pt idx="6">
                  <c:v>No Carrier Listed</c:v>
                </c:pt>
              </c:strCache>
            </c:strRef>
          </c:cat>
          <c:val>
            <c:numRef>
              <c:f>Pivot!$D$39:$D$46</c:f>
              <c:numCache>
                <c:formatCode>General</c:formatCode>
                <c:ptCount val="7"/>
                <c:pt idx="0">
                  <c:v>11</c:v>
                </c:pt>
                <c:pt idx="1">
                  <c:v>8</c:v>
                </c:pt>
                <c:pt idx="2">
                  <c:v>7</c:v>
                </c:pt>
                <c:pt idx="3">
                  <c:v>15</c:v>
                </c:pt>
                <c:pt idx="4">
                  <c:v>4</c:v>
                </c:pt>
                <c:pt idx="5">
                  <c:v>9</c:v>
                </c:pt>
                <c:pt idx="6">
                  <c:v>13</c:v>
                </c:pt>
              </c:numCache>
            </c:numRef>
          </c:val>
          <c:extLst>
            <c:ext xmlns:c16="http://schemas.microsoft.com/office/drawing/2014/chart" uri="{C3380CC4-5D6E-409C-BE32-E72D297353CC}">
              <c16:uniqueId val="{00000011-B297-40F9-B1E3-1703953045C6}"/>
            </c:ext>
          </c:extLst>
        </c:ser>
        <c:ser>
          <c:idx val="3"/>
          <c:order val="3"/>
          <c:tx>
            <c:strRef>
              <c:f>Pivot!$E$37:$E$38</c:f>
              <c:strCache>
                <c:ptCount val="1"/>
                <c:pt idx="0">
                  <c:v>Late</c:v>
                </c:pt>
              </c:strCache>
            </c:strRef>
          </c:tx>
          <c:spPr>
            <a:solidFill>
              <a:srgbClr val="FB92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Pivot!$A$39:$A$46</c:f>
              <c:strCache>
                <c:ptCount val="7"/>
                <c:pt idx="0">
                  <c:v>Bollore Logistics</c:v>
                </c:pt>
                <c:pt idx="1">
                  <c:v>DHL</c:v>
                </c:pt>
                <c:pt idx="2">
                  <c:v>GIG Logistics</c:v>
                </c:pt>
                <c:pt idx="3">
                  <c:v>Kuehne+Nagel</c:v>
                </c:pt>
                <c:pt idx="4">
                  <c:v>Local Truck Partner</c:v>
                </c:pt>
                <c:pt idx="5">
                  <c:v>Maersk</c:v>
                </c:pt>
                <c:pt idx="6">
                  <c:v>No Carrier Listed</c:v>
                </c:pt>
              </c:strCache>
            </c:strRef>
          </c:cat>
          <c:val>
            <c:numRef>
              <c:f>Pivot!$E$39:$E$46</c:f>
              <c:numCache>
                <c:formatCode>General</c:formatCode>
                <c:ptCount val="7"/>
                <c:pt idx="0">
                  <c:v>33</c:v>
                </c:pt>
                <c:pt idx="1">
                  <c:v>42</c:v>
                </c:pt>
                <c:pt idx="2">
                  <c:v>30</c:v>
                </c:pt>
                <c:pt idx="3">
                  <c:v>23</c:v>
                </c:pt>
                <c:pt idx="4">
                  <c:v>38</c:v>
                </c:pt>
                <c:pt idx="5">
                  <c:v>31</c:v>
                </c:pt>
                <c:pt idx="6">
                  <c:v>81</c:v>
                </c:pt>
              </c:numCache>
            </c:numRef>
          </c:val>
          <c:extLst>
            <c:ext xmlns:c16="http://schemas.microsoft.com/office/drawing/2014/chart" uri="{C3380CC4-5D6E-409C-BE32-E72D297353CC}">
              <c16:uniqueId val="{00000012-B297-40F9-B1E3-1703953045C6}"/>
            </c:ext>
          </c:extLst>
        </c:ser>
        <c:ser>
          <c:idx val="4"/>
          <c:order val="4"/>
          <c:tx>
            <c:strRef>
              <c:f>Pivot!$F$37:$F$38</c:f>
              <c:strCache>
                <c:ptCount val="1"/>
                <c:pt idx="0">
                  <c:v>Very Late</c:v>
                </c:pt>
              </c:strCache>
            </c:strRef>
          </c:tx>
          <c:spPr>
            <a:solidFill>
              <a:srgbClr val="F8717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Pivot!$A$39:$A$46</c:f>
              <c:strCache>
                <c:ptCount val="7"/>
                <c:pt idx="0">
                  <c:v>Bollore Logistics</c:v>
                </c:pt>
                <c:pt idx="1">
                  <c:v>DHL</c:v>
                </c:pt>
                <c:pt idx="2">
                  <c:v>GIG Logistics</c:v>
                </c:pt>
                <c:pt idx="3">
                  <c:v>Kuehne+Nagel</c:v>
                </c:pt>
                <c:pt idx="4">
                  <c:v>Local Truck Partner</c:v>
                </c:pt>
                <c:pt idx="5">
                  <c:v>Maersk</c:v>
                </c:pt>
                <c:pt idx="6">
                  <c:v>No Carrier Listed</c:v>
                </c:pt>
              </c:strCache>
            </c:strRef>
          </c:cat>
          <c:val>
            <c:numRef>
              <c:f>Pivot!$F$39:$F$46</c:f>
              <c:numCache>
                <c:formatCode>General</c:formatCode>
                <c:ptCount val="7"/>
                <c:pt idx="0">
                  <c:v>15</c:v>
                </c:pt>
                <c:pt idx="1">
                  <c:v>10</c:v>
                </c:pt>
                <c:pt idx="2">
                  <c:v>19</c:v>
                </c:pt>
                <c:pt idx="3">
                  <c:v>11</c:v>
                </c:pt>
                <c:pt idx="4">
                  <c:v>16</c:v>
                </c:pt>
                <c:pt idx="5">
                  <c:v>25</c:v>
                </c:pt>
                <c:pt idx="6">
                  <c:v>24</c:v>
                </c:pt>
              </c:numCache>
            </c:numRef>
          </c:val>
          <c:extLst>
            <c:ext xmlns:c16="http://schemas.microsoft.com/office/drawing/2014/chart" uri="{C3380CC4-5D6E-409C-BE32-E72D297353CC}">
              <c16:uniqueId val="{00000013-B297-40F9-B1E3-1703953045C6}"/>
            </c:ext>
          </c:extLst>
        </c:ser>
        <c:ser>
          <c:idx val="5"/>
          <c:order val="5"/>
          <c:tx>
            <c:strRef>
              <c:f>Pivot!$G$37:$G$38</c:f>
              <c:strCache>
                <c:ptCount val="1"/>
                <c:pt idx="0">
                  <c:v>Severely Delayed</c:v>
                </c:pt>
              </c:strCache>
            </c:strRef>
          </c:tx>
          <c:spPr>
            <a:solidFill>
              <a:srgbClr val="B91C1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Pivot!$A$39:$A$46</c:f>
              <c:strCache>
                <c:ptCount val="7"/>
                <c:pt idx="0">
                  <c:v>Bollore Logistics</c:v>
                </c:pt>
                <c:pt idx="1">
                  <c:v>DHL</c:v>
                </c:pt>
                <c:pt idx="2">
                  <c:v>GIG Logistics</c:v>
                </c:pt>
                <c:pt idx="3">
                  <c:v>Kuehne+Nagel</c:v>
                </c:pt>
                <c:pt idx="4">
                  <c:v>Local Truck Partner</c:v>
                </c:pt>
                <c:pt idx="5">
                  <c:v>Maersk</c:v>
                </c:pt>
                <c:pt idx="6">
                  <c:v>No Carrier Listed</c:v>
                </c:pt>
              </c:strCache>
            </c:strRef>
          </c:cat>
          <c:val>
            <c:numRef>
              <c:f>Pivot!$G$39:$G$46</c:f>
              <c:numCache>
                <c:formatCode>General</c:formatCode>
                <c:ptCount val="7"/>
                <c:pt idx="0">
                  <c:v>18</c:v>
                </c:pt>
                <c:pt idx="1">
                  <c:v>15</c:v>
                </c:pt>
                <c:pt idx="2">
                  <c:v>17</c:v>
                </c:pt>
                <c:pt idx="3">
                  <c:v>21</c:v>
                </c:pt>
                <c:pt idx="4">
                  <c:v>18</c:v>
                </c:pt>
                <c:pt idx="5">
                  <c:v>23</c:v>
                </c:pt>
                <c:pt idx="6">
                  <c:v>37</c:v>
                </c:pt>
              </c:numCache>
            </c:numRef>
          </c:val>
          <c:extLst>
            <c:ext xmlns:c16="http://schemas.microsoft.com/office/drawing/2014/chart" uri="{C3380CC4-5D6E-409C-BE32-E72D297353CC}">
              <c16:uniqueId val="{00000014-B297-40F9-B1E3-1703953045C6}"/>
            </c:ext>
          </c:extLst>
        </c:ser>
        <c:ser>
          <c:idx val="6"/>
          <c:order val="6"/>
          <c:tx>
            <c:strRef>
              <c:f>Pivot!$H$37:$H$38</c:f>
              <c:strCache>
                <c:ptCount val="1"/>
                <c:pt idx="0">
                  <c:v>Invalid Lead Time</c:v>
                </c:pt>
              </c:strCache>
            </c:strRef>
          </c:tx>
          <c:spPr>
            <a:solidFill>
              <a:srgbClr val="94A3B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Pivot!$A$39:$A$46</c:f>
              <c:strCache>
                <c:ptCount val="7"/>
                <c:pt idx="0">
                  <c:v>Bollore Logistics</c:v>
                </c:pt>
                <c:pt idx="1">
                  <c:v>DHL</c:v>
                </c:pt>
                <c:pt idx="2">
                  <c:v>GIG Logistics</c:v>
                </c:pt>
                <c:pt idx="3">
                  <c:v>Kuehne+Nagel</c:v>
                </c:pt>
                <c:pt idx="4">
                  <c:v>Local Truck Partner</c:v>
                </c:pt>
                <c:pt idx="5">
                  <c:v>Maersk</c:v>
                </c:pt>
                <c:pt idx="6">
                  <c:v>No Carrier Listed</c:v>
                </c:pt>
              </c:strCache>
            </c:strRef>
          </c:cat>
          <c:val>
            <c:numRef>
              <c:f>Pivot!$H$39:$H$46</c:f>
              <c:numCache>
                <c:formatCode>General</c:formatCode>
                <c:ptCount val="7"/>
                <c:pt idx="0">
                  <c:v>5</c:v>
                </c:pt>
                <c:pt idx="1">
                  <c:v>2</c:v>
                </c:pt>
                <c:pt idx="2">
                  <c:v>2</c:v>
                </c:pt>
                <c:pt idx="4">
                  <c:v>2</c:v>
                </c:pt>
                <c:pt idx="6">
                  <c:v>3</c:v>
                </c:pt>
              </c:numCache>
            </c:numRef>
          </c:val>
          <c:extLst>
            <c:ext xmlns:c16="http://schemas.microsoft.com/office/drawing/2014/chart" uri="{C3380CC4-5D6E-409C-BE32-E72D297353CC}">
              <c16:uniqueId val="{00000018-B297-40F9-B1E3-1703953045C6}"/>
            </c:ext>
          </c:extLst>
        </c:ser>
        <c:dLbls>
          <c:dLblPos val="ctr"/>
          <c:showLegendKey val="0"/>
          <c:showVal val="1"/>
          <c:showCatName val="0"/>
          <c:showSerName val="0"/>
          <c:showPercent val="0"/>
          <c:showBubbleSize val="0"/>
        </c:dLbls>
        <c:gapWidth val="40"/>
        <c:overlap val="100"/>
        <c:axId val="1693363855"/>
        <c:axId val="1693351855"/>
      </c:barChart>
      <c:catAx>
        <c:axId val="169336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351855"/>
        <c:crosses val="autoZero"/>
        <c:auto val="1"/>
        <c:lblAlgn val="ctr"/>
        <c:lblOffset val="100"/>
        <c:noMultiLvlLbl val="0"/>
      </c:catAx>
      <c:valAx>
        <c:axId val="16933518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36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Total On-Tme Delivery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456036745406818E-2"/>
          <c:y val="0.15060185185185185"/>
          <c:w val="0.88498840769903764"/>
          <c:h val="0.62303514144065331"/>
        </c:manualLayout>
      </c:layout>
      <c:barChart>
        <c:barDir val="col"/>
        <c:grouping val="clustered"/>
        <c:varyColors val="0"/>
        <c:ser>
          <c:idx val="0"/>
          <c:order val="0"/>
          <c:tx>
            <c:strRef>
              <c:f>'Pivot Table Analysis'!$B$1498</c:f>
              <c:strCache>
                <c:ptCount val="1"/>
                <c:pt idx="0">
                  <c:v>On-Tme Delivery Rate</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Analysis'!$A$1499:$A$1513</c:f>
              <c:strCache>
                <c:ptCount val="15"/>
                <c:pt idx="0">
                  <c:v>Dar</c:v>
                </c:pt>
                <c:pt idx="1">
                  <c:v>Cape</c:v>
                </c:pt>
                <c:pt idx="2">
                  <c:v>Primesteel</c:v>
                </c:pt>
                <c:pt idx="3">
                  <c:v>Sahara</c:v>
                </c:pt>
                <c:pt idx="4">
                  <c:v>Nile</c:v>
                </c:pt>
                <c:pt idx="5">
                  <c:v>LagosPR</c:v>
                </c:pt>
                <c:pt idx="6">
                  <c:v>Kano</c:v>
                </c:pt>
                <c:pt idx="7">
                  <c:v>Casablanca</c:v>
                </c:pt>
                <c:pt idx="8">
                  <c:v>Mombasa</c:v>
                </c:pt>
                <c:pt idx="9">
                  <c:v>AbidjanCS</c:v>
                </c:pt>
                <c:pt idx="10">
                  <c:v>Kampala</c:v>
                </c:pt>
                <c:pt idx="11">
                  <c:v>AddisFW</c:v>
                </c:pt>
                <c:pt idx="12">
                  <c:v>AccraAI</c:v>
                </c:pt>
                <c:pt idx="13">
                  <c:v>Kentech</c:v>
                </c:pt>
                <c:pt idx="14">
                  <c:v>Kigali</c:v>
                </c:pt>
              </c:strCache>
            </c:strRef>
          </c:cat>
          <c:val>
            <c:numRef>
              <c:f>'Pivot Table Analysis'!$B$1499:$B$1513</c:f>
              <c:numCache>
                <c:formatCode>0%</c:formatCode>
                <c:ptCount val="15"/>
                <c:pt idx="0">
                  <c:v>0.49090909090909096</c:v>
                </c:pt>
                <c:pt idx="1">
                  <c:v>0.44262295081967212</c:v>
                </c:pt>
                <c:pt idx="2">
                  <c:v>0.42857142857142855</c:v>
                </c:pt>
                <c:pt idx="3">
                  <c:v>0.39473684210526316</c:v>
                </c:pt>
                <c:pt idx="4">
                  <c:v>0.38805970149253732</c:v>
                </c:pt>
                <c:pt idx="5">
                  <c:v>0.38805970149253732</c:v>
                </c:pt>
                <c:pt idx="6">
                  <c:v>0.38461538461538464</c:v>
                </c:pt>
                <c:pt idx="7">
                  <c:v>0.3783783783783784</c:v>
                </c:pt>
                <c:pt idx="8">
                  <c:v>0.35897435897435892</c:v>
                </c:pt>
                <c:pt idx="9">
                  <c:v>0.33766233766233766</c:v>
                </c:pt>
                <c:pt idx="10">
                  <c:v>0.33333333333333337</c:v>
                </c:pt>
                <c:pt idx="11">
                  <c:v>0.33333333333333331</c:v>
                </c:pt>
                <c:pt idx="12">
                  <c:v>0.32075471698113212</c:v>
                </c:pt>
                <c:pt idx="13">
                  <c:v>0.3125</c:v>
                </c:pt>
                <c:pt idx="14">
                  <c:v>0.30508474576271188</c:v>
                </c:pt>
              </c:numCache>
            </c:numRef>
          </c:val>
          <c:extLst>
            <c:ext xmlns:c16="http://schemas.microsoft.com/office/drawing/2014/chart" uri="{C3380CC4-5D6E-409C-BE32-E72D297353CC}">
              <c16:uniqueId val="{00000000-48AC-48CD-AE3D-AE791D7502FB}"/>
            </c:ext>
          </c:extLst>
        </c:ser>
        <c:dLbls>
          <c:showLegendKey val="0"/>
          <c:showVal val="0"/>
          <c:showCatName val="0"/>
          <c:showSerName val="0"/>
          <c:showPercent val="0"/>
          <c:showBubbleSize val="0"/>
        </c:dLbls>
        <c:gapWidth val="40"/>
        <c:overlap val="100"/>
        <c:axId val="1082598383"/>
        <c:axId val="1082596943"/>
      </c:barChart>
      <c:catAx>
        <c:axId val="108259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596943"/>
        <c:crosses val="autoZero"/>
        <c:auto val="1"/>
        <c:lblAlgn val="ctr"/>
        <c:lblOffset val="100"/>
        <c:noMultiLvlLbl val="0"/>
      </c:catAx>
      <c:valAx>
        <c:axId val="10825969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5983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[Maersk-Ahmed Lawal_revised.xlsx]Pivot!Actual&amp;ExpectedLeadtimeTrend2</c:name>
    <c:fmtId val="3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16496787594803E-2"/>
          <c:y val="2.5173766659086334E-2"/>
          <c:w val="0.82902636003638397"/>
          <c:h val="0.68757576505932883"/>
        </c:manualLayout>
      </c:layout>
      <c:lineChart>
        <c:grouping val="standard"/>
        <c:varyColors val="0"/>
        <c:ser>
          <c:idx val="0"/>
          <c:order val="0"/>
          <c:tx>
            <c:strRef>
              <c:f>Pivot!$C$1774</c:f>
              <c:strCache>
                <c:ptCount val="1"/>
                <c:pt idx="0">
                  <c:v>Actual LeadTime</c:v>
                </c:pt>
              </c:strCache>
            </c:strRef>
          </c:tx>
          <c:spPr>
            <a:ln w="28575" cap="rnd">
              <a:solidFill>
                <a:schemeClr val="accent1"/>
              </a:solidFill>
              <a:round/>
            </a:ln>
            <a:effectLst/>
          </c:spPr>
          <c:marker>
            <c:symbol val="none"/>
          </c:marker>
          <c:cat>
            <c:multiLvlStrRef>
              <c:f>Pivot!$A$1775:$B$1972</c:f>
              <c:multiLvlStrCache>
                <c:ptCount val="198"/>
                <c:lvl>
                  <c:pt idx="0">
                    <c:v>03/01/2026</c:v>
                  </c:pt>
                  <c:pt idx="1">
                    <c:v>05/01/2026</c:v>
                  </c:pt>
                  <c:pt idx="2">
                    <c:v>07/01/2026</c:v>
                  </c:pt>
                  <c:pt idx="3">
                    <c:v>08/01/2026</c:v>
                  </c:pt>
                  <c:pt idx="4">
                    <c:v>09/01/2026</c:v>
                  </c:pt>
                  <c:pt idx="5">
                    <c:v>13/01/2026</c:v>
                  </c:pt>
                  <c:pt idx="6">
                    <c:v>14/01/2026</c:v>
                  </c:pt>
                  <c:pt idx="7">
                    <c:v>15/01/2026</c:v>
                  </c:pt>
                  <c:pt idx="8">
                    <c:v>16/01/2026</c:v>
                  </c:pt>
                  <c:pt idx="9">
                    <c:v>17/01/2026</c:v>
                  </c:pt>
                  <c:pt idx="10">
                    <c:v>18/01/2026</c:v>
                  </c:pt>
                  <c:pt idx="11">
                    <c:v>19/01/2026</c:v>
                  </c:pt>
                  <c:pt idx="12">
                    <c:v>20/01/2026</c:v>
                  </c:pt>
                  <c:pt idx="13">
                    <c:v>21/01/2026</c:v>
                  </c:pt>
                  <c:pt idx="14">
                    <c:v>22/01/2026</c:v>
                  </c:pt>
                  <c:pt idx="15">
                    <c:v>23/01/2026</c:v>
                  </c:pt>
                  <c:pt idx="16">
                    <c:v>24/01/2026</c:v>
                  </c:pt>
                  <c:pt idx="17">
                    <c:v>25/01/2026</c:v>
                  </c:pt>
                  <c:pt idx="18">
                    <c:v>26/01/2026</c:v>
                  </c:pt>
                  <c:pt idx="19">
                    <c:v>27/01/2026</c:v>
                  </c:pt>
                  <c:pt idx="20">
                    <c:v>28/01/2026</c:v>
                  </c:pt>
                  <c:pt idx="21">
                    <c:v>29/01/2026</c:v>
                  </c:pt>
                  <c:pt idx="22">
                    <c:v>30/01/2026</c:v>
                  </c:pt>
                  <c:pt idx="23">
                    <c:v>31/01/2026</c:v>
                  </c:pt>
                  <c:pt idx="24">
                    <c:v>01/02/2026</c:v>
                  </c:pt>
                  <c:pt idx="25">
                    <c:v>02/02/2026</c:v>
                  </c:pt>
                  <c:pt idx="26">
                    <c:v>03/02/2026</c:v>
                  </c:pt>
                  <c:pt idx="27">
                    <c:v>04/02/2026</c:v>
                  </c:pt>
                  <c:pt idx="28">
                    <c:v>05/02/2026</c:v>
                  </c:pt>
                  <c:pt idx="29">
                    <c:v>06/02/2026</c:v>
                  </c:pt>
                  <c:pt idx="30">
                    <c:v>07/02/2026</c:v>
                  </c:pt>
                  <c:pt idx="31">
                    <c:v>08/02/2026</c:v>
                  </c:pt>
                  <c:pt idx="32">
                    <c:v>09/02/2026</c:v>
                  </c:pt>
                  <c:pt idx="33">
                    <c:v>10/02/2026</c:v>
                  </c:pt>
                  <c:pt idx="34">
                    <c:v>11/02/2026</c:v>
                  </c:pt>
                  <c:pt idx="35">
                    <c:v>12/02/2026</c:v>
                  </c:pt>
                  <c:pt idx="36">
                    <c:v>13/02/2026</c:v>
                  </c:pt>
                  <c:pt idx="37">
                    <c:v>14/02/2026</c:v>
                  </c:pt>
                  <c:pt idx="38">
                    <c:v>15/02/2026</c:v>
                  </c:pt>
                  <c:pt idx="39">
                    <c:v>16/02/2026</c:v>
                  </c:pt>
                  <c:pt idx="40">
                    <c:v>17/02/2026</c:v>
                  </c:pt>
                  <c:pt idx="41">
                    <c:v>18/02/2026</c:v>
                  </c:pt>
                  <c:pt idx="42">
                    <c:v>19/02/2026</c:v>
                  </c:pt>
                  <c:pt idx="43">
                    <c:v>20/02/2026</c:v>
                  </c:pt>
                  <c:pt idx="44">
                    <c:v>21/02/2026</c:v>
                  </c:pt>
                  <c:pt idx="45">
                    <c:v>22/02/2026</c:v>
                  </c:pt>
                  <c:pt idx="46">
                    <c:v>23/02/2026</c:v>
                  </c:pt>
                  <c:pt idx="47">
                    <c:v>24/02/2026</c:v>
                  </c:pt>
                  <c:pt idx="48">
                    <c:v>25/02/2026</c:v>
                  </c:pt>
                  <c:pt idx="49">
                    <c:v>26/02/2026</c:v>
                  </c:pt>
                  <c:pt idx="50">
                    <c:v>27/02/2026</c:v>
                  </c:pt>
                  <c:pt idx="51">
                    <c:v>28/02/2026</c:v>
                  </c:pt>
                  <c:pt idx="52">
                    <c:v>01/03/2026</c:v>
                  </c:pt>
                  <c:pt idx="53">
                    <c:v>02/03/2026</c:v>
                  </c:pt>
                  <c:pt idx="54">
                    <c:v>03/03/2026</c:v>
                  </c:pt>
                  <c:pt idx="55">
                    <c:v>04/03/2026</c:v>
                  </c:pt>
                  <c:pt idx="56">
                    <c:v>05/03/2026</c:v>
                  </c:pt>
                  <c:pt idx="57">
                    <c:v>06/03/2026</c:v>
                  </c:pt>
                  <c:pt idx="58">
                    <c:v>07/03/2026</c:v>
                  </c:pt>
                  <c:pt idx="59">
                    <c:v>08/03/2026</c:v>
                  </c:pt>
                  <c:pt idx="60">
                    <c:v>09/03/2026</c:v>
                  </c:pt>
                  <c:pt idx="61">
                    <c:v>10/03/2026</c:v>
                  </c:pt>
                  <c:pt idx="62">
                    <c:v>11/03/2026</c:v>
                  </c:pt>
                  <c:pt idx="63">
                    <c:v>12/03/2026</c:v>
                  </c:pt>
                  <c:pt idx="64">
                    <c:v>13/03/2026</c:v>
                  </c:pt>
                  <c:pt idx="65">
                    <c:v>14/03/2026</c:v>
                  </c:pt>
                  <c:pt idx="66">
                    <c:v>15/03/2026</c:v>
                  </c:pt>
                  <c:pt idx="67">
                    <c:v>16/03/2026</c:v>
                  </c:pt>
                  <c:pt idx="68">
                    <c:v>17/03/2026</c:v>
                  </c:pt>
                  <c:pt idx="69">
                    <c:v>18/03/2026</c:v>
                  </c:pt>
                  <c:pt idx="70">
                    <c:v>19/03/2026</c:v>
                  </c:pt>
                  <c:pt idx="71">
                    <c:v>20/03/2026</c:v>
                  </c:pt>
                  <c:pt idx="72">
                    <c:v>21/03/2026</c:v>
                  </c:pt>
                  <c:pt idx="73">
                    <c:v>22/03/2026</c:v>
                  </c:pt>
                  <c:pt idx="74">
                    <c:v>23/03/2026</c:v>
                  </c:pt>
                  <c:pt idx="75">
                    <c:v>24/03/2026</c:v>
                  </c:pt>
                  <c:pt idx="76">
                    <c:v>25/03/2026</c:v>
                  </c:pt>
                  <c:pt idx="77">
                    <c:v>26/03/2026</c:v>
                  </c:pt>
                  <c:pt idx="78">
                    <c:v>27/03/2026</c:v>
                  </c:pt>
                  <c:pt idx="79">
                    <c:v>28/03/2026</c:v>
                  </c:pt>
                  <c:pt idx="80">
                    <c:v>29/03/2026</c:v>
                  </c:pt>
                  <c:pt idx="81">
                    <c:v>30/03/2026</c:v>
                  </c:pt>
                  <c:pt idx="82">
                    <c:v>31/03/2026</c:v>
                  </c:pt>
                  <c:pt idx="83">
                    <c:v>01/04/2026</c:v>
                  </c:pt>
                  <c:pt idx="84">
                    <c:v>02/04/2026</c:v>
                  </c:pt>
                  <c:pt idx="85">
                    <c:v>03/04/2026</c:v>
                  </c:pt>
                  <c:pt idx="86">
                    <c:v>04/04/2026</c:v>
                  </c:pt>
                  <c:pt idx="87">
                    <c:v>05/04/2026</c:v>
                  </c:pt>
                  <c:pt idx="88">
                    <c:v>06/04/2026</c:v>
                  </c:pt>
                  <c:pt idx="89">
                    <c:v>07/04/2026</c:v>
                  </c:pt>
                  <c:pt idx="90">
                    <c:v>08/04/2026</c:v>
                  </c:pt>
                  <c:pt idx="91">
                    <c:v>09/04/2026</c:v>
                  </c:pt>
                  <c:pt idx="92">
                    <c:v>10/04/2026</c:v>
                  </c:pt>
                  <c:pt idx="93">
                    <c:v>11/04/2026</c:v>
                  </c:pt>
                  <c:pt idx="94">
                    <c:v>12/04/2026</c:v>
                  </c:pt>
                  <c:pt idx="95">
                    <c:v>13/04/2026</c:v>
                  </c:pt>
                  <c:pt idx="96">
                    <c:v>14/04/2026</c:v>
                  </c:pt>
                  <c:pt idx="97">
                    <c:v>15/04/2026</c:v>
                  </c:pt>
                  <c:pt idx="98">
                    <c:v>16/04/2026</c:v>
                  </c:pt>
                  <c:pt idx="99">
                    <c:v>17/04/2026</c:v>
                  </c:pt>
                  <c:pt idx="100">
                    <c:v>18/04/2026</c:v>
                  </c:pt>
                  <c:pt idx="101">
                    <c:v>19/04/2026</c:v>
                  </c:pt>
                  <c:pt idx="102">
                    <c:v>20/04/2026</c:v>
                  </c:pt>
                  <c:pt idx="103">
                    <c:v>21/04/2026</c:v>
                  </c:pt>
                  <c:pt idx="104">
                    <c:v>22/04/2026</c:v>
                  </c:pt>
                  <c:pt idx="105">
                    <c:v>23/04/2026</c:v>
                  </c:pt>
                  <c:pt idx="106">
                    <c:v>24/04/2026</c:v>
                  </c:pt>
                  <c:pt idx="107">
                    <c:v>25/04/2026</c:v>
                  </c:pt>
                  <c:pt idx="108">
                    <c:v>26/04/2026</c:v>
                  </c:pt>
                  <c:pt idx="109">
                    <c:v>27/04/2026</c:v>
                  </c:pt>
                  <c:pt idx="110">
                    <c:v>28/04/2026</c:v>
                  </c:pt>
                  <c:pt idx="111">
                    <c:v>29/04/2026</c:v>
                  </c:pt>
                  <c:pt idx="112">
                    <c:v>30/04/2026</c:v>
                  </c:pt>
                  <c:pt idx="113">
                    <c:v>01/05/2026</c:v>
                  </c:pt>
                  <c:pt idx="114">
                    <c:v>02/05/2026</c:v>
                  </c:pt>
                  <c:pt idx="115">
                    <c:v>03/05/2026</c:v>
                  </c:pt>
                  <c:pt idx="116">
                    <c:v>04/05/2026</c:v>
                  </c:pt>
                  <c:pt idx="117">
                    <c:v>05/05/2026</c:v>
                  </c:pt>
                  <c:pt idx="118">
                    <c:v>06/05/2026</c:v>
                  </c:pt>
                  <c:pt idx="119">
                    <c:v>07/05/2026</c:v>
                  </c:pt>
                  <c:pt idx="120">
                    <c:v>08/05/2026</c:v>
                  </c:pt>
                  <c:pt idx="121">
                    <c:v>09/05/2026</c:v>
                  </c:pt>
                  <c:pt idx="122">
                    <c:v>10/05/2026</c:v>
                  </c:pt>
                  <c:pt idx="123">
                    <c:v>11/05/2026</c:v>
                  </c:pt>
                  <c:pt idx="124">
                    <c:v>12/05/2026</c:v>
                  </c:pt>
                  <c:pt idx="125">
                    <c:v>13/05/2026</c:v>
                  </c:pt>
                  <c:pt idx="126">
                    <c:v>14/05/2026</c:v>
                  </c:pt>
                  <c:pt idx="127">
                    <c:v>15/05/2026</c:v>
                  </c:pt>
                  <c:pt idx="128">
                    <c:v>16/05/2026</c:v>
                  </c:pt>
                  <c:pt idx="129">
                    <c:v>17/05/2026</c:v>
                  </c:pt>
                  <c:pt idx="130">
                    <c:v>18/05/2026</c:v>
                  </c:pt>
                  <c:pt idx="131">
                    <c:v>19/05/2026</c:v>
                  </c:pt>
                  <c:pt idx="132">
                    <c:v>20/05/2026</c:v>
                  </c:pt>
                  <c:pt idx="133">
                    <c:v>21/05/2026</c:v>
                  </c:pt>
                  <c:pt idx="134">
                    <c:v>22/05/2026</c:v>
                  </c:pt>
                  <c:pt idx="135">
                    <c:v>23/05/2026</c:v>
                  </c:pt>
                  <c:pt idx="136">
                    <c:v>24/05/2026</c:v>
                  </c:pt>
                  <c:pt idx="137">
                    <c:v>25/05/2026</c:v>
                  </c:pt>
                  <c:pt idx="138">
                    <c:v>26/05/2026</c:v>
                  </c:pt>
                  <c:pt idx="139">
                    <c:v>27/05/2026</c:v>
                  </c:pt>
                  <c:pt idx="140">
                    <c:v>28/05/2026</c:v>
                  </c:pt>
                  <c:pt idx="141">
                    <c:v>29/05/2026</c:v>
                  </c:pt>
                  <c:pt idx="142">
                    <c:v>30/05/2026</c:v>
                  </c:pt>
                  <c:pt idx="143">
                    <c:v>31/05/2026</c:v>
                  </c:pt>
                  <c:pt idx="144">
                    <c:v>01/06/2026</c:v>
                  </c:pt>
                  <c:pt idx="145">
                    <c:v>02/06/2026</c:v>
                  </c:pt>
                  <c:pt idx="146">
                    <c:v>03/06/2026</c:v>
                  </c:pt>
                  <c:pt idx="147">
                    <c:v>04/06/2026</c:v>
                  </c:pt>
                  <c:pt idx="148">
                    <c:v>05/06/2026</c:v>
                  </c:pt>
                  <c:pt idx="149">
                    <c:v>06/06/2026</c:v>
                  </c:pt>
                  <c:pt idx="150">
                    <c:v>07/06/2026</c:v>
                  </c:pt>
                  <c:pt idx="151">
                    <c:v>08/06/2026</c:v>
                  </c:pt>
                  <c:pt idx="152">
                    <c:v>09/06/2026</c:v>
                  </c:pt>
                  <c:pt idx="153">
                    <c:v>10/06/2026</c:v>
                  </c:pt>
                  <c:pt idx="154">
                    <c:v>11/06/2026</c:v>
                  </c:pt>
                  <c:pt idx="155">
                    <c:v>12/06/2026</c:v>
                  </c:pt>
                  <c:pt idx="156">
                    <c:v>13/06/2026</c:v>
                  </c:pt>
                  <c:pt idx="157">
                    <c:v>14/06/2026</c:v>
                  </c:pt>
                  <c:pt idx="158">
                    <c:v>15/06/2026</c:v>
                  </c:pt>
                  <c:pt idx="159">
                    <c:v>16/06/2026</c:v>
                  </c:pt>
                  <c:pt idx="160">
                    <c:v>17/06/2026</c:v>
                  </c:pt>
                  <c:pt idx="161">
                    <c:v>18/06/2026</c:v>
                  </c:pt>
                  <c:pt idx="162">
                    <c:v>19/06/2026</c:v>
                  </c:pt>
                  <c:pt idx="163">
                    <c:v>20/06/2026</c:v>
                  </c:pt>
                  <c:pt idx="164">
                    <c:v>21/06/2026</c:v>
                  </c:pt>
                  <c:pt idx="165">
                    <c:v>22/06/2026</c:v>
                  </c:pt>
                  <c:pt idx="166">
                    <c:v>23/06/2026</c:v>
                  </c:pt>
                  <c:pt idx="167">
                    <c:v>24/06/2026</c:v>
                  </c:pt>
                  <c:pt idx="168">
                    <c:v>25/06/2026</c:v>
                  </c:pt>
                  <c:pt idx="169">
                    <c:v>26/06/2026</c:v>
                  </c:pt>
                  <c:pt idx="170">
                    <c:v>27/06/2026</c:v>
                  </c:pt>
                  <c:pt idx="171">
                    <c:v>28/06/2026</c:v>
                  </c:pt>
                  <c:pt idx="172">
                    <c:v>29/06/2026</c:v>
                  </c:pt>
                  <c:pt idx="173">
                    <c:v>30/06/2026</c:v>
                  </c:pt>
                  <c:pt idx="174">
                    <c:v>01/07/2026</c:v>
                  </c:pt>
                  <c:pt idx="175">
                    <c:v>02/07/2026</c:v>
                  </c:pt>
                  <c:pt idx="176">
                    <c:v>03/07/2026</c:v>
                  </c:pt>
                  <c:pt idx="177">
                    <c:v>04/07/2026</c:v>
                  </c:pt>
                  <c:pt idx="178">
                    <c:v>05/07/2026</c:v>
                  </c:pt>
                  <c:pt idx="179">
                    <c:v>06/07/2026</c:v>
                  </c:pt>
                  <c:pt idx="180">
                    <c:v>07/07/2026</c:v>
                  </c:pt>
                  <c:pt idx="181">
                    <c:v>08/07/2026</c:v>
                  </c:pt>
                  <c:pt idx="182">
                    <c:v>09/07/2026</c:v>
                  </c:pt>
                  <c:pt idx="183">
                    <c:v>10/07/2026</c:v>
                  </c:pt>
                  <c:pt idx="184">
                    <c:v>11/07/2026</c:v>
                  </c:pt>
                  <c:pt idx="185">
                    <c:v>12/07/2026</c:v>
                  </c:pt>
                  <c:pt idx="186">
                    <c:v>13/07/2026</c:v>
                  </c:pt>
                  <c:pt idx="187">
                    <c:v>14/07/2026</c:v>
                  </c:pt>
                  <c:pt idx="188">
                    <c:v>15/07/2026</c:v>
                  </c:pt>
                  <c:pt idx="189">
                    <c:v>16/07/2026</c:v>
                  </c:pt>
                  <c:pt idx="190">
                    <c:v>17/07/2026</c:v>
                  </c:pt>
                  <c:pt idx="191">
                    <c:v>18/07/2026</c:v>
                  </c:pt>
                  <c:pt idx="192">
                    <c:v>19/07/2026</c:v>
                  </c:pt>
                  <c:pt idx="193">
                    <c:v>20/07/2026</c:v>
                  </c:pt>
                  <c:pt idx="194">
                    <c:v>21/07/2026</c:v>
                  </c:pt>
                  <c:pt idx="195">
                    <c:v>24/07/2026</c:v>
                  </c:pt>
                  <c:pt idx="196">
                    <c:v>25/07/2026</c:v>
                  </c:pt>
                  <c:pt idx="197">
                    <c:v>29/07/2026</c:v>
                  </c:pt>
                </c:lvl>
                <c:lvl>
                  <c:pt idx="0">
                    <c:v>Jan</c:v>
                  </c:pt>
                  <c:pt idx="24">
                    <c:v>Feb</c:v>
                  </c:pt>
                  <c:pt idx="52">
                    <c:v>Mar</c:v>
                  </c:pt>
                  <c:pt idx="83">
                    <c:v>Apr</c:v>
                  </c:pt>
                  <c:pt idx="113">
                    <c:v>May</c:v>
                  </c:pt>
                  <c:pt idx="144">
                    <c:v>Jun</c:v>
                  </c:pt>
                  <c:pt idx="174">
                    <c:v>Jul</c:v>
                  </c:pt>
                </c:lvl>
              </c:multiLvlStrCache>
            </c:multiLvlStrRef>
          </c:cat>
          <c:val>
            <c:numRef>
              <c:f>Pivot!$C$1775:$C$1972</c:f>
              <c:numCache>
                <c:formatCode>General</c:formatCode>
                <c:ptCount val="198"/>
                <c:pt idx="0">
                  <c:v>0</c:v>
                </c:pt>
                <c:pt idx="1">
                  <c:v>3</c:v>
                </c:pt>
                <c:pt idx="2">
                  <c:v>0</c:v>
                </c:pt>
                <c:pt idx="3">
                  <c:v>5</c:v>
                </c:pt>
                <c:pt idx="4">
                  <c:v>13</c:v>
                </c:pt>
                <c:pt idx="5">
                  <c:v>11</c:v>
                </c:pt>
                <c:pt idx="6">
                  <c:v>20</c:v>
                </c:pt>
                <c:pt idx="7">
                  <c:v>14</c:v>
                </c:pt>
                <c:pt idx="8">
                  <c:v>9</c:v>
                </c:pt>
                <c:pt idx="9">
                  <c:v>50</c:v>
                </c:pt>
                <c:pt idx="10">
                  <c:v>45</c:v>
                </c:pt>
                <c:pt idx="11">
                  <c:v>38</c:v>
                </c:pt>
                <c:pt idx="12">
                  <c:v>54</c:v>
                </c:pt>
                <c:pt idx="13">
                  <c:v>46</c:v>
                </c:pt>
                <c:pt idx="14">
                  <c:v>8</c:v>
                </c:pt>
                <c:pt idx="15">
                  <c:v>35</c:v>
                </c:pt>
                <c:pt idx="16">
                  <c:v>121</c:v>
                </c:pt>
                <c:pt idx="17">
                  <c:v>60</c:v>
                </c:pt>
                <c:pt idx="18">
                  <c:v>85</c:v>
                </c:pt>
                <c:pt idx="19">
                  <c:v>80</c:v>
                </c:pt>
                <c:pt idx="20">
                  <c:v>93</c:v>
                </c:pt>
                <c:pt idx="21">
                  <c:v>108</c:v>
                </c:pt>
                <c:pt idx="22">
                  <c:v>77</c:v>
                </c:pt>
                <c:pt idx="23">
                  <c:v>68</c:v>
                </c:pt>
                <c:pt idx="24">
                  <c:v>39</c:v>
                </c:pt>
                <c:pt idx="25">
                  <c:v>45</c:v>
                </c:pt>
                <c:pt idx="26">
                  <c:v>55</c:v>
                </c:pt>
                <c:pt idx="27">
                  <c:v>93</c:v>
                </c:pt>
                <c:pt idx="28">
                  <c:v>58</c:v>
                </c:pt>
                <c:pt idx="29">
                  <c:v>107</c:v>
                </c:pt>
                <c:pt idx="30">
                  <c:v>28</c:v>
                </c:pt>
                <c:pt idx="31">
                  <c:v>22</c:v>
                </c:pt>
                <c:pt idx="32">
                  <c:v>57</c:v>
                </c:pt>
                <c:pt idx="33">
                  <c:v>84</c:v>
                </c:pt>
                <c:pt idx="34">
                  <c:v>117</c:v>
                </c:pt>
                <c:pt idx="35">
                  <c:v>85</c:v>
                </c:pt>
                <c:pt idx="36">
                  <c:v>77</c:v>
                </c:pt>
                <c:pt idx="37">
                  <c:v>110</c:v>
                </c:pt>
                <c:pt idx="38">
                  <c:v>65</c:v>
                </c:pt>
                <c:pt idx="39">
                  <c:v>63</c:v>
                </c:pt>
                <c:pt idx="40">
                  <c:v>81</c:v>
                </c:pt>
                <c:pt idx="41">
                  <c:v>119</c:v>
                </c:pt>
                <c:pt idx="42">
                  <c:v>68</c:v>
                </c:pt>
                <c:pt idx="43">
                  <c:v>121</c:v>
                </c:pt>
                <c:pt idx="44">
                  <c:v>98</c:v>
                </c:pt>
                <c:pt idx="45">
                  <c:v>90</c:v>
                </c:pt>
                <c:pt idx="46">
                  <c:v>83</c:v>
                </c:pt>
                <c:pt idx="47">
                  <c:v>132</c:v>
                </c:pt>
                <c:pt idx="48">
                  <c:v>128</c:v>
                </c:pt>
                <c:pt idx="49">
                  <c:v>60</c:v>
                </c:pt>
                <c:pt idx="50">
                  <c:v>56</c:v>
                </c:pt>
                <c:pt idx="51">
                  <c:v>96</c:v>
                </c:pt>
                <c:pt idx="52">
                  <c:v>124</c:v>
                </c:pt>
                <c:pt idx="53">
                  <c:v>131</c:v>
                </c:pt>
                <c:pt idx="54">
                  <c:v>18</c:v>
                </c:pt>
                <c:pt idx="55">
                  <c:v>126</c:v>
                </c:pt>
                <c:pt idx="56">
                  <c:v>109</c:v>
                </c:pt>
                <c:pt idx="57">
                  <c:v>58</c:v>
                </c:pt>
                <c:pt idx="58">
                  <c:v>13</c:v>
                </c:pt>
                <c:pt idx="59">
                  <c:v>48</c:v>
                </c:pt>
                <c:pt idx="60">
                  <c:v>50</c:v>
                </c:pt>
                <c:pt idx="61">
                  <c:v>105</c:v>
                </c:pt>
                <c:pt idx="62">
                  <c:v>123</c:v>
                </c:pt>
                <c:pt idx="63">
                  <c:v>56</c:v>
                </c:pt>
                <c:pt idx="64">
                  <c:v>62</c:v>
                </c:pt>
                <c:pt idx="65">
                  <c:v>46</c:v>
                </c:pt>
                <c:pt idx="66">
                  <c:v>45</c:v>
                </c:pt>
                <c:pt idx="67">
                  <c:v>103</c:v>
                </c:pt>
                <c:pt idx="68">
                  <c:v>54</c:v>
                </c:pt>
                <c:pt idx="69">
                  <c:v>65</c:v>
                </c:pt>
                <c:pt idx="70">
                  <c:v>105</c:v>
                </c:pt>
                <c:pt idx="71">
                  <c:v>18</c:v>
                </c:pt>
                <c:pt idx="72">
                  <c:v>124</c:v>
                </c:pt>
                <c:pt idx="73">
                  <c:v>23</c:v>
                </c:pt>
                <c:pt idx="74">
                  <c:v>105</c:v>
                </c:pt>
                <c:pt idx="75">
                  <c:v>62</c:v>
                </c:pt>
                <c:pt idx="76">
                  <c:v>66</c:v>
                </c:pt>
                <c:pt idx="77">
                  <c:v>52</c:v>
                </c:pt>
                <c:pt idx="78">
                  <c:v>112</c:v>
                </c:pt>
                <c:pt idx="79">
                  <c:v>106</c:v>
                </c:pt>
                <c:pt idx="80">
                  <c:v>78</c:v>
                </c:pt>
                <c:pt idx="81">
                  <c:v>113</c:v>
                </c:pt>
                <c:pt idx="82">
                  <c:v>102</c:v>
                </c:pt>
                <c:pt idx="83">
                  <c:v>153</c:v>
                </c:pt>
                <c:pt idx="84">
                  <c:v>146</c:v>
                </c:pt>
                <c:pt idx="85">
                  <c:v>68</c:v>
                </c:pt>
                <c:pt idx="86">
                  <c:v>133</c:v>
                </c:pt>
                <c:pt idx="87">
                  <c:v>76</c:v>
                </c:pt>
                <c:pt idx="88">
                  <c:v>142</c:v>
                </c:pt>
                <c:pt idx="89">
                  <c:v>100</c:v>
                </c:pt>
                <c:pt idx="90">
                  <c:v>74</c:v>
                </c:pt>
                <c:pt idx="91">
                  <c:v>28</c:v>
                </c:pt>
                <c:pt idx="92">
                  <c:v>32</c:v>
                </c:pt>
                <c:pt idx="93">
                  <c:v>94</c:v>
                </c:pt>
                <c:pt idx="94">
                  <c:v>99</c:v>
                </c:pt>
                <c:pt idx="95">
                  <c:v>72</c:v>
                </c:pt>
                <c:pt idx="96">
                  <c:v>133</c:v>
                </c:pt>
                <c:pt idx="97">
                  <c:v>81</c:v>
                </c:pt>
                <c:pt idx="98">
                  <c:v>153</c:v>
                </c:pt>
                <c:pt idx="99">
                  <c:v>51</c:v>
                </c:pt>
                <c:pt idx="100">
                  <c:v>32</c:v>
                </c:pt>
                <c:pt idx="101">
                  <c:v>104</c:v>
                </c:pt>
                <c:pt idx="102">
                  <c:v>153</c:v>
                </c:pt>
                <c:pt idx="103">
                  <c:v>109</c:v>
                </c:pt>
                <c:pt idx="104">
                  <c:v>40</c:v>
                </c:pt>
                <c:pt idx="105">
                  <c:v>124</c:v>
                </c:pt>
                <c:pt idx="106">
                  <c:v>93</c:v>
                </c:pt>
                <c:pt idx="107">
                  <c:v>66</c:v>
                </c:pt>
                <c:pt idx="108">
                  <c:v>101</c:v>
                </c:pt>
                <c:pt idx="109">
                  <c:v>84</c:v>
                </c:pt>
                <c:pt idx="110">
                  <c:v>53</c:v>
                </c:pt>
                <c:pt idx="111">
                  <c:v>67</c:v>
                </c:pt>
                <c:pt idx="112">
                  <c:v>97</c:v>
                </c:pt>
                <c:pt idx="113">
                  <c:v>78</c:v>
                </c:pt>
                <c:pt idx="114">
                  <c:v>99</c:v>
                </c:pt>
                <c:pt idx="115">
                  <c:v>143</c:v>
                </c:pt>
                <c:pt idx="116">
                  <c:v>41</c:v>
                </c:pt>
                <c:pt idx="117">
                  <c:v>39</c:v>
                </c:pt>
                <c:pt idx="118">
                  <c:v>121</c:v>
                </c:pt>
                <c:pt idx="119">
                  <c:v>100</c:v>
                </c:pt>
                <c:pt idx="120">
                  <c:v>29</c:v>
                </c:pt>
                <c:pt idx="121">
                  <c:v>126</c:v>
                </c:pt>
                <c:pt idx="122">
                  <c:v>44</c:v>
                </c:pt>
                <c:pt idx="123">
                  <c:v>112</c:v>
                </c:pt>
                <c:pt idx="124">
                  <c:v>59</c:v>
                </c:pt>
                <c:pt idx="125">
                  <c:v>85</c:v>
                </c:pt>
                <c:pt idx="126">
                  <c:v>80</c:v>
                </c:pt>
                <c:pt idx="127">
                  <c:v>97</c:v>
                </c:pt>
                <c:pt idx="128">
                  <c:v>50</c:v>
                </c:pt>
                <c:pt idx="129">
                  <c:v>63</c:v>
                </c:pt>
                <c:pt idx="130">
                  <c:v>99</c:v>
                </c:pt>
                <c:pt idx="131">
                  <c:v>94</c:v>
                </c:pt>
                <c:pt idx="132">
                  <c:v>108</c:v>
                </c:pt>
                <c:pt idx="133">
                  <c:v>50</c:v>
                </c:pt>
                <c:pt idx="134">
                  <c:v>53</c:v>
                </c:pt>
                <c:pt idx="135">
                  <c:v>95</c:v>
                </c:pt>
                <c:pt idx="136">
                  <c:v>96</c:v>
                </c:pt>
                <c:pt idx="137">
                  <c:v>5</c:v>
                </c:pt>
                <c:pt idx="138">
                  <c:v>31</c:v>
                </c:pt>
                <c:pt idx="139">
                  <c:v>99</c:v>
                </c:pt>
                <c:pt idx="140">
                  <c:v>60</c:v>
                </c:pt>
                <c:pt idx="141">
                  <c:v>86</c:v>
                </c:pt>
                <c:pt idx="142">
                  <c:v>43</c:v>
                </c:pt>
                <c:pt idx="143">
                  <c:v>120</c:v>
                </c:pt>
                <c:pt idx="144">
                  <c:v>96</c:v>
                </c:pt>
                <c:pt idx="145">
                  <c:v>71</c:v>
                </c:pt>
                <c:pt idx="146">
                  <c:v>74</c:v>
                </c:pt>
                <c:pt idx="147">
                  <c:v>55</c:v>
                </c:pt>
                <c:pt idx="148">
                  <c:v>124</c:v>
                </c:pt>
                <c:pt idx="149">
                  <c:v>124</c:v>
                </c:pt>
                <c:pt idx="150">
                  <c:v>186</c:v>
                </c:pt>
                <c:pt idx="151">
                  <c:v>35</c:v>
                </c:pt>
                <c:pt idx="152">
                  <c:v>129</c:v>
                </c:pt>
                <c:pt idx="153">
                  <c:v>238</c:v>
                </c:pt>
                <c:pt idx="154">
                  <c:v>49</c:v>
                </c:pt>
                <c:pt idx="155">
                  <c:v>84</c:v>
                </c:pt>
                <c:pt idx="156">
                  <c:v>109</c:v>
                </c:pt>
                <c:pt idx="157">
                  <c:v>59</c:v>
                </c:pt>
                <c:pt idx="158">
                  <c:v>75</c:v>
                </c:pt>
                <c:pt idx="159">
                  <c:v>99</c:v>
                </c:pt>
                <c:pt idx="160">
                  <c:v>85</c:v>
                </c:pt>
                <c:pt idx="161">
                  <c:v>150</c:v>
                </c:pt>
                <c:pt idx="162">
                  <c:v>84</c:v>
                </c:pt>
                <c:pt idx="163">
                  <c:v>118</c:v>
                </c:pt>
                <c:pt idx="164">
                  <c:v>54</c:v>
                </c:pt>
                <c:pt idx="165">
                  <c:v>81</c:v>
                </c:pt>
                <c:pt idx="166">
                  <c:v>161</c:v>
                </c:pt>
                <c:pt idx="167">
                  <c:v>103</c:v>
                </c:pt>
                <c:pt idx="168">
                  <c:v>29</c:v>
                </c:pt>
                <c:pt idx="169">
                  <c:v>56</c:v>
                </c:pt>
                <c:pt idx="170">
                  <c:v>147</c:v>
                </c:pt>
                <c:pt idx="171">
                  <c:v>162</c:v>
                </c:pt>
                <c:pt idx="172">
                  <c:v>69</c:v>
                </c:pt>
                <c:pt idx="173">
                  <c:v>68</c:v>
                </c:pt>
                <c:pt idx="174">
                  <c:v>56</c:v>
                </c:pt>
                <c:pt idx="175">
                  <c:v>97</c:v>
                </c:pt>
                <c:pt idx="176">
                  <c:v>46</c:v>
                </c:pt>
                <c:pt idx="177">
                  <c:v>78</c:v>
                </c:pt>
                <c:pt idx="178">
                  <c:v>59</c:v>
                </c:pt>
                <c:pt idx="179">
                  <c:v>82</c:v>
                </c:pt>
                <c:pt idx="180">
                  <c:v>137</c:v>
                </c:pt>
                <c:pt idx="181">
                  <c:v>113</c:v>
                </c:pt>
                <c:pt idx="182">
                  <c:v>90</c:v>
                </c:pt>
                <c:pt idx="183">
                  <c:v>96</c:v>
                </c:pt>
                <c:pt idx="184">
                  <c:v>83</c:v>
                </c:pt>
                <c:pt idx="185">
                  <c:v>76</c:v>
                </c:pt>
                <c:pt idx="186">
                  <c:v>60</c:v>
                </c:pt>
                <c:pt idx="187">
                  <c:v>90</c:v>
                </c:pt>
                <c:pt idx="188">
                  <c:v>24</c:v>
                </c:pt>
                <c:pt idx="189">
                  <c:v>49</c:v>
                </c:pt>
                <c:pt idx="190">
                  <c:v>17</c:v>
                </c:pt>
                <c:pt idx="191">
                  <c:v>40</c:v>
                </c:pt>
                <c:pt idx="192">
                  <c:v>69</c:v>
                </c:pt>
                <c:pt idx="193">
                  <c:v>24</c:v>
                </c:pt>
                <c:pt idx="194">
                  <c:v>25</c:v>
                </c:pt>
                <c:pt idx="195">
                  <c:v>25</c:v>
                </c:pt>
                <c:pt idx="196">
                  <c:v>32</c:v>
                </c:pt>
                <c:pt idx="197">
                  <c:v>30</c:v>
                </c:pt>
              </c:numCache>
            </c:numRef>
          </c:val>
          <c:smooth val="0"/>
          <c:extLst>
            <c:ext xmlns:c16="http://schemas.microsoft.com/office/drawing/2014/chart" uri="{C3380CC4-5D6E-409C-BE32-E72D297353CC}">
              <c16:uniqueId val="{00000000-7455-4534-BAF1-EB91526DB4D6}"/>
            </c:ext>
          </c:extLst>
        </c:ser>
        <c:ser>
          <c:idx val="1"/>
          <c:order val="1"/>
          <c:tx>
            <c:strRef>
              <c:f>Pivot!$D$1774</c:f>
              <c:strCache>
                <c:ptCount val="1"/>
                <c:pt idx="0">
                  <c:v>Expected LeadTime</c:v>
                </c:pt>
              </c:strCache>
            </c:strRef>
          </c:tx>
          <c:spPr>
            <a:ln w="28575" cap="rnd">
              <a:solidFill>
                <a:schemeClr val="accent2"/>
              </a:solidFill>
              <a:round/>
            </a:ln>
            <a:effectLst/>
          </c:spPr>
          <c:marker>
            <c:symbol val="none"/>
          </c:marker>
          <c:cat>
            <c:multiLvlStrRef>
              <c:f>Pivot!$A$1775:$B$1972</c:f>
              <c:multiLvlStrCache>
                <c:ptCount val="198"/>
                <c:lvl>
                  <c:pt idx="0">
                    <c:v>03/01/2026</c:v>
                  </c:pt>
                  <c:pt idx="1">
                    <c:v>05/01/2026</c:v>
                  </c:pt>
                  <c:pt idx="2">
                    <c:v>07/01/2026</c:v>
                  </c:pt>
                  <c:pt idx="3">
                    <c:v>08/01/2026</c:v>
                  </c:pt>
                  <c:pt idx="4">
                    <c:v>09/01/2026</c:v>
                  </c:pt>
                  <c:pt idx="5">
                    <c:v>13/01/2026</c:v>
                  </c:pt>
                  <c:pt idx="6">
                    <c:v>14/01/2026</c:v>
                  </c:pt>
                  <c:pt idx="7">
                    <c:v>15/01/2026</c:v>
                  </c:pt>
                  <c:pt idx="8">
                    <c:v>16/01/2026</c:v>
                  </c:pt>
                  <c:pt idx="9">
                    <c:v>17/01/2026</c:v>
                  </c:pt>
                  <c:pt idx="10">
                    <c:v>18/01/2026</c:v>
                  </c:pt>
                  <c:pt idx="11">
                    <c:v>19/01/2026</c:v>
                  </c:pt>
                  <c:pt idx="12">
                    <c:v>20/01/2026</c:v>
                  </c:pt>
                  <c:pt idx="13">
                    <c:v>21/01/2026</c:v>
                  </c:pt>
                  <c:pt idx="14">
                    <c:v>22/01/2026</c:v>
                  </c:pt>
                  <c:pt idx="15">
                    <c:v>23/01/2026</c:v>
                  </c:pt>
                  <c:pt idx="16">
                    <c:v>24/01/2026</c:v>
                  </c:pt>
                  <c:pt idx="17">
                    <c:v>25/01/2026</c:v>
                  </c:pt>
                  <c:pt idx="18">
                    <c:v>26/01/2026</c:v>
                  </c:pt>
                  <c:pt idx="19">
                    <c:v>27/01/2026</c:v>
                  </c:pt>
                  <c:pt idx="20">
                    <c:v>28/01/2026</c:v>
                  </c:pt>
                  <c:pt idx="21">
                    <c:v>29/01/2026</c:v>
                  </c:pt>
                  <c:pt idx="22">
                    <c:v>30/01/2026</c:v>
                  </c:pt>
                  <c:pt idx="23">
                    <c:v>31/01/2026</c:v>
                  </c:pt>
                  <c:pt idx="24">
                    <c:v>01/02/2026</c:v>
                  </c:pt>
                  <c:pt idx="25">
                    <c:v>02/02/2026</c:v>
                  </c:pt>
                  <c:pt idx="26">
                    <c:v>03/02/2026</c:v>
                  </c:pt>
                  <c:pt idx="27">
                    <c:v>04/02/2026</c:v>
                  </c:pt>
                  <c:pt idx="28">
                    <c:v>05/02/2026</c:v>
                  </c:pt>
                  <c:pt idx="29">
                    <c:v>06/02/2026</c:v>
                  </c:pt>
                  <c:pt idx="30">
                    <c:v>07/02/2026</c:v>
                  </c:pt>
                  <c:pt idx="31">
                    <c:v>08/02/2026</c:v>
                  </c:pt>
                  <c:pt idx="32">
                    <c:v>09/02/2026</c:v>
                  </c:pt>
                  <c:pt idx="33">
                    <c:v>10/02/2026</c:v>
                  </c:pt>
                  <c:pt idx="34">
                    <c:v>11/02/2026</c:v>
                  </c:pt>
                  <c:pt idx="35">
                    <c:v>12/02/2026</c:v>
                  </c:pt>
                  <c:pt idx="36">
                    <c:v>13/02/2026</c:v>
                  </c:pt>
                  <c:pt idx="37">
                    <c:v>14/02/2026</c:v>
                  </c:pt>
                  <c:pt idx="38">
                    <c:v>15/02/2026</c:v>
                  </c:pt>
                  <c:pt idx="39">
                    <c:v>16/02/2026</c:v>
                  </c:pt>
                  <c:pt idx="40">
                    <c:v>17/02/2026</c:v>
                  </c:pt>
                  <c:pt idx="41">
                    <c:v>18/02/2026</c:v>
                  </c:pt>
                  <c:pt idx="42">
                    <c:v>19/02/2026</c:v>
                  </c:pt>
                  <c:pt idx="43">
                    <c:v>20/02/2026</c:v>
                  </c:pt>
                  <c:pt idx="44">
                    <c:v>21/02/2026</c:v>
                  </c:pt>
                  <c:pt idx="45">
                    <c:v>22/02/2026</c:v>
                  </c:pt>
                  <c:pt idx="46">
                    <c:v>23/02/2026</c:v>
                  </c:pt>
                  <c:pt idx="47">
                    <c:v>24/02/2026</c:v>
                  </c:pt>
                  <c:pt idx="48">
                    <c:v>25/02/2026</c:v>
                  </c:pt>
                  <c:pt idx="49">
                    <c:v>26/02/2026</c:v>
                  </c:pt>
                  <c:pt idx="50">
                    <c:v>27/02/2026</c:v>
                  </c:pt>
                  <c:pt idx="51">
                    <c:v>28/02/2026</c:v>
                  </c:pt>
                  <c:pt idx="52">
                    <c:v>01/03/2026</c:v>
                  </c:pt>
                  <c:pt idx="53">
                    <c:v>02/03/2026</c:v>
                  </c:pt>
                  <c:pt idx="54">
                    <c:v>03/03/2026</c:v>
                  </c:pt>
                  <c:pt idx="55">
                    <c:v>04/03/2026</c:v>
                  </c:pt>
                  <c:pt idx="56">
                    <c:v>05/03/2026</c:v>
                  </c:pt>
                  <c:pt idx="57">
                    <c:v>06/03/2026</c:v>
                  </c:pt>
                  <c:pt idx="58">
                    <c:v>07/03/2026</c:v>
                  </c:pt>
                  <c:pt idx="59">
                    <c:v>08/03/2026</c:v>
                  </c:pt>
                  <c:pt idx="60">
                    <c:v>09/03/2026</c:v>
                  </c:pt>
                  <c:pt idx="61">
                    <c:v>10/03/2026</c:v>
                  </c:pt>
                  <c:pt idx="62">
                    <c:v>11/03/2026</c:v>
                  </c:pt>
                  <c:pt idx="63">
                    <c:v>12/03/2026</c:v>
                  </c:pt>
                  <c:pt idx="64">
                    <c:v>13/03/2026</c:v>
                  </c:pt>
                  <c:pt idx="65">
                    <c:v>14/03/2026</c:v>
                  </c:pt>
                  <c:pt idx="66">
                    <c:v>15/03/2026</c:v>
                  </c:pt>
                  <c:pt idx="67">
                    <c:v>16/03/2026</c:v>
                  </c:pt>
                  <c:pt idx="68">
                    <c:v>17/03/2026</c:v>
                  </c:pt>
                  <c:pt idx="69">
                    <c:v>18/03/2026</c:v>
                  </c:pt>
                  <c:pt idx="70">
                    <c:v>19/03/2026</c:v>
                  </c:pt>
                  <c:pt idx="71">
                    <c:v>20/03/2026</c:v>
                  </c:pt>
                  <c:pt idx="72">
                    <c:v>21/03/2026</c:v>
                  </c:pt>
                  <c:pt idx="73">
                    <c:v>22/03/2026</c:v>
                  </c:pt>
                  <c:pt idx="74">
                    <c:v>23/03/2026</c:v>
                  </c:pt>
                  <c:pt idx="75">
                    <c:v>24/03/2026</c:v>
                  </c:pt>
                  <c:pt idx="76">
                    <c:v>25/03/2026</c:v>
                  </c:pt>
                  <c:pt idx="77">
                    <c:v>26/03/2026</c:v>
                  </c:pt>
                  <c:pt idx="78">
                    <c:v>27/03/2026</c:v>
                  </c:pt>
                  <c:pt idx="79">
                    <c:v>28/03/2026</c:v>
                  </c:pt>
                  <c:pt idx="80">
                    <c:v>29/03/2026</c:v>
                  </c:pt>
                  <c:pt idx="81">
                    <c:v>30/03/2026</c:v>
                  </c:pt>
                  <c:pt idx="82">
                    <c:v>31/03/2026</c:v>
                  </c:pt>
                  <c:pt idx="83">
                    <c:v>01/04/2026</c:v>
                  </c:pt>
                  <c:pt idx="84">
                    <c:v>02/04/2026</c:v>
                  </c:pt>
                  <c:pt idx="85">
                    <c:v>03/04/2026</c:v>
                  </c:pt>
                  <c:pt idx="86">
                    <c:v>04/04/2026</c:v>
                  </c:pt>
                  <c:pt idx="87">
                    <c:v>05/04/2026</c:v>
                  </c:pt>
                  <c:pt idx="88">
                    <c:v>06/04/2026</c:v>
                  </c:pt>
                  <c:pt idx="89">
                    <c:v>07/04/2026</c:v>
                  </c:pt>
                  <c:pt idx="90">
                    <c:v>08/04/2026</c:v>
                  </c:pt>
                  <c:pt idx="91">
                    <c:v>09/04/2026</c:v>
                  </c:pt>
                  <c:pt idx="92">
                    <c:v>10/04/2026</c:v>
                  </c:pt>
                  <c:pt idx="93">
                    <c:v>11/04/2026</c:v>
                  </c:pt>
                  <c:pt idx="94">
                    <c:v>12/04/2026</c:v>
                  </c:pt>
                  <c:pt idx="95">
                    <c:v>13/04/2026</c:v>
                  </c:pt>
                  <c:pt idx="96">
                    <c:v>14/04/2026</c:v>
                  </c:pt>
                  <c:pt idx="97">
                    <c:v>15/04/2026</c:v>
                  </c:pt>
                  <c:pt idx="98">
                    <c:v>16/04/2026</c:v>
                  </c:pt>
                  <c:pt idx="99">
                    <c:v>17/04/2026</c:v>
                  </c:pt>
                  <c:pt idx="100">
                    <c:v>18/04/2026</c:v>
                  </c:pt>
                  <c:pt idx="101">
                    <c:v>19/04/2026</c:v>
                  </c:pt>
                  <c:pt idx="102">
                    <c:v>20/04/2026</c:v>
                  </c:pt>
                  <c:pt idx="103">
                    <c:v>21/04/2026</c:v>
                  </c:pt>
                  <c:pt idx="104">
                    <c:v>22/04/2026</c:v>
                  </c:pt>
                  <c:pt idx="105">
                    <c:v>23/04/2026</c:v>
                  </c:pt>
                  <c:pt idx="106">
                    <c:v>24/04/2026</c:v>
                  </c:pt>
                  <c:pt idx="107">
                    <c:v>25/04/2026</c:v>
                  </c:pt>
                  <c:pt idx="108">
                    <c:v>26/04/2026</c:v>
                  </c:pt>
                  <c:pt idx="109">
                    <c:v>27/04/2026</c:v>
                  </c:pt>
                  <c:pt idx="110">
                    <c:v>28/04/2026</c:v>
                  </c:pt>
                  <c:pt idx="111">
                    <c:v>29/04/2026</c:v>
                  </c:pt>
                  <c:pt idx="112">
                    <c:v>30/04/2026</c:v>
                  </c:pt>
                  <c:pt idx="113">
                    <c:v>01/05/2026</c:v>
                  </c:pt>
                  <c:pt idx="114">
                    <c:v>02/05/2026</c:v>
                  </c:pt>
                  <c:pt idx="115">
                    <c:v>03/05/2026</c:v>
                  </c:pt>
                  <c:pt idx="116">
                    <c:v>04/05/2026</c:v>
                  </c:pt>
                  <c:pt idx="117">
                    <c:v>05/05/2026</c:v>
                  </c:pt>
                  <c:pt idx="118">
                    <c:v>06/05/2026</c:v>
                  </c:pt>
                  <c:pt idx="119">
                    <c:v>07/05/2026</c:v>
                  </c:pt>
                  <c:pt idx="120">
                    <c:v>08/05/2026</c:v>
                  </c:pt>
                  <c:pt idx="121">
                    <c:v>09/05/2026</c:v>
                  </c:pt>
                  <c:pt idx="122">
                    <c:v>10/05/2026</c:v>
                  </c:pt>
                  <c:pt idx="123">
                    <c:v>11/05/2026</c:v>
                  </c:pt>
                  <c:pt idx="124">
                    <c:v>12/05/2026</c:v>
                  </c:pt>
                  <c:pt idx="125">
                    <c:v>13/05/2026</c:v>
                  </c:pt>
                  <c:pt idx="126">
                    <c:v>14/05/2026</c:v>
                  </c:pt>
                  <c:pt idx="127">
                    <c:v>15/05/2026</c:v>
                  </c:pt>
                  <c:pt idx="128">
                    <c:v>16/05/2026</c:v>
                  </c:pt>
                  <c:pt idx="129">
                    <c:v>17/05/2026</c:v>
                  </c:pt>
                  <c:pt idx="130">
                    <c:v>18/05/2026</c:v>
                  </c:pt>
                  <c:pt idx="131">
                    <c:v>19/05/2026</c:v>
                  </c:pt>
                  <c:pt idx="132">
                    <c:v>20/05/2026</c:v>
                  </c:pt>
                  <c:pt idx="133">
                    <c:v>21/05/2026</c:v>
                  </c:pt>
                  <c:pt idx="134">
                    <c:v>22/05/2026</c:v>
                  </c:pt>
                  <c:pt idx="135">
                    <c:v>23/05/2026</c:v>
                  </c:pt>
                  <c:pt idx="136">
                    <c:v>24/05/2026</c:v>
                  </c:pt>
                  <c:pt idx="137">
                    <c:v>25/05/2026</c:v>
                  </c:pt>
                  <c:pt idx="138">
                    <c:v>26/05/2026</c:v>
                  </c:pt>
                  <c:pt idx="139">
                    <c:v>27/05/2026</c:v>
                  </c:pt>
                  <c:pt idx="140">
                    <c:v>28/05/2026</c:v>
                  </c:pt>
                  <c:pt idx="141">
                    <c:v>29/05/2026</c:v>
                  </c:pt>
                  <c:pt idx="142">
                    <c:v>30/05/2026</c:v>
                  </c:pt>
                  <c:pt idx="143">
                    <c:v>31/05/2026</c:v>
                  </c:pt>
                  <c:pt idx="144">
                    <c:v>01/06/2026</c:v>
                  </c:pt>
                  <c:pt idx="145">
                    <c:v>02/06/2026</c:v>
                  </c:pt>
                  <c:pt idx="146">
                    <c:v>03/06/2026</c:v>
                  </c:pt>
                  <c:pt idx="147">
                    <c:v>04/06/2026</c:v>
                  </c:pt>
                  <c:pt idx="148">
                    <c:v>05/06/2026</c:v>
                  </c:pt>
                  <c:pt idx="149">
                    <c:v>06/06/2026</c:v>
                  </c:pt>
                  <c:pt idx="150">
                    <c:v>07/06/2026</c:v>
                  </c:pt>
                  <c:pt idx="151">
                    <c:v>08/06/2026</c:v>
                  </c:pt>
                  <c:pt idx="152">
                    <c:v>09/06/2026</c:v>
                  </c:pt>
                  <c:pt idx="153">
                    <c:v>10/06/2026</c:v>
                  </c:pt>
                  <c:pt idx="154">
                    <c:v>11/06/2026</c:v>
                  </c:pt>
                  <c:pt idx="155">
                    <c:v>12/06/2026</c:v>
                  </c:pt>
                  <c:pt idx="156">
                    <c:v>13/06/2026</c:v>
                  </c:pt>
                  <c:pt idx="157">
                    <c:v>14/06/2026</c:v>
                  </c:pt>
                  <c:pt idx="158">
                    <c:v>15/06/2026</c:v>
                  </c:pt>
                  <c:pt idx="159">
                    <c:v>16/06/2026</c:v>
                  </c:pt>
                  <c:pt idx="160">
                    <c:v>17/06/2026</c:v>
                  </c:pt>
                  <c:pt idx="161">
                    <c:v>18/06/2026</c:v>
                  </c:pt>
                  <c:pt idx="162">
                    <c:v>19/06/2026</c:v>
                  </c:pt>
                  <c:pt idx="163">
                    <c:v>20/06/2026</c:v>
                  </c:pt>
                  <c:pt idx="164">
                    <c:v>21/06/2026</c:v>
                  </c:pt>
                  <c:pt idx="165">
                    <c:v>22/06/2026</c:v>
                  </c:pt>
                  <c:pt idx="166">
                    <c:v>23/06/2026</c:v>
                  </c:pt>
                  <c:pt idx="167">
                    <c:v>24/06/2026</c:v>
                  </c:pt>
                  <c:pt idx="168">
                    <c:v>25/06/2026</c:v>
                  </c:pt>
                  <c:pt idx="169">
                    <c:v>26/06/2026</c:v>
                  </c:pt>
                  <c:pt idx="170">
                    <c:v>27/06/2026</c:v>
                  </c:pt>
                  <c:pt idx="171">
                    <c:v>28/06/2026</c:v>
                  </c:pt>
                  <c:pt idx="172">
                    <c:v>29/06/2026</c:v>
                  </c:pt>
                  <c:pt idx="173">
                    <c:v>30/06/2026</c:v>
                  </c:pt>
                  <c:pt idx="174">
                    <c:v>01/07/2026</c:v>
                  </c:pt>
                  <c:pt idx="175">
                    <c:v>02/07/2026</c:v>
                  </c:pt>
                  <c:pt idx="176">
                    <c:v>03/07/2026</c:v>
                  </c:pt>
                  <c:pt idx="177">
                    <c:v>04/07/2026</c:v>
                  </c:pt>
                  <c:pt idx="178">
                    <c:v>05/07/2026</c:v>
                  </c:pt>
                  <c:pt idx="179">
                    <c:v>06/07/2026</c:v>
                  </c:pt>
                  <c:pt idx="180">
                    <c:v>07/07/2026</c:v>
                  </c:pt>
                  <c:pt idx="181">
                    <c:v>08/07/2026</c:v>
                  </c:pt>
                  <c:pt idx="182">
                    <c:v>09/07/2026</c:v>
                  </c:pt>
                  <c:pt idx="183">
                    <c:v>10/07/2026</c:v>
                  </c:pt>
                  <c:pt idx="184">
                    <c:v>11/07/2026</c:v>
                  </c:pt>
                  <c:pt idx="185">
                    <c:v>12/07/2026</c:v>
                  </c:pt>
                  <c:pt idx="186">
                    <c:v>13/07/2026</c:v>
                  </c:pt>
                  <c:pt idx="187">
                    <c:v>14/07/2026</c:v>
                  </c:pt>
                  <c:pt idx="188">
                    <c:v>15/07/2026</c:v>
                  </c:pt>
                  <c:pt idx="189">
                    <c:v>16/07/2026</c:v>
                  </c:pt>
                  <c:pt idx="190">
                    <c:v>17/07/2026</c:v>
                  </c:pt>
                  <c:pt idx="191">
                    <c:v>18/07/2026</c:v>
                  </c:pt>
                  <c:pt idx="192">
                    <c:v>19/07/2026</c:v>
                  </c:pt>
                  <c:pt idx="193">
                    <c:v>20/07/2026</c:v>
                  </c:pt>
                  <c:pt idx="194">
                    <c:v>21/07/2026</c:v>
                  </c:pt>
                  <c:pt idx="195">
                    <c:v>24/07/2026</c:v>
                  </c:pt>
                  <c:pt idx="196">
                    <c:v>25/07/2026</c:v>
                  </c:pt>
                  <c:pt idx="197">
                    <c:v>29/07/2026</c:v>
                  </c:pt>
                </c:lvl>
                <c:lvl>
                  <c:pt idx="0">
                    <c:v>Jan</c:v>
                  </c:pt>
                  <c:pt idx="24">
                    <c:v>Feb</c:v>
                  </c:pt>
                  <c:pt idx="52">
                    <c:v>Mar</c:v>
                  </c:pt>
                  <c:pt idx="83">
                    <c:v>Apr</c:v>
                  </c:pt>
                  <c:pt idx="113">
                    <c:v>May</c:v>
                  </c:pt>
                  <c:pt idx="144">
                    <c:v>Jun</c:v>
                  </c:pt>
                  <c:pt idx="174">
                    <c:v>Jul</c:v>
                  </c:pt>
                </c:lvl>
              </c:multiLvlStrCache>
            </c:multiLvlStrRef>
          </c:cat>
          <c:val>
            <c:numRef>
              <c:f>Pivot!$D$1775:$D$1972</c:f>
              <c:numCache>
                <c:formatCode>General</c:formatCode>
                <c:ptCount val="198"/>
                <c:pt idx="0">
                  <c:v>8</c:v>
                </c:pt>
                <c:pt idx="1">
                  <c:v>11</c:v>
                </c:pt>
                <c:pt idx="2">
                  <c:v>5</c:v>
                </c:pt>
                <c:pt idx="3">
                  <c:v>11</c:v>
                </c:pt>
                <c:pt idx="4">
                  <c:v>21</c:v>
                </c:pt>
                <c:pt idx="5">
                  <c:v>12</c:v>
                </c:pt>
                <c:pt idx="6">
                  <c:v>18</c:v>
                </c:pt>
                <c:pt idx="7">
                  <c:v>19</c:v>
                </c:pt>
                <c:pt idx="8">
                  <c:v>7</c:v>
                </c:pt>
                <c:pt idx="9">
                  <c:v>43</c:v>
                </c:pt>
                <c:pt idx="10">
                  <c:v>52</c:v>
                </c:pt>
                <c:pt idx="11">
                  <c:v>46</c:v>
                </c:pt>
                <c:pt idx="12">
                  <c:v>53</c:v>
                </c:pt>
                <c:pt idx="13">
                  <c:v>49</c:v>
                </c:pt>
                <c:pt idx="14">
                  <c:v>13</c:v>
                </c:pt>
                <c:pt idx="15">
                  <c:v>40</c:v>
                </c:pt>
                <c:pt idx="16">
                  <c:v>78</c:v>
                </c:pt>
                <c:pt idx="17">
                  <c:v>68</c:v>
                </c:pt>
                <c:pt idx="18">
                  <c:v>66</c:v>
                </c:pt>
                <c:pt idx="19">
                  <c:v>66</c:v>
                </c:pt>
                <c:pt idx="20">
                  <c:v>86</c:v>
                </c:pt>
                <c:pt idx="21">
                  <c:v>75</c:v>
                </c:pt>
                <c:pt idx="22">
                  <c:v>91</c:v>
                </c:pt>
                <c:pt idx="23">
                  <c:v>58</c:v>
                </c:pt>
                <c:pt idx="24">
                  <c:v>40</c:v>
                </c:pt>
                <c:pt idx="25">
                  <c:v>29</c:v>
                </c:pt>
                <c:pt idx="26">
                  <c:v>59</c:v>
                </c:pt>
                <c:pt idx="27">
                  <c:v>70</c:v>
                </c:pt>
                <c:pt idx="28">
                  <c:v>65</c:v>
                </c:pt>
                <c:pt idx="29">
                  <c:v>80</c:v>
                </c:pt>
                <c:pt idx="30">
                  <c:v>40</c:v>
                </c:pt>
                <c:pt idx="31">
                  <c:v>15</c:v>
                </c:pt>
                <c:pt idx="32">
                  <c:v>43</c:v>
                </c:pt>
                <c:pt idx="33">
                  <c:v>71</c:v>
                </c:pt>
                <c:pt idx="34">
                  <c:v>96</c:v>
                </c:pt>
                <c:pt idx="35">
                  <c:v>99</c:v>
                </c:pt>
                <c:pt idx="36">
                  <c:v>43</c:v>
                </c:pt>
                <c:pt idx="37">
                  <c:v>112</c:v>
                </c:pt>
                <c:pt idx="38">
                  <c:v>65</c:v>
                </c:pt>
                <c:pt idx="39">
                  <c:v>60</c:v>
                </c:pt>
                <c:pt idx="40">
                  <c:v>76</c:v>
                </c:pt>
                <c:pt idx="41">
                  <c:v>84</c:v>
                </c:pt>
                <c:pt idx="42">
                  <c:v>51</c:v>
                </c:pt>
                <c:pt idx="43">
                  <c:v>103</c:v>
                </c:pt>
                <c:pt idx="44">
                  <c:v>84</c:v>
                </c:pt>
                <c:pt idx="45">
                  <c:v>72</c:v>
                </c:pt>
                <c:pt idx="46">
                  <c:v>67</c:v>
                </c:pt>
                <c:pt idx="47">
                  <c:v>134</c:v>
                </c:pt>
                <c:pt idx="48">
                  <c:v>89</c:v>
                </c:pt>
                <c:pt idx="49">
                  <c:v>49</c:v>
                </c:pt>
                <c:pt idx="50">
                  <c:v>39</c:v>
                </c:pt>
                <c:pt idx="51">
                  <c:v>89</c:v>
                </c:pt>
                <c:pt idx="52">
                  <c:v>79</c:v>
                </c:pt>
                <c:pt idx="53">
                  <c:v>103</c:v>
                </c:pt>
                <c:pt idx="54">
                  <c:v>8</c:v>
                </c:pt>
                <c:pt idx="55">
                  <c:v>115</c:v>
                </c:pt>
                <c:pt idx="56">
                  <c:v>111</c:v>
                </c:pt>
                <c:pt idx="57">
                  <c:v>46</c:v>
                </c:pt>
                <c:pt idx="58">
                  <c:v>19</c:v>
                </c:pt>
                <c:pt idx="59">
                  <c:v>31</c:v>
                </c:pt>
                <c:pt idx="60">
                  <c:v>50</c:v>
                </c:pt>
                <c:pt idx="61">
                  <c:v>78</c:v>
                </c:pt>
                <c:pt idx="62">
                  <c:v>100</c:v>
                </c:pt>
                <c:pt idx="63">
                  <c:v>47</c:v>
                </c:pt>
                <c:pt idx="64">
                  <c:v>59</c:v>
                </c:pt>
                <c:pt idx="65">
                  <c:v>30</c:v>
                </c:pt>
                <c:pt idx="66">
                  <c:v>39</c:v>
                </c:pt>
                <c:pt idx="67">
                  <c:v>92</c:v>
                </c:pt>
                <c:pt idx="68">
                  <c:v>66</c:v>
                </c:pt>
                <c:pt idx="69">
                  <c:v>75</c:v>
                </c:pt>
                <c:pt idx="70">
                  <c:v>108</c:v>
                </c:pt>
                <c:pt idx="71">
                  <c:v>19</c:v>
                </c:pt>
                <c:pt idx="72">
                  <c:v>114</c:v>
                </c:pt>
                <c:pt idx="73">
                  <c:v>25</c:v>
                </c:pt>
                <c:pt idx="74">
                  <c:v>93</c:v>
                </c:pt>
                <c:pt idx="75">
                  <c:v>49</c:v>
                </c:pt>
                <c:pt idx="76">
                  <c:v>42</c:v>
                </c:pt>
                <c:pt idx="77">
                  <c:v>49</c:v>
                </c:pt>
                <c:pt idx="78">
                  <c:v>111</c:v>
                </c:pt>
                <c:pt idx="79">
                  <c:v>76</c:v>
                </c:pt>
                <c:pt idx="80">
                  <c:v>49</c:v>
                </c:pt>
                <c:pt idx="81">
                  <c:v>87</c:v>
                </c:pt>
                <c:pt idx="82">
                  <c:v>109</c:v>
                </c:pt>
                <c:pt idx="83">
                  <c:v>129</c:v>
                </c:pt>
                <c:pt idx="84">
                  <c:v>166</c:v>
                </c:pt>
                <c:pt idx="85">
                  <c:v>50</c:v>
                </c:pt>
                <c:pt idx="86">
                  <c:v>101</c:v>
                </c:pt>
                <c:pt idx="87">
                  <c:v>84</c:v>
                </c:pt>
                <c:pt idx="88">
                  <c:v>104</c:v>
                </c:pt>
                <c:pt idx="89">
                  <c:v>102</c:v>
                </c:pt>
                <c:pt idx="90">
                  <c:v>65</c:v>
                </c:pt>
                <c:pt idx="91">
                  <c:v>28</c:v>
                </c:pt>
                <c:pt idx="92">
                  <c:v>24</c:v>
                </c:pt>
                <c:pt idx="93">
                  <c:v>69</c:v>
                </c:pt>
                <c:pt idx="94">
                  <c:v>87</c:v>
                </c:pt>
                <c:pt idx="95">
                  <c:v>66</c:v>
                </c:pt>
                <c:pt idx="96">
                  <c:v>120</c:v>
                </c:pt>
                <c:pt idx="97">
                  <c:v>66</c:v>
                </c:pt>
                <c:pt idx="98">
                  <c:v>125</c:v>
                </c:pt>
                <c:pt idx="99">
                  <c:v>62</c:v>
                </c:pt>
                <c:pt idx="100">
                  <c:v>23</c:v>
                </c:pt>
                <c:pt idx="101">
                  <c:v>94</c:v>
                </c:pt>
                <c:pt idx="102">
                  <c:v>131</c:v>
                </c:pt>
                <c:pt idx="103">
                  <c:v>92</c:v>
                </c:pt>
                <c:pt idx="104">
                  <c:v>30</c:v>
                </c:pt>
                <c:pt idx="105">
                  <c:v>109</c:v>
                </c:pt>
                <c:pt idx="106">
                  <c:v>75</c:v>
                </c:pt>
                <c:pt idx="107">
                  <c:v>50</c:v>
                </c:pt>
                <c:pt idx="108">
                  <c:v>92</c:v>
                </c:pt>
                <c:pt idx="109">
                  <c:v>93</c:v>
                </c:pt>
                <c:pt idx="110">
                  <c:v>44</c:v>
                </c:pt>
                <c:pt idx="111">
                  <c:v>66</c:v>
                </c:pt>
                <c:pt idx="112">
                  <c:v>88</c:v>
                </c:pt>
                <c:pt idx="113">
                  <c:v>79</c:v>
                </c:pt>
                <c:pt idx="114">
                  <c:v>84</c:v>
                </c:pt>
                <c:pt idx="115">
                  <c:v>134</c:v>
                </c:pt>
                <c:pt idx="116">
                  <c:v>38</c:v>
                </c:pt>
                <c:pt idx="117">
                  <c:v>37</c:v>
                </c:pt>
                <c:pt idx="118">
                  <c:v>144</c:v>
                </c:pt>
                <c:pt idx="119">
                  <c:v>88</c:v>
                </c:pt>
                <c:pt idx="120">
                  <c:v>41</c:v>
                </c:pt>
                <c:pt idx="121">
                  <c:v>107</c:v>
                </c:pt>
                <c:pt idx="122">
                  <c:v>22</c:v>
                </c:pt>
                <c:pt idx="123">
                  <c:v>112</c:v>
                </c:pt>
                <c:pt idx="124">
                  <c:v>48</c:v>
                </c:pt>
                <c:pt idx="125">
                  <c:v>55</c:v>
                </c:pt>
                <c:pt idx="126">
                  <c:v>70</c:v>
                </c:pt>
                <c:pt idx="127">
                  <c:v>103</c:v>
                </c:pt>
                <c:pt idx="128">
                  <c:v>53</c:v>
                </c:pt>
                <c:pt idx="129">
                  <c:v>63</c:v>
                </c:pt>
                <c:pt idx="130">
                  <c:v>94</c:v>
                </c:pt>
                <c:pt idx="131">
                  <c:v>78</c:v>
                </c:pt>
                <c:pt idx="132">
                  <c:v>78</c:v>
                </c:pt>
                <c:pt idx="133">
                  <c:v>36</c:v>
                </c:pt>
                <c:pt idx="134">
                  <c:v>38</c:v>
                </c:pt>
                <c:pt idx="135">
                  <c:v>84</c:v>
                </c:pt>
                <c:pt idx="136">
                  <c:v>82</c:v>
                </c:pt>
                <c:pt idx="137">
                  <c:v>6</c:v>
                </c:pt>
                <c:pt idx="138">
                  <c:v>48</c:v>
                </c:pt>
                <c:pt idx="139">
                  <c:v>82</c:v>
                </c:pt>
                <c:pt idx="140">
                  <c:v>55</c:v>
                </c:pt>
                <c:pt idx="141">
                  <c:v>89</c:v>
                </c:pt>
                <c:pt idx="142">
                  <c:v>38</c:v>
                </c:pt>
                <c:pt idx="143">
                  <c:v>96</c:v>
                </c:pt>
                <c:pt idx="144">
                  <c:v>71</c:v>
                </c:pt>
                <c:pt idx="145">
                  <c:v>38</c:v>
                </c:pt>
                <c:pt idx="146">
                  <c:v>57</c:v>
                </c:pt>
                <c:pt idx="147">
                  <c:v>54</c:v>
                </c:pt>
                <c:pt idx="148">
                  <c:v>109</c:v>
                </c:pt>
                <c:pt idx="149">
                  <c:v>99</c:v>
                </c:pt>
                <c:pt idx="150">
                  <c:v>136</c:v>
                </c:pt>
                <c:pt idx="151">
                  <c:v>22</c:v>
                </c:pt>
                <c:pt idx="152">
                  <c:v>115</c:v>
                </c:pt>
                <c:pt idx="153">
                  <c:v>201</c:v>
                </c:pt>
                <c:pt idx="154">
                  <c:v>52</c:v>
                </c:pt>
                <c:pt idx="155">
                  <c:v>93</c:v>
                </c:pt>
                <c:pt idx="156">
                  <c:v>94</c:v>
                </c:pt>
                <c:pt idx="157">
                  <c:v>32</c:v>
                </c:pt>
                <c:pt idx="158">
                  <c:v>54</c:v>
                </c:pt>
                <c:pt idx="159">
                  <c:v>74</c:v>
                </c:pt>
                <c:pt idx="160">
                  <c:v>68</c:v>
                </c:pt>
                <c:pt idx="161">
                  <c:v>139</c:v>
                </c:pt>
                <c:pt idx="162">
                  <c:v>76</c:v>
                </c:pt>
                <c:pt idx="163">
                  <c:v>110</c:v>
                </c:pt>
                <c:pt idx="164">
                  <c:v>59</c:v>
                </c:pt>
                <c:pt idx="165">
                  <c:v>72</c:v>
                </c:pt>
                <c:pt idx="166">
                  <c:v>128</c:v>
                </c:pt>
                <c:pt idx="167">
                  <c:v>72</c:v>
                </c:pt>
                <c:pt idx="168">
                  <c:v>21</c:v>
                </c:pt>
                <c:pt idx="169">
                  <c:v>79</c:v>
                </c:pt>
                <c:pt idx="170">
                  <c:v>114</c:v>
                </c:pt>
                <c:pt idx="171">
                  <c:v>159</c:v>
                </c:pt>
                <c:pt idx="172">
                  <c:v>76</c:v>
                </c:pt>
                <c:pt idx="173">
                  <c:v>51</c:v>
                </c:pt>
                <c:pt idx="174">
                  <c:v>39</c:v>
                </c:pt>
                <c:pt idx="175">
                  <c:v>91</c:v>
                </c:pt>
                <c:pt idx="176">
                  <c:v>27</c:v>
                </c:pt>
                <c:pt idx="177">
                  <c:v>90</c:v>
                </c:pt>
                <c:pt idx="178">
                  <c:v>46</c:v>
                </c:pt>
                <c:pt idx="179">
                  <c:v>48</c:v>
                </c:pt>
                <c:pt idx="180">
                  <c:v>96</c:v>
                </c:pt>
                <c:pt idx="181">
                  <c:v>84</c:v>
                </c:pt>
                <c:pt idx="182">
                  <c:v>70</c:v>
                </c:pt>
                <c:pt idx="183">
                  <c:v>61</c:v>
                </c:pt>
                <c:pt idx="184">
                  <c:v>65</c:v>
                </c:pt>
                <c:pt idx="185">
                  <c:v>58</c:v>
                </c:pt>
                <c:pt idx="186">
                  <c:v>47</c:v>
                </c:pt>
                <c:pt idx="187">
                  <c:v>70</c:v>
                </c:pt>
                <c:pt idx="188">
                  <c:v>8</c:v>
                </c:pt>
                <c:pt idx="189">
                  <c:v>28</c:v>
                </c:pt>
                <c:pt idx="190">
                  <c:v>19</c:v>
                </c:pt>
                <c:pt idx="191">
                  <c:v>25</c:v>
                </c:pt>
                <c:pt idx="192">
                  <c:v>42</c:v>
                </c:pt>
                <c:pt idx="193">
                  <c:v>21</c:v>
                </c:pt>
                <c:pt idx="194">
                  <c:v>12</c:v>
                </c:pt>
                <c:pt idx="195">
                  <c:v>22</c:v>
                </c:pt>
                <c:pt idx="196">
                  <c:v>17</c:v>
                </c:pt>
                <c:pt idx="197">
                  <c:v>21</c:v>
                </c:pt>
              </c:numCache>
            </c:numRef>
          </c:val>
          <c:smooth val="0"/>
          <c:extLst>
            <c:ext xmlns:c16="http://schemas.microsoft.com/office/drawing/2014/chart" uri="{C3380CC4-5D6E-409C-BE32-E72D297353CC}">
              <c16:uniqueId val="{00000001-7455-4534-BAF1-EB91526DB4D6}"/>
            </c:ext>
          </c:extLst>
        </c:ser>
        <c:dLbls>
          <c:showLegendKey val="0"/>
          <c:showVal val="0"/>
          <c:showCatName val="0"/>
          <c:showSerName val="0"/>
          <c:showPercent val="0"/>
          <c:showBubbleSize val="0"/>
        </c:dLbls>
        <c:smooth val="0"/>
        <c:axId val="1422205024"/>
        <c:axId val="1422207424"/>
      </c:lineChart>
      <c:catAx>
        <c:axId val="1422205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800" b="1"/>
                  <a:t>Trend</a:t>
                </a:r>
                <a:r>
                  <a:rPr lang="en-GB" sz="1800" b="1" baseline="0"/>
                  <a:t> Analysis of Supplier Lead Time</a:t>
                </a:r>
                <a:endParaRPr lang="en-GB" sz="1800" b="1"/>
              </a:p>
            </c:rich>
          </c:tx>
          <c:layout>
            <c:manualLayout>
              <c:xMode val="edge"/>
              <c:yMode val="edge"/>
              <c:x val="0.32069065316660389"/>
              <c:y val="2.971705763821064E-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207424"/>
        <c:crosses val="autoZero"/>
        <c:auto val="1"/>
        <c:lblAlgn val="ctr"/>
        <c:lblOffset val="100"/>
        <c:noMultiLvlLbl val="0"/>
      </c:catAx>
      <c:valAx>
        <c:axId val="1422207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20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[Maersk-Ahmed Lawal_revised.xlsx]Pivot!LeadTimeVarianceDays</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LeadTime Variance by Date</a:t>
            </a:r>
          </a:p>
        </c:rich>
      </c:tx>
      <c:layout>
        <c:manualLayout>
          <c:xMode val="edge"/>
          <c:yMode val="edge"/>
          <c:x val="0.33569863318971921"/>
          <c:y val="4.291845493562231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14355222106667E-2"/>
          <c:y val="0.11007444701382588"/>
          <c:w val="0.95551394666468581"/>
          <c:h val="0.84035925806671941"/>
        </c:manualLayout>
      </c:layout>
      <c:lineChart>
        <c:grouping val="standard"/>
        <c:varyColors val="0"/>
        <c:ser>
          <c:idx val="0"/>
          <c:order val="0"/>
          <c:tx>
            <c:strRef>
              <c:f>Pivot!$B$2208</c:f>
              <c:strCache>
                <c:ptCount val="1"/>
                <c:pt idx="0">
                  <c:v>Total</c:v>
                </c:pt>
              </c:strCache>
            </c:strRef>
          </c:tx>
          <c:spPr>
            <a:ln w="28575" cap="rnd">
              <a:solidFill>
                <a:schemeClr val="accent1"/>
              </a:solidFill>
              <a:round/>
            </a:ln>
            <a:effectLst/>
          </c:spPr>
          <c:marker>
            <c:symbol val="none"/>
          </c:marker>
          <c:cat>
            <c:strRef>
              <c:f>Pivot!$A$2209:$A$2406</c:f>
              <c:strCache>
                <c:ptCount val="198"/>
                <c:pt idx="0">
                  <c:v>03/01/2026</c:v>
                </c:pt>
                <c:pt idx="1">
                  <c:v>05/01/2026</c:v>
                </c:pt>
                <c:pt idx="2">
                  <c:v>07/01/2026</c:v>
                </c:pt>
                <c:pt idx="3">
                  <c:v>08/01/2026</c:v>
                </c:pt>
                <c:pt idx="4">
                  <c:v>09/01/2026</c:v>
                </c:pt>
                <c:pt idx="5">
                  <c:v>13/01/2026</c:v>
                </c:pt>
                <c:pt idx="6">
                  <c:v>14/01/2026</c:v>
                </c:pt>
                <c:pt idx="7">
                  <c:v>15/01/2026</c:v>
                </c:pt>
                <c:pt idx="8">
                  <c:v>16/01/2026</c:v>
                </c:pt>
                <c:pt idx="9">
                  <c:v>17/01/2026</c:v>
                </c:pt>
                <c:pt idx="10">
                  <c:v>18/01/2026</c:v>
                </c:pt>
                <c:pt idx="11">
                  <c:v>19/01/2026</c:v>
                </c:pt>
                <c:pt idx="12">
                  <c:v>20/01/2026</c:v>
                </c:pt>
                <c:pt idx="13">
                  <c:v>21/01/2026</c:v>
                </c:pt>
                <c:pt idx="14">
                  <c:v>22/01/2026</c:v>
                </c:pt>
                <c:pt idx="15">
                  <c:v>23/01/2026</c:v>
                </c:pt>
                <c:pt idx="16">
                  <c:v>24/01/2026</c:v>
                </c:pt>
                <c:pt idx="17">
                  <c:v>25/01/2026</c:v>
                </c:pt>
                <c:pt idx="18">
                  <c:v>26/01/2026</c:v>
                </c:pt>
                <c:pt idx="19">
                  <c:v>27/01/2026</c:v>
                </c:pt>
                <c:pt idx="20">
                  <c:v>28/01/2026</c:v>
                </c:pt>
                <c:pt idx="21">
                  <c:v>29/01/2026</c:v>
                </c:pt>
                <c:pt idx="22">
                  <c:v>30/01/2026</c:v>
                </c:pt>
                <c:pt idx="23">
                  <c:v>31/01/2026</c:v>
                </c:pt>
                <c:pt idx="24">
                  <c:v>01/02/2026</c:v>
                </c:pt>
                <c:pt idx="25">
                  <c:v>02/02/2026</c:v>
                </c:pt>
                <c:pt idx="26">
                  <c:v>03/02/2026</c:v>
                </c:pt>
                <c:pt idx="27">
                  <c:v>04/02/2026</c:v>
                </c:pt>
                <c:pt idx="28">
                  <c:v>05/02/2026</c:v>
                </c:pt>
                <c:pt idx="29">
                  <c:v>06/02/2026</c:v>
                </c:pt>
                <c:pt idx="30">
                  <c:v>07/02/2026</c:v>
                </c:pt>
                <c:pt idx="31">
                  <c:v>08/02/2026</c:v>
                </c:pt>
                <c:pt idx="32">
                  <c:v>09/02/2026</c:v>
                </c:pt>
                <c:pt idx="33">
                  <c:v>10/02/2026</c:v>
                </c:pt>
                <c:pt idx="34">
                  <c:v>11/02/2026</c:v>
                </c:pt>
                <c:pt idx="35">
                  <c:v>12/02/2026</c:v>
                </c:pt>
                <c:pt idx="36">
                  <c:v>13/02/2026</c:v>
                </c:pt>
                <c:pt idx="37">
                  <c:v>14/02/2026</c:v>
                </c:pt>
                <c:pt idx="38">
                  <c:v>15/02/2026</c:v>
                </c:pt>
                <c:pt idx="39">
                  <c:v>16/02/2026</c:v>
                </c:pt>
                <c:pt idx="40">
                  <c:v>17/02/2026</c:v>
                </c:pt>
                <c:pt idx="41">
                  <c:v>18/02/2026</c:v>
                </c:pt>
                <c:pt idx="42">
                  <c:v>19/02/2026</c:v>
                </c:pt>
                <c:pt idx="43">
                  <c:v>20/02/2026</c:v>
                </c:pt>
                <c:pt idx="44">
                  <c:v>21/02/2026</c:v>
                </c:pt>
                <c:pt idx="45">
                  <c:v>22/02/2026</c:v>
                </c:pt>
                <c:pt idx="46">
                  <c:v>23/02/2026</c:v>
                </c:pt>
                <c:pt idx="47">
                  <c:v>24/02/2026</c:v>
                </c:pt>
                <c:pt idx="48">
                  <c:v>25/02/2026</c:v>
                </c:pt>
                <c:pt idx="49">
                  <c:v>26/02/2026</c:v>
                </c:pt>
                <c:pt idx="50">
                  <c:v>27/02/2026</c:v>
                </c:pt>
                <c:pt idx="51">
                  <c:v>28/02/2026</c:v>
                </c:pt>
                <c:pt idx="52">
                  <c:v>01/03/2026</c:v>
                </c:pt>
                <c:pt idx="53">
                  <c:v>02/03/2026</c:v>
                </c:pt>
                <c:pt idx="54">
                  <c:v>03/03/2026</c:v>
                </c:pt>
                <c:pt idx="55">
                  <c:v>04/03/2026</c:v>
                </c:pt>
                <c:pt idx="56">
                  <c:v>05/03/2026</c:v>
                </c:pt>
                <c:pt idx="57">
                  <c:v>06/03/2026</c:v>
                </c:pt>
                <c:pt idx="58">
                  <c:v>07/03/2026</c:v>
                </c:pt>
                <c:pt idx="59">
                  <c:v>08/03/2026</c:v>
                </c:pt>
                <c:pt idx="60">
                  <c:v>09/03/2026</c:v>
                </c:pt>
                <c:pt idx="61">
                  <c:v>10/03/2026</c:v>
                </c:pt>
                <c:pt idx="62">
                  <c:v>11/03/2026</c:v>
                </c:pt>
                <c:pt idx="63">
                  <c:v>12/03/2026</c:v>
                </c:pt>
                <c:pt idx="64">
                  <c:v>13/03/2026</c:v>
                </c:pt>
                <c:pt idx="65">
                  <c:v>14/03/2026</c:v>
                </c:pt>
                <c:pt idx="66">
                  <c:v>15/03/2026</c:v>
                </c:pt>
                <c:pt idx="67">
                  <c:v>16/03/2026</c:v>
                </c:pt>
                <c:pt idx="68">
                  <c:v>17/03/2026</c:v>
                </c:pt>
                <c:pt idx="69">
                  <c:v>18/03/2026</c:v>
                </c:pt>
                <c:pt idx="70">
                  <c:v>19/03/2026</c:v>
                </c:pt>
                <c:pt idx="71">
                  <c:v>20/03/2026</c:v>
                </c:pt>
                <c:pt idx="72">
                  <c:v>21/03/2026</c:v>
                </c:pt>
                <c:pt idx="73">
                  <c:v>22/03/2026</c:v>
                </c:pt>
                <c:pt idx="74">
                  <c:v>23/03/2026</c:v>
                </c:pt>
                <c:pt idx="75">
                  <c:v>24/03/2026</c:v>
                </c:pt>
                <c:pt idx="76">
                  <c:v>25/03/2026</c:v>
                </c:pt>
                <c:pt idx="77">
                  <c:v>26/03/2026</c:v>
                </c:pt>
                <c:pt idx="78">
                  <c:v>27/03/2026</c:v>
                </c:pt>
                <c:pt idx="79">
                  <c:v>28/03/2026</c:v>
                </c:pt>
                <c:pt idx="80">
                  <c:v>29/03/2026</c:v>
                </c:pt>
                <c:pt idx="81">
                  <c:v>30/03/2026</c:v>
                </c:pt>
                <c:pt idx="82">
                  <c:v>31/03/2026</c:v>
                </c:pt>
                <c:pt idx="83">
                  <c:v>01/04/2026</c:v>
                </c:pt>
                <c:pt idx="84">
                  <c:v>02/04/2026</c:v>
                </c:pt>
                <c:pt idx="85">
                  <c:v>03/04/2026</c:v>
                </c:pt>
                <c:pt idx="86">
                  <c:v>04/04/2026</c:v>
                </c:pt>
                <c:pt idx="87">
                  <c:v>05/04/2026</c:v>
                </c:pt>
                <c:pt idx="88">
                  <c:v>06/04/2026</c:v>
                </c:pt>
                <c:pt idx="89">
                  <c:v>07/04/2026</c:v>
                </c:pt>
                <c:pt idx="90">
                  <c:v>08/04/2026</c:v>
                </c:pt>
                <c:pt idx="91">
                  <c:v>09/04/2026</c:v>
                </c:pt>
                <c:pt idx="92">
                  <c:v>10/04/2026</c:v>
                </c:pt>
                <c:pt idx="93">
                  <c:v>11/04/2026</c:v>
                </c:pt>
                <c:pt idx="94">
                  <c:v>12/04/2026</c:v>
                </c:pt>
                <c:pt idx="95">
                  <c:v>13/04/2026</c:v>
                </c:pt>
                <c:pt idx="96">
                  <c:v>14/04/2026</c:v>
                </c:pt>
                <c:pt idx="97">
                  <c:v>15/04/2026</c:v>
                </c:pt>
                <c:pt idx="98">
                  <c:v>16/04/2026</c:v>
                </c:pt>
                <c:pt idx="99">
                  <c:v>17/04/2026</c:v>
                </c:pt>
                <c:pt idx="100">
                  <c:v>18/04/2026</c:v>
                </c:pt>
                <c:pt idx="101">
                  <c:v>19/04/2026</c:v>
                </c:pt>
                <c:pt idx="102">
                  <c:v>20/04/2026</c:v>
                </c:pt>
                <c:pt idx="103">
                  <c:v>21/04/2026</c:v>
                </c:pt>
                <c:pt idx="104">
                  <c:v>22/04/2026</c:v>
                </c:pt>
                <c:pt idx="105">
                  <c:v>23/04/2026</c:v>
                </c:pt>
                <c:pt idx="106">
                  <c:v>24/04/2026</c:v>
                </c:pt>
                <c:pt idx="107">
                  <c:v>25/04/2026</c:v>
                </c:pt>
                <c:pt idx="108">
                  <c:v>26/04/2026</c:v>
                </c:pt>
                <c:pt idx="109">
                  <c:v>27/04/2026</c:v>
                </c:pt>
                <c:pt idx="110">
                  <c:v>28/04/2026</c:v>
                </c:pt>
                <c:pt idx="111">
                  <c:v>29/04/2026</c:v>
                </c:pt>
                <c:pt idx="112">
                  <c:v>30/04/2026</c:v>
                </c:pt>
                <c:pt idx="113">
                  <c:v>01/05/2026</c:v>
                </c:pt>
                <c:pt idx="114">
                  <c:v>02/05/2026</c:v>
                </c:pt>
                <c:pt idx="115">
                  <c:v>03/05/2026</c:v>
                </c:pt>
                <c:pt idx="116">
                  <c:v>04/05/2026</c:v>
                </c:pt>
                <c:pt idx="117">
                  <c:v>05/05/2026</c:v>
                </c:pt>
                <c:pt idx="118">
                  <c:v>06/05/2026</c:v>
                </c:pt>
                <c:pt idx="119">
                  <c:v>07/05/2026</c:v>
                </c:pt>
                <c:pt idx="120">
                  <c:v>08/05/2026</c:v>
                </c:pt>
                <c:pt idx="121">
                  <c:v>09/05/2026</c:v>
                </c:pt>
                <c:pt idx="122">
                  <c:v>10/05/2026</c:v>
                </c:pt>
                <c:pt idx="123">
                  <c:v>11/05/2026</c:v>
                </c:pt>
                <c:pt idx="124">
                  <c:v>12/05/2026</c:v>
                </c:pt>
                <c:pt idx="125">
                  <c:v>13/05/2026</c:v>
                </c:pt>
                <c:pt idx="126">
                  <c:v>14/05/2026</c:v>
                </c:pt>
                <c:pt idx="127">
                  <c:v>15/05/2026</c:v>
                </c:pt>
                <c:pt idx="128">
                  <c:v>16/05/2026</c:v>
                </c:pt>
                <c:pt idx="129">
                  <c:v>17/05/2026</c:v>
                </c:pt>
                <c:pt idx="130">
                  <c:v>18/05/2026</c:v>
                </c:pt>
                <c:pt idx="131">
                  <c:v>19/05/2026</c:v>
                </c:pt>
                <c:pt idx="132">
                  <c:v>20/05/2026</c:v>
                </c:pt>
                <c:pt idx="133">
                  <c:v>21/05/2026</c:v>
                </c:pt>
                <c:pt idx="134">
                  <c:v>22/05/2026</c:v>
                </c:pt>
                <c:pt idx="135">
                  <c:v>23/05/2026</c:v>
                </c:pt>
                <c:pt idx="136">
                  <c:v>24/05/2026</c:v>
                </c:pt>
                <c:pt idx="137">
                  <c:v>25/05/2026</c:v>
                </c:pt>
                <c:pt idx="138">
                  <c:v>26/05/2026</c:v>
                </c:pt>
                <c:pt idx="139">
                  <c:v>27/05/2026</c:v>
                </c:pt>
                <c:pt idx="140">
                  <c:v>28/05/2026</c:v>
                </c:pt>
                <c:pt idx="141">
                  <c:v>29/05/2026</c:v>
                </c:pt>
                <c:pt idx="142">
                  <c:v>30/05/2026</c:v>
                </c:pt>
                <c:pt idx="143">
                  <c:v>31/05/2026</c:v>
                </c:pt>
                <c:pt idx="144">
                  <c:v>01/06/2026</c:v>
                </c:pt>
                <c:pt idx="145">
                  <c:v>02/06/2026</c:v>
                </c:pt>
                <c:pt idx="146">
                  <c:v>03/06/2026</c:v>
                </c:pt>
                <c:pt idx="147">
                  <c:v>04/06/2026</c:v>
                </c:pt>
                <c:pt idx="148">
                  <c:v>05/06/2026</c:v>
                </c:pt>
                <c:pt idx="149">
                  <c:v>06/06/2026</c:v>
                </c:pt>
                <c:pt idx="150">
                  <c:v>07/06/2026</c:v>
                </c:pt>
                <c:pt idx="151">
                  <c:v>08/06/2026</c:v>
                </c:pt>
                <c:pt idx="152">
                  <c:v>09/06/2026</c:v>
                </c:pt>
                <c:pt idx="153">
                  <c:v>10/06/2026</c:v>
                </c:pt>
                <c:pt idx="154">
                  <c:v>11/06/2026</c:v>
                </c:pt>
                <c:pt idx="155">
                  <c:v>12/06/2026</c:v>
                </c:pt>
                <c:pt idx="156">
                  <c:v>13/06/2026</c:v>
                </c:pt>
                <c:pt idx="157">
                  <c:v>14/06/2026</c:v>
                </c:pt>
                <c:pt idx="158">
                  <c:v>15/06/2026</c:v>
                </c:pt>
                <c:pt idx="159">
                  <c:v>16/06/2026</c:v>
                </c:pt>
                <c:pt idx="160">
                  <c:v>17/06/2026</c:v>
                </c:pt>
                <c:pt idx="161">
                  <c:v>18/06/2026</c:v>
                </c:pt>
                <c:pt idx="162">
                  <c:v>19/06/2026</c:v>
                </c:pt>
                <c:pt idx="163">
                  <c:v>20/06/2026</c:v>
                </c:pt>
                <c:pt idx="164">
                  <c:v>21/06/2026</c:v>
                </c:pt>
                <c:pt idx="165">
                  <c:v>22/06/2026</c:v>
                </c:pt>
                <c:pt idx="166">
                  <c:v>23/06/2026</c:v>
                </c:pt>
                <c:pt idx="167">
                  <c:v>24/06/2026</c:v>
                </c:pt>
                <c:pt idx="168">
                  <c:v>25/06/2026</c:v>
                </c:pt>
                <c:pt idx="169">
                  <c:v>26/06/2026</c:v>
                </c:pt>
                <c:pt idx="170">
                  <c:v>27/06/2026</c:v>
                </c:pt>
                <c:pt idx="171">
                  <c:v>28/06/2026</c:v>
                </c:pt>
                <c:pt idx="172">
                  <c:v>29/06/2026</c:v>
                </c:pt>
                <c:pt idx="173">
                  <c:v>30/06/2026</c:v>
                </c:pt>
                <c:pt idx="174">
                  <c:v>01/07/2026</c:v>
                </c:pt>
                <c:pt idx="175">
                  <c:v>02/07/2026</c:v>
                </c:pt>
                <c:pt idx="176">
                  <c:v>03/07/2026</c:v>
                </c:pt>
                <c:pt idx="177">
                  <c:v>04/07/2026</c:v>
                </c:pt>
                <c:pt idx="178">
                  <c:v>05/07/2026</c:v>
                </c:pt>
                <c:pt idx="179">
                  <c:v>06/07/2026</c:v>
                </c:pt>
                <c:pt idx="180">
                  <c:v>07/07/2026</c:v>
                </c:pt>
                <c:pt idx="181">
                  <c:v>08/07/2026</c:v>
                </c:pt>
                <c:pt idx="182">
                  <c:v>09/07/2026</c:v>
                </c:pt>
                <c:pt idx="183">
                  <c:v>10/07/2026</c:v>
                </c:pt>
                <c:pt idx="184">
                  <c:v>11/07/2026</c:v>
                </c:pt>
                <c:pt idx="185">
                  <c:v>12/07/2026</c:v>
                </c:pt>
                <c:pt idx="186">
                  <c:v>13/07/2026</c:v>
                </c:pt>
                <c:pt idx="187">
                  <c:v>14/07/2026</c:v>
                </c:pt>
                <c:pt idx="188">
                  <c:v>15/07/2026</c:v>
                </c:pt>
                <c:pt idx="189">
                  <c:v>16/07/2026</c:v>
                </c:pt>
                <c:pt idx="190">
                  <c:v>17/07/2026</c:v>
                </c:pt>
                <c:pt idx="191">
                  <c:v>18/07/2026</c:v>
                </c:pt>
                <c:pt idx="192">
                  <c:v>19/07/2026</c:v>
                </c:pt>
                <c:pt idx="193">
                  <c:v>20/07/2026</c:v>
                </c:pt>
                <c:pt idx="194">
                  <c:v>21/07/2026</c:v>
                </c:pt>
                <c:pt idx="195">
                  <c:v>24/07/2026</c:v>
                </c:pt>
                <c:pt idx="196">
                  <c:v>25/07/2026</c:v>
                </c:pt>
                <c:pt idx="197">
                  <c:v>29/07/2026</c:v>
                </c:pt>
              </c:strCache>
            </c:strRef>
          </c:cat>
          <c:val>
            <c:numRef>
              <c:f>Pivot!$B$2209:$B$2406</c:f>
              <c:numCache>
                <c:formatCode>0</c:formatCode>
                <c:ptCount val="198"/>
                <c:pt idx="0">
                  <c:v>-8</c:v>
                </c:pt>
                <c:pt idx="1">
                  <c:v>-8</c:v>
                </c:pt>
                <c:pt idx="2">
                  <c:v>-5</c:v>
                </c:pt>
                <c:pt idx="3">
                  <c:v>-6</c:v>
                </c:pt>
                <c:pt idx="4">
                  <c:v>-8</c:v>
                </c:pt>
                <c:pt idx="5">
                  <c:v>-1</c:v>
                </c:pt>
                <c:pt idx="6">
                  <c:v>2</c:v>
                </c:pt>
                <c:pt idx="7">
                  <c:v>-5</c:v>
                </c:pt>
                <c:pt idx="8">
                  <c:v>2</c:v>
                </c:pt>
                <c:pt idx="9">
                  <c:v>7</c:v>
                </c:pt>
                <c:pt idx="10">
                  <c:v>-7</c:v>
                </c:pt>
                <c:pt idx="11">
                  <c:v>-8</c:v>
                </c:pt>
                <c:pt idx="12">
                  <c:v>1</c:v>
                </c:pt>
                <c:pt idx="13">
                  <c:v>-3</c:v>
                </c:pt>
                <c:pt idx="14">
                  <c:v>-5</c:v>
                </c:pt>
                <c:pt idx="15">
                  <c:v>-5</c:v>
                </c:pt>
                <c:pt idx="16">
                  <c:v>43</c:v>
                </c:pt>
                <c:pt idx="17">
                  <c:v>-8</c:v>
                </c:pt>
                <c:pt idx="18">
                  <c:v>19</c:v>
                </c:pt>
                <c:pt idx="19">
                  <c:v>14</c:v>
                </c:pt>
                <c:pt idx="20">
                  <c:v>7</c:v>
                </c:pt>
                <c:pt idx="21">
                  <c:v>33</c:v>
                </c:pt>
                <c:pt idx="22">
                  <c:v>-14</c:v>
                </c:pt>
                <c:pt idx="23">
                  <c:v>10</c:v>
                </c:pt>
                <c:pt idx="24">
                  <c:v>-1</c:v>
                </c:pt>
                <c:pt idx="25">
                  <c:v>16</c:v>
                </c:pt>
                <c:pt idx="26">
                  <c:v>-4</c:v>
                </c:pt>
                <c:pt idx="27">
                  <c:v>23</c:v>
                </c:pt>
                <c:pt idx="28">
                  <c:v>-7</c:v>
                </c:pt>
                <c:pt idx="29">
                  <c:v>27</c:v>
                </c:pt>
                <c:pt idx="30">
                  <c:v>-12</c:v>
                </c:pt>
                <c:pt idx="31">
                  <c:v>7</c:v>
                </c:pt>
                <c:pt idx="32">
                  <c:v>14</c:v>
                </c:pt>
                <c:pt idx="33">
                  <c:v>13</c:v>
                </c:pt>
                <c:pt idx="34">
                  <c:v>21</c:v>
                </c:pt>
                <c:pt idx="35">
                  <c:v>-14</c:v>
                </c:pt>
                <c:pt idx="36">
                  <c:v>34</c:v>
                </c:pt>
                <c:pt idx="37">
                  <c:v>-2</c:v>
                </c:pt>
                <c:pt idx="38">
                  <c:v>0</c:v>
                </c:pt>
                <c:pt idx="39">
                  <c:v>3</c:v>
                </c:pt>
                <c:pt idx="40">
                  <c:v>5</c:v>
                </c:pt>
                <c:pt idx="41">
                  <c:v>35</c:v>
                </c:pt>
                <c:pt idx="42">
                  <c:v>17</c:v>
                </c:pt>
                <c:pt idx="43">
                  <c:v>18</c:v>
                </c:pt>
                <c:pt idx="44">
                  <c:v>14</c:v>
                </c:pt>
                <c:pt idx="45">
                  <c:v>18</c:v>
                </c:pt>
                <c:pt idx="46">
                  <c:v>16</c:v>
                </c:pt>
                <c:pt idx="47">
                  <c:v>-2</c:v>
                </c:pt>
                <c:pt idx="48">
                  <c:v>39</c:v>
                </c:pt>
                <c:pt idx="49">
                  <c:v>11</c:v>
                </c:pt>
                <c:pt idx="50">
                  <c:v>17</c:v>
                </c:pt>
                <c:pt idx="51">
                  <c:v>7</c:v>
                </c:pt>
                <c:pt idx="52">
                  <c:v>45</c:v>
                </c:pt>
                <c:pt idx="53">
                  <c:v>28</c:v>
                </c:pt>
                <c:pt idx="54">
                  <c:v>10</c:v>
                </c:pt>
                <c:pt idx="55">
                  <c:v>11</c:v>
                </c:pt>
                <c:pt idx="56">
                  <c:v>-2</c:v>
                </c:pt>
                <c:pt idx="57">
                  <c:v>12</c:v>
                </c:pt>
                <c:pt idx="58">
                  <c:v>-6</c:v>
                </c:pt>
                <c:pt idx="59">
                  <c:v>17</c:v>
                </c:pt>
                <c:pt idx="60">
                  <c:v>0</c:v>
                </c:pt>
                <c:pt idx="61">
                  <c:v>27</c:v>
                </c:pt>
                <c:pt idx="62">
                  <c:v>23</c:v>
                </c:pt>
                <c:pt idx="63">
                  <c:v>9</c:v>
                </c:pt>
                <c:pt idx="64">
                  <c:v>3</c:v>
                </c:pt>
                <c:pt idx="65">
                  <c:v>16</c:v>
                </c:pt>
                <c:pt idx="66">
                  <c:v>6</c:v>
                </c:pt>
                <c:pt idx="67">
                  <c:v>11</c:v>
                </c:pt>
                <c:pt idx="68">
                  <c:v>-12</c:v>
                </c:pt>
                <c:pt idx="69">
                  <c:v>-10</c:v>
                </c:pt>
                <c:pt idx="70">
                  <c:v>-3</c:v>
                </c:pt>
                <c:pt idx="71">
                  <c:v>-1</c:v>
                </c:pt>
                <c:pt idx="72">
                  <c:v>10</c:v>
                </c:pt>
                <c:pt idx="73">
                  <c:v>-2</c:v>
                </c:pt>
                <c:pt idx="74">
                  <c:v>12</c:v>
                </c:pt>
                <c:pt idx="75">
                  <c:v>13</c:v>
                </c:pt>
                <c:pt idx="76">
                  <c:v>24</c:v>
                </c:pt>
                <c:pt idx="77">
                  <c:v>3</c:v>
                </c:pt>
                <c:pt idx="78">
                  <c:v>1</c:v>
                </c:pt>
                <c:pt idx="79">
                  <c:v>30</c:v>
                </c:pt>
                <c:pt idx="80">
                  <c:v>29</c:v>
                </c:pt>
                <c:pt idx="81">
                  <c:v>26</c:v>
                </c:pt>
                <c:pt idx="82">
                  <c:v>-7</c:v>
                </c:pt>
                <c:pt idx="83">
                  <c:v>24</c:v>
                </c:pt>
                <c:pt idx="84">
                  <c:v>-20</c:v>
                </c:pt>
                <c:pt idx="85">
                  <c:v>18</c:v>
                </c:pt>
                <c:pt idx="86">
                  <c:v>32</c:v>
                </c:pt>
                <c:pt idx="87">
                  <c:v>-8</c:v>
                </c:pt>
                <c:pt idx="88">
                  <c:v>38</c:v>
                </c:pt>
                <c:pt idx="89">
                  <c:v>-2</c:v>
                </c:pt>
                <c:pt idx="90">
                  <c:v>9</c:v>
                </c:pt>
                <c:pt idx="91">
                  <c:v>0</c:v>
                </c:pt>
                <c:pt idx="92">
                  <c:v>8</c:v>
                </c:pt>
                <c:pt idx="93">
                  <c:v>25</c:v>
                </c:pt>
                <c:pt idx="94">
                  <c:v>12</c:v>
                </c:pt>
                <c:pt idx="95">
                  <c:v>6</c:v>
                </c:pt>
                <c:pt idx="96">
                  <c:v>13</c:v>
                </c:pt>
                <c:pt idx="97">
                  <c:v>15</c:v>
                </c:pt>
                <c:pt idx="98">
                  <c:v>28</c:v>
                </c:pt>
                <c:pt idx="99">
                  <c:v>-11</c:v>
                </c:pt>
                <c:pt idx="100">
                  <c:v>9</c:v>
                </c:pt>
                <c:pt idx="101">
                  <c:v>10</c:v>
                </c:pt>
                <c:pt idx="102">
                  <c:v>22</c:v>
                </c:pt>
                <c:pt idx="103">
                  <c:v>17</c:v>
                </c:pt>
                <c:pt idx="104">
                  <c:v>10</c:v>
                </c:pt>
                <c:pt idx="105">
                  <c:v>15</c:v>
                </c:pt>
                <c:pt idx="106">
                  <c:v>18</c:v>
                </c:pt>
                <c:pt idx="107">
                  <c:v>16</c:v>
                </c:pt>
                <c:pt idx="108">
                  <c:v>9</c:v>
                </c:pt>
                <c:pt idx="109">
                  <c:v>-9</c:v>
                </c:pt>
                <c:pt idx="110">
                  <c:v>9</c:v>
                </c:pt>
                <c:pt idx="111">
                  <c:v>1</c:v>
                </c:pt>
                <c:pt idx="112">
                  <c:v>9</c:v>
                </c:pt>
                <c:pt idx="113">
                  <c:v>-1</c:v>
                </c:pt>
                <c:pt idx="114">
                  <c:v>15</c:v>
                </c:pt>
                <c:pt idx="115">
                  <c:v>9</c:v>
                </c:pt>
                <c:pt idx="116">
                  <c:v>3</c:v>
                </c:pt>
                <c:pt idx="117">
                  <c:v>2</c:v>
                </c:pt>
                <c:pt idx="118">
                  <c:v>-23</c:v>
                </c:pt>
                <c:pt idx="119">
                  <c:v>12</c:v>
                </c:pt>
                <c:pt idx="120">
                  <c:v>-12</c:v>
                </c:pt>
                <c:pt idx="121">
                  <c:v>19</c:v>
                </c:pt>
                <c:pt idx="122">
                  <c:v>22</c:v>
                </c:pt>
                <c:pt idx="123">
                  <c:v>0</c:v>
                </c:pt>
                <c:pt idx="124">
                  <c:v>11</c:v>
                </c:pt>
                <c:pt idx="125">
                  <c:v>30</c:v>
                </c:pt>
                <c:pt idx="126">
                  <c:v>10</c:v>
                </c:pt>
                <c:pt idx="127">
                  <c:v>-6</c:v>
                </c:pt>
                <c:pt idx="128">
                  <c:v>-3</c:v>
                </c:pt>
                <c:pt idx="129">
                  <c:v>0</c:v>
                </c:pt>
                <c:pt idx="130">
                  <c:v>5</c:v>
                </c:pt>
                <c:pt idx="131">
                  <c:v>16</c:v>
                </c:pt>
                <c:pt idx="132">
                  <c:v>30</c:v>
                </c:pt>
                <c:pt idx="133">
                  <c:v>14</c:v>
                </c:pt>
                <c:pt idx="134">
                  <c:v>15</c:v>
                </c:pt>
                <c:pt idx="135">
                  <c:v>11</c:v>
                </c:pt>
                <c:pt idx="136">
                  <c:v>14</c:v>
                </c:pt>
                <c:pt idx="137">
                  <c:v>-1</c:v>
                </c:pt>
                <c:pt idx="138">
                  <c:v>-17</c:v>
                </c:pt>
                <c:pt idx="139">
                  <c:v>17</c:v>
                </c:pt>
                <c:pt idx="140">
                  <c:v>5</c:v>
                </c:pt>
                <c:pt idx="141">
                  <c:v>-3</c:v>
                </c:pt>
                <c:pt idx="142">
                  <c:v>5</c:v>
                </c:pt>
                <c:pt idx="143">
                  <c:v>24</c:v>
                </c:pt>
                <c:pt idx="144">
                  <c:v>25</c:v>
                </c:pt>
                <c:pt idx="145">
                  <c:v>33</c:v>
                </c:pt>
                <c:pt idx="146">
                  <c:v>17</c:v>
                </c:pt>
                <c:pt idx="147">
                  <c:v>1</c:v>
                </c:pt>
                <c:pt idx="148">
                  <c:v>15</c:v>
                </c:pt>
                <c:pt idx="149">
                  <c:v>25</c:v>
                </c:pt>
                <c:pt idx="150">
                  <c:v>50</c:v>
                </c:pt>
                <c:pt idx="151">
                  <c:v>13</c:v>
                </c:pt>
                <c:pt idx="152">
                  <c:v>14</c:v>
                </c:pt>
                <c:pt idx="153">
                  <c:v>37</c:v>
                </c:pt>
                <c:pt idx="154">
                  <c:v>-3</c:v>
                </c:pt>
                <c:pt idx="155">
                  <c:v>-9</c:v>
                </c:pt>
                <c:pt idx="156">
                  <c:v>15</c:v>
                </c:pt>
                <c:pt idx="157">
                  <c:v>27</c:v>
                </c:pt>
                <c:pt idx="158">
                  <c:v>21</c:v>
                </c:pt>
                <c:pt idx="159">
                  <c:v>25</c:v>
                </c:pt>
                <c:pt idx="160">
                  <c:v>17</c:v>
                </c:pt>
                <c:pt idx="161">
                  <c:v>11</c:v>
                </c:pt>
                <c:pt idx="162">
                  <c:v>8</c:v>
                </c:pt>
                <c:pt idx="163">
                  <c:v>8</c:v>
                </c:pt>
                <c:pt idx="164">
                  <c:v>-5</c:v>
                </c:pt>
                <c:pt idx="165">
                  <c:v>9</c:v>
                </c:pt>
                <c:pt idx="166">
                  <c:v>33</c:v>
                </c:pt>
                <c:pt idx="167">
                  <c:v>31</c:v>
                </c:pt>
                <c:pt idx="168">
                  <c:v>8</c:v>
                </c:pt>
                <c:pt idx="169">
                  <c:v>-23</c:v>
                </c:pt>
                <c:pt idx="170">
                  <c:v>33</c:v>
                </c:pt>
                <c:pt idx="171">
                  <c:v>3</c:v>
                </c:pt>
                <c:pt idx="172">
                  <c:v>-7</c:v>
                </c:pt>
                <c:pt idx="173">
                  <c:v>17</c:v>
                </c:pt>
                <c:pt idx="174">
                  <c:v>17</c:v>
                </c:pt>
                <c:pt idx="175">
                  <c:v>6</c:v>
                </c:pt>
                <c:pt idx="176">
                  <c:v>19</c:v>
                </c:pt>
                <c:pt idx="177">
                  <c:v>-12</c:v>
                </c:pt>
                <c:pt idx="178">
                  <c:v>13</c:v>
                </c:pt>
                <c:pt idx="179">
                  <c:v>34</c:v>
                </c:pt>
                <c:pt idx="180">
                  <c:v>41</c:v>
                </c:pt>
                <c:pt idx="181">
                  <c:v>29</c:v>
                </c:pt>
                <c:pt idx="182">
                  <c:v>20</c:v>
                </c:pt>
                <c:pt idx="183">
                  <c:v>35</c:v>
                </c:pt>
                <c:pt idx="184">
                  <c:v>18</c:v>
                </c:pt>
                <c:pt idx="185">
                  <c:v>18</c:v>
                </c:pt>
                <c:pt idx="186">
                  <c:v>13</c:v>
                </c:pt>
                <c:pt idx="187">
                  <c:v>20</c:v>
                </c:pt>
                <c:pt idx="188">
                  <c:v>16</c:v>
                </c:pt>
                <c:pt idx="189">
                  <c:v>21</c:v>
                </c:pt>
                <c:pt idx="190">
                  <c:v>-2</c:v>
                </c:pt>
                <c:pt idx="191">
                  <c:v>15</c:v>
                </c:pt>
                <c:pt idx="192">
                  <c:v>27</c:v>
                </c:pt>
                <c:pt idx="193">
                  <c:v>3</c:v>
                </c:pt>
                <c:pt idx="194">
                  <c:v>13</c:v>
                </c:pt>
                <c:pt idx="195">
                  <c:v>3</c:v>
                </c:pt>
                <c:pt idx="196">
                  <c:v>15</c:v>
                </c:pt>
                <c:pt idx="197">
                  <c:v>9</c:v>
                </c:pt>
              </c:numCache>
            </c:numRef>
          </c:val>
          <c:smooth val="0"/>
          <c:extLst>
            <c:ext xmlns:c16="http://schemas.microsoft.com/office/drawing/2014/chart" uri="{C3380CC4-5D6E-409C-BE32-E72D297353CC}">
              <c16:uniqueId val="{00000000-6019-42E1-B5E1-061436BD4D91}"/>
            </c:ext>
          </c:extLst>
        </c:ser>
        <c:dLbls>
          <c:showLegendKey val="0"/>
          <c:showVal val="0"/>
          <c:showCatName val="0"/>
          <c:showSerName val="0"/>
          <c:showPercent val="0"/>
          <c:showBubbleSize val="0"/>
        </c:dLbls>
        <c:smooth val="0"/>
        <c:axId val="2081268383"/>
        <c:axId val="2081268863"/>
      </c:lineChart>
      <c:catAx>
        <c:axId val="208126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68863"/>
        <c:crosses val="autoZero"/>
        <c:auto val="1"/>
        <c:lblAlgn val="ctr"/>
        <c:lblOffset val="100"/>
        <c:noMultiLvlLbl val="0"/>
      </c:catAx>
      <c:valAx>
        <c:axId val="20812688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6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[Maersk-Ahmed Lawal_revised.xlsx]Pivot Table Analysis!Supplier Defect Rate</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1"/>
              <a:t>Average Defect rate of Supplier</a:t>
            </a:r>
            <a:r>
              <a:rPr lang="en-GB" sz="1600" b="1" baseline="0"/>
              <a:t> </a:t>
            </a:r>
            <a:endParaRPr lang="en-GB"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30309287707912"/>
          <c:y val="0.13312796208530808"/>
          <c:w val="0.87828768522090372"/>
          <c:h val="0.63514497891555022"/>
        </c:manualLayout>
      </c:layout>
      <c:barChart>
        <c:barDir val="col"/>
        <c:grouping val="clustered"/>
        <c:varyColors val="0"/>
        <c:ser>
          <c:idx val="0"/>
          <c:order val="0"/>
          <c:tx>
            <c:strRef>
              <c:f>'Pivot Table Analysis'!$B$218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Analysis'!$A$219:$A$234</c:f>
              <c:strCache>
                <c:ptCount val="15"/>
                <c:pt idx="0">
                  <c:v>AbidjanCS</c:v>
                </c:pt>
                <c:pt idx="1">
                  <c:v>Dar</c:v>
                </c:pt>
                <c:pt idx="2">
                  <c:v>Nile</c:v>
                </c:pt>
                <c:pt idx="3">
                  <c:v>Kampala</c:v>
                </c:pt>
                <c:pt idx="4">
                  <c:v>AddisFW</c:v>
                </c:pt>
                <c:pt idx="5">
                  <c:v>Mombasa</c:v>
                </c:pt>
                <c:pt idx="6">
                  <c:v>AccraAI</c:v>
                </c:pt>
                <c:pt idx="7">
                  <c:v>Kentech</c:v>
                </c:pt>
                <c:pt idx="8">
                  <c:v>Kano</c:v>
                </c:pt>
                <c:pt idx="9">
                  <c:v>LagosPR</c:v>
                </c:pt>
                <c:pt idx="10">
                  <c:v>Cape</c:v>
                </c:pt>
                <c:pt idx="11">
                  <c:v>Casablanca</c:v>
                </c:pt>
                <c:pt idx="12">
                  <c:v>Primesteel</c:v>
                </c:pt>
                <c:pt idx="13">
                  <c:v>Kigali</c:v>
                </c:pt>
                <c:pt idx="14">
                  <c:v>Sahara</c:v>
                </c:pt>
              </c:strCache>
            </c:strRef>
          </c:cat>
          <c:val>
            <c:numRef>
              <c:f>'Pivot Table Analysis'!$B$219:$B$234</c:f>
              <c:numCache>
                <c:formatCode>0.00%</c:formatCode>
                <c:ptCount val="15"/>
                <c:pt idx="0">
                  <c:v>4.0217460317460325E-2</c:v>
                </c:pt>
                <c:pt idx="1">
                  <c:v>3.9534545454545461E-2</c:v>
                </c:pt>
                <c:pt idx="2">
                  <c:v>3.3906557377049187E-2</c:v>
                </c:pt>
                <c:pt idx="3">
                  <c:v>2.9802597402597414E-2</c:v>
                </c:pt>
                <c:pt idx="4">
                  <c:v>2.9379729729729739E-2</c:v>
                </c:pt>
                <c:pt idx="5">
                  <c:v>2.8371641791044781E-2</c:v>
                </c:pt>
                <c:pt idx="6">
                  <c:v>2.7650724637681166E-2</c:v>
                </c:pt>
                <c:pt idx="7">
                  <c:v>2.4989473684210541E-2</c:v>
                </c:pt>
                <c:pt idx="8">
                  <c:v>2.3195312499999999E-2</c:v>
                </c:pt>
                <c:pt idx="9">
                  <c:v>2.2116417910447772E-2</c:v>
                </c:pt>
                <c:pt idx="10">
                  <c:v>1.9275384615384614E-2</c:v>
                </c:pt>
                <c:pt idx="11">
                  <c:v>1.8926415094339632E-2</c:v>
                </c:pt>
                <c:pt idx="12">
                  <c:v>1.690847457627119E-2</c:v>
                </c:pt>
                <c:pt idx="13">
                  <c:v>1.6555555555555559E-2</c:v>
                </c:pt>
                <c:pt idx="14">
                  <c:v>1.1247435897435902E-2</c:v>
                </c:pt>
              </c:numCache>
            </c:numRef>
          </c:val>
          <c:extLst>
            <c:ext xmlns:c16="http://schemas.microsoft.com/office/drawing/2014/chart" uri="{C3380CC4-5D6E-409C-BE32-E72D297353CC}">
              <c16:uniqueId val="{00000000-2B3D-4F8D-99AD-944203EDBEA5}"/>
            </c:ext>
          </c:extLst>
        </c:ser>
        <c:dLbls>
          <c:dLblPos val="outEnd"/>
          <c:showLegendKey val="0"/>
          <c:showVal val="1"/>
          <c:showCatName val="0"/>
          <c:showSerName val="0"/>
          <c:showPercent val="0"/>
          <c:showBubbleSize val="0"/>
        </c:dLbls>
        <c:gapWidth val="40"/>
        <c:overlap val="100"/>
        <c:axId val="936760608"/>
        <c:axId val="936758688"/>
      </c:barChart>
      <c:catAx>
        <c:axId val="93676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758688"/>
        <c:crosses val="autoZero"/>
        <c:auto val="1"/>
        <c:lblAlgn val="ctr"/>
        <c:lblOffset val="100"/>
        <c:noMultiLvlLbl val="0"/>
      </c:catAx>
      <c:valAx>
        <c:axId val="93675868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76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Analysis of Defect Rate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6188090125098"/>
          <c:y val="0.11899930680222534"/>
          <c:w val="0.86600463647627801"/>
          <c:h val="0.57268737241178191"/>
        </c:manualLayout>
      </c:layout>
      <c:barChart>
        <c:barDir val="col"/>
        <c:grouping val="clustered"/>
        <c:varyColors val="0"/>
        <c:ser>
          <c:idx val="0"/>
          <c:order val="0"/>
          <c:tx>
            <c:strRef>
              <c:f>'Pivot Table Analysis'!$K$440</c:f>
              <c:strCache>
                <c:ptCount val="1"/>
                <c:pt idx="0">
                  <c:v>Average Defect_Rate</c:v>
                </c:pt>
              </c:strCache>
            </c:strRef>
          </c:tx>
          <c:spPr>
            <a:solidFill>
              <a:schemeClr val="accent1"/>
            </a:solidFill>
            <a:ln>
              <a:noFill/>
            </a:ln>
            <a:effectLst/>
          </c:spPr>
          <c:invertIfNegative val="0"/>
          <c:cat>
            <c:strRef>
              <c:f>'Pivot Table Analysis'!$J$441:$J$455</c:f>
              <c:strCache>
                <c:ptCount val="15"/>
                <c:pt idx="0">
                  <c:v>Cape</c:v>
                </c:pt>
                <c:pt idx="1">
                  <c:v>Primesteel</c:v>
                </c:pt>
                <c:pt idx="2">
                  <c:v>Kampala</c:v>
                </c:pt>
                <c:pt idx="3">
                  <c:v>Dar</c:v>
                </c:pt>
                <c:pt idx="4">
                  <c:v>AbidjanCS</c:v>
                </c:pt>
                <c:pt idx="5">
                  <c:v>Kentech</c:v>
                </c:pt>
                <c:pt idx="6">
                  <c:v>AddisFW</c:v>
                </c:pt>
                <c:pt idx="7">
                  <c:v>Kigali</c:v>
                </c:pt>
                <c:pt idx="8">
                  <c:v>AccraAI</c:v>
                </c:pt>
                <c:pt idx="9">
                  <c:v>Nile</c:v>
                </c:pt>
                <c:pt idx="10">
                  <c:v>Mombasa</c:v>
                </c:pt>
                <c:pt idx="11">
                  <c:v>Kano</c:v>
                </c:pt>
                <c:pt idx="12">
                  <c:v>LagosPR</c:v>
                </c:pt>
                <c:pt idx="13">
                  <c:v>Casablanca</c:v>
                </c:pt>
                <c:pt idx="14">
                  <c:v>Sahara</c:v>
                </c:pt>
              </c:strCache>
            </c:strRef>
          </c:cat>
          <c:val>
            <c:numRef>
              <c:f>'Pivot Table Analysis'!$K$441:$K$455</c:f>
              <c:numCache>
                <c:formatCode>0.00%</c:formatCode>
                <c:ptCount val="15"/>
                <c:pt idx="0">
                  <c:v>1.9275384615384614E-2</c:v>
                </c:pt>
                <c:pt idx="1">
                  <c:v>1.690847457627119E-2</c:v>
                </c:pt>
                <c:pt idx="2">
                  <c:v>2.9802597402597414E-2</c:v>
                </c:pt>
                <c:pt idx="3">
                  <c:v>3.9534545454545461E-2</c:v>
                </c:pt>
                <c:pt idx="4">
                  <c:v>4.0217460317460325E-2</c:v>
                </c:pt>
                <c:pt idx="5">
                  <c:v>2.4989473684210541E-2</c:v>
                </c:pt>
                <c:pt idx="6">
                  <c:v>2.9379729729729739E-2</c:v>
                </c:pt>
                <c:pt idx="7">
                  <c:v>1.6555555555555559E-2</c:v>
                </c:pt>
                <c:pt idx="8">
                  <c:v>2.7650724637681166E-2</c:v>
                </c:pt>
                <c:pt idx="9">
                  <c:v>3.3906557377049187E-2</c:v>
                </c:pt>
                <c:pt idx="10">
                  <c:v>2.8371641791044781E-2</c:v>
                </c:pt>
                <c:pt idx="11">
                  <c:v>2.3195312499999999E-2</c:v>
                </c:pt>
                <c:pt idx="12">
                  <c:v>2.2116417910447772E-2</c:v>
                </c:pt>
                <c:pt idx="13">
                  <c:v>1.8926415094339632E-2</c:v>
                </c:pt>
                <c:pt idx="14">
                  <c:v>1.1247435897435902E-2</c:v>
                </c:pt>
              </c:numCache>
            </c:numRef>
          </c:val>
          <c:extLst>
            <c:ext xmlns:c16="http://schemas.microsoft.com/office/drawing/2014/chart" uri="{C3380CC4-5D6E-409C-BE32-E72D297353CC}">
              <c16:uniqueId val="{00000000-F1FE-4E22-A098-1F5F70F79378}"/>
            </c:ext>
          </c:extLst>
        </c:ser>
        <c:ser>
          <c:idx val="1"/>
          <c:order val="1"/>
          <c:tx>
            <c:strRef>
              <c:f>'Pivot Table Analysis'!$L$440</c:f>
              <c:strCache>
                <c:ptCount val="1"/>
                <c:pt idx="0">
                  <c:v>% of defect in Total Supply</c:v>
                </c:pt>
              </c:strCache>
            </c:strRef>
          </c:tx>
          <c:spPr>
            <a:solidFill>
              <a:schemeClr val="accent2"/>
            </a:solidFill>
            <a:ln>
              <a:noFill/>
            </a:ln>
            <a:effectLst/>
          </c:spPr>
          <c:invertIfNegative val="0"/>
          <c:cat>
            <c:strRef>
              <c:f>'Pivot Table Analysis'!$J$441:$J$455</c:f>
              <c:strCache>
                <c:ptCount val="15"/>
                <c:pt idx="0">
                  <c:v>Cape</c:v>
                </c:pt>
                <c:pt idx="1">
                  <c:v>Primesteel</c:v>
                </c:pt>
                <c:pt idx="2">
                  <c:v>Kampala</c:v>
                </c:pt>
                <c:pt idx="3">
                  <c:v>Dar</c:v>
                </c:pt>
                <c:pt idx="4">
                  <c:v>AbidjanCS</c:v>
                </c:pt>
                <c:pt idx="5">
                  <c:v>Kentech</c:v>
                </c:pt>
                <c:pt idx="6">
                  <c:v>AddisFW</c:v>
                </c:pt>
                <c:pt idx="7">
                  <c:v>Kigali</c:v>
                </c:pt>
                <c:pt idx="8">
                  <c:v>AccraAI</c:v>
                </c:pt>
                <c:pt idx="9">
                  <c:v>Nile</c:v>
                </c:pt>
                <c:pt idx="10">
                  <c:v>Mombasa</c:v>
                </c:pt>
                <c:pt idx="11">
                  <c:v>Kano</c:v>
                </c:pt>
                <c:pt idx="12">
                  <c:v>LagosPR</c:v>
                </c:pt>
                <c:pt idx="13">
                  <c:v>Casablanca</c:v>
                </c:pt>
                <c:pt idx="14">
                  <c:v>Sahara</c:v>
                </c:pt>
              </c:strCache>
            </c:strRef>
          </c:cat>
          <c:val>
            <c:numRef>
              <c:f>'Pivot Table Analysis'!$L$441:$L$455</c:f>
              <c:numCache>
                <c:formatCode>0.00%</c:formatCode>
                <c:ptCount val="15"/>
                <c:pt idx="0">
                  <c:v>9.4954337899543384E-2</c:v>
                </c:pt>
                <c:pt idx="1">
                  <c:v>3.3837719298245611E-2</c:v>
                </c:pt>
                <c:pt idx="2">
                  <c:v>3.116504854368932E-2</c:v>
                </c:pt>
                <c:pt idx="3">
                  <c:v>4.4874418604651162E-2</c:v>
                </c:pt>
                <c:pt idx="4">
                  <c:v>3.6690307328605204E-2</c:v>
                </c:pt>
                <c:pt idx="5">
                  <c:v>2.9746917585983128E-2</c:v>
                </c:pt>
                <c:pt idx="6">
                  <c:v>3.0076655052264808E-2</c:v>
                </c:pt>
                <c:pt idx="7">
                  <c:v>3.1546707503828486E-2</c:v>
                </c:pt>
                <c:pt idx="8">
                  <c:v>2.9977695167286246E-2</c:v>
                </c:pt>
                <c:pt idx="9">
                  <c:v>2.8971553610503284E-2</c:v>
                </c:pt>
                <c:pt idx="10">
                  <c:v>2.4532650448143407E-2</c:v>
                </c:pt>
                <c:pt idx="11">
                  <c:v>2.2870090634441089E-2</c:v>
                </c:pt>
                <c:pt idx="12">
                  <c:v>1.7653365098272783E-2</c:v>
                </c:pt>
                <c:pt idx="13">
                  <c:v>2.648068669527897E-2</c:v>
                </c:pt>
                <c:pt idx="14">
                  <c:v>1.0897435897435897E-2</c:v>
                </c:pt>
              </c:numCache>
            </c:numRef>
          </c:val>
          <c:extLst>
            <c:ext xmlns:c16="http://schemas.microsoft.com/office/drawing/2014/chart" uri="{C3380CC4-5D6E-409C-BE32-E72D297353CC}">
              <c16:uniqueId val="{00000001-F1FE-4E22-A098-1F5F70F79378}"/>
            </c:ext>
          </c:extLst>
        </c:ser>
        <c:dLbls>
          <c:showLegendKey val="0"/>
          <c:showVal val="0"/>
          <c:showCatName val="0"/>
          <c:showSerName val="0"/>
          <c:showPercent val="0"/>
          <c:showBubbleSize val="0"/>
        </c:dLbls>
        <c:gapWidth val="40"/>
        <c:overlap val="-10"/>
        <c:axId val="154073920"/>
        <c:axId val="154074400"/>
      </c:barChart>
      <c:lineChart>
        <c:grouping val="standard"/>
        <c:varyColors val="0"/>
        <c:ser>
          <c:idx val="2"/>
          <c:order val="2"/>
          <c:tx>
            <c:strRef>
              <c:f>'Pivot Table Analysis'!$M$440</c:f>
              <c:strCache>
                <c:ptCount val="1"/>
                <c:pt idx="0">
                  <c:v>% of  Overall Defective_Units</c:v>
                </c:pt>
              </c:strCache>
            </c:strRef>
          </c:tx>
          <c:spPr>
            <a:ln w="28575" cap="rnd">
              <a:solidFill>
                <a:schemeClr val="accent3"/>
              </a:solidFill>
              <a:round/>
            </a:ln>
            <a:effectLst/>
          </c:spPr>
          <c:marker>
            <c:symbol val="none"/>
          </c:marker>
          <c:cat>
            <c:strRef>
              <c:f>'Pivot Table Analysis'!$J$441:$J$455</c:f>
              <c:strCache>
                <c:ptCount val="15"/>
                <c:pt idx="0">
                  <c:v>Cape</c:v>
                </c:pt>
                <c:pt idx="1">
                  <c:v>Primesteel</c:v>
                </c:pt>
                <c:pt idx="2">
                  <c:v>Kampala</c:v>
                </c:pt>
                <c:pt idx="3">
                  <c:v>Dar</c:v>
                </c:pt>
                <c:pt idx="4">
                  <c:v>AbidjanCS</c:v>
                </c:pt>
                <c:pt idx="5">
                  <c:v>Kentech</c:v>
                </c:pt>
                <c:pt idx="6">
                  <c:v>AddisFW</c:v>
                </c:pt>
                <c:pt idx="7">
                  <c:v>Kigali</c:v>
                </c:pt>
                <c:pt idx="8">
                  <c:v>AccraAI</c:v>
                </c:pt>
                <c:pt idx="9">
                  <c:v>Nile</c:v>
                </c:pt>
                <c:pt idx="10">
                  <c:v>Mombasa</c:v>
                </c:pt>
                <c:pt idx="11">
                  <c:v>Kano</c:v>
                </c:pt>
                <c:pt idx="12">
                  <c:v>LagosPR</c:v>
                </c:pt>
                <c:pt idx="13">
                  <c:v>Casablanca</c:v>
                </c:pt>
                <c:pt idx="14">
                  <c:v>Sahara</c:v>
                </c:pt>
              </c:strCache>
            </c:strRef>
          </c:cat>
          <c:val>
            <c:numRef>
              <c:f>'Pivot Table Analysis'!$M$441:$M$455</c:f>
              <c:numCache>
                <c:formatCode>0.00%</c:formatCode>
                <c:ptCount val="15"/>
                <c:pt idx="0">
                  <c:v>0.22857928002198405</c:v>
                </c:pt>
                <c:pt idx="1">
                  <c:v>8.4803517449848861E-2</c:v>
                </c:pt>
                <c:pt idx="2">
                  <c:v>7.0568837592745265E-2</c:v>
                </c:pt>
                <c:pt idx="3">
                  <c:v>6.6281945589447652E-2</c:v>
                </c:pt>
                <c:pt idx="4">
                  <c:v>6.3973619126133557E-2</c:v>
                </c:pt>
                <c:pt idx="5">
                  <c:v>6.2984336356141798E-2</c:v>
                </c:pt>
                <c:pt idx="6">
                  <c:v>5.9302006045616924E-2</c:v>
                </c:pt>
                <c:pt idx="7">
                  <c:v>5.6608958505083816E-2</c:v>
                </c:pt>
                <c:pt idx="8">
                  <c:v>5.5399835119538332E-2</c:v>
                </c:pt>
                <c:pt idx="9">
                  <c:v>5.4575432811211869E-2</c:v>
                </c:pt>
                <c:pt idx="10">
                  <c:v>5.2651827425116787E-2</c:v>
                </c:pt>
                <c:pt idx="11">
                  <c:v>4.1604836493542179E-2</c:v>
                </c:pt>
                <c:pt idx="12">
                  <c:v>4.0725474031327286E-2</c:v>
                </c:pt>
                <c:pt idx="13">
                  <c:v>3.391041494916186E-2</c:v>
                </c:pt>
                <c:pt idx="14">
                  <c:v>2.8029678483099753E-2</c:v>
                </c:pt>
              </c:numCache>
            </c:numRef>
          </c:val>
          <c:smooth val="0"/>
          <c:extLst>
            <c:ext xmlns:c16="http://schemas.microsoft.com/office/drawing/2014/chart" uri="{C3380CC4-5D6E-409C-BE32-E72D297353CC}">
              <c16:uniqueId val="{00000002-F1FE-4E22-A098-1F5F70F79378}"/>
            </c:ext>
          </c:extLst>
        </c:ser>
        <c:dLbls>
          <c:showLegendKey val="0"/>
          <c:showVal val="0"/>
          <c:showCatName val="0"/>
          <c:showSerName val="0"/>
          <c:showPercent val="0"/>
          <c:showBubbleSize val="0"/>
        </c:dLbls>
        <c:marker val="1"/>
        <c:smooth val="0"/>
        <c:axId val="154034080"/>
        <c:axId val="154048000"/>
      </c:lineChart>
      <c:catAx>
        <c:axId val="15407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74400"/>
        <c:crosses val="autoZero"/>
        <c:auto val="1"/>
        <c:lblAlgn val="ctr"/>
        <c:lblOffset val="100"/>
        <c:noMultiLvlLbl val="0"/>
      </c:catAx>
      <c:valAx>
        <c:axId val="1540744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73920"/>
        <c:crosses val="autoZero"/>
        <c:crossBetween val="between"/>
      </c:valAx>
      <c:valAx>
        <c:axId val="1540480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4080"/>
        <c:crosses val="max"/>
        <c:crossBetween val="between"/>
      </c:valAx>
      <c:catAx>
        <c:axId val="154034080"/>
        <c:scaling>
          <c:orientation val="minMax"/>
        </c:scaling>
        <c:delete val="1"/>
        <c:axPos val="b"/>
        <c:numFmt formatCode="General" sourceLinked="1"/>
        <c:majorTickMark val="out"/>
        <c:minorTickMark val="none"/>
        <c:tickLblPos val="nextTo"/>
        <c:crossAx val="154048000"/>
        <c:crosses val="autoZero"/>
        <c:auto val="1"/>
        <c:lblAlgn val="ctr"/>
        <c:lblOffset val="100"/>
        <c:noMultiLvlLbl val="0"/>
      </c:catAx>
      <c:spPr>
        <a:noFill/>
        <a:ln>
          <a:noFill/>
        </a:ln>
        <a:effectLst/>
      </c:spPr>
    </c:plotArea>
    <c:legend>
      <c:legendPos val="b"/>
      <c:layout>
        <c:manualLayout>
          <c:xMode val="edge"/>
          <c:yMode val="edge"/>
          <c:x val="0.48439899558009802"/>
          <c:y val="0.85440073941095962"/>
          <c:w val="0.5131644908022861"/>
          <c:h val="0.145599260589040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[Maersk-Ahmed Lawal_revised.xlsx]Pivot Table Analysis!PivotTable33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Average Defect Rate by Carrier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Analysis'!$A$52:$A$59</c:f>
              <c:strCache>
                <c:ptCount val="7"/>
                <c:pt idx="0">
                  <c:v>Bollore Logistics</c:v>
                </c:pt>
                <c:pt idx="1">
                  <c:v>DHL</c:v>
                </c:pt>
                <c:pt idx="2">
                  <c:v>GIG Logistics</c:v>
                </c:pt>
                <c:pt idx="3">
                  <c:v>Kuehne+Nagel</c:v>
                </c:pt>
                <c:pt idx="4">
                  <c:v>Local Truck Partner</c:v>
                </c:pt>
                <c:pt idx="5">
                  <c:v>Maersk</c:v>
                </c:pt>
                <c:pt idx="6">
                  <c:v>No Carrier Listed</c:v>
                </c:pt>
              </c:strCache>
            </c:strRef>
          </c:cat>
          <c:val>
            <c:numRef>
              <c:f>'Pivot Table Analysis'!$B$52:$B$59</c:f>
              <c:numCache>
                <c:formatCode>0.00%</c:formatCode>
                <c:ptCount val="7"/>
                <c:pt idx="0">
                  <c:v>2.3103676470588232E-2</c:v>
                </c:pt>
                <c:pt idx="1">
                  <c:v>2.6909154929577475E-2</c:v>
                </c:pt>
                <c:pt idx="2">
                  <c:v>2.7305000000000017E-2</c:v>
                </c:pt>
                <c:pt idx="3">
                  <c:v>2.8075257731958767E-2</c:v>
                </c:pt>
                <c:pt idx="4">
                  <c:v>2.3894166666666664E-2</c:v>
                </c:pt>
                <c:pt idx="5">
                  <c:v>2.6454887218045123E-2</c:v>
                </c:pt>
                <c:pt idx="6">
                  <c:v>2.3387301587301578E-2</c:v>
                </c:pt>
              </c:numCache>
            </c:numRef>
          </c:val>
          <c:extLst>
            <c:ext xmlns:c16="http://schemas.microsoft.com/office/drawing/2014/chart" uri="{C3380CC4-5D6E-409C-BE32-E72D297353CC}">
              <c16:uniqueId val="{00000000-CC57-4A47-871C-32AE4A182534}"/>
            </c:ext>
          </c:extLst>
        </c:ser>
        <c:dLbls>
          <c:dLblPos val="outEnd"/>
          <c:showLegendKey val="0"/>
          <c:showVal val="1"/>
          <c:showCatName val="0"/>
          <c:showSerName val="0"/>
          <c:showPercent val="0"/>
          <c:showBubbleSize val="0"/>
        </c:dLbls>
        <c:gapWidth val="70"/>
        <c:overlap val="100"/>
        <c:axId val="770205744"/>
        <c:axId val="770199984"/>
      </c:barChart>
      <c:catAx>
        <c:axId val="77020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199984"/>
        <c:crosses val="autoZero"/>
        <c:auto val="1"/>
        <c:lblAlgn val="ctr"/>
        <c:lblOffset val="100"/>
        <c:noMultiLvlLbl val="0"/>
      </c:catAx>
      <c:valAx>
        <c:axId val="7701999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20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Defect Rate as % of Supplies &amp;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009186351706037"/>
          <c:y val="0.17831730769230769"/>
          <c:w val="0.78755820844975022"/>
          <c:h val="0.44363983949121744"/>
        </c:manualLayout>
      </c:layout>
      <c:barChart>
        <c:barDir val="col"/>
        <c:grouping val="clustered"/>
        <c:varyColors val="0"/>
        <c:ser>
          <c:idx val="0"/>
          <c:order val="0"/>
          <c:tx>
            <c:strRef>
              <c:f>'Pivot Table Analysis'!$K$62</c:f>
              <c:strCache>
                <c:ptCount val="1"/>
                <c:pt idx="0">
                  <c:v>% of Defect on Supplies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Analysis'!$J$63:$J$69</c:f>
              <c:strCache>
                <c:ptCount val="7"/>
                <c:pt idx="0">
                  <c:v>Bollore Logistics</c:v>
                </c:pt>
                <c:pt idx="1">
                  <c:v>DHL</c:v>
                </c:pt>
                <c:pt idx="2">
                  <c:v>GIG Logistics</c:v>
                </c:pt>
                <c:pt idx="3">
                  <c:v>Kuehne+Nagel</c:v>
                </c:pt>
                <c:pt idx="4">
                  <c:v>Local Truck Partner</c:v>
                </c:pt>
                <c:pt idx="5">
                  <c:v>Maersk</c:v>
                </c:pt>
                <c:pt idx="6">
                  <c:v>No Carrier Listed</c:v>
                </c:pt>
              </c:strCache>
            </c:strRef>
          </c:cat>
          <c:val>
            <c:numRef>
              <c:f>'Pivot Table Analysis'!$K$63:$K$69</c:f>
              <c:numCache>
                <c:formatCode>0.00%</c:formatCode>
                <c:ptCount val="7"/>
                <c:pt idx="0">
                  <c:v>2.2681944874574173E-2</c:v>
                </c:pt>
                <c:pt idx="1">
                  <c:v>3.9230769230769229E-2</c:v>
                </c:pt>
                <c:pt idx="2">
                  <c:v>2.4426014840680927E-2</c:v>
                </c:pt>
                <c:pt idx="3">
                  <c:v>4.5491143317230275E-2</c:v>
                </c:pt>
                <c:pt idx="4">
                  <c:v>2.4845552660960179E-2</c:v>
                </c:pt>
                <c:pt idx="5">
                  <c:v>5.2101180438448566E-2</c:v>
                </c:pt>
                <c:pt idx="6">
                  <c:v>2.8078981361874884E-2</c:v>
                </c:pt>
              </c:numCache>
            </c:numRef>
          </c:val>
          <c:extLst>
            <c:ext xmlns:c16="http://schemas.microsoft.com/office/drawing/2014/chart" uri="{C3380CC4-5D6E-409C-BE32-E72D297353CC}">
              <c16:uniqueId val="{00000000-715F-4D4F-9AEF-7074BA073B56}"/>
            </c:ext>
          </c:extLst>
        </c:ser>
        <c:dLbls>
          <c:showLegendKey val="0"/>
          <c:showVal val="1"/>
          <c:showCatName val="0"/>
          <c:showSerName val="0"/>
          <c:showPercent val="0"/>
          <c:showBubbleSize val="0"/>
        </c:dLbls>
        <c:gapWidth val="70"/>
        <c:overlap val="100"/>
        <c:axId val="344890080"/>
        <c:axId val="344900160"/>
      </c:barChart>
      <c:lineChart>
        <c:grouping val="standard"/>
        <c:varyColors val="0"/>
        <c:ser>
          <c:idx val="1"/>
          <c:order val="1"/>
          <c:tx>
            <c:strRef>
              <c:f>'Pivot Table Analysis'!$L$62</c:f>
              <c:strCache>
                <c:ptCount val="1"/>
                <c:pt idx="0">
                  <c:v>% of Total Defective_Units</c:v>
                </c:pt>
              </c:strCache>
            </c:strRef>
          </c:tx>
          <c:spPr>
            <a:ln w="28575" cap="rnd">
              <a:solidFill>
                <a:schemeClr val="accent2"/>
              </a:solidFill>
              <a:round/>
            </a:ln>
            <a:effectLst/>
          </c:spPr>
          <c:marker>
            <c:symbol val="none"/>
          </c:marker>
          <c:dLbls>
            <c:delete val="1"/>
          </c:dLbls>
          <c:cat>
            <c:strRef>
              <c:f>'Pivot Table Analysis'!$J$63:$J$69</c:f>
              <c:strCache>
                <c:ptCount val="7"/>
                <c:pt idx="0">
                  <c:v>Bollore Logistics</c:v>
                </c:pt>
                <c:pt idx="1">
                  <c:v>DHL</c:v>
                </c:pt>
                <c:pt idx="2">
                  <c:v>GIG Logistics</c:v>
                </c:pt>
                <c:pt idx="3">
                  <c:v>Kuehne+Nagel</c:v>
                </c:pt>
                <c:pt idx="4">
                  <c:v>Local Truck Partner</c:v>
                </c:pt>
                <c:pt idx="5">
                  <c:v>Maersk</c:v>
                </c:pt>
                <c:pt idx="6">
                  <c:v>No Carrier Listed</c:v>
                </c:pt>
              </c:strCache>
            </c:strRef>
          </c:cat>
          <c:val>
            <c:numRef>
              <c:f>'Pivot Table Analysis'!$L$63:$L$69</c:f>
              <c:numCache>
                <c:formatCode>0.00%</c:formatCode>
                <c:ptCount val="7"/>
                <c:pt idx="0">
                  <c:v>0.10063204176971695</c:v>
                </c:pt>
                <c:pt idx="1">
                  <c:v>0.15416323165704865</c:v>
                </c:pt>
                <c:pt idx="2">
                  <c:v>7.6889255289914818E-2</c:v>
                </c:pt>
                <c:pt idx="3">
                  <c:v>0.15526243473481727</c:v>
                </c:pt>
                <c:pt idx="4">
                  <c:v>9.1728496839791146E-2</c:v>
                </c:pt>
                <c:pt idx="5">
                  <c:v>0.21225611431712008</c:v>
                </c:pt>
                <c:pt idx="6">
                  <c:v>0.2090684253915911</c:v>
                </c:pt>
              </c:numCache>
            </c:numRef>
          </c:val>
          <c:smooth val="0"/>
          <c:extLst>
            <c:ext xmlns:c16="http://schemas.microsoft.com/office/drawing/2014/chart" uri="{C3380CC4-5D6E-409C-BE32-E72D297353CC}">
              <c16:uniqueId val="{00000001-715F-4D4F-9AEF-7074BA073B56}"/>
            </c:ext>
          </c:extLst>
        </c:ser>
        <c:dLbls>
          <c:showLegendKey val="0"/>
          <c:showVal val="1"/>
          <c:showCatName val="0"/>
          <c:showSerName val="0"/>
          <c:showPercent val="0"/>
          <c:showBubbleSize val="0"/>
        </c:dLbls>
        <c:marker val="1"/>
        <c:smooth val="0"/>
        <c:axId val="770139504"/>
        <c:axId val="770139024"/>
      </c:lineChart>
      <c:catAx>
        <c:axId val="34489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900160"/>
        <c:crosses val="autoZero"/>
        <c:auto val="1"/>
        <c:lblAlgn val="ctr"/>
        <c:lblOffset val="100"/>
        <c:noMultiLvlLbl val="0"/>
      </c:catAx>
      <c:valAx>
        <c:axId val="3449001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90080"/>
        <c:crosses val="autoZero"/>
        <c:crossBetween val="between"/>
      </c:valAx>
      <c:valAx>
        <c:axId val="77013902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139504"/>
        <c:crosses val="max"/>
        <c:crossBetween val="between"/>
      </c:valAx>
      <c:catAx>
        <c:axId val="770139504"/>
        <c:scaling>
          <c:orientation val="minMax"/>
        </c:scaling>
        <c:delete val="1"/>
        <c:axPos val="b"/>
        <c:numFmt formatCode="General" sourceLinked="1"/>
        <c:majorTickMark val="out"/>
        <c:minorTickMark val="none"/>
        <c:tickLblPos val="nextTo"/>
        <c:crossAx val="770139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of Supply Accepted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528935096705144"/>
          <c:y val="0.12062075654704173"/>
          <c:w val="0.79977734882654228"/>
          <c:h val="0.78937626492129798"/>
        </c:manualLayout>
      </c:layout>
      <c:barChart>
        <c:barDir val="bar"/>
        <c:grouping val="clustered"/>
        <c:varyColors val="0"/>
        <c:ser>
          <c:idx val="0"/>
          <c:order val="0"/>
          <c:tx>
            <c:strRef>
              <c:f>'Pivot Table Analysis'!$P$828</c:f>
              <c:strCache>
                <c:ptCount val="1"/>
                <c:pt idx="0">
                  <c:v>% of Supply Accepted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Analysis'!$O$829:$O$843</c:f>
              <c:strCache>
                <c:ptCount val="15"/>
                <c:pt idx="0">
                  <c:v>Sahara</c:v>
                </c:pt>
                <c:pt idx="1">
                  <c:v>Casablanca</c:v>
                </c:pt>
                <c:pt idx="2">
                  <c:v>Kigali</c:v>
                </c:pt>
                <c:pt idx="3">
                  <c:v>Primesteel</c:v>
                </c:pt>
                <c:pt idx="4">
                  <c:v>Cape</c:v>
                </c:pt>
                <c:pt idx="5">
                  <c:v>LagosPR</c:v>
                </c:pt>
                <c:pt idx="6">
                  <c:v>Kentech</c:v>
                </c:pt>
                <c:pt idx="7">
                  <c:v>KanoIT</c:v>
                </c:pt>
                <c:pt idx="8">
                  <c:v>Mombasa</c:v>
                </c:pt>
                <c:pt idx="9">
                  <c:v>AccraAI</c:v>
                </c:pt>
                <c:pt idx="10">
                  <c:v>AddisFW</c:v>
                </c:pt>
                <c:pt idx="11">
                  <c:v>Kampala</c:v>
                </c:pt>
                <c:pt idx="12">
                  <c:v>Nile</c:v>
                </c:pt>
                <c:pt idx="13">
                  <c:v>AbidjanCS</c:v>
                </c:pt>
                <c:pt idx="14">
                  <c:v>Dar </c:v>
                </c:pt>
              </c:strCache>
            </c:strRef>
          </c:cat>
          <c:val>
            <c:numRef>
              <c:f>'Pivot Table Analysis'!$P$829:$P$843</c:f>
              <c:numCache>
                <c:formatCode>0.00%</c:formatCode>
                <c:ptCount val="15"/>
                <c:pt idx="0">
                  <c:v>0.98860589812332444</c:v>
                </c:pt>
                <c:pt idx="1">
                  <c:v>0.96103896103896103</c:v>
                </c:pt>
                <c:pt idx="2">
                  <c:v>0.96082949308755761</c:v>
                </c:pt>
                <c:pt idx="3">
                  <c:v>0.94190140845070425</c:v>
                </c:pt>
                <c:pt idx="4">
                  <c:v>0.91888619854721554</c:v>
                </c:pt>
                <c:pt idx="5">
                  <c:v>0.89368355222013762</c:v>
                </c:pt>
                <c:pt idx="6">
                  <c:v>0.86814712005551697</c:v>
                </c:pt>
                <c:pt idx="7">
                  <c:v>0.77468152866242035</c:v>
                </c:pt>
                <c:pt idx="8">
                  <c:v>0.66965428937259919</c:v>
                </c:pt>
                <c:pt idx="9">
                  <c:v>0.66394052044609664</c:v>
                </c:pt>
                <c:pt idx="10">
                  <c:v>0.6630851880276285</c:v>
                </c:pt>
                <c:pt idx="11">
                  <c:v>0.646095717884131</c:v>
                </c:pt>
                <c:pt idx="12">
                  <c:v>0.56043956043956045</c:v>
                </c:pt>
                <c:pt idx="13">
                  <c:v>0.50518754988028736</c:v>
                </c:pt>
                <c:pt idx="14">
                  <c:v>0.3471698113207547</c:v>
                </c:pt>
              </c:numCache>
            </c:numRef>
          </c:val>
          <c:extLst>
            <c:ext xmlns:c16="http://schemas.microsoft.com/office/drawing/2014/chart" uri="{C3380CC4-5D6E-409C-BE32-E72D297353CC}">
              <c16:uniqueId val="{00000000-F49A-4505-BF4A-A846A76E8506}"/>
            </c:ext>
          </c:extLst>
        </c:ser>
        <c:dLbls>
          <c:showLegendKey val="0"/>
          <c:showVal val="0"/>
          <c:showCatName val="0"/>
          <c:showSerName val="0"/>
          <c:showPercent val="0"/>
          <c:showBubbleSize val="0"/>
        </c:dLbls>
        <c:gapWidth val="70"/>
        <c:overlap val="100"/>
        <c:axId val="928148431"/>
        <c:axId val="928157071"/>
      </c:barChart>
      <c:catAx>
        <c:axId val="928148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157071"/>
        <c:crosses val="autoZero"/>
        <c:auto val="1"/>
        <c:lblAlgn val="ctr"/>
        <c:lblOffset val="100"/>
        <c:noMultiLvlLbl val="0"/>
      </c:catAx>
      <c:valAx>
        <c:axId val="92815707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1484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[Maersk-Ahmed Lawal_revised.xlsx]Pivot!QualityStatusbySupplier</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Count of Quality</a:t>
            </a:r>
            <a:r>
              <a:rPr lang="en-GB" sz="1600" b="1" baseline="0"/>
              <a:t> Status by Supplier</a:t>
            </a:r>
            <a:endParaRPr lang="en-GB" sz="1600" b="1"/>
          </a:p>
        </c:rich>
      </c:tx>
      <c:layout>
        <c:manualLayout>
          <c:xMode val="edge"/>
          <c:yMode val="edge"/>
          <c:x val="0.22464843712717728"/>
          <c:y val="2.34940144677037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10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0BE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9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2A5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539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42A5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10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9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539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B0BE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42A5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C10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9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E539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B0BE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42A5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FFC10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9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E539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B0BE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42A5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FFC10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FF9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E539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B0BE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106991171558098E-2"/>
          <c:y val="0.1336159656872159"/>
          <c:w val="0.7485596754951086"/>
          <c:h val="0.5872216887523205"/>
        </c:manualLayout>
      </c:layout>
      <c:barChart>
        <c:barDir val="col"/>
        <c:grouping val="stacked"/>
        <c:varyColors val="0"/>
        <c:ser>
          <c:idx val="0"/>
          <c:order val="0"/>
          <c:tx>
            <c:strRef>
              <c:f>Pivot!$B$898:$B$899</c:f>
              <c:strCache>
                <c:ptCount val="1"/>
                <c:pt idx="0">
                  <c:v>Accepted</c:v>
                </c:pt>
              </c:strCache>
            </c:strRef>
          </c:tx>
          <c:spPr>
            <a:solidFill>
              <a:srgbClr val="70AD47"/>
            </a:solidFill>
            <a:ln>
              <a:noFill/>
            </a:ln>
            <a:effectLst/>
          </c:spPr>
          <c:invertIfNegative val="0"/>
          <c:cat>
            <c:strRef>
              <c:f>Pivot!$A$900:$A$915</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Pivot!$B$900:$B$915</c:f>
              <c:numCache>
                <c:formatCode>General</c:formatCode>
                <c:ptCount val="15"/>
                <c:pt idx="0">
                  <c:v>31</c:v>
                </c:pt>
                <c:pt idx="1">
                  <c:v>45</c:v>
                </c:pt>
                <c:pt idx="2">
                  <c:v>52</c:v>
                </c:pt>
                <c:pt idx="3">
                  <c:v>52</c:v>
                </c:pt>
                <c:pt idx="4">
                  <c:v>64</c:v>
                </c:pt>
                <c:pt idx="5">
                  <c:v>32</c:v>
                </c:pt>
                <c:pt idx="6">
                  <c:v>58</c:v>
                </c:pt>
                <c:pt idx="7">
                  <c:v>58</c:v>
                </c:pt>
                <c:pt idx="8">
                  <c:v>49</c:v>
                </c:pt>
                <c:pt idx="9">
                  <c:v>73</c:v>
                </c:pt>
                <c:pt idx="10">
                  <c:v>54</c:v>
                </c:pt>
                <c:pt idx="11">
                  <c:v>50</c:v>
                </c:pt>
                <c:pt idx="12">
                  <c:v>55</c:v>
                </c:pt>
                <c:pt idx="13">
                  <c:v>49</c:v>
                </c:pt>
                <c:pt idx="14">
                  <c:v>31</c:v>
                </c:pt>
              </c:numCache>
            </c:numRef>
          </c:val>
          <c:extLst>
            <c:ext xmlns:c16="http://schemas.microsoft.com/office/drawing/2014/chart" uri="{C3380CC4-5D6E-409C-BE32-E72D297353CC}">
              <c16:uniqueId val="{00000000-C1E4-4C14-8740-8D81FDFCB03F}"/>
            </c:ext>
          </c:extLst>
        </c:ser>
        <c:ser>
          <c:idx val="1"/>
          <c:order val="1"/>
          <c:tx>
            <c:strRef>
              <c:f>Pivot!$C$898:$C$899</c:f>
              <c:strCache>
                <c:ptCount val="1"/>
                <c:pt idx="0">
                  <c:v>Pending QC</c:v>
                </c:pt>
              </c:strCache>
            </c:strRef>
          </c:tx>
          <c:spPr>
            <a:solidFill>
              <a:srgbClr val="42A5F5"/>
            </a:solidFill>
            <a:ln>
              <a:noFill/>
            </a:ln>
            <a:effectLst/>
          </c:spPr>
          <c:invertIfNegative val="0"/>
          <c:cat>
            <c:strRef>
              <c:f>Pivot!$A$900:$A$915</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Pivot!$C$900:$C$915</c:f>
              <c:numCache>
                <c:formatCode>General</c:formatCode>
                <c:ptCount val="15"/>
                <c:pt idx="0">
                  <c:v>1</c:v>
                </c:pt>
                <c:pt idx="1">
                  <c:v>1</c:v>
                </c:pt>
                <c:pt idx="3">
                  <c:v>1</c:v>
                </c:pt>
                <c:pt idx="4">
                  <c:v>2</c:v>
                </c:pt>
                <c:pt idx="5">
                  <c:v>1</c:v>
                </c:pt>
                <c:pt idx="6">
                  <c:v>2</c:v>
                </c:pt>
                <c:pt idx="7">
                  <c:v>3</c:v>
                </c:pt>
                <c:pt idx="9">
                  <c:v>1</c:v>
                </c:pt>
                <c:pt idx="11">
                  <c:v>2</c:v>
                </c:pt>
                <c:pt idx="13">
                  <c:v>3</c:v>
                </c:pt>
                <c:pt idx="14">
                  <c:v>2</c:v>
                </c:pt>
              </c:numCache>
            </c:numRef>
          </c:val>
          <c:extLst>
            <c:ext xmlns:c16="http://schemas.microsoft.com/office/drawing/2014/chart" uri="{C3380CC4-5D6E-409C-BE32-E72D297353CC}">
              <c16:uniqueId val="{00000001-C1E4-4C14-8740-8D81FDFCB03F}"/>
            </c:ext>
          </c:extLst>
        </c:ser>
        <c:ser>
          <c:idx val="2"/>
          <c:order val="2"/>
          <c:tx>
            <c:strRef>
              <c:f>Pivot!$D$898:$D$899</c:f>
              <c:strCache>
                <c:ptCount val="1"/>
                <c:pt idx="0">
                  <c:v>Hold</c:v>
                </c:pt>
              </c:strCache>
            </c:strRef>
          </c:tx>
          <c:spPr>
            <a:solidFill>
              <a:srgbClr val="FFC107"/>
            </a:solidFill>
            <a:ln>
              <a:noFill/>
            </a:ln>
            <a:effectLst/>
          </c:spPr>
          <c:invertIfNegative val="0"/>
          <c:cat>
            <c:strRef>
              <c:f>Pivot!$A$900:$A$915</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Pivot!$D$900:$D$915</c:f>
              <c:numCache>
                <c:formatCode>General</c:formatCode>
                <c:ptCount val="15"/>
                <c:pt idx="0">
                  <c:v>13</c:v>
                </c:pt>
                <c:pt idx="1">
                  <c:v>10</c:v>
                </c:pt>
                <c:pt idx="2">
                  <c:v>4</c:v>
                </c:pt>
                <c:pt idx="3">
                  <c:v>9</c:v>
                </c:pt>
                <c:pt idx="4">
                  <c:v>2</c:v>
                </c:pt>
                <c:pt idx="5">
                  <c:v>18</c:v>
                </c:pt>
                <c:pt idx="6">
                  <c:v>4</c:v>
                </c:pt>
                <c:pt idx="7">
                  <c:v>1</c:v>
                </c:pt>
                <c:pt idx="8">
                  <c:v>1</c:v>
                </c:pt>
                <c:pt idx="9">
                  <c:v>1</c:v>
                </c:pt>
                <c:pt idx="10">
                  <c:v>2</c:v>
                </c:pt>
                <c:pt idx="11">
                  <c:v>11</c:v>
                </c:pt>
                <c:pt idx="12">
                  <c:v>3</c:v>
                </c:pt>
                <c:pt idx="13">
                  <c:v>12</c:v>
                </c:pt>
                <c:pt idx="14">
                  <c:v>15</c:v>
                </c:pt>
              </c:numCache>
            </c:numRef>
          </c:val>
          <c:extLst>
            <c:ext xmlns:c16="http://schemas.microsoft.com/office/drawing/2014/chart" uri="{C3380CC4-5D6E-409C-BE32-E72D297353CC}">
              <c16:uniqueId val="{00000002-C1E4-4C14-8740-8D81FDFCB03F}"/>
            </c:ext>
          </c:extLst>
        </c:ser>
        <c:ser>
          <c:idx val="3"/>
          <c:order val="3"/>
          <c:tx>
            <c:strRef>
              <c:f>Pivot!$E$898:$E$899</c:f>
              <c:strCache>
                <c:ptCount val="1"/>
                <c:pt idx="0">
                  <c:v>Partial Reject</c:v>
                </c:pt>
              </c:strCache>
            </c:strRef>
          </c:tx>
          <c:spPr>
            <a:solidFill>
              <a:srgbClr val="FF9800"/>
            </a:solidFill>
            <a:ln>
              <a:noFill/>
            </a:ln>
            <a:effectLst/>
          </c:spPr>
          <c:invertIfNegative val="0"/>
          <c:cat>
            <c:strRef>
              <c:f>Pivot!$A$900:$A$915</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Pivot!$E$900:$E$915</c:f>
              <c:numCache>
                <c:formatCode>General</c:formatCode>
                <c:ptCount val="15"/>
                <c:pt idx="0">
                  <c:v>1</c:v>
                </c:pt>
                <c:pt idx="1">
                  <c:v>2</c:v>
                </c:pt>
                <c:pt idx="2">
                  <c:v>3</c:v>
                </c:pt>
                <c:pt idx="3">
                  <c:v>8</c:v>
                </c:pt>
                <c:pt idx="4">
                  <c:v>3</c:v>
                </c:pt>
                <c:pt idx="5">
                  <c:v>3</c:v>
                </c:pt>
                <c:pt idx="6">
                  <c:v>3</c:v>
                </c:pt>
                <c:pt idx="7">
                  <c:v>3</c:v>
                </c:pt>
                <c:pt idx="10">
                  <c:v>1</c:v>
                </c:pt>
                <c:pt idx="11">
                  <c:v>3</c:v>
                </c:pt>
                <c:pt idx="12">
                  <c:v>6</c:v>
                </c:pt>
                <c:pt idx="13">
                  <c:v>3</c:v>
                </c:pt>
                <c:pt idx="14">
                  <c:v>11</c:v>
                </c:pt>
              </c:numCache>
            </c:numRef>
          </c:val>
          <c:extLst>
            <c:ext xmlns:c16="http://schemas.microsoft.com/office/drawing/2014/chart" uri="{C3380CC4-5D6E-409C-BE32-E72D297353CC}">
              <c16:uniqueId val="{0000000B-272E-40D3-8BC6-848E47847E66}"/>
            </c:ext>
          </c:extLst>
        </c:ser>
        <c:ser>
          <c:idx val="4"/>
          <c:order val="4"/>
          <c:tx>
            <c:strRef>
              <c:f>Pivot!$F$898:$F$899</c:f>
              <c:strCache>
                <c:ptCount val="1"/>
                <c:pt idx="0">
                  <c:v>Rejected</c:v>
                </c:pt>
              </c:strCache>
            </c:strRef>
          </c:tx>
          <c:spPr>
            <a:solidFill>
              <a:srgbClr val="E53935"/>
            </a:solidFill>
            <a:ln>
              <a:noFill/>
            </a:ln>
            <a:effectLst/>
          </c:spPr>
          <c:invertIfNegative val="0"/>
          <c:cat>
            <c:strRef>
              <c:f>Pivot!$A$900:$A$915</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Pivot!$F$900:$F$915</c:f>
              <c:numCache>
                <c:formatCode>General</c:formatCode>
                <c:ptCount val="15"/>
                <c:pt idx="0">
                  <c:v>8</c:v>
                </c:pt>
                <c:pt idx="1">
                  <c:v>7</c:v>
                </c:pt>
                <c:pt idx="2">
                  <c:v>4</c:v>
                </c:pt>
                <c:pt idx="3">
                  <c:v>6</c:v>
                </c:pt>
                <c:pt idx="5">
                  <c:v>6</c:v>
                </c:pt>
                <c:pt idx="6">
                  <c:v>7</c:v>
                </c:pt>
                <c:pt idx="8">
                  <c:v>2</c:v>
                </c:pt>
                <c:pt idx="9">
                  <c:v>1</c:v>
                </c:pt>
                <c:pt idx="11">
                  <c:v>2</c:v>
                </c:pt>
                <c:pt idx="12">
                  <c:v>2</c:v>
                </c:pt>
                <c:pt idx="13">
                  <c:v>3</c:v>
                </c:pt>
                <c:pt idx="14">
                  <c:v>3</c:v>
                </c:pt>
              </c:numCache>
            </c:numRef>
          </c:val>
          <c:extLst>
            <c:ext xmlns:c16="http://schemas.microsoft.com/office/drawing/2014/chart" uri="{C3380CC4-5D6E-409C-BE32-E72D297353CC}">
              <c16:uniqueId val="{00000014-272E-40D3-8BC6-848E47847E66}"/>
            </c:ext>
          </c:extLst>
        </c:ser>
        <c:ser>
          <c:idx val="5"/>
          <c:order val="5"/>
          <c:tx>
            <c:strRef>
              <c:f>Pivot!$G$898:$G$899</c:f>
              <c:strCache>
                <c:ptCount val="1"/>
                <c:pt idx="0">
                  <c:v>Not Stated</c:v>
                </c:pt>
              </c:strCache>
            </c:strRef>
          </c:tx>
          <c:spPr>
            <a:solidFill>
              <a:srgbClr val="B0BEC5"/>
            </a:solidFill>
            <a:ln>
              <a:noFill/>
            </a:ln>
            <a:effectLst/>
          </c:spPr>
          <c:invertIfNegative val="0"/>
          <c:cat>
            <c:strRef>
              <c:f>Pivot!$A$900:$A$915</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Pivot!$G$900:$G$915</c:f>
              <c:numCache>
                <c:formatCode>General</c:formatCode>
                <c:ptCount val="15"/>
                <c:pt idx="0">
                  <c:v>1</c:v>
                </c:pt>
                <c:pt idx="1">
                  <c:v>2</c:v>
                </c:pt>
                <c:pt idx="2">
                  <c:v>1</c:v>
                </c:pt>
                <c:pt idx="3">
                  <c:v>1</c:v>
                </c:pt>
                <c:pt idx="4">
                  <c:v>1</c:v>
                </c:pt>
                <c:pt idx="5">
                  <c:v>1</c:v>
                </c:pt>
                <c:pt idx="6">
                  <c:v>2</c:v>
                </c:pt>
                <c:pt idx="8">
                  <c:v>1</c:v>
                </c:pt>
                <c:pt idx="9">
                  <c:v>2</c:v>
                </c:pt>
                <c:pt idx="10">
                  <c:v>2</c:v>
                </c:pt>
                <c:pt idx="11">
                  <c:v>1</c:v>
                </c:pt>
                <c:pt idx="12">
                  <c:v>1</c:v>
                </c:pt>
                <c:pt idx="13">
                  <c:v>4</c:v>
                </c:pt>
                <c:pt idx="14">
                  <c:v>1</c:v>
                </c:pt>
              </c:numCache>
            </c:numRef>
          </c:val>
          <c:extLst>
            <c:ext xmlns:c16="http://schemas.microsoft.com/office/drawing/2014/chart" uri="{C3380CC4-5D6E-409C-BE32-E72D297353CC}">
              <c16:uniqueId val="{00000015-272E-40D3-8BC6-848E47847E66}"/>
            </c:ext>
          </c:extLst>
        </c:ser>
        <c:dLbls>
          <c:showLegendKey val="0"/>
          <c:showVal val="0"/>
          <c:showCatName val="0"/>
          <c:showSerName val="0"/>
          <c:showPercent val="0"/>
          <c:showBubbleSize val="0"/>
        </c:dLbls>
        <c:gapWidth val="42"/>
        <c:overlap val="100"/>
        <c:axId val="197116799"/>
        <c:axId val="197108639"/>
      </c:barChart>
      <c:catAx>
        <c:axId val="19711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08639"/>
        <c:crosses val="autoZero"/>
        <c:auto val="1"/>
        <c:lblAlgn val="ctr"/>
        <c:lblOffset val="100"/>
        <c:noMultiLvlLbl val="0"/>
      </c:catAx>
      <c:valAx>
        <c:axId val="197108639"/>
        <c:scaling>
          <c:orientation val="minMax"/>
          <c:max val="8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16799"/>
        <c:crosses val="autoZero"/>
        <c:crossBetween val="between"/>
      </c:valAx>
      <c:spPr>
        <a:noFill/>
        <a:ln>
          <a:noFill/>
        </a:ln>
        <a:effectLst/>
      </c:spPr>
    </c:plotArea>
    <c:legend>
      <c:legendPos val="r"/>
      <c:layout>
        <c:manualLayout>
          <c:xMode val="edge"/>
          <c:yMode val="edge"/>
          <c:x val="0.85119887165021157"/>
          <c:y val="0.2576285534730694"/>
          <c:w val="0.14880112834978843"/>
          <c:h val="0.475355439724963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[Maersk-Ahmed Lawal_revised.xlsx]Pivot!InvoiceStatusbySupplier</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Invoice Status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9D9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9D9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9D9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D9D9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D9D9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D9D9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D9D9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Pivot!$B$946:$B$947</c:f>
              <c:strCache>
                <c:ptCount val="1"/>
                <c:pt idx="0">
                  <c:v>Matched</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Pivot!$A$948:$A$963</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Pivot!$B$948:$B$963</c:f>
              <c:numCache>
                <c:formatCode>General</c:formatCode>
                <c:ptCount val="15"/>
                <c:pt idx="0">
                  <c:v>23</c:v>
                </c:pt>
                <c:pt idx="1">
                  <c:v>29</c:v>
                </c:pt>
                <c:pt idx="2">
                  <c:v>32</c:v>
                </c:pt>
                <c:pt idx="3">
                  <c:v>44</c:v>
                </c:pt>
                <c:pt idx="4">
                  <c:v>44</c:v>
                </c:pt>
                <c:pt idx="5">
                  <c:v>24</c:v>
                </c:pt>
                <c:pt idx="6">
                  <c:v>34</c:v>
                </c:pt>
                <c:pt idx="7">
                  <c:v>24</c:v>
                </c:pt>
                <c:pt idx="8">
                  <c:v>20</c:v>
                </c:pt>
                <c:pt idx="9">
                  <c:v>32</c:v>
                </c:pt>
                <c:pt idx="10">
                  <c:v>23</c:v>
                </c:pt>
                <c:pt idx="11">
                  <c:v>30</c:v>
                </c:pt>
                <c:pt idx="12">
                  <c:v>30</c:v>
                </c:pt>
                <c:pt idx="13">
                  <c:v>33</c:v>
                </c:pt>
                <c:pt idx="14">
                  <c:v>20</c:v>
                </c:pt>
              </c:numCache>
            </c:numRef>
          </c:val>
          <c:extLst>
            <c:ext xmlns:c16="http://schemas.microsoft.com/office/drawing/2014/chart" uri="{C3380CC4-5D6E-409C-BE32-E72D297353CC}">
              <c16:uniqueId val="{00000000-BA94-49AC-BFCD-A775FA75AFBA}"/>
            </c:ext>
          </c:extLst>
        </c:ser>
        <c:ser>
          <c:idx val="1"/>
          <c:order val="1"/>
          <c:tx>
            <c:strRef>
              <c:f>Pivot!$C$946:$C$947</c:f>
              <c:strCache>
                <c:ptCount val="1"/>
                <c:pt idx="0">
                  <c:v>Pending</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Pivot!$A$948:$A$963</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Pivot!$C$948:$C$963</c:f>
              <c:numCache>
                <c:formatCode>General</c:formatCode>
                <c:ptCount val="15"/>
                <c:pt idx="0">
                  <c:v>16</c:v>
                </c:pt>
                <c:pt idx="1">
                  <c:v>18</c:v>
                </c:pt>
                <c:pt idx="2">
                  <c:v>13</c:v>
                </c:pt>
                <c:pt idx="3">
                  <c:v>13</c:v>
                </c:pt>
                <c:pt idx="4">
                  <c:v>15</c:v>
                </c:pt>
                <c:pt idx="5">
                  <c:v>12</c:v>
                </c:pt>
                <c:pt idx="6">
                  <c:v>19</c:v>
                </c:pt>
                <c:pt idx="7">
                  <c:v>16</c:v>
                </c:pt>
                <c:pt idx="8">
                  <c:v>12</c:v>
                </c:pt>
                <c:pt idx="9">
                  <c:v>19</c:v>
                </c:pt>
                <c:pt idx="10">
                  <c:v>13</c:v>
                </c:pt>
                <c:pt idx="11">
                  <c:v>20</c:v>
                </c:pt>
                <c:pt idx="12">
                  <c:v>13</c:v>
                </c:pt>
                <c:pt idx="13">
                  <c:v>16</c:v>
                </c:pt>
                <c:pt idx="14">
                  <c:v>15</c:v>
                </c:pt>
              </c:numCache>
            </c:numRef>
          </c:val>
          <c:extLst>
            <c:ext xmlns:c16="http://schemas.microsoft.com/office/drawing/2014/chart" uri="{C3380CC4-5D6E-409C-BE32-E72D297353CC}">
              <c16:uniqueId val="{00000001-BA94-49AC-BFCD-A775FA75AFBA}"/>
            </c:ext>
          </c:extLst>
        </c:ser>
        <c:ser>
          <c:idx val="2"/>
          <c:order val="2"/>
          <c:tx>
            <c:strRef>
              <c:f>Pivot!$D$946:$D$947</c:f>
              <c:strCache>
                <c:ptCount val="1"/>
                <c:pt idx="0">
                  <c:v>Disputed</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Pivot!$A$948:$A$963</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Pivot!$D$948:$D$963</c:f>
              <c:numCache>
                <c:formatCode>General</c:formatCode>
                <c:ptCount val="15"/>
                <c:pt idx="0">
                  <c:v>7</c:v>
                </c:pt>
                <c:pt idx="1">
                  <c:v>7</c:v>
                </c:pt>
                <c:pt idx="2">
                  <c:v>7</c:v>
                </c:pt>
                <c:pt idx="3">
                  <c:v>5</c:v>
                </c:pt>
                <c:pt idx="4">
                  <c:v>4</c:v>
                </c:pt>
                <c:pt idx="5">
                  <c:v>8</c:v>
                </c:pt>
                <c:pt idx="6">
                  <c:v>9</c:v>
                </c:pt>
                <c:pt idx="7">
                  <c:v>10</c:v>
                </c:pt>
                <c:pt idx="8">
                  <c:v>8</c:v>
                </c:pt>
                <c:pt idx="9">
                  <c:v>12</c:v>
                </c:pt>
                <c:pt idx="10">
                  <c:v>6</c:v>
                </c:pt>
                <c:pt idx="11">
                  <c:v>6</c:v>
                </c:pt>
                <c:pt idx="12">
                  <c:v>8</c:v>
                </c:pt>
                <c:pt idx="13">
                  <c:v>10</c:v>
                </c:pt>
                <c:pt idx="14">
                  <c:v>7</c:v>
                </c:pt>
              </c:numCache>
            </c:numRef>
          </c:val>
          <c:extLst>
            <c:ext xmlns:c16="http://schemas.microsoft.com/office/drawing/2014/chart" uri="{C3380CC4-5D6E-409C-BE32-E72D297353CC}">
              <c16:uniqueId val="{00000002-BA94-49AC-BFCD-A775FA75AFBA}"/>
            </c:ext>
          </c:extLst>
        </c:ser>
        <c:ser>
          <c:idx val="3"/>
          <c:order val="3"/>
          <c:tx>
            <c:strRef>
              <c:f>Pivot!$E$946:$E$947</c:f>
              <c:strCache>
                <c:ptCount val="1"/>
                <c:pt idx="0">
                  <c:v>Missing Invoice</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Pivot!$A$948:$A$963</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Pivot!$E$948:$E$963</c:f>
              <c:numCache>
                <c:formatCode>General</c:formatCode>
                <c:ptCount val="15"/>
                <c:pt idx="0">
                  <c:v>2</c:v>
                </c:pt>
                <c:pt idx="1">
                  <c:v>6</c:v>
                </c:pt>
                <c:pt idx="2">
                  <c:v>7</c:v>
                </c:pt>
                <c:pt idx="3">
                  <c:v>7</c:v>
                </c:pt>
                <c:pt idx="4">
                  <c:v>2</c:v>
                </c:pt>
                <c:pt idx="5">
                  <c:v>10</c:v>
                </c:pt>
                <c:pt idx="6">
                  <c:v>8</c:v>
                </c:pt>
                <c:pt idx="7">
                  <c:v>5</c:v>
                </c:pt>
                <c:pt idx="8">
                  <c:v>6</c:v>
                </c:pt>
                <c:pt idx="9">
                  <c:v>7</c:v>
                </c:pt>
                <c:pt idx="10">
                  <c:v>6</c:v>
                </c:pt>
                <c:pt idx="11">
                  <c:v>6</c:v>
                </c:pt>
                <c:pt idx="12">
                  <c:v>11</c:v>
                </c:pt>
                <c:pt idx="13">
                  <c:v>6</c:v>
                </c:pt>
                <c:pt idx="14">
                  <c:v>10</c:v>
                </c:pt>
              </c:numCache>
            </c:numRef>
          </c:val>
          <c:extLst>
            <c:ext xmlns:c16="http://schemas.microsoft.com/office/drawing/2014/chart" uri="{C3380CC4-5D6E-409C-BE32-E72D297353CC}">
              <c16:uniqueId val="{00000003-BA94-49AC-BFCD-A775FA75AFBA}"/>
            </c:ext>
          </c:extLst>
        </c:ser>
        <c:ser>
          <c:idx val="4"/>
          <c:order val="4"/>
          <c:tx>
            <c:strRef>
              <c:f>Pivot!$F$946:$F$947</c:f>
              <c:strCache>
                <c:ptCount val="1"/>
                <c:pt idx="0">
                  <c:v>Not Stated</c:v>
                </c:pt>
              </c:strCache>
            </c:strRef>
          </c:tx>
          <c:spPr>
            <a:solidFill>
              <a:srgbClr val="D9D9D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Pivot!$A$948:$A$963</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Pivot!$F$948:$F$963</c:f>
              <c:numCache>
                <c:formatCode>General</c:formatCode>
                <c:ptCount val="15"/>
                <c:pt idx="0">
                  <c:v>7</c:v>
                </c:pt>
                <c:pt idx="1">
                  <c:v>7</c:v>
                </c:pt>
                <c:pt idx="2">
                  <c:v>5</c:v>
                </c:pt>
                <c:pt idx="3">
                  <c:v>8</c:v>
                </c:pt>
                <c:pt idx="4">
                  <c:v>7</c:v>
                </c:pt>
                <c:pt idx="5">
                  <c:v>7</c:v>
                </c:pt>
                <c:pt idx="6">
                  <c:v>6</c:v>
                </c:pt>
                <c:pt idx="7">
                  <c:v>10</c:v>
                </c:pt>
                <c:pt idx="8">
                  <c:v>7</c:v>
                </c:pt>
                <c:pt idx="9">
                  <c:v>8</c:v>
                </c:pt>
                <c:pt idx="10">
                  <c:v>11</c:v>
                </c:pt>
                <c:pt idx="11">
                  <c:v>7</c:v>
                </c:pt>
                <c:pt idx="12">
                  <c:v>5</c:v>
                </c:pt>
                <c:pt idx="13">
                  <c:v>9</c:v>
                </c:pt>
                <c:pt idx="14">
                  <c:v>11</c:v>
                </c:pt>
              </c:numCache>
            </c:numRef>
          </c:val>
          <c:extLst>
            <c:ext xmlns:c16="http://schemas.microsoft.com/office/drawing/2014/chart" uri="{C3380CC4-5D6E-409C-BE32-E72D297353CC}">
              <c16:uniqueId val="{00000003-2CCD-41EB-8975-24AB62876C86}"/>
            </c:ext>
          </c:extLst>
        </c:ser>
        <c:dLbls>
          <c:showLegendKey val="0"/>
          <c:showVal val="0"/>
          <c:showCatName val="0"/>
          <c:showSerName val="0"/>
          <c:showPercent val="0"/>
          <c:showBubbleSize val="0"/>
        </c:dLbls>
        <c:gapWidth val="40"/>
        <c:overlap val="100"/>
        <c:axId val="1771779984"/>
        <c:axId val="1771781424"/>
      </c:barChart>
      <c:catAx>
        <c:axId val="177177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781424"/>
        <c:crosses val="autoZero"/>
        <c:auto val="1"/>
        <c:lblAlgn val="ctr"/>
        <c:lblOffset val="100"/>
        <c:noMultiLvlLbl val="0"/>
      </c:catAx>
      <c:valAx>
        <c:axId val="17717814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779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[Maersk-Ahmed Lawal_revised.xlsx]Pivot Table Analysis!PivotTable15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Payment Status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096201705356777E-2"/>
          <c:y val="4.6364594309799792E-2"/>
          <c:w val="0.689595283750153"/>
          <c:h val="0.72980692481932907"/>
        </c:manualLayout>
      </c:layout>
      <c:barChart>
        <c:barDir val="col"/>
        <c:grouping val="stacked"/>
        <c:varyColors val="0"/>
        <c:ser>
          <c:idx val="0"/>
          <c:order val="0"/>
          <c:tx>
            <c:strRef>
              <c:f>'Pivot Table Analysis'!$B$879:$B$880</c:f>
              <c:strCache>
                <c:ptCount val="1"/>
                <c:pt idx="0">
                  <c:v>50% Advance / 50% Delivery</c:v>
                </c:pt>
              </c:strCache>
            </c:strRef>
          </c:tx>
          <c:spPr>
            <a:solidFill>
              <a:schemeClr val="accent1"/>
            </a:solidFill>
            <a:ln>
              <a:noFill/>
            </a:ln>
            <a:effectLst/>
          </c:spPr>
          <c:invertIfNegative val="0"/>
          <c:cat>
            <c:strRef>
              <c:f>'Pivot Table Analysis'!$A$881:$A$896</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Analysis'!$B$881:$B$896</c:f>
              <c:numCache>
                <c:formatCode>General</c:formatCode>
                <c:ptCount val="15"/>
                <c:pt idx="0">
                  <c:v>7</c:v>
                </c:pt>
                <c:pt idx="1">
                  <c:v>10</c:v>
                </c:pt>
                <c:pt idx="2">
                  <c:v>8</c:v>
                </c:pt>
                <c:pt idx="3">
                  <c:v>12</c:v>
                </c:pt>
                <c:pt idx="4">
                  <c:v>14</c:v>
                </c:pt>
                <c:pt idx="5">
                  <c:v>11</c:v>
                </c:pt>
                <c:pt idx="6">
                  <c:v>9</c:v>
                </c:pt>
                <c:pt idx="7">
                  <c:v>12</c:v>
                </c:pt>
                <c:pt idx="8">
                  <c:v>9</c:v>
                </c:pt>
                <c:pt idx="9">
                  <c:v>9</c:v>
                </c:pt>
                <c:pt idx="10">
                  <c:v>10</c:v>
                </c:pt>
                <c:pt idx="11">
                  <c:v>10</c:v>
                </c:pt>
                <c:pt idx="12">
                  <c:v>9</c:v>
                </c:pt>
                <c:pt idx="13">
                  <c:v>13</c:v>
                </c:pt>
                <c:pt idx="14">
                  <c:v>6</c:v>
                </c:pt>
              </c:numCache>
            </c:numRef>
          </c:val>
          <c:extLst>
            <c:ext xmlns:c16="http://schemas.microsoft.com/office/drawing/2014/chart" uri="{C3380CC4-5D6E-409C-BE32-E72D297353CC}">
              <c16:uniqueId val="{00000000-51AE-470A-A5C5-1E63068E6334}"/>
            </c:ext>
          </c:extLst>
        </c:ser>
        <c:ser>
          <c:idx val="1"/>
          <c:order val="1"/>
          <c:tx>
            <c:strRef>
              <c:f>'Pivot Table Analysis'!$C$879:$C$880</c:f>
              <c:strCache>
                <c:ptCount val="1"/>
                <c:pt idx="0">
                  <c:v>Advance</c:v>
                </c:pt>
              </c:strCache>
            </c:strRef>
          </c:tx>
          <c:spPr>
            <a:solidFill>
              <a:schemeClr val="accent2"/>
            </a:solidFill>
            <a:ln>
              <a:noFill/>
            </a:ln>
            <a:effectLst/>
          </c:spPr>
          <c:invertIfNegative val="0"/>
          <c:cat>
            <c:strRef>
              <c:f>'Pivot Table Analysis'!$A$881:$A$896</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Analysis'!$C$881:$C$896</c:f>
              <c:numCache>
                <c:formatCode>General</c:formatCode>
                <c:ptCount val="15"/>
                <c:pt idx="0">
                  <c:v>9</c:v>
                </c:pt>
                <c:pt idx="1">
                  <c:v>8</c:v>
                </c:pt>
                <c:pt idx="2">
                  <c:v>11</c:v>
                </c:pt>
                <c:pt idx="3">
                  <c:v>5</c:v>
                </c:pt>
                <c:pt idx="4">
                  <c:v>16</c:v>
                </c:pt>
                <c:pt idx="5">
                  <c:v>11</c:v>
                </c:pt>
                <c:pt idx="6">
                  <c:v>9</c:v>
                </c:pt>
                <c:pt idx="7">
                  <c:v>10</c:v>
                </c:pt>
                <c:pt idx="8">
                  <c:v>8</c:v>
                </c:pt>
                <c:pt idx="9">
                  <c:v>11</c:v>
                </c:pt>
                <c:pt idx="10">
                  <c:v>6</c:v>
                </c:pt>
                <c:pt idx="11">
                  <c:v>11</c:v>
                </c:pt>
                <c:pt idx="12">
                  <c:v>12</c:v>
                </c:pt>
                <c:pt idx="13">
                  <c:v>8</c:v>
                </c:pt>
                <c:pt idx="14">
                  <c:v>14</c:v>
                </c:pt>
              </c:numCache>
            </c:numRef>
          </c:val>
          <c:extLst>
            <c:ext xmlns:c16="http://schemas.microsoft.com/office/drawing/2014/chart" uri="{C3380CC4-5D6E-409C-BE32-E72D297353CC}">
              <c16:uniqueId val="{00000001-51AE-470A-A5C5-1E63068E6334}"/>
            </c:ext>
          </c:extLst>
        </c:ser>
        <c:ser>
          <c:idx val="2"/>
          <c:order val="2"/>
          <c:tx>
            <c:strRef>
              <c:f>'Pivot Table Analysis'!$D$879:$D$880</c:f>
              <c:strCache>
                <c:ptCount val="1"/>
                <c:pt idx="0">
                  <c:v>COD</c:v>
                </c:pt>
              </c:strCache>
            </c:strRef>
          </c:tx>
          <c:spPr>
            <a:solidFill>
              <a:schemeClr val="accent3"/>
            </a:solidFill>
            <a:ln>
              <a:noFill/>
            </a:ln>
            <a:effectLst/>
          </c:spPr>
          <c:invertIfNegative val="0"/>
          <c:cat>
            <c:strRef>
              <c:f>'Pivot Table Analysis'!$A$881:$A$896</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Analysis'!$D$881:$D$896</c:f>
              <c:numCache>
                <c:formatCode>General</c:formatCode>
                <c:ptCount val="15"/>
                <c:pt idx="0">
                  <c:v>7</c:v>
                </c:pt>
                <c:pt idx="1">
                  <c:v>12</c:v>
                </c:pt>
                <c:pt idx="2">
                  <c:v>8</c:v>
                </c:pt>
                <c:pt idx="3">
                  <c:v>8</c:v>
                </c:pt>
                <c:pt idx="4">
                  <c:v>11</c:v>
                </c:pt>
                <c:pt idx="5">
                  <c:v>11</c:v>
                </c:pt>
                <c:pt idx="6">
                  <c:v>11</c:v>
                </c:pt>
                <c:pt idx="7">
                  <c:v>7</c:v>
                </c:pt>
                <c:pt idx="8">
                  <c:v>3</c:v>
                </c:pt>
                <c:pt idx="9">
                  <c:v>10</c:v>
                </c:pt>
                <c:pt idx="10">
                  <c:v>12</c:v>
                </c:pt>
                <c:pt idx="11">
                  <c:v>14</c:v>
                </c:pt>
                <c:pt idx="12">
                  <c:v>8</c:v>
                </c:pt>
                <c:pt idx="13">
                  <c:v>10</c:v>
                </c:pt>
                <c:pt idx="14">
                  <c:v>5</c:v>
                </c:pt>
              </c:numCache>
            </c:numRef>
          </c:val>
          <c:extLst>
            <c:ext xmlns:c16="http://schemas.microsoft.com/office/drawing/2014/chart" uri="{C3380CC4-5D6E-409C-BE32-E72D297353CC}">
              <c16:uniqueId val="{00000002-51AE-470A-A5C5-1E63068E6334}"/>
            </c:ext>
          </c:extLst>
        </c:ser>
        <c:ser>
          <c:idx val="3"/>
          <c:order val="3"/>
          <c:tx>
            <c:strRef>
              <c:f>'Pivot Table Analysis'!$E$879:$E$880</c:f>
              <c:strCache>
                <c:ptCount val="1"/>
                <c:pt idx="0">
                  <c:v>Net 30</c:v>
                </c:pt>
              </c:strCache>
            </c:strRef>
          </c:tx>
          <c:spPr>
            <a:solidFill>
              <a:schemeClr val="accent4"/>
            </a:solidFill>
            <a:ln>
              <a:noFill/>
            </a:ln>
            <a:effectLst/>
          </c:spPr>
          <c:invertIfNegative val="0"/>
          <c:cat>
            <c:strRef>
              <c:f>'Pivot Table Analysis'!$A$881:$A$896</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Analysis'!$E$881:$E$896</c:f>
              <c:numCache>
                <c:formatCode>General</c:formatCode>
                <c:ptCount val="15"/>
                <c:pt idx="0">
                  <c:v>15</c:v>
                </c:pt>
                <c:pt idx="1">
                  <c:v>17</c:v>
                </c:pt>
                <c:pt idx="2">
                  <c:v>20</c:v>
                </c:pt>
                <c:pt idx="3">
                  <c:v>24</c:v>
                </c:pt>
                <c:pt idx="4">
                  <c:v>15</c:v>
                </c:pt>
                <c:pt idx="5">
                  <c:v>15</c:v>
                </c:pt>
                <c:pt idx="6">
                  <c:v>14</c:v>
                </c:pt>
                <c:pt idx="7">
                  <c:v>18</c:v>
                </c:pt>
                <c:pt idx="8">
                  <c:v>18</c:v>
                </c:pt>
                <c:pt idx="9">
                  <c:v>21</c:v>
                </c:pt>
                <c:pt idx="10">
                  <c:v>15</c:v>
                </c:pt>
                <c:pt idx="11">
                  <c:v>21</c:v>
                </c:pt>
                <c:pt idx="12">
                  <c:v>20</c:v>
                </c:pt>
                <c:pt idx="13">
                  <c:v>17</c:v>
                </c:pt>
                <c:pt idx="14">
                  <c:v>26</c:v>
                </c:pt>
              </c:numCache>
            </c:numRef>
          </c:val>
          <c:extLst>
            <c:ext xmlns:c16="http://schemas.microsoft.com/office/drawing/2014/chart" uri="{C3380CC4-5D6E-409C-BE32-E72D297353CC}">
              <c16:uniqueId val="{00000003-51AE-470A-A5C5-1E63068E6334}"/>
            </c:ext>
          </c:extLst>
        </c:ser>
        <c:ser>
          <c:idx val="4"/>
          <c:order val="4"/>
          <c:tx>
            <c:strRef>
              <c:f>'Pivot Table Analysis'!$F$879:$F$880</c:f>
              <c:strCache>
                <c:ptCount val="1"/>
                <c:pt idx="0">
                  <c:v>Net 45</c:v>
                </c:pt>
              </c:strCache>
            </c:strRef>
          </c:tx>
          <c:spPr>
            <a:solidFill>
              <a:schemeClr val="accent5"/>
            </a:solidFill>
            <a:ln>
              <a:noFill/>
            </a:ln>
            <a:effectLst/>
          </c:spPr>
          <c:invertIfNegative val="0"/>
          <c:cat>
            <c:strRef>
              <c:f>'Pivot Table Analysis'!$A$881:$A$896</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Analysis'!$F$881:$F$896</c:f>
              <c:numCache>
                <c:formatCode>General</c:formatCode>
                <c:ptCount val="15"/>
                <c:pt idx="0">
                  <c:v>8</c:v>
                </c:pt>
                <c:pt idx="1">
                  <c:v>8</c:v>
                </c:pt>
                <c:pt idx="2">
                  <c:v>9</c:v>
                </c:pt>
                <c:pt idx="3">
                  <c:v>13</c:v>
                </c:pt>
                <c:pt idx="4">
                  <c:v>13</c:v>
                </c:pt>
                <c:pt idx="5">
                  <c:v>8</c:v>
                </c:pt>
                <c:pt idx="6">
                  <c:v>16</c:v>
                </c:pt>
                <c:pt idx="7">
                  <c:v>6</c:v>
                </c:pt>
                <c:pt idx="8">
                  <c:v>6</c:v>
                </c:pt>
                <c:pt idx="9">
                  <c:v>9</c:v>
                </c:pt>
                <c:pt idx="10">
                  <c:v>7</c:v>
                </c:pt>
                <c:pt idx="11">
                  <c:v>12</c:v>
                </c:pt>
                <c:pt idx="12">
                  <c:v>8</c:v>
                </c:pt>
                <c:pt idx="13">
                  <c:v>13</c:v>
                </c:pt>
                <c:pt idx="14">
                  <c:v>5</c:v>
                </c:pt>
              </c:numCache>
            </c:numRef>
          </c:val>
          <c:extLst>
            <c:ext xmlns:c16="http://schemas.microsoft.com/office/drawing/2014/chart" uri="{C3380CC4-5D6E-409C-BE32-E72D297353CC}">
              <c16:uniqueId val="{00000003-F5FE-4057-8895-B0C4A13E0878}"/>
            </c:ext>
          </c:extLst>
        </c:ser>
        <c:ser>
          <c:idx val="5"/>
          <c:order val="5"/>
          <c:tx>
            <c:strRef>
              <c:f>'Pivot Table Analysis'!$G$879:$G$880</c:f>
              <c:strCache>
                <c:ptCount val="1"/>
                <c:pt idx="0">
                  <c:v>Not Stated</c:v>
                </c:pt>
              </c:strCache>
            </c:strRef>
          </c:tx>
          <c:spPr>
            <a:solidFill>
              <a:schemeClr val="accent6"/>
            </a:solidFill>
            <a:ln>
              <a:noFill/>
            </a:ln>
            <a:effectLst/>
          </c:spPr>
          <c:invertIfNegative val="0"/>
          <c:cat>
            <c:strRef>
              <c:f>'Pivot Table Analysis'!$A$881:$A$896</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Analysis'!$G$881:$G$896</c:f>
              <c:numCache>
                <c:formatCode>General</c:formatCode>
                <c:ptCount val="15"/>
                <c:pt idx="0">
                  <c:v>9</c:v>
                </c:pt>
                <c:pt idx="1">
                  <c:v>12</c:v>
                </c:pt>
                <c:pt idx="2">
                  <c:v>8</c:v>
                </c:pt>
                <c:pt idx="3">
                  <c:v>15</c:v>
                </c:pt>
                <c:pt idx="4">
                  <c:v>3</c:v>
                </c:pt>
                <c:pt idx="5">
                  <c:v>5</c:v>
                </c:pt>
                <c:pt idx="6">
                  <c:v>17</c:v>
                </c:pt>
                <c:pt idx="7">
                  <c:v>12</c:v>
                </c:pt>
                <c:pt idx="8">
                  <c:v>9</c:v>
                </c:pt>
                <c:pt idx="9">
                  <c:v>18</c:v>
                </c:pt>
                <c:pt idx="10">
                  <c:v>9</c:v>
                </c:pt>
                <c:pt idx="11">
                  <c:v>1</c:v>
                </c:pt>
                <c:pt idx="12">
                  <c:v>10</c:v>
                </c:pt>
                <c:pt idx="13">
                  <c:v>13</c:v>
                </c:pt>
                <c:pt idx="14">
                  <c:v>7</c:v>
                </c:pt>
              </c:numCache>
            </c:numRef>
          </c:val>
          <c:extLst>
            <c:ext xmlns:c16="http://schemas.microsoft.com/office/drawing/2014/chart" uri="{C3380CC4-5D6E-409C-BE32-E72D297353CC}">
              <c16:uniqueId val="{00000004-F5FE-4057-8895-B0C4A13E0878}"/>
            </c:ext>
          </c:extLst>
        </c:ser>
        <c:dLbls>
          <c:showLegendKey val="0"/>
          <c:showVal val="0"/>
          <c:showCatName val="0"/>
          <c:showSerName val="0"/>
          <c:showPercent val="0"/>
          <c:showBubbleSize val="0"/>
        </c:dLbls>
        <c:gapWidth val="70"/>
        <c:overlap val="100"/>
        <c:axId val="1450099935"/>
        <c:axId val="1450094175"/>
      </c:barChart>
      <c:catAx>
        <c:axId val="145009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094175"/>
        <c:crosses val="autoZero"/>
        <c:auto val="1"/>
        <c:lblAlgn val="ctr"/>
        <c:lblOffset val="100"/>
        <c:noMultiLvlLbl val="0"/>
      </c:catAx>
      <c:valAx>
        <c:axId val="1450094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099935"/>
        <c:crosses val="autoZero"/>
        <c:crossBetween val="between"/>
      </c:valAx>
      <c:spPr>
        <a:noFill/>
        <a:ln>
          <a:noFill/>
        </a:ln>
        <a:effectLst/>
      </c:spPr>
    </c:plotArea>
    <c:legend>
      <c:legendPos val="r"/>
      <c:layout>
        <c:manualLayout>
          <c:xMode val="edge"/>
          <c:yMode val="edge"/>
          <c:x val="0.79291338582677162"/>
          <c:y val="0.30347568513893619"/>
          <c:w val="0.19154262077664322"/>
          <c:h val="0.555917214771726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Analysis</a:t>
            </a:r>
            <a:r>
              <a:rPr lang="en-US" sz="1600" b="1" baseline="0"/>
              <a:t> of Invoice Status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 Analysis'!$J$855</c:f>
              <c:strCache>
                <c:ptCount val="1"/>
                <c:pt idx="0">
                  <c:v>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Analysis'!$I$856:$I$860</c:f>
              <c:strCache>
                <c:ptCount val="5"/>
                <c:pt idx="0">
                  <c:v>Matched</c:v>
                </c:pt>
                <c:pt idx="1">
                  <c:v>Pending</c:v>
                </c:pt>
                <c:pt idx="2">
                  <c:v>Disputed</c:v>
                </c:pt>
                <c:pt idx="3">
                  <c:v>Missing Invoice</c:v>
                </c:pt>
                <c:pt idx="4">
                  <c:v>Not Stated</c:v>
                </c:pt>
              </c:strCache>
            </c:strRef>
          </c:cat>
          <c:val>
            <c:numRef>
              <c:f>'Pivot Table Analysis'!$J$856:$J$860</c:f>
              <c:numCache>
                <c:formatCode>General</c:formatCode>
                <c:ptCount val="5"/>
                <c:pt idx="0">
                  <c:v>442</c:v>
                </c:pt>
                <c:pt idx="1">
                  <c:v>230</c:v>
                </c:pt>
                <c:pt idx="2">
                  <c:v>114</c:v>
                </c:pt>
                <c:pt idx="3">
                  <c:v>99</c:v>
                </c:pt>
                <c:pt idx="4">
                  <c:v>115</c:v>
                </c:pt>
              </c:numCache>
            </c:numRef>
          </c:val>
          <c:extLst>
            <c:ext xmlns:c16="http://schemas.microsoft.com/office/drawing/2014/chart" uri="{C3380CC4-5D6E-409C-BE32-E72D297353CC}">
              <c16:uniqueId val="{00000000-5F1A-4008-BA34-D37B869E97EB}"/>
            </c:ext>
          </c:extLst>
        </c:ser>
        <c:dLbls>
          <c:showLegendKey val="0"/>
          <c:showVal val="0"/>
          <c:showCatName val="0"/>
          <c:showSerName val="0"/>
          <c:showPercent val="0"/>
          <c:showBubbleSize val="0"/>
        </c:dLbls>
        <c:gapWidth val="95"/>
        <c:overlap val="100"/>
        <c:axId val="686060912"/>
        <c:axId val="686059952"/>
      </c:barChart>
      <c:catAx>
        <c:axId val="68606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059952"/>
        <c:crosses val="autoZero"/>
        <c:auto val="1"/>
        <c:lblAlgn val="ctr"/>
        <c:lblOffset val="100"/>
        <c:noMultiLvlLbl val="0"/>
      </c:catAx>
      <c:valAx>
        <c:axId val="686059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060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Analysis</a:t>
            </a:r>
            <a:r>
              <a:rPr lang="en-US" sz="1600" b="1" baseline="0"/>
              <a:t> of Count of Payment Status </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247594050743664E-2"/>
          <c:y val="0.15523148148148147"/>
          <c:w val="0.89019685039370078"/>
          <c:h val="0.68651246719160097"/>
        </c:manualLayout>
      </c:layout>
      <c:barChart>
        <c:barDir val="col"/>
        <c:grouping val="clustered"/>
        <c:varyColors val="0"/>
        <c:ser>
          <c:idx val="0"/>
          <c:order val="0"/>
          <c:tx>
            <c:strRef>
              <c:f>'Pivot Table Analysis'!$K$880</c:f>
              <c:strCache>
                <c:ptCount val="1"/>
                <c:pt idx="0">
                  <c:v>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Analysis'!$J$881:$J$886</c:f>
              <c:strCache>
                <c:ptCount val="6"/>
                <c:pt idx="0">
                  <c:v>50% Advance / 50% Delivery</c:v>
                </c:pt>
                <c:pt idx="1">
                  <c:v>Advance</c:v>
                </c:pt>
                <c:pt idx="2">
                  <c:v>COD</c:v>
                </c:pt>
                <c:pt idx="3">
                  <c:v>Net 30</c:v>
                </c:pt>
                <c:pt idx="4">
                  <c:v>Net 45</c:v>
                </c:pt>
                <c:pt idx="5">
                  <c:v>Not Stated</c:v>
                </c:pt>
              </c:strCache>
            </c:strRef>
          </c:cat>
          <c:val>
            <c:numRef>
              <c:f>'Pivot Table Analysis'!$K$881:$K$886</c:f>
              <c:numCache>
                <c:formatCode>General</c:formatCode>
                <c:ptCount val="6"/>
                <c:pt idx="0">
                  <c:v>149</c:v>
                </c:pt>
                <c:pt idx="1">
                  <c:v>149</c:v>
                </c:pt>
                <c:pt idx="2">
                  <c:v>137</c:v>
                </c:pt>
                <c:pt idx="3">
                  <c:v>276</c:v>
                </c:pt>
                <c:pt idx="4">
                  <c:v>141</c:v>
                </c:pt>
                <c:pt idx="5">
                  <c:v>148</c:v>
                </c:pt>
              </c:numCache>
            </c:numRef>
          </c:val>
          <c:extLst>
            <c:ext xmlns:c16="http://schemas.microsoft.com/office/drawing/2014/chart" uri="{C3380CC4-5D6E-409C-BE32-E72D297353CC}">
              <c16:uniqueId val="{00000000-D00B-45DF-9A82-CC8C32126EE4}"/>
            </c:ext>
          </c:extLst>
        </c:ser>
        <c:dLbls>
          <c:dLblPos val="outEnd"/>
          <c:showLegendKey val="0"/>
          <c:showVal val="1"/>
          <c:showCatName val="0"/>
          <c:showSerName val="0"/>
          <c:showPercent val="0"/>
          <c:showBubbleSize val="0"/>
        </c:dLbls>
        <c:gapWidth val="70"/>
        <c:overlap val="100"/>
        <c:axId val="770386864"/>
        <c:axId val="770393584"/>
      </c:barChart>
      <c:catAx>
        <c:axId val="77038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93584"/>
        <c:crosses val="autoZero"/>
        <c:auto val="1"/>
        <c:lblAlgn val="ctr"/>
        <c:lblOffset val="100"/>
        <c:noMultiLvlLbl val="0"/>
      </c:catAx>
      <c:valAx>
        <c:axId val="770393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86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Analysis of Supplier Invoices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584276574803147"/>
          <c:y val="0.13896587926509185"/>
          <c:w val="0.70574598097112862"/>
          <c:h val="0.82123168694822235"/>
        </c:manualLayout>
      </c:layout>
      <c:doughnutChart>
        <c:varyColors val="1"/>
        <c:ser>
          <c:idx val="0"/>
          <c:order val="0"/>
          <c:tx>
            <c:strRef>
              <c:f>'Pivot Table Analysis'!$K$855</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E7-46DA-974E-471418EB36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E7-46DA-974E-471418EB3603}"/>
              </c:ext>
            </c:extLst>
          </c:dPt>
          <c:dLbls>
            <c:spPr>
              <a:no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Analysis'!$I$856,'Pivot Table Analysis'!$I$863)</c:f>
              <c:strCache>
                <c:ptCount val="2"/>
                <c:pt idx="0">
                  <c:v>Matched</c:v>
                </c:pt>
                <c:pt idx="1">
                  <c:v>Unmatched</c:v>
                </c:pt>
              </c:strCache>
            </c:strRef>
          </c:cat>
          <c:val>
            <c:numRef>
              <c:f>('Pivot Table Analysis'!$K$856,'Pivot Table Analysis'!$K$863)</c:f>
              <c:numCache>
                <c:formatCode>0%</c:formatCode>
                <c:ptCount val="2"/>
                <c:pt idx="0">
                  <c:v>0.442</c:v>
                </c:pt>
                <c:pt idx="1">
                  <c:v>0.55800000000000005</c:v>
                </c:pt>
              </c:numCache>
            </c:numRef>
          </c:val>
          <c:extLst>
            <c:ext xmlns:c16="http://schemas.microsoft.com/office/drawing/2014/chart" uri="{C3380CC4-5D6E-409C-BE32-E72D297353CC}">
              <c16:uniqueId val="{00000004-4AE7-46DA-974E-471418EB360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9176058070866142"/>
          <c:y val="0.90676730325836341"/>
          <c:w val="0.59564550524934379"/>
          <c:h val="9.3232696741636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Status</a:t>
            </a:r>
            <a:r>
              <a:rPr lang="en-US" sz="1200" b="1" baseline="0"/>
              <a:t> of Supplier Invoice</a:t>
            </a:r>
            <a:endParaRPr lang="en-US" sz="1200" b="1"/>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671860314542907E-2"/>
          <c:y val="0.19961535781478643"/>
          <c:w val="0.5889977641683678"/>
          <c:h val="0.65714626580768309"/>
        </c:manualLayout>
      </c:layout>
      <c:pieChart>
        <c:varyColors val="1"/>
        <c:ser>
          <c:idx val="0"/>
          <c:order val="0"/>
          <c:tx>
            <c:strRef>
              <c:f>'Pivot Table Analysis'!$K$855</c:f>
              <c:strCache>
                <c:ptCount val="1"/>
                <c:pt idx="0">
                  <c:v>Percentage</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72-46A2-BE99-7B396BAEBF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72-46A2-BE99-7B396BAEBF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72-46A2-BE99-7B396BAEBF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72-46A2-BE99-7B396BAEBF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72-46A2-BE99-7B396BAEBFE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Analysis'!$I$856:$I$860</c:f>
              <c:strCache>
                <c:ptCount val="5"/>
                <c:pt idx="0">
                  <c:v>Matched</c:v>
                </c:pt>
                <c:pt idx="1">
                  <c:v>Pending</c:v>
                </c:pt>
                <c:pt idx="2">
                  <c:v>Disputed</c:v>
                </c:pt>
                <c:pt idx="3">
                  <c:v>Missing Invoice</c:v>
                </c:pt>
                <c:pt idx="4">
                  <c:v>Not Stated</c:v>
                </c:pt>
              </c:strCache>
            </c:strRef>
          </c:cat>
          <c:val>
            <c:numRef>
              <c:f>'Pivot Table Analysis'!$K$856:$K$860</c:f>
              <c:numCache>
                <c:formatCode>0%</c:formatCode>
                <c:ptCount val="5"/>
                <c:pt idx="0">
                  <c:v>0.442</c:v>
                </c:pt>
                <c:pt idx="1">
                  <c:v>0.23</c:v>
                </c:pt>
                <c:pt idx="2">
                  <c:v>0.114</c:v>
                </c:pt>
                <c:pt idx="3">
                  <c:v>9.9000000000000005E-2</c:v>
                </c:pt>
                <c:pt idx="4">
                  <c:v>0.115</c:v>
                </c:pt>
              </c:numCache>
            </c:numRef>
          </c:val>
          <c:extLst>
            <c:ext xmlns:c16="http://schemas.microsoft.com/office/drawing/2014/chart" uri="{C3380CC4-5D6E-409C-BE32-E72D297353CC}">
              <c16:uniqueId val="{0000000A-1972-46A2-BE99-7B396BAEBFE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t>Count of Supplier Payment Terms (%) </a:t>
            </a:r>
          </a:p>
        </c:rich>
      </c:tx>
      <c:layout>
        <c:manualLayout>
          <c:xMode val="edge"/>
          <c:yMode val="edge"/>
          <c:x val="0.11346835443037975"/>
          <c:y val="1.1251758087201125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7958588509769618E-3"/>
          <c:y val="0.20199764579500129"/>
          <c:w val="0.64534016581260678"/>
          <c:h val="0.70809457961441324"/>
        </c:manualLayout>
      </c:layout>
      <c:pieChart>
        <c:varyColors val="1"/>
        <c:ser>
          <c:idx val="0"/>
          <c:order val="0"/>
          <c:tx>
            <c:strRef>
              <c:f>'Pivot Table Analysis'!$L$880</c:f>
              <c:strCache>
                <c:ptCount val="1"/>
                <c:pt idx="0">
                  <c:v>Perecntage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A0-497E-88A8-18E0840778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A0-497E-88A8-18E0840778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A0-497E-88A8-18E0840778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A0-497E-88A8-18E08407783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3A0-497E-88A8-18E08407783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3A0-497E-88A8-18E08407783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Analysis'!$J$881:$J$886</c:f>
              <c:strCache>
                <c:ptCount val="6"/>
                <c:pt idx="0">
                  <c:v>50% Advance / 50% Delivery</c:v>
                </c:pt>
                <c:pt idx="1">
                  <c:v>Advance</c:v>
                </c:pt>
                <c:pt idx="2">
                  <c:v>COD</c:v>
                </c:pt>
                <c:pt idx="3">
                  <c:v>Net 30</c:v>
                </c:pt>
                <c:pt idx="4">
                  <c:v>Net 45</c:v>
                </c:pt>
                <c:pt idx="5">
                  <c:v>Not Stated</c:v>
                </c:pt>
              </c:strCache>
            </c:strRef>
          </c:cat>
          <c:val>
            <c:numRef>
              <c:f>'Pivot Table Analysis'!$L$881:$L$886</c:f>
              <c:numCache>
                <c:formatCode>0%</c:formatCode>
                <c:ptCount val="6"/>
                <c:pt idx="0">
                  <c:v>0.14899999999999999</c:v>
                </c:pt>
                <c:pt idx="1">
                  <c:v>0.14899999999999999</c:v>
                </c:pt>
                <c:pt idx="2">
                  <c:v>0.13700000000000001</c:v>
                </c:pt>
                <c:pt idx="3">
                  <c:v>0.27600000000000002</c:v>
                </c:pt>
                <c:pt idx="4">
                  <c:v>0.14099999999999999</c:v>
                </c:pt>
                <c:pt idx="5">
                  <c:v>0.14799999999999999</c:v>
                </c:pt>
              </c:numCache>
            </c:numRef>
          </c:val>
          <c:extLst>
            <c:ext xmlns:c16="http://schemas.microsoft.com/office/drawing/2014/chart" uri="{C3380CC4-5D6E-409C-BE32-E72D297353CC}">
              <c16:uniqueId val="{0000000C-53A0-497E-88A8-18E08407783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3120485851677299"/>
          <c:y val="0.21490558471857685"/>
          <c:w val="0.35212866639845197"/>
          <c:h val="0.72300441998653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rgbClr val="000000">
                    <a:lumMod val="65000"/>
                    <a:lumOff val="35000"/>
                  </a:srgbClr>
                </a:solidFill>
              </a:rPr>
              <a:t>Analysis of Count of Delivery Status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Pivot!$N$224</c:f>
              <c:strCache>
                <c:ptCount val="1"/>
                <c:pt idx="0">
                  <c:v>On Time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Pivot!$M$225:$M$239</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Pivot!$N$225:$N$239</c:f>
              <c:numCache>
                <c:formatCode>General</c:formatCode>
                <c:ptCount val="15"/>
                <c:pt idx="0">
                  <c:v>27</c:v>
                </c:pt>
                <c:pt idx="1">
                  <c:v>26</c:v>
                </c:pt>
                <c:pt idx="2">
                  <c:v>20</c:v>
                </c:pt>
                <c:pt idx="3">
                  <c:v>26</c:v>
                </c:pt>
                <c:pt idx="4">
                  <c:v>24</c:v>
                </c:pt>
                <c:pt idx="5">
                  <c:v>27</c:v>
                </c:pt>
                <c:pt idx="6">
                  <c:v>30</c:v>
                </c:pt>
                <c:pt idx="7">
                  <c:v>25</c:v>
                </c:pt>
                <c:pt idx="8">
                  <c:v>17</c:v>
                </c:pt>
                <c:pt idx="9">
                  <c:v>28</c:v>
                </c:pt>
                <c:pt idx="10">
                  <c:v>18</c:v>
                </c:pt>
                <c:pt idx="11">
                  <c:v>23</c:v>
                </c:pt>
                <c:pt idx="12">
                  <c:v>26</c:v>
                </c:pt>
                <c:pt idx="13">
                  <c:v>28</c:v>
                </c:pt>
                <c:pt idx="14">
                  <c:v>27</c:v>
                </c:pt>
              </c:numCache>
            </c:numRef>
          </c:val>
          <c:extLst>
            <c:ext xmlns:c16="http://schemas.microsoft.com/office/drawing/2014/chart" uri="{C3380CC4-5D6E-409C-BE32-E72D297353CC}">
              <c16:uniqueId val="{00000000-5D50-4BDE-85D6-11E27032FD52}"/>
            </c:ext>
          </c:extLst>
        </c:ser>
        <c:ser>
          <c:idx val="1"/>
          <c:order val="1"/>
          <c:tx>
            <c:strRef>
              <c:f>Pivot!$O$224</c:f>
              <c:strCache>
                <c:ptCount val="1"/>
                <c:pt idx="0">
                  <c:v>Delayed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Pivot!$M$225:$M$239</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Pivot!$O$225:$O$239</c:f>
              <c:numCache>
                <c:formatCode>General</c:formatCode>
                <c:ptCount val="15"/>
                <c:pt idx="0">
                  <c:v>28</c:v>
                </c:pt>
                <c:pt idx="1">
                  <c:v>41</c:v>
                </c:pt>
                <c:pt idx="2">
                  <c:v>41</c:v>
                </c:pt>
                <c:pt idx="3">
                  <c:v>49</c:v>
                </c:pt>
                <c:pt idx="4">
                  <c:v>48</c:v>
                </c:pt>
                <c:pt idx="5">
                  <c:v>34</c:v>
                </c:pt>
                <c:pt idx="6">
                  <c:v>46</c:v>
                </c:pt>
                <c:pt idx="7">
                  <c:v>40</c:v>
                </c:pt>
                <c:pt idx="8">
                  <c:v>36</c:v>
                </c:pt>
                <c:pt idx="9">
                  <c:v>46</c:v>
                </c:pt>
                <c:pt idx="10">
                  <c:v>40</c:v>
                </c:pt>
                <c:pt idx="11">
                  <c:v>45</c:v>
                </c:pt>
                <c:pt idx="12">
                  <c:v>38</c:v>
                </c:pt>
                <c:pt idx="13">
                  <c:v>46</c:v>
                </c:pt>
                <c:pt idx="14">
                  <c:v>36</c:v>
                </c:pt>
              </c:numCache>
            </c:numRef>
          </c:val>
          <c:extLst>
            <c:ext xmlns:c16="http://schemas.microsoft.com/office/drawing/2014/chart" uri="{C3380CC4-5D6E-409C-BE32-E72D297353CC}">
              <c16:uniqueId val="{00000001-5D50-4BDE-85D6-11E27032FD52}"/>
            </c:ext>
          </c:extLst>
        </c:ser>
        <c:ser>
          <c:idx val="2"/>
          <c:order val="2"/>
          <c:tx>
            <c:strRef>
              <c:f>Pivot!$P$224</c:f>
              <c:strCache>
                <c:ptCount val="1"/>
                <c:pt idx="0">
                  <c:v>Invalid Lead Time</c:v>
                </c:pt>
              </c:strCache>
            </c:strRef>
          </c:tx>
          <c:spPr>
            <a:solidFill>
              <a:schemeClr val="bg2">
                <a:lumMod val="65000"/>
              </a:schemeClr>
            </a:solidFill>
            <a:ln>
              <a:noFill/>
            </a:ln>
            <a:effectLst/>
          </c:spPr>
          <c:invertIfNegative val="0"/>
          <c:dLbls>
            <c:delete val="1"/>
          </c:dLbls>
          <c:cat>
            <c:strRef>
              <c:f>Pivot!$M$225:$M$239</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Pivot!$P$225:$P$239</c:f>
              <c:numCache>
                <c:formatCode>General</c:formatCode>
                <c:ptCount val="15"/>
                <c:pt idx="0">
                  <c:v>0</c:v>
                </c:pt>
                <c:pt idx="1">
                  <c:v>0</c:v>
                </c:pt>
                <c:pt idx="2">
                  <c:v>3</c:v>
                </c:pt>
                <c:pt idx="3">
                  <c:v>2</c:v>
                </c:pt>
                <c:pt idx="4">
                  <c:v>0</c:v>
                </c:pt>
                <c:pt idx="5">
                  <c:v>0</c:v>
                </c:pt>
                <c:pt idx="6">
                  <c:v>0</c:v>
                </c:pt>
                <c:pt idx="7">
                  <c:v>0</c:v>
                </c:pt>
                <c:pt idx="8">
                  <c:v>0</c:v>
                </c:pt>
                <c:pt idx="9">
                  <c:v>4</c:v>
                </c:pt>
                <c:pt idx="10">
                  <c:v>1</c:v>
                </c:pt>
                <c:pt idx="11">
                  <c:v>1</c:v>
                </c:pt>
                <c:pt idx="12">
                  <c:v>3</c:v>
                </c:pt>
                <c:pt idx="13">
                  <c:v>0</c:v>
                </c:pt>
                <c:pt idx="14">
                  <c:v>0</c:v>
                </c:pt>
              </c:numCache>
            </c:numRef>
          </c:val>
          <c:extLst>
            <c:ext xmlns:c16="http://schemas.microsoft.com/office/drawing/2014/chart" uri="{C3380CC4-5D6E-409C-BE32-E72D297353CC}">
              <c16:uniqueId val="{00000002-5D50-4BDE-85D6-11E27032FD52}"/>
            </c:ext>
          </c:extLst>
        </c:ser>
        <c:dLbls>
          <c:dLblPos val="ctr"/>
          <c:showLegendKey val="0"/>
          <c:showVal val="1"/>
          <c:showCatName val="0"/>
          <c:showSerName val="0"/>
          <c:showPercent val="0"/>
          <c:showBubbleSize val="0"/>
        </c:dLbls>
        <c:gapWidth val="40"/>
        <c:overlap val="100"/>
        <c:axId val="2132012639"/>
        <c:axId val="2132009279"/>
      </c:barChart>
      <c:catAx>
        <c:axId val="213201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009279"/>
        <c:crosses val="autoZero"/>
        <c:auto val="1"/>
        <c:lblAlgn val="ctr"/>
        <c:lblOffset val="100"/>
        <c:noMultiLvlLbl val="0"/>
      </c:catAx>
      <c:valAx>
        <c:axId val="21320092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012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[Maersk-Ahmed Lawal_revised.xlsx]Pivot!DeliveryStatusbyShppingMode</c:name>
    <c:fmtId val="11"/>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rgbClr val="000000">
                    <a:lumMod val="65000"/>
                    <a:lumOff val="35000"/>
                  </a:srgbClr>
                </a:solidFill>
              </a:rPr>
              <a:t>Count of Delivery Status by Shipping Mode</a:t>
            </a:r>
          </a:p>
        </c:rich>
      </c:tx>
      <c:layout>
        <c:manualLayout>
          <c:xMode val="edge"/>
          <c:yMode val="edge"/>
          <c:x val="2.5144508670520158E-3"/>
          <c:y val="3.278688524590164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AC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B92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91C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8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AC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B92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8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91C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AC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B92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8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B91C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AC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B92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8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B91C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AC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B92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F8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B91C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AC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FB92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F8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B91C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AC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B92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8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B91C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AC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B92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F8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B91C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AC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FB92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F8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B91C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Pivot!$B$75:$B$76</c:f>
              <c:strCache>
                <c:ptCount val="1"/>
                <c:pt idx="0">
                  <c:v>Delivered Early</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Pivot!$A$77:$A$83</c:f>
              <c:strCache>
                <c:ptCount val="6"/>
                <c:pt idx="0">
                  <c:v>Air</c:v>
                </c:pt>
                <c:pt idx="1">
                  <c:v>Courier</c:v>
                </c:pt>
                <c:pt idx="2">
                  <c:v>Not Stated</c:v>
                </c:pt>
                <c:pt idx="3">
                  <c:v>Rail</c:v>
                </c:pt>
                <c:pt idx="4">
                  <c:v>Road</c:v>
                </c:pt>
                <c:pt idx="5">
                  <c:v>Sea</c:v>
                </c:pt>
              </c:strCache>
            </c:strRef>
          </c:cat>
          <c:val>
            <c:numRef>
              <c:f>Pivot!$B$77:$B$83</c:f>
              <c:numCache>
                <c:formatCode>General</c:formatCode>
                <c:ptCount val="6"/>
                <c:pt idx="0">
                  <c:v>19</c:v>
                </c:pt>
                <c:pt idx="1">
                  <c:v>16</c:v>
                </c:pt>
                <c:pt idx="2">
                  <c:v>6</c:v>
                </c:pt>
                <c:pt idx="3">
                  <c:v>9</c:v>
                </c:pt>
                <c:pt idx="4">
                  <c:v>28</c:v>
                </c:pt>
                <c:pt idx="5">
                  <c:v>26</c:v>
                </c:pt>
              </c:numCache>
            </c:numRef>
          </c:val>
          <c:extLst>
            <c:ext xmlns:c16="http://schemas.microsoft.com/office/drawing/2014/chart" uri="{C3380CC4-5D6E-409C-BE32-E72D297353CC}">
              <c16:uniqueId val="{00000000-55A4-4113-AEA0-178A7975B77F}"/>
            </c:ext>
          </c:extLst>
        </c:ser>
        <c:ser>
          <c:idx val="1"/>
          <c:order val="1"/>
          <c:tx>
            <c:strRef>
              <c:f>Pivot!$C$75:$C$76</c:f>
              <c:strCache>
                <c:ptCount val="1"/>
                <c:pt idx="0">
                  <c:v>On Time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Pivot!$A$77:$A$83</c:f>
              <c:strCache>
                <c:ptCount val="6"/>
                <c:pt idx="0">
                  <c:v>Air</c:v>
                </c:pt>
                <c:pt idx="1">
                  <c:v>Courier</c:v>
                </c:pt>
                <c:pt idx="2">
                  <c:v>Not Stated</c:v>
                </c:pt>
                <c:pt idx="3">
                  <c:v>Rail</c:v>
                </c:pt>
                <c:pt idx="4">
                  <c:v>Road</c:v>
                </c:pt>
                <c:pt idx="5">
                  <c:v>Sea</c:v>
                </c:pt>
              </c:strCache>
            </c:strRef>
          </c:cat>
          <c:val>
            <c:numRef>
              <c:f>Pivot!$C$77:$C$83</c:f>
              <c:numCache>
                <c:formatCode>General</c:formatCode>
                <c:ptCount val="6"/>
                <c:pt idx="0">
                  <c:v>28</c:v>
                </c:pt>
                <c:pt idx="1">
                  <c:v>42</c:v>
                </c:pt>
                <c:pt idx="2">
                  <c:v>35</c:v>
                </c:pt>
                <c:pt idx="3">
                  <c:v>35</c:v>
                </c:pt>
                <c:pt idx="4">
                  <c:v>66</c:v>
                </c:pt>
                <c:pt idx="5">
                  <c:v>62</c:v>
                </c:pt>
              </c:numCache>
            </c:numRef>
          </c:val>
          <c:extLst>
            <c:ext xmlns:c16="http://schemas.microsoft.com/office/drawing/2014/chart" uri="{C3380CC4-5D6E-409C-BE32-E72D297353CC}">
              <c16:uniqueId val="{0000000F-FCBA-4C3D-8B06-D49D4BB2D469}"/>
            </c:ext>
          </c:extLst>
        </c:ser>
        <c:ser>
          <c:idx val="2"/>
          <c:order val="2"/>
          <c:tx>
            <c:strRef>
              <c:f>Pivot!$D$75:$D$76</c:f>
              <c:strCache>
                <c:ptCount val="1"/>
                <c:pt idx="0">
                  <c:v>Delayed</c:v>
                </c:pt>
              </c:strCache>
            </c:strRef>
          </c:tx>
          <c:spPr>
            <a:solidFill>
              <a:srgbClr val="FACC1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Pivot!$A$77:$A$83</c:f>
              <c:strCache>
                <c:ptCount val="6"/>
                <c:pt idx="0">
                  <c:v>Air</c:v>
                </c:pt>
                <c:pt idx="1">
                  <c:v>Courier</c:v>
                </c:pt>
                <c:pt idx="2">
                  <c:v>Not Stated</c:v>
                </c:pt>
                <c:pt idx="3">
                  <c:v>Rail</c:v>
                </c:pt>
                <c:pt idx="4">
                  <c:v>Road</c:v>
                </c:pt>
                <c:pt idx="5">
                  <c:v>Sea</c:v>
                </c:pt>
              </c:strCache>
            </c:strRef>
          </c:cat>
          <c:val>
            <c:numRef>
              <c:f>Pivot!$D$77:$D$83</c:f>
              <c:numCache>
                <c:formatCode>General</c:formatCode>
                <c:ptCount val="6"/>
                <c:pt idx="0">
                  <c:v>9</c:v>
                </c:pt>
                <c:pt idx="1">
                  <c:v>4</c:v>
                </c:pt>
                <c:pt idx="2">
                  <c:v>8</c:v>
                </c:pt>
                <c:pt idx="3">
                  <c:v>8</c:v>
                </c:pt>
                <c:pt idx="4">
                  <c:v>19</c:v>
                </c:pt>
                <c:pt idx="5">
                  <c:v>19</c:v>
                </c:pt>
              </c:numCache>
            </c:numRef>
          </c:val>
          <c:extLst>
            <c:ext xmlns:c16="http://schemas.microsoft.com/office/drawing/2014/chart" uri="{C3380CC4-5D6E-409C-BE32-E72D297353CC}">
              <c16:uniqueId val="{00000010-FCBA-4C3D-8B06-D49D4BB2D469}"/>
            </c:ext>
          </c:extLst>
        </c:ser>
        <c:ser>
          <c:idx val="3"/>
          <c:order val="3"/>
          <c:tx>
            <c:strRef>
              <c:f>Pivot!$E$75:$E$76</c:f>
              <c:strCache>
                <c:ptCount val="1"/>
                <c:pt idx="0">
                  <c:v>Late</c:v>
                </c:pt>
              </c:strCache>
            </c:strRef>
          </c:tx>
          <c:spPr>
            <a:solidFill>
              <a:srgbClr val="FB92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Pivot!$A$77:$A$83</c:f>
              <c:strCache>
                <c:ptCount val="6"/>
                <c:pt idx="0">
                  <c:v>Air</c:v>
                </c:pt>
                <c:pt idx="1">
                  <c:v>Courier</c:v>
                </c:pt>
                <c:pt idx="2">
                  <c:v>Not Stated</c:v>
                </c:pt>
                <c:pt idx="3">
                  <c:v>Rail</c:v>
                </c:pt>
                <c:pt idx="4">
                  <c:v>Road</c:v>
                </c:pt>
                <c:pt idx="5">
                  <c:v>Sea</c:v>
                </c:pt>
              </c:strCache>
            </c:strRef>
          </c:cat>
          <c:val>
            <c:numRef>
              <c:f>Pivot!$E$77:$E$83</c:f>
              <c:numCache>
                <c:formatCode>General</c:formatCode>
                <c:ptCount val="6"/>
                <c:pt idx="0">
                  <c:v>41</c:v>
                </c:pt>
                <c:pt idx="1">
                  <c:v>36</c:v>
                </c:pt>
                <c:pt idx="2">
                  <c:v>40</c:v>
                </c:pt>
                <c:pt idx="3">
                  <c:v>44</c:v>
                </c:pt>
                <c:pt idx="4">
                  <c:v>55</c:v>
                </c:pt>
                <c:pt idx="5">
                  <c:v>62</c:v>
                </c:pt>
              </c:numCache>
            </c:numRef>
          </c:val>
          <c:extLst>
            <c:ext xmlns:c16="http://schemas.microsoft.com/office/drawing/2014/chart" uri="{C3380CC4-5D6E-409C-BE32-E72D297353CC}">
              <c16:uniqueId val="{00000011-FCBA-4C3D-8B06-D49D4BB2D469}"/>
            </c:ext>
          </c:extLst>
        </c:ser>
        <c:ser>
          <c:idx val="4"/>
          <c:order val="4"/>
          <c:tx>
            <c:strRef>
              <c:f>Pivot!$F$75:$F$76</c:f>
              <c:strCache>
                <c:ptCount val="1"/>
                <c:pt idx="0">
                  <c:v>Very Late</c:v>
                </c:pt>
              </c:strCache>
            </c:strRef>
          </c:tx>
          <c:spPr>
            <a:solidFill>
              <a:srgbClr val="F8717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Pivot!$A$77:$A$83</c:f>
              <c:strCache>
                <c:ptCount val="6"/>
                <c:pt idx="0">
                  <c:v>Air</c:v>
                </c:pt>
                <c:pt idx="1">
                  <c:v>Courier</c:v>
                </c:pt>
                <c:pt idx="2">
                  <c:v>Not Stated</c:v>
                </c:pt>
                <c:pt idx="3">
                  <c:v>Rail</c:v>
                </c:pt>
                <c:pt idx="4">
                  <c:v>Road</c:v>
                </c:pt>
                <c:pt idx="5">
                  <c:v>Sea</c:v>
                </c:pt>
              </c:strCache>
            </c:strRef>
          </c:cat>
          <c:val>
            <c:numRef>
              <c:f>Pivot!$F$77:$F$83</c:f>
              <c:numCache>
                <c:formatCode>General</c:formatCode>
                <c:ptCount val="6"/>
                <c:pt idx="0">
                  <c:v>11</c:v>
                </c:pt>
                <c:pt idx="1">
                  <c:v>17</c:v>
                </c:pt>
                <c:pt idx="2">
                  <c:v>17</c:v>
                </c:pt>
                <c:pt idx="3">
                  <c:v>17</c:v>
                </c:pt>
                <c:pt idx="4">
                  <c:v>30</c:v>
                </c:pt>
                <c:pt idx="5">
                  <c:v>28</c:v>
                </c:pt>
              </c:numCache>
            </c:numRef>
          </c:val>
          <c:extLst>
            <c:ext xmlns:c16="http://schemas.microsoft.com/office/drawing/2014/chart" uri="{C3380CC4-5D6E-409C-BE32-E72D297353CC}">
              <c16:uniqueId val="{00000012-FCBA-4C3D-8B06-D49D4BB2D469}"/>
            </c:ext>
          </c:extLst>
        </c:ser>
        <c:ser>
          <c:idx val="5"/>
          <c:order val="5"/>
          <c:tx>
            <c:strRef>
              <c:f>Pivot!$G$75:$G$76</c:f>
              <c:strCache>
                <c:ptCount val="1"/>
                <c:pt idx="0">
                  <c:v>Severely Delayed</c:v>
                </c:pt>
              </c:strCache>
            </c:strRef>
          </c:tx>
          <c:spPr>
            <a:solidFill>
              <a:srgbClr val="B91C1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Pivot!$A$77:$A$83</c:f>
              <c:strCache>
                <c:ptCount val="6"/>
                <c:pt idx="0">
                  <c:v>Air</c:v>
                </c:pt>
                <c:pt idx="1">
                  <c:v>Courier</c:v>
                </c:pt>
                <c:pt idx="2">
                  <c:v>Not Stated</c:v>
                </c:pt>
                <c:pt idx="3">
                  <c:v>Rail</c:v>
                </c:pt>
                <c:pt idx="4">
                  <c:v>Road</c:v>
                </c:pt>
                <c:pt idx="5">
                  <c:v>Sea</c:v>
                </c:pt>
              </c:strCache>
            </c:strRef>
          </c:cat>
          <c:val>
            <c:numRef>
              <c:f>Pivot!$G$77:$G$83</c:f>
              <c:numCache>
                <c:formatCode>General</c:formatCode>
                <c:ptCount val="6"/>
                <c:pt idx="0">
                  <c:v>21</c:v>
                </c:pt>
                <c:pt idx="1">
                  <c:v>24</c:v>
                </c:pt>
                <c:pt idx="2">
                  <c:v>18</c:v>
                </c:pt>
                <c:pt idx="3">
                  <c:v>19</c:v>
                </c:pt>
                <c:pt idx="4">
                  <c:v>33</c:v>
                </c:pt>
                <c:pt idx="5">
                  <c:v>34</c:v>
                </c:pt>
              </c:numCache>
            </c:numRef>
          </c:val>
          <c:extLst>
            <c:ext xmlns:c16="http://schemas.microsoft.com/office/drawing/2014/chart" uri="{C3380CC4-5D6E-409C-BE32-E72D297353CC}">
              <c16:uniqueId val="{00000013-FCBA-4C3D-8B06-D49D4BB2D469}"/>
            </c:ext>
          </c:extLst>
        </c:ser>
        <c:ser>
          <c:idx val="6"/>
          <c:order val="6"/>
          <c:tx>
            <c:strRef>
              <c:f>Pivot!$H$75:$H$76</c:f>
              <c:strCache>
                <c:ptCount val="1"/>
                <c:pt idx="0">
                  <c:v>Invalid Lead Time</c:v>
                </c:pt>
              </c:strCache>
            </c:strRef>
          </c:tx>
          <c:spPr>
            <a:solidFill>
              <a:srgbClr val="94A3B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Pivot!$A$77:$A$83</c:f>
              <c:strCache>
                <c:ptCount val="6"/>
                <c:pt idx="0">
                  <c:v>Air</c:v>
                </c:pt>
                <c:pt idx="1">
                  <c:v>Courier</c:v>
                </c:pt>
                <c:pt idx="2">
                  <c:v>Not Stated</c:v>
                </c:pt>
                <c:pt idx="3">
                  <c:v>Rail</c:v>
                </c:pt>
                <c:pt idx="4">
                  <c:v>Road</c:v>
                </c:pt>
                <c:pt idx="5">
                  <c:v>Sea</c:v>
                </c:pt>
              </c:strCache>
            </c:strRef>
          </c:cat>
          <c:val>
            <c:numRef>
              <c:f>Pivot!$H$77:$H$83</c:f>
              <c:numCache>
                <c:formatCode>General</c:formatCode>
                <c:ptCount val="6"/>
                <c:pt idx="0">
                  <c:v>1</c:v>
                </c:pt>
                <c:pt idx="1">
                  <c:v>2</c:v>
                </c:pt>
                <c:pt idx="2">
                  <c:v>2</c:v>
                </c:pt>
                <c:pt idx="3">
                  <c:v>1</c:v>
                </c:pt>
                <c:pt idx="4">
                  <c:v>4</c:v>
                </c:pt>
                <c:pt idx="5">
                  <c:v>4</c:v>
                </c:pt>
              </c:numCache>
            </c:numRef>
          </c:val>
          <c:extLst>
            <c:ext xmlns:c16="http://schemas.microsoft.com/office/drawing/2014/chart" uri="{C3380CC4-5D6E-409C-BE32-E72D297353CC}">
              <c16:uniqueId val="{00000017-FCBA-4C3D-8B06-D49D4BB2D469}"/>
            </c:ext>
          </c:extLst>
        </c:ser>
        <c:dLbls>
          <c:dLblPos val="ctr"/>
          <c:showLegendKey val="0"/>
          <c:showVal val="1"/>
          <c:showCatName val="0"/>
          <c:showSerName val="0"/>
          <c:showPercent val="0"/>
          <c:showBubbleSize val="0"/>
        </c:dLbls>
        <c:gapWidth val="40"/>
        <c:overlap val="100"/>
        <c:axId val="1541416591"/>
        <c:axId val="2081238831"/>
      </c:barChart>
      <c:catAx>
        <c:axId val="154141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38831"/>
        <c:crosses val="autoZero"/>
        <c:auto val="1"/>
        <c:lblAlgn val="ctr"/>
        <c:lblOffset val="100"/>
        <c:noMultiLvlLbl val="0"/>
      </c:catAx>
      <c:valAx>
        <c:axId val="2081238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416591"/>
        <c:crosses val="autoZero"/>
        <c:crossBetween val="between"/>
      </c:valAx>
      <c:spPr>
        <a:noFill/>
        <a:ln>
          <a:noFill/>
        </a:ln>
        <a:effectLst/>
      </c:spPr>
    </c:plotArea>
    <c:legend>
      <c:legendPos val="r"/>
      <c:layout>
        <c:manualLayout>
          <c:xMode val="edge"/>
          <c:yMode val="edge"/>
          <c:x val="0.77884208223971996"/>
          <c:y val="3.6745771361913079E-2"/>
          <c:w val="0.19001634938830736"/>
          <c:h val="0.553282560991351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[Maersk-Ahmed Lawal_revised.xlsx]Pivot!QualityStatusSummarybySupplier</c:name>
    <c:fmtId val="30"/>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C2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C2626"/>
          </a:solidFill>
          <a:ln>
            <a:noFill/>
          </a:ln>
          <a:effectLst/>
        </c:spPr>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C2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DC2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DC2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a:noFill/>
          </a:ln>
          <a:effectLst/>
        </c:spPr>
        <c:marker>
          <c:symbol val="none"/>
        </c:marker>
      </c:pivotFmt>
      <c:pivotFmt>
        <c:idx val="26"/>
        <c:spPr>
          <a:solidFill>
            <a:srgbClr val="F59E0B"/>
          </a:solidFill>
          <a:ln>
            <a:noFill/>
          </a:ln>
          <a:effectLst/>
        </c:spPr>
        <c:marker>
          <c:symbol val="none"/>
        </c:marker>
      </c:pivotFmt>
      <c:pivotFmt>
        <c:idx val="27"/>
        <c:spPr>
          <a:solidFill>
            <a:srgbClr val="F97316"/>
          </a:solidFill>
          <a:ln>
            <a:noFill/>
          </a:ln>
          <a:effectLst/>
        </c:spPr>
        <c:marker>
          <c:symbol val="none"/>
        </c:marker>
      </c:pivotFmt>
      <c:pivotFmt>
        <c:idx val="28"/>
        <c:spPr>
          <a:solidFill>
            <a:schemeClr val="accent1"/>
          </a:solidFill>
          <a:ln>
            <a:noFill/>
          </a:ln>
          <a:effectLst/>
        </c:spPr>
        <c:marker>
          <c:symbol val="none"/>
        </c:marker>
      </c:pivotFmt>
      <c:pivotFmt>
        <c:idx val="29"/>
        <c:spPr>
          <a:solidFill>
            <a:srgbClr val="DC2626"/>
          </a:solidFill>
          <a:ln>
            <a:noFill/>
          </a:ln>
          <a:effectLst/>
        </c:spPr>
        <c:marker>
          <c:symbol val="none"/>
        </c:marker>
      </c:pivotFmt>
      <c:pivotFmt>
        <c:idx val="30"/>
        <c:spPr>
          <a:solidFill>
            <a:srgbClr val="94A3B8"/>
          </a:solidFill>
          <a:ln>
            <a:noFill/>
          </a:ln>
          <a:effectLst/>
        </c:spPr>
        <c:marker>
          <c:symbol val="none"/>
        </c:marker>
      </c:pivotFmt>
      <c:pivotFmt>
        <c:idx val="31"/>
        <c:spPr>
          <a:solidFill>
            <a:srgbClr val="DC2626"/>
          </a:solidFill>
          <a:ln>
            <a:noFill/>
          </a:ln>
          <a:effectLst/>
        </c:spPr>
      </c:pivotFmt>
      <c:pivotFmt>
        <c:idx val="3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DC2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DC262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DC2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DC262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DC2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DC262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DC2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DC262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DC262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DC2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DC2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4"/>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5"/>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DC2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0"/>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1"/>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3"/>
        <c:spPr>
          <a:solidFill>
            <a:srgbClr val="DC2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43507659429111"/>
          <c:y val="8.7636932707355245E-2"/>
          <c:w val="0.67292091825562961"/>
          <c:h val="0.77377644695821468"/>
        </c:manualLayout>
      </c:layout>
      <c:barChart>
        <c:barDir val="bar"/>
        <c:grouping val="percentStacked"/>
        <c:varyColors val="0"/>
        <c:ser>
          <c:idx val="0"/>
          <c:order val="0"/>
          <c:tx>
            <c:strRef>
              <c:f>Pivot!$B$918:$B$919</c:f>
              <c:strCache>
                <c:ptCount val="1"/>
                <c:pt idx="0">
                  <c:v>Accepted</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Pivot!$A$920:$A$935</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Pivot!$B$920:$B$935</c:f>
              <c:numCache>
                <c:formatCode>#,##0.0,"k"</c:formatCode>
                <c:ptCount val="15"/>
                <c:pt idx="0">
                  <c:v>13900</c:v>
                </c:pt>
                <c:pt idx="1">
                  <c:v>26150</c:v>
                </c:pt>
                <c:pt idx="2">
                  <c:v>26025</c:v>
                </c:pt>
                <c:pt idx="3">
                  <c:v>27150</c:v>
                </c:pt>
                <c:pt idx="4">
                  <c:v>31375</c:v>
                </c:pt>
                <c:pt idx="5">
                  <c:v>19275</c:v>
                </c:pt>
                <c:pt idx="6">
                  <c:v>31775</c:v>
                </c:pt>
                <c:pt idx="7">
                  <c:v>40450</c:v>
                </c:pt>
                <c:pt idx="8">
                  <c:v>22400</c:v>
                </c:pt>
                <c:pt idx="9">
                  <c:v>46375</c:v>
                </c:pt>
                <c:pt idx="10">
                  <c:v>43125</c:v>
                </c:pt>
                <c:pt idx="11">
                  <c:v>22325</c:v>
                </c:pt>
                <c:pt idx="12">
                  <c:v>37725</c:v>
                </c:pt>
                <c:pt idx="13">
                  <c:v>24900</c:v>
                </c:pt>
                <c:pt idx="14">
                  <c:v>15825</c:v>
                </c:pt>
              </c:numCache>
            </c:numRef>
          </c:val>
          <c:extLst>
            <c:ext xmlns:c16="http://schemas.microsoft.com/office/drawing/2014/chart" uri="{C3380CC4-5D6E-409C-BE32-E72D297353CC}">
              <c16:uniqueId val="{00000000-E49A-47FB-8ECA-C7CA9CBA8353}"/>
            </c:ext>
          </c:extLst>
        </c:ser>
        <c:ser>
          <c:idx val="1"/>
          <c:order val="1"/>
          <c:tx>
            <c:strRef>
              <c:f>Pivot!$C$918:$C$919</c:f>
              <c:strCache>
                <c:ptCount val="1"/>
                <c:pt idx="0">
                  <c:v>Hold</c:v>
                </c:pt>
              </c:strCache>
            </c:strRef>
          </c:tx>
          <c:spPr>
            <a:solidFill>
              <a:srgbClr val="F59E0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Pivot!$A$920:$A$935</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Pivot!$C$920:$C$935</c:f>
              <c:numCache>
                <c:formatCode>#,##0.0,"k"</c:formatCode>
                <c:ptCount val="15"/>
                <c:pt idx="0">
                  <c:v>8300</c:v>
                </c:pt>
                <c:pt idx="1">
                  <c:v>6200</c:v>
                </c:pt>
                <c:pt idx="2">
                  <c:v>2150</c:v>
                </c:pt>
                <c:pt idx="3">
                  <c:v>5200</c:v>
                </c:pt>
                <c:pt idx="4">
                  <c:v>75</c:v>
                </c:pt>
                <c:pt idx="5">
                  <c:v>9925</c:v>
                </c:pt>
                <c:pt idx="6">
                  <c:v>900</c:v>
                </c:pt>
                <c:pt idx="7">
                  <c:v>150</c:v>
                </c:pt>
                <c:pt idx="8">
                  <c:v>250</c:v>
                </c:pt>
                <c:pt idx="9">
                  <c:v>75</c:v>
                </c:pt>
                <c:pt idx="10">
                  <c:v>600</c:v>
                </c:pt>
                <c:pt idx="11">
                  <c:v>7100</c:v>
                </c:pt>
                <c:pt idx="12">
                  <c:v>150</c:v>
                </c:pt>
                <c:pt idx="13">
                  <c:v>6050</c:v>
                </c:pt>
                <c:pt idx="14">
                  <c:v>2875</c:v>
                </c:pt>
              </c:numCache>
            </c:numRef>
          </c:val>
          <c:extLst>
            <c:ext xmlns:c16="http://schemas.microsoft.com/office/drawing/2014/chart" uri="{C3380CC4-5D6E-409C-BE32-E72D297353CC}">
              <c16:uniqueId val="{00000001-E49A-47FB-8ECA-C7CA9CBA8353}"/>
            </c:ext>
          </c:extLst>
        </c:ser>
        <c:ser>
          <c:idx val="2"/>
          <c:order val="2"/>
          <c:tx>
            <c:strRef>
              <c:f>Pivot!$D$918:$D$919</c:f>
              <c:strCache>
                <c:ptCount val="1"/>
                <c:pt idx="0">
                  <c:v>Partial Reject</c:v>
                </c:pt>
              </c:strCache>
            </c:strRef>
          </c:tx>
          <c:spPr>
            <a:solidFill>
              <a:srgbClr val="F9731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Pivot!$A$920:$A$935</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Pivot!$D$920:$D$935</c:f>
              <c:numCache>
                <c:formatCode>#,##0.0,"k"</c:formatCode>
                <c:ptCount val="15"/>
                <c:pt idx="0">
                  <c:v>750</c:v>
                </c:pt>
                <c:pt idx="1">
                  <c:v>350</c:v>
                </c:pt>
                <c:pt idx="2">
                  <c:v>1800</c:v>
                </c:pt>
                <c:pt idx="3">
                  <c:v>3800</c:v>
                </c:pt>
                <c:pt idx="4">
                  <c:v>525</c:v>
                </c:pt>
                <c:pt idx="5">
                  <c:v>1175</c:v>
                </c:pt>
                <c:pt idx="6">
                  <c:v>800</c:v>
                </c:pt>
                <c:pt idx="7">
                  <c:v>1500</c:v>
                </c:pt>
                <c:pt idx="10">
                  <c:v>300</c:v>
                </c:pt>
                <c:pt idx="11">
                  <c:v>1800</c:v>
                </c:pt>
                <c:pt idx="12">
                  <c:v>3750</c:v>
                </c:pt>
                <c:pt idx="13">
                  <c:v>2250</c:v>
                </c:pt>
                <c:pt idx="14">
                  <c:v>8200</c:v>
                </c:pt>
              </c:numCache>
            </c:numRef>
          </c:val>
          <c:extLst>
            <c:ext xmlns:c16="http://schemas.microsoft.com/office/drawing/2014/chart" uri="{C3380CC4-5D6E-409C-BE32-E72D297353CC}">
              <c16:uniqueId val="{00000002-E49A-47FB-8ECA-C7CA9CBA8353}"/>
            </c:ext>
          </c:extLst>
        </c:ser>
        <c:ser>
          <c:idx val="3"/>
          <c:order val="3"/>
          <c:tx>
            <c:strRef>
              <c:f>Pivot!$E$918:$E$919</c:f>
              <c:strCache>
                <c:ptCount val="1"/>
                <c:pt idx="0">
                  <c:v>Pending QC</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Pivot!$A$920:$A$935</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Pivot!$E$920:$E$935</c:f>
              <c:numCache>
                <c:formatCode>#,##0.0,"k"</c:formatCode>
                <c:ptCount val="15"/>
                <c:pt idx="0">
                  <c:v>75</c:v>
                </c:pt>
                <c:pt idx="1">
                  <c:v>1500</c:v>
                </c:pt>
                <c:pt idx="3">
                  <c:v>1500</c:v>
                </c:pt>
                <c:pt idx="4">
                  <c:v>375</c:v>
                </c:pt>
                <c:pt idx="5">
                  <c:v>1000</c:v>
                </c:pt>
                <c:pt idx="6">
                  <c:v>1000</c:v>
                </c:pt>
                <c:pt idx="7">
                  <c:v>1700</c:v>
                </c:pt>
                <c:pt idx="9">
                  <c:v>100</c:v>
                </c:pt>
                <c:pt idx="11">
                  <c:v>1650</c:v>
                </c:pt>
                <c:pt idx="13">
                  <c:v>225</c:v>
                </c:pt>
                <c:pt idx="14">
                  <c:v>2075</c:v>
                </c:pt>
              </c:numCache>
            </c:numRef>
          </c:val>
          <c:extLst>
            <c:ext xmlns:c16="http://schemas.microsoft.com/office/drawing/2014/chart" uri="{C3380CC4-5D6E-409C-BE32-E72D297353CC}">
              <c16:uniqueId val="{0000000A-5E1E-4B60-BF3F-14033A38B424}"/>
            </c:ext>
          </c:extLst>
        </c:ser>
        <c:ser>
          <c:idx val="4"/>
          <c:order val="4"/>
          <c:tx>
            <c:strRef>
              <c:f>Pivot!$F$918:$F$919</c:f>
              <c:strCache>
                <c:ptCount val="1"/>
                <c:pt idx="0">
                  <c:v>Rejected</c:v>
                </c:pt>
              </c:strCache>
            </c:strRef>
          </c:tx>
          <c:spPr>
            <a:solidFill>
              <a:srgbClr val="DC262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Pivot!$A$920:$A$935</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Pivot!$F$920:$F$935</c:f>
              <c:numCache>
                <c:formatCode>#,##0.0,"k"</c:formatCode>
                <c:ptCount val="15"/>
                <c:pt idx="0">
                  <c:v>3550</c:v>
                </c:pt>
                <c:pt idx="1">
                  <c:v>2100</c:v>
                </c:pt>
                <c:pt idx="2">
                  <c:v>3050</c:v>
                </c:pt>
                <c:pt idx="3">
                  <c:v>3400</c:v>
                </c:pt>
                <c:pt idx="5">
                  <c:v>2900</c:v>
                </c:pt>
                <c:pt idx="6">
                  <c:v>3550</c:v>
                </c:pt>
                <c:pt idx="8">
                  <c:v>350</c:v>
                </c:pt>
                <c:pt idx="9">
                  <c:v>50</c:v>
                </c:pt>
                <c:pt idx="11">
                  <c:v>500</c:v>
                </c:pt>
                <c:pt idx="12">
                  <c:v>150</c:v>
                </c:pt>
                <c:pt idx="13">
                  <c:v>550</c:v>
                </c:pt>
                <c:pt idx="14">
                  <c:v>2700</c:v>
                </c:pt>
              </c:numCache>
            </c:numRef>
          </c:val>
          <c:extLst>
            <c:ext xmlns:c16="http://schemas.microsoft.com/office/drawing/2014/chart" uri="{C3380CC4-5D6E-409C-BE32-E72D297353CC}">
              <c16:uniqueId val="{00000013-5E1E-4B60-BF3F-14033A38B424}"/>
            </c:ext>
          </c:extLst>
        </c:ser>
        <c:ser>
          <c:idx val="5"/>
          <c:order val="5"/>
          <c:tx>
            <c:strRef>
              <c:f>Pivot!$G$918:$G$919</c:f>
              <c:strCache>
                <c:ptCount val="1"/>
                <c:pt idx="0">
                  <c:v>Not Stated</c:v>
                </c:pt>
              </c:strCache>
            </c:strRef>
          </c:tx>
          <c:spPr>
            <a:solidFill>
              <a:srgbClr val="94A3B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Pivot!$A$920:$A$935</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Pivot!$G$920:$G$935</c:f>
              <c:numCache>
                <c:formatCode>#,##0.0,"k"</c:formatCode>
                <c:ptCount val="15"/>
                <c:pt idx="0">
                  <c:v>300</c:v>
                </c:pt>
                <c:pt idx="1">
                  <c:v>2750</c:v>
                </c:pt>
                <c:pt idx="2">
                  <c:v>75</c:v>
                </c:pt>
                <c:pt idx="3">
                  <c:v>150</c:v>
                </c:pt>
                <c:pt idx="4">
                  <c:v>300</c:v>
                </c:pt>
                <c:pt idx="5">
                  <c:v>0</c:v>
                </c:pt>
                <c:pt idx="6">
                  <c:v>500</c:v>
                </c:pt>
                <c:pt idx="8">
                  <c:v>300</c:v>
                </c:pt>
                <c:pt idx="9">
                  <c:v>200</c:v>
                </c:pt>
                <c:pt idx="10">
                  <c:v>1575</c:v>
                </c:pt>
                <c:pt idx="11">
                  <c:v>250</c:v>
                </c:pt>
                <c:pt idx="12">
                  <c:v>200</c:v>
                </c:pt>
                <c:pt idx="13">
                  <c:v>1900</c:v>
                </c:pt>
                <c:pt idx="14">
                  <c:v>50</c:v>
                </c:pt>
              </c:numCache>
            </c:numRef>
          </c:val>
          <c:extLst>
            <c:ext xmlns:c16="http://schemas.microsoft.com/office/drawing/2014/chart" uri="{C3380CC4-5D6E-409C-BE32-E72D297353CC}">
              <c16:uniqueId val="{00000014-5E1E-4B60-BF3F-14033A38B424}"/>
            </c:ext>
          </c:extLst>
        </c:ser>
        <c:dLbls>
          <c:dLblPos val="ctr"/>
          <c:showLegendKey val="0"/>
          <c:showVal val="1"/>
          <c:showCatName val="0"/>
          <c:showSerName val="0"/>
          <c:showPercent val="0"/>
          <c:showBubbleSize val="0"/>
        </c:dLbls>
        <c:gapWidth val="40"/>
        <c:overlap val="100"/>
        <c:axId val="1433683760"/>
        <c:axId val="1433692880"/>
      </c:barChart>
      <c:catAx>
        <c:axId val="143368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692880"/>
        <c:crosses val="autoZero"/>
        <c:auto val="1"/>
        <c:lblAlgn val="ctr"/>
        <c:lblOffset val="100"/>
        <c:noMultiLvlLbl val="0"/>
      </c:catAx>
      <c:valAx>
        <c:axId val="1433692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600" b="1"/>
                  <a:t>Quality</a:t>
                </a:r>
                <a:r>
                  <a:rPr lang="en-GB" sz="1600" b="1" baseline="0"/>
                  <a:t> Status by Supplier</a:t>
                </a:r>
                <a:endParaRPr lang="en-GB" sz="1600" b="1"/>
              </a:p>
            </c:rich>
          </c:tx>
          <c:layout>
            <c:manualLayout>
              <c:xMode val="edge"/>
              <c:yMode val="edge"/>
              <c:x val="0.16657214239972581"/>
              <c:y val="5.1181102362204685E-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68376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Analysis of Count of Late Delivery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688102980301523"/>
          <c:y val="0.13952380952380955"/>
          <c:w val="0.77971316725341078"/>
          <c:h val="0.77916385451818526"/>
        </c:manualLayout>
      </c:layout>
      <c:barChart>
        <c:barDir val="bar"/>
        <c:grouping val="stacked"/>
        <c:varyColors val="0"/>
        <c:ser>
          <c:idx val="0"/>
          <c:order val="0"/>
          <c:tx>
            <c:strRef>
              <c:f>Pivot!$B$224</c:f>
              <c:strCache>
                <c:ptCount val="1"/>
                <c:pt idx="0">
                  <c:v>Delayed</c:v>
                </c:pt>
              </c:strCache>
            </c:strRef>
          </c:tx>
          <c:spPr>
            <a:solidFill>
              <a:srgbClr val="FFC10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Pivot!$A$225:$A$239</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Pivot!$B$225:$B$239</c:f>
              <c:numCache>
                <c:formatCode>General</c:formatCode>
                <c:ptCount val="15"/>
                <c:pt idx="0">
                  <c:v>3</c:v>
                </c:pt>
                <c:pt idx="1">
                  <c:v>4</c:v>
                </c:pt>
                <c:pt idx="2">
                  <c:v>5</c:v>
                </c:pt>
                <c:pt idx="3">
                  <c:v>4</c:v>
                </c:pt>
                <c:pt idx="4">
                  <c:v>2</c:v>
                </c:pt>
                <c:pt idx="5">
                  <c:v>4</c:v>
                </c:pt>
                <c:pt idx="6">
                  <c:v>6</c:v>
                </c:pt>
                <c:pt idx="7">
                  <c:v>5</c:v>
                </c:pt>
                <c:pt idx="8">
                  <c:v>6</c:v>
                </c:pt>
                <c:pt idx="9">
                  <c:v>4</c:v>
                </c:pt>
                <c:pt idx="10">
                  <c:v>7</c:v>
                </c:pt>
                <c:pt idx="11">
                  <c:v>2</c:v>
                </c:pt>
                <c:pt idx="12">
                  <c:v>8</c:v>
                </c:pt>
                <c:pt idx="13">
                  <c:v>3</c:v>
                </c:pt>
                <c:pt idx="14">
                  <c:v>4</c:v>
                </c:pt>
              </c:numCache>
            </c:numRef>
          </c:val>
          <c:extLst>
            <c:ext xmlns:c16="http://schemas.microsoft.com/office/drawing/2014/chart" uri="{C3380CC4-5D6E-409C-BE32-E72D297353CC}">
              <c16:uniqueId val="{00000000-77B9-408B-9431-993B82DEF0F1}"/>
            </c:ext>
          </c:extLst>
        </c:ser>
        <c:ser>
          <c:idx val="1"/>
          <c:order val="1"/>
          <c:tx>
            <c:strRef>
              <c:f>Pivot!$C$224</c:f>
              <c:strCache>
                <c:ptCount val="1"/>
                <c:pt idx="0">
                  <c:v>Late</c:v>
                </c:pt>
              </c:strCache>
            </c:strRef>
          </c:tx>
          <c:spPr>
            <a:solidFill>
              <a:srgbClr val="FF98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Pivot!$A$225:$A$239</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Pivot!$C$225:$C$239</c:f>
              <c:numCache>
                <c:formatCode>General</c:formatCode>
                <c:ptCount val="15"/>
                <c:pt idx="0">
                  <c:v>14</c:v>
                </c:pt>
                <c:pt idx="1">
                  <c:v>14</c:v>
                </c:pt>
                <c:pt idx="2">
                  <c:v>25</c:v>
                </c:pt>
                <c:pt idx="3">
                  <c:v>27</c:v>
                </c:pt>
                <c:pt idx="4">
                  <c:v>22</c:v>
                </c:pt>
                <c:pt idx="5">
                  <c:v>12</c:v>
                </c:pt>
                <c:pt idx="6">
                  <c:v>20</c:v>
                </c:pt>
                <c:pt idx="7">
                  <c:v>17</c:v>
                </c:pt>
                <c:pt idx="8">
                  <c:v>17</c:v>
                </c:pt>
                <c:pt idx="9">
                  <c:v>25</c:v>
                </c:pt>
                <c:pt idx="10">
                  <c:v>16</c:v>
                </c:pt>
                <c:pt idx="11">
                  <c:v>22</c:v>
                </c:pt>
                <c:pt idx="12">
                  <c:v>13</c:v>
                </c:pt>
                <c:pt idx="13">
                  <c:v>20</c:v>
                </c:pt>
                <c:pt idx="14">
                  <c:v>14</c:v>
                </c:pt>
              </c:numCache>
            </c:numRef>
          </c:val>
          <c:extLst>
            <c:ext xmlns:c16="http://schemas.microsoft.com/office/drawing/2014/chart" uri="{C3380CC4-5D6E-409C-BE32-E72D297353CC}">
              <c16:uniqueId val="{00000001-77B9-408B-9431-993B82DEF0F1}"/>
            </c:ext>
          </c:extLst>
        </c:ser>
        <c:ser>
          <c:idx val="2"/>
          <c:order val="2"/>
          <c:tx>
            <c:strRef>
              <c:f>Pivot!$D$224</c:f>
              <c:strCache>
                <c:ptCount val="1"/>
                <c:pt idx="0">
                  <c:v>Very Late</c:v>
                </c:pt>
              </c:strCache>
            </c:strRef>
          </c:tx>
          <c:spPr>
            <a:solidFill>
              <a:srgbClr val="F372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Pivot!$A$225:$A$239</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Pivot!$D$225:$D$239</c:f>
              <c:numCache>
                <c:formatCode>General</c:formatCode>
                <c:ptCount val="15"/>
                <c:pt idx="0">
                  <c:v>5</c:v>
                </c:pt>
                <c:pt idx="1">
                  <c:v>9</c:v>
                </c:pt>
                <c:pt idx="2">
                  <c:v>3</c:v>
                </c:pt>
                <c:pt idx="3">
                  <c:v>10</c:v>
                </c:pt>
                <c:pt idx="4">
                  <c:v>15</c:v>
                </c:pt>
                <c:pt idx="5">
                  <c:v>8</c:v>
                </c:pt>
                <c:pt idx="6">
                  <c:v>9</c:v>
                </c:pt>
                <c:pt idx="7">
                  <c:v>10</c:v>
                </c:pt>
                <c:pt idx="8">
                  <c:v>6</c:v>
                </c:pt>
                <c:pt idx="9">
                  <c:v>5</c:v>
                </c:pt>
                <c:pt idx="10">
                  <c:v>6</c:v>
                </c:pt>
                <c:pt idx="11">
                  <c:v>9</c:v>
                </c:pt>
                <c:pt idx="12">
                  <c:v>5</c:v>
                </c:pt>
                <c:pt idx="13">
                  <c:v>9</c:v>
                </c:pt>
                <c:pt idx="14">
                  <c:v>11</c:v>
                </c:pt>
              </c:numCache>
            </c:numRef>
          </c:val>
          <c:extLst>
            <c:ext xmlns:c16="http://schemas.microsoft.com/office/drawing/2014/chart" uri="{C3380CC4-5D6E-409C-BE32-E72D297353CC}">
              <c16:uniqueId val="{00000002-77B9-408B-9431-993B82DEF0F1}"/>
            </c:ext>
          </c:extLst>
        </c:ser>
        <c:ser>
          <c:idx val="3"/>
          <c:order val="3"/>
          <c:tx>
            <c:strRef>
              <c:f>Pivot!$E$224</c:f>
              <c:strCache>
                <c:ptCount val="1"/>
                <c:pt idx="0">
                  <c:v>Severely Delayed</c:v>
                </c:pt>
              </c:strCache>
            </c:strRef>
          </c:tx>
          <c:spPr>
            <a:solidFill>
              <a:srgbClr val="D32F2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Pivot!$A$225:$A$239</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Pivot!$E$225:$E$239</c:f>
              <c:numCache>
                <c:formatCode>General</c:formatCode>
                <c:ptCount val="15"/>
                <c:pt idx="0">
                  <c:v>6</c:v>
                </c:pt>
                <c:pt idx="1">
                  <c:v>14</c:v>
                </c:pt>
                <c:pt idx="2">
                  <c:v>8</c:v>
                </c:pt>
                <c:pt idx="3">
                  <c:v>8</c:v>
                </c:pt>
                <c:pt idx="4">
                  <c:v>9</c:v>
                </c:pt>
                <c:pt idx="5">
                  <c:v>10</c:v>
                </c:pt>
                <c:pt idx="6">
                  <c:v>11</c:v>
                </c:pt>
                <c:pt idx="7">
                  <c:v>8</c:v>
                </c:pt>
                <c:pt idx="8">
                  <c:v>7</c:v>
                </c:pt>
                <c:pt idx="9">
                  <c:v>12</c:v>
                </c:pt>
                <c:pt idx="10">
                  <c:v>11</c:v>
                </c:pt>
                <c:pt idx="11">
                  <c:v>12</c:v>
                </c:pt>
                <c:pt idx="12">
                  <c:v>12</c:v>
                </c:pt>
                <c:pt idx="13">
                  <c:v>14</c:v>
                </c:pt>
                <c:pt idx="14">
                  <c:v>7</c:v>
                </c:pt>
              </c:numCache>
            </c:numRef>
          </c:val>
          <c:extLst>
            <c:ext xmlns:c16="http://schemas.microsoft.com/office/drawing/2014/chart" uri="{C3380CC4-5D6E-409C-BE32-E72D297353CC}">
              <c16:uniqueId val="{00000003-77B9-408B-9431-993B82DEF0F1}"/>
            </c:ext>
          </c:extLst>
        </c:ser>
        <c:dLbls>
          <c:showLegendKey val="0"/>
          <c:showVal val="0"/>
          <c:showCatName val="0"/>
          <c:showSerName val="0"/>
          <c:showPercent val="0"/>
          <c:showBubbleSize val="0"/>
        </c:dLbls>
        <c:gapWidth val="40"/>
        <c:overlap val="100"/>
        <c:axId val="2081227311"/>
        <c:axId val="2081223471"/>
      </c:barChart>
      <c:catAx>
        <c:axId val="208122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23471"/>
        <c:crosses val="autoZero"/>
        <c:auto val="1"/>
        <c:lblAlgn val="ctr"/>
        <c:lblOffset val="100"/>
        <c:noMultiLvlLbl val="0"/>
      </c:catAx>
      <c:valAx>
        <c:axId val="2081223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27311"/>
        <c:crosses val="autoZero"/>
        <c:crossBetween val="between"/>
      </c:valAx>
      <c:spPr>
        <a:noFill/>
        <a:ln>
          <a:noFill/>
        </a:ln>
        <a:effectLst/>
      </c:spPr>
    </c:plotArea>
    <c:legend>
      <c:legendPos val="r"/>
      <c:layout>
        <c:manualLayout>
          <c:xMode val="edge"/>
          <c:yMode val="edge"/>
          <c:x val="0.85775460661273994"/>
          <c:y val="0.38020045571226679"/>
          <c:w val="0.1399700805317424"/>
          <c:h val="0.415752646303827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Analysis of Countof OnTime Delivery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496177384606586"/>
          <c:y val="0.15046653144016228"/>
          <c:w val="0.83946921889001158"/>
          <c:h val="0.66262318123013531"/>
        </c:manualLayout>
      </c:layout>
      <c:barChart>
        <c:barDir val="bar"/>
        <c:grouping val="stacked"/>
        <c:varyColors val="0"/>
        <c:ser>
          <c:idx val="0"/>
          <c:order val="0"/>
          <c:tx>
            <c:strRef>
              <c:f>Pivot!$I$224</c:f>
              <c:strCache>
                <c:ptCount val="1"/>
                <c:pt idx="0">
                  <c:v>Delivered Early</c:v>
                </c:pt>
              </c:strCache>
            </c:strRef>
          </c:tx>
          <c:spPr>
            <a:solidFill>
              <a:srgbClr val="4EA72E">
                <a:lumMod val="7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Pivot!$H$225:$H$239</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Pivot!$I$225:$I$239</c:f>
              <c:numCache>
                <c:formatCode>General</c:formatCode>
                <c:ptCount val="15"/>
                <c:pt idx="0">
                  <c:v>5</c:v>
                </c:pt>
                <c:pt idx="1">
                  <c:v>10</c:v>
                </c:pt>
                <c:pt idx="2">
                  <c:v>4</c:v>
                </c:pt>
                <c:pt idx="3">
                  <c:v>8</c:v>
                </c:pt>
                <c:pt idx="4">
                  <c:v>7</c:v>
                </c:pt>
                <c:pt idx="5">
                  <c:v>4</c:v>
                </c:pt>
                <c:pt idx="6">
                  <c:v>5</c:v>
                </c:pt>
                <c:pt idx="7">
                  <c:v>7</c:v>
                </c:pt>
                <c:pt idx="8">
                  <c:v>7</c:v>
                </c:pt>
                <c:pt idx="9">
                  <c:v>8</c:v>
                </c:pt>
                <c:pt idx="10">
                  <c:v>7</c:v>
                </c:pt>
                <c:pt idx="11">
                  <c:v>6</c:v>
                </c:pt>
                <c:pt idx="12">
                  <c:v>11</c:v>
                </c:pt>
                <c:pt idx="13">
                  <c:v>7</c:v>
                </c:pt>
                <c:pt idx="14">
                  <c:v>8</c:v>
                </c:pt>
              </c:numCache>
            </c:numRef>
          </c:val>
          <c:extLst>
            <c:ext xmlns:c16="http://schemas.microsoft.com/office/drawing/2014/chart" uri="{C3380CC4-5D6E-409C-BE32-E72D297353CC}">
              <c16:uniqueId val="{00000000-41DA-4198-897F-6150AC99A341}"/>
            </c:ext>
          </c:extLst>
        </c:ser>
        <c:ser>
          <c:idx val="1"/>
          <c:order val="1"/>
          <c:tx>
            <c:strRef>
              <c:f>Pivot!$J$224</c:f>
              <c:strCache>
                <c:ptCount val="1"/>
                <c:pt idx="0">
                  <c:v>On Time</c:v>
                </c:pt>
              </c:strCache>
            </c:strRef>
          </c:tx>
          <c:spPr>
            <a:solidFill>
              <a:srgbClr val="196B24">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Pivot!$H$225:$H$239</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Pivot!$J$225:$J$239</c:f>
              <c:numCache>
                <c:formatCode>General</c:formatCode>
                <c:ptCount val="15"/>
                <c:pt idx="0">
                  <c:v>22</c:v>
                </c:pt>
                <c:pt idx="1">
                  <c:v>16</c:v>
                </c:pt>
                <c:pt idx="2">
                  <c:v>16</c:v>
                </c:pt>
                <c:pt idx="3">
                  <c:v>18</c:v>
                </c:pt>
                <c:pt idx="4">
                  <c:v>17</c:v>
                </c:pt>
                <c:pt idx="5">
                  <c:v>23</c:v>
                </c:pt>
                <c:pt idx="6">
                  <c:v>25</c:v>
                </c:pt>
                <c:pt idx="7">
                  <c:v>18</c:v>
                </c:pt>
                <c:pt idx="8">
                  <c:v>10</c:v>
                </c:pt>
                <c:pt idx="9">
                  <c:v>20</c:v>
                </c:pt>
                <c:pt idx="10">
                  <c:v>11</c:v>
                </c:pt>
                <c:pt idx="11">
                  <c:v>17</c:v>
                </c:pt>
                <c:pt idx="12">
                  <c:v>15</c:v>
                </c:pt>
                <c:pt idx="13">
                  <c:v>21</c:v>
                </c:pt>
                <c:pt idx="14">
                  <c:v>19</c:v>
                </c:pt>
              </c:numCache>
            </c:numRef>
          </c:val>
          <c:extLst>
            <c:ext xmlns:c16="http://schemas.microsoft.com/office/drawing/2014/chart" uri="{C3380CC4-5D6E-409C-BE32-E72D297353CC}">
              <c16:uniqueId val="{00000001-41DA-4198-897F-6150AC99A341}"/>
            </c:ext>
          </c:extLst>
        </c:ser>
        <c:dLbls>
          <c:dLblPos val="ctr"/>
          <c:showLegendKey val="0"/>
          <c:showVal val="1"/>
          <c:showCatName val="0"/>
          <c:showSerName val="0"/>
          <c:showPercent val="0"/>
          <c:showBubbleSize val="0"/>
        </c:dLbls>
        <c:gapWidth val="40"/>
        <c:overlap val="100"/>
        <c:axId val="2081249871"/>
        <c:axId val="2081250351"/>
      </c:barChart>
      <c:catAx>
        <c:axId val="2081249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50351"/>
        <c:crosses val="autoZero"/>
        <c:auto val="1"/>
        <c:lblAlgn val="ctr"/>
        <c:lblOffset val="100"/>
        <c:noMultiLvlLbl val="0"/>
      </c:catAx>
      <c:valAx>
        <c:axId val="2081250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49871"/>
        <c:crosses val="autoZero"/>
        <c:crossBetween val="between"/>
      </c:valAx>
      <c:spPr>
        <a:noFill/>
        <a:ln>
          <a:noFill/>
        </a:ln>
        <a:effectLst/>
      </c:spPr>
    </c:plotArea>
    <c:legend>
      <c:legendPos val="r"/>
      <c:layout>
        <c:manualLayout>
          <c:xMode val="edge"/>
          <c:yMode val="edge"/>
          <c:x val="0.82579455110484057"/>
          <c:y val="0.25728130839628821"/>
          <c:w val="0.17178414138910603"/>
          <c:h val="0.136917793997859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[Maersk-Ahmed Lawal_revised.xlsx]Pivot Table Analysis!PivotTable20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Percent of Rejection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 Analysis'!$B$977:$B$978</c:f>
              <c:strCache>
                <c:ptCount val="1"/>
                <c:pt idx="0">
                  <c:v>Damaged packaging</c:v>
                </c:pt>
              </c:strCache>
            </c:strRef>
          </c:tx>
          <c:spPr>
            <a:solidFill>
              <a:schemeClr val="accent1"/>
            </a:solidFill>
            <a:ln>
              <a:noFill/>
            </a:ln>
            <a:effectLst/>
          </c:spPr>
          <c:invertIfNegative val="0"/>
          <c:cat>
            <c:strRef>
              <c:f>'Pivot Table Analysis'!$A$979:$A$994</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Analysis'!$B$979:$B$994</c:f>
              <c:numCache>
                <c:formatCode>General</c:formatCode>
                <c:ptCount val="15"/>
                <c:pt idx="0">
                  <c:v>6</c:v>
                </c:pt>
                <c:pt idx="1">
                  <c:v>2</c:v>
                </c:pt>
                <c:pt idx="3">
                  <c:v>6</c:v>
                </c:pt>
                <c:pt idx="4">
                  <c:v>2</c:v>
                </c:pt>
                <c:pt idx="5">
                  <c:v>3</c:v>
                </c:pt>
                <c:pt idx="6">
                  <c:v>1</c:v>
                </c:pt>
                <c:pt idx="7">
                  <c:v>1</c:v>
                </c:pt>
                <c:pt idx="10">
                  <c:v>1</c:v>
                </c:pt>
                <c:pt idx="11">
                  <c:v>2</c:v>
                </c:pt>
                <c:pt idx="12">
                  <c:v>1</c:v>
                </c:pt>
                <c:pt idx="13">
                  <c:v>5</c:v>
                </c:pt>
                <c:pt idx="14">
                  <c:v>6</c:v>
                </c:pt>
              </c:numCache>
            </c:numRef>
          </c:val>
          <c:extLst>
            <c:ext xmlns:c16="http://schemas.microsoft.com/office/drawing/2014/chart" uri="{C3380CC4-5D6E-409C-BE32-E72D297353CC}">
              <c16:uniqueId val="{00000000-FE7F-4719-BC9F-48D6120A547A}"/>
            </c:ext>
          </c:extLst>
        </c:ser>
        <c:ser>
          <c:idx val="1"/>
          <c:order val="1"/>
          <c:tx>
            <c:strRef>
              <c:f>'Pivot Table Analysis'!$C$977:$C$978</c:f>
              <c:strCache>
                <c:ptCount val="1"/>
                <c:pt idx="0">
                  <c:v>High defect rate</c:v>
                </c:pt>
              </c:strCache>
            </c:strRef>
          </c:tx>
          <c:spPr>
            <a:solidFill>
              <a:schemeClr val="accent2"/>
            </a:solidFill>
            <a:ln>
              <a:noFill/>
            </a:ln>
            <a:effectLst/>
          </c:spPr>
          <c:invertIfNegative val="0"/>
          <c:cat>
            <c:strRef>
              <c:f>'Pivot Table Analysis'!$A$979:$A$994</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Analysis'!$C$979:$C$994</c:f>
              <c:numCache>
                <c:formatCode>General</c:formatCode>
                <c:ptCount val="15"/>
                <c:pt idx="0">
                  <c:v>5</c:v>
                </c:pt>
                <c:pt idx="1">
                  <c:v>6</c:v>
                </c:pt>
                <c:pt idx="2">
                  <c:v>5</c:v>
                </c:pt>
                <c:pt idx="3">
                  <c:v>3</c:v>
                </c:pt>
                <c:pt idx="5">
                  <c:v>6</c:v>
                </c:pt>
                <c:pt idx="7">
                  <c:v>2</c:v>
                </c:pt>
                <c:pt idx="11">
                  <c:v>6</c:v>
                </c:pt>
                <c:pt idx="12">
                  <c:v>2</c:v>
                </c:pt>
                <c:pt idx="13">
                  <c:v>4</c:v>
                </c:pt>
                <c:pt idx="14">
                  <c:v>6</c:v>
                </c:pt>
              </c:numCache>
            </c:numRef>
          </c:val>
          <c:extLst>
            <c:ext xmlns:c16="http://schemas.microsoft.com/office/drawing/2014/chart" uri="{C3380CC4-5D6E-409C-BE32-E72D297353CC}">
              <c16:uniqueId val="{00000001-FE7F-4719-BC9F-48D6120A547A}"/>
            </c:ext>
          </c:extLst>
        </c:ser>
        <c:ser>
          <c:idx val="2"/>
          <c:order val="2"/>
          <c:tx>
            <c:strRef>
              <c:f>'Pivot Table Analysis'!$D$977:$D$978</c:f>
              <c:strCache>
                <c:ptCount val="1"/>
                <c:pt idx="0">
                  <c:v>Late + defective</c:v>
                </c:pt>
              </c:strCache>
            </c:strRef>
          </c:tx>
          <c:spPr>
            <a:solidFill>
              <a:schemeClr val="accent3"/>
            </a:solidFill>
            <a:ln>
              <a:noFill/>
            </a:ln>
            <a:effectLst/>
          </c:spPr>
          <c:invertIfNegative val="0"/>
          <c:cat>
            <c:strRef>
              <c:f>'Pivot Table Analysis'!$A$979:$A$994</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Analysis'!$D$979:$D$994</c:f>
              <c:numCache>
                <c:formatCode>General</c:formatCode>
                <c:ptCount val="15"/>
                <c:pt idx="0">
                  <c:v>3</c:v>
                </c:pt>
                <c:pt idx="1">
                  <c:v>4</c:v>
                </c:pt>
                <c:pt idx="2">
                  <c:v>5</c:v>
                </c:pt>
                <c:pt idx="3">
                  <c:v>3</c:v>
                </c:pt>
                <c:pt idx="4">
                  <c:v>2</c:v>
                </c:pt>
                <c:pt idx="5">
                  <c:v>5</c:v>
                </c:pt>
                <c:pt idx="6">
                  <c:v>5</c:v>
                </c:pt>
                <c:pt idx="8">
                  <c:v>2</c:v>
                </c:pt>
                <c:pt idx="11">
                  <c:v>2</c:v>
                </c:pt>
                <c:pt idx="12">
                  <c:v>3</c:v>
                </c:pt>
                <c:pt idx="13">
                  <c:v>3</c:v>
                </c:pt>
                <c:pt idx="14">
                  <c:v>6</c:v>
                </c:pt>
              </c:numCache>
            </c:numRef>
          </c:val>
          <c:extLst>
            <c:ext xmlns:c16="http://schemas.microsoft.com/office/drawing/2014/chart" uri="{C3380CC4-5D6E-409C-BE32-E72D297353CC}">
              <c16:uniqueId val="{0000000F-089F-4C89-B211-F1D98EBDCBEF}"/>
            </c:ext>
          </c:extLst>
        </c:ser>
        <c:ser>
          <c:idx val="3"/>
          <c:order val="3"/>
          <c:tx>
            <c:strRef>
              <c:f>'Pivot Table Analysis'!$E$977:$E$978</c:f>
              <c:strCache>
                <c:ptCount val="1"/>
                <c:pt idx="0">
                  <c:v>Missing certificate</c:v>
                </c:pt>
              </c:strCache>
            </c:strRef>
          </c:tx>
          <c:spPr>
            <a:solidFill>
              <a:schemeClr val="accent4"/>
            </a:solidFill>
            <a:ln>
              <a:noFill/>
            </a:ln>
            <a:effectLst/>
          </c:spPr>
          <c:invertIfNegative val="0"/>
          <c:cat>
            <c:strRef>
              <c:f>'Pivot Table Analysis'!$A$979:$A$994</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Analysis'!$E$979:$E$994</c:f>
              <c:numCache>
                <c:formatCode>General</c:formatCode>
                <c:ptCount val="15"/>
                <c:pt idx="0">
                  <c:v>4</c:v>
                </c:pt>
                <c:pt idx="1">
                  <c:v>3</c:v>
                </c:pt>
                <c:pt idx="2">
                  <c:v>1</c:v>
                </c:pt>
                <c:pt idx="3">
                  <c:v>5</c:v>
                </c:pt>
                <c:pt idx="4">
                  <c:v>1</c:v>
                </c:pt>
                <c:pt idx="5">
                  <c:v>4</c:v>
                </c:pt>
                <c:pt idx="6">
                  <c:v>2</c:v>
                </c:pt>
                <c:pt idx="7">
                  <c:v>1</c:v>
                </c:pt>
                <c:pt idx="9">
                  <c:v>2</c:v>
                </c:pt>
                <c:pt idx="10">
                  <c:v>1</c:v>
                </c:pt>
                <c:pt idx="11">
                  <c:v>3</c:v>
                </c:pt>
                <c:pt idx="12">
                  <c:v>4</c:v>
                </c:pt>
                <c:pt idx="13">
                  <c:v>3</c:v>
                </c:pt>
                <c:pt idx="14">
                  <c:v>8</c:v>
                </c:pt>
              </c:numCache>
            </c:numRef>
          </c:val>
          <c:extLst>
            <c:ext xmlns:c16="http://schemas.microsoft.com/office/drawing/2014/chart" uri="{C3380CC4-5D6E-409C-BE32-E72D297353CC}">
              <c16:uniqueId val="{00000019-089F-4C89-B211-F1D98EBDCBEF}"/>
            </c:ext>
          </c:extLst>
        </c:ser>
        <c:ser>
          <c:idx val="4"/>
          <c:order val="4"/>
          <c:tx>
            <c:strRef>
              <c:f>'Pivot Table Analysis'!$F$977:$F$978</c:f>
              <c:strCache>
                <c:ptCount val="1"/>
                <c:pt idx="0">
                  <c:v>N/A</c:v>
                </c:pt>
              </c:strCache>
            </c:strRef>
          </c:tx>
          <c:spPr>
            <a:solidFill>
              <a:schemeClr val="accent5"/>
            </a:solidFill>
            <a:ln>
              <a:noFill/>
            </a:ln>
            <a:effectLst/>
          </c:spPr>
          <c:invertIfNegative val="0"/>
          <c:cat>
            <c:strRef>
              <c:f>'Pivot Table Analysis'!$A$979:$A$994</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Analysis'!$F$979:$F$994</c:f>
              <c:numCache>
                <c:formatCode>General</c:formatCode>
                <c:ptCount val="15"/>
                <c:pt idx="0">
                  <c:v>33</c:v>
                </c:pt>
                <c:pt idx="1">
                  <c:v>48</c:v>
                </c:pt>
                <c:pt idx="2">
                  <c:v>53</c:v>
                </c:pt>
                <c:pt idx="3">
                  <c:v>54</c:v>
                </c:pt>
                <c:pt idx="4">
                  <c:v>67</c:v>
                </c:pt>
                <c:pt idx="5">
                  <c:v>34</c:v>
                </c:pt>
                <c:pt idx="6">
                  <c:v>62</c:v>
                </c:pt>
                <c:pt idx="7">
                  <c:v>61</c:v>
                </c:pt>
                <c:pt idx="8">
                  <c:v>50</c:v>
                </c:pt>
                <c:pt idx="9">
                  <c:v>76</c:v>
                </c:pt>
                <c:pt idx="10">
                  <c:v>56</c:v>
                </c:pt>
                <c:pt idx="11">
                  <c:v>53</c:v>
                </c:pt>
                <c:pt idx="12">
                  <c:v>56</c:v>
                </c:pt>
                <c:pt idx="13">
                  <c:v>56</c:v>
                </c:pt>
                <c:pt idx="14">
                  <c:v>34</c:v>
                </c:pt>
              </c:numCache>
            </c:numRef>
          </c:val>
          <c:extLst>
            <c:ext xmlns:c16="http://schemas.microsoft.com/office/drawing/2014/chart" uri="{C3380CC4-5D6E-409C-BE32-E72D297353CC}">
              <c16:uniqueId val="{0000001C-089F-4C89-B211-F1D98EBDCBEF}"/>
            </c:ext>
          </c:extLst>
        </c:ser>
        <c:ser>
          <c:idx val="5"/>
          <c:order val="5"/>
          <c:tx>
            <c:strRef>
              <c:f>'Pivot Table Analysis'!$G$977:$G$978</c:f>
              <c:strCache>
                <c:ptCount val="1"/>
                <c:pt idx="0">
                  <c:v>Wrong specification</c:v>
                </c:pt>
              </c:strCache>
            </c:strRef>
          </c:tx>
          <c:spPr>
            <a:solidFill>
              <a:schemeClr val="accent6"/>
            </a:solidFill>
            <a:ln>
              <a:noFill/>
            </a:ln>
            <a:effectLst/>
          </c:spPr>
          <c:invertIfNegative val="0"/>
          <c:cat>
            <c:strRef>
              <c:f>'Pivot Table Analysis'!$A$979:$A$994</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Analysis'!$G$979:$G$994</c:f>
              <c:numCache>
                <c:formatCode>General</c:formatCode>
                <c:ptCount val="15"/>
                <c:pt idx="0">
                  <c:v>4</c:v>
                </c:pt>
                <c:pt idx="1">
                  <c:v>4</c:v>
                </c:pt>
                <c:pt idx="3">
                  <c:v>6</c:v>
                </c:pt>
                <c:pt idx="5">
                  <c:v>9</c:v>
                </c:pt>
                <c:pt idx="6">
                  <c:v>6</c:v>
                </c:pt>
                <c:pt idx="8">
                  <c:v>1</c:v>
                </c:pt>
                <c:pt idx="10">
                  <c:v>1</c:v>
                </c:pt>
                <c:pt idx="11">
                  <c:v>3</c:v>
                </c:pt>
                <c:pt idx="12">
                  <c:v>1</c:v>
                </c:pt>
                <c:pt idx="13">
                  <c:v>3</c:v>
                </c:pt>
                <c:pt idx="14">
                  <c:v>3</c:v>
                </c:pt>
              </c:numCache>
            </c:numRef>
          </c:val>
          <c:extLst>
            <c:ext xmlns:c16="http://schemas.microsoft.com/office/drawing/2014/chart" uri="{C3380CC4-5D6E-409C-BE32-E72D297353CC}">
              <c16:uniqueId val="{0000001D-089F-4C89-B211-F1D98EBDCBEF}"/>
            </c:ext>
          </c:extLst>
        </c:ser>
        <c:dLbls>
          <c:showLegendKey val="0"/>
          <c:showVal val="0"/>
          <c:showCatName val="0"/>
          <c:showSerName val="0"/>
          <c:showPercent val="0"/>
          <c:showBubbleSize val="0"/>
        </c:dLbls>
        <c:gapWidth val="70"/>
        <c:overlap val="100"/>
        <c:axId val="405944368"/>
        <c:axId val="633313104"/>
      </c:barChart>
      <c:catAx>
        <c:axId val="40594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313104"/>
        <c:crosses val="autoZero"/>
        <c:auto val="1"/>
        <c:lblAlgn val="ctr"/>
        <c:lblOffset val="100"/>
        <c:noMultiLvlLbl val="0"/>
      </c:catAx>
      <c:valAx>
        <c:axId val="6333131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94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[Maersk-Ahmed Lawal_revised.xlsx]Pivot Table Analysis!PivotTable55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Percent</a:t>
            </a:r>
            <a:r>
              <a:rPr lang="en-GB" sz="1600" b="1" baseline="0"/>
              <a:t> of Incoterm by Supplier</a:t>
            </a:r>
            <a:endParaRPr lang="en-GB"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 Analysis'!$B$953:$B$954</c:f>
              <c:strCache>
                <c:ptCount val="1"/>
                <c:pt idx="0">
                  <c:v>CIF</c:v>
                </c:pt>
              </c:strCache>
            </c:strRef>
          </c:tx>
          <c:spPr>
            <a:solidFill>
              <a:schemeClr val="accent1"/>
            </a:solidFill>
            <a:ln>
              <a:noFill/>
            </a:ln>
            <a:effectLst/>
          </c:spPr>
          <c:invertIfNegative val="0"/>
          <c:cat>
            <c:strRef>
              <c:f>'Pivot Table Analysis'!$A$955:$A$970</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Analysis'!$B$955:$B$970</c:f>
              <c:numCache>
                <c:formatCode>General</c:formatCode>
                <c:ptCount val="15"/>
                <c:pt idx="0">
                  <c:v>11</c:v>
                </c:pt>
                <c:pt idx="1">
                  <c:v>7</c:v>
                </c:pt>
                <c:pt idx="2">
                  <c:v>9</c:v>
                </c:pt>
                <c:pt idx="3">
                  <c:v>10</c:v>
                </c:pt>
                <c:pt idx="4">
                  <c:v>8</c:v>
                </c:pt>
                <c:pt idx="5">
                  <c:v>12</c:v>
                </c:pt>
                <c:pt idx="6">
                  <c:v>11</c:v>
                </c:pt>
                <c:pt idx="7">
                  <c:v>13</c:v>
                </c:pt>
                <c:pt idx="8">
                  <c:v>12</c:v>
                </c:pt>
                <c:pt idx="9">
                  <c:v>12</c:v>
                </c:pt>
                <c:pt idx="10">
                  <c:v>4</c:v>
                </c:pt>
                <c:pt idx="11">
                  <c:v>9</c:v>
                </c:pt>
                <c:pt idx="12">
                  <c:v>9</c:v>
                </c:pt>
                <c:pt idx="13">
                  <c:v>7</c:v>
                </c:pt>
                <c:pt idx="14">
                  <c:v>5</c:v>
                </c:pt>
              </c:numCache>
            </c:numRef>
          </c:val>
          <c:extLst>
            <c:ext xmlns:c16="http://schemas.microsoft.com/office/drawing/2014/chart" uri="{C3380CC4-5D6E-409C-BE32-E72D297353CC}">
              <c16:uniqueId val="{00000000-EE3C-4962-BE01-FD92762D7077}"/>
            </c:ext>
          </c:extLst>
        </c:ser>
        <c:ser>
          <c:idx val="1"/>
          <c:order val="1"/>
          <c:tx>
            <c:strRef>
              <c:f>'Pivot Table Analysis'!$C$953:$C$954</c:f>
              <c:strCache>
                <c:ptCount val="1"/>
                <c:pt idx="0">
                  <c:v>DAP</c:v>
                </c:pt>
              </c:strCache>
            </c:strRef>
          </c:tx>
          <c:spPr>
            <a:solidFill>
              <a:schemeClr val="accent2"/>
            </a:solidFill>
            <a:ln>
              <a:noFill/>
            </a:ln>
            <a:effectLst/>
          </c:spPr>
          <c:invertIfNegative val="0"/>
          <c:cat>
            <c:strRef>
              <c:f>'Pivot Table Analysis'!$A$955:$A$970</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Analysis'!$C$955:$C$970</c:f>
              <c:numCache>
                <c:formatCode>General</c:formatCode>
                <c:ptCount val="15"/>
                <c:pt idx="0">
                  <c:v>9</c:v>
                </c:pt>
                <c:pt idx="1">
                  <c:v>8</c:v>
                </c:pt>
                <c:pt idx="2">
                  <c:v>8</c:v>
                </c:pt>
                <c:pt idx="3">
                  <c:v>10</c:v>
                </c:pt>
                <c:pt idx="4">
                  <c:v>10</c:v>
                </c:pt>
                <c:pt idx="5">
                  <c:v>7</c:v>
                </c:pt>
                <c:pt idx="6">
                  <c:v>9</c:v>
                </c:pt>
                <c:pt idx="7">
                  <c:v>13</c:v>
                </c:pt>
                <c:pt idx="8">
                  <c:v>5</c:v>
                </c:pt>
                <c:pt idx="9">
                  <c:v>13</c:v>
                </c:pt>
                <c:pt idx="10">
                  <c:v>10</c:v>
                </c:pt>
                <c:pt idx="11">
                  <c:v>11</c:v>
                </c:pt>
                <c:pt idx="12">
                  <c:v>14</c:v>
                </c:pt>
                <c:pt idx="13">
                  <c:v>7</c:v>
                </c:pt>
                <c:pt idx="14">
                  <c:v>10</c:v>
                </c:pt>
              </c:numCache>
            </c:numRef>
          </c:val>
          <c:extLst>
            <c:ext xmlns:c16="http://schemas.microsoft.com/office/drawing/2014/chart" uri="{C3380CC4-5D6E-409C-BE32-E72D297353CC}">
              <c16:uniqueId val="{00000001-EE3C-4962-BE01-FD92762D7077}"/>
            </c:ext>
          </c:extLst>
        </c:ser>
        <c:ser>
          <c:idx val="2"/>
          <c:order val="2"/>
          <c:tx>
            <c:strRef>
              <c:f>'Pivot Table Analysis'!$D$953:$D$954</c:f>
              <c:strCache>
                <c:ptCount val="1"/>
                <c:pt idx="0">
                  <c:v>DDP</c:v>
                </c:pt>
              </c:strCache>
            </c:strRef>
          </c:tx>
          <c:spPr>
            <a:solidFill>
              <a:schemeClr val="accent3"/>
            </a:solidFill>
            <a:ln>
              <a:noFill/>
            </a:ln>
            <a:effectLst/>
          </c:spPr>
          <c:invertIfNegative val="0"/>
          <c:cat>
            <c:strRef>
              <c:f>'Pivot Table Analysis'!$A$955:$A$970</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Analysis'!$D$955:$D$970</c:f>
              <c:numCache>
                <c:formatCode>General</c:formatCode>
                <c:ptCount val="15"/>
                <c:pt idx="0">
                  <c:v>8</c:v>
                </c:pt>
                <c:pt idx="1">
                  <c:v>10</c:v>
                </c:pt>
                <c:pt idx="2">
                  <c:v>8</c:v>
                </c:pt>
                <c:pt idx="3">
                  <c:v>11</c:v>
                </c:pt>
                <c:pt idx="4">
                  <c:v>11</c:v>
                </c:pt>
                <c:pt idx="5">
                  <c:v>7</c:v>
                </c:pt>
                <c:pt idx="6">
                  <c:v>7</c:v>
                </c:pt>
                <c:pt idx="7">
                  <c:v>8</c:v>
                </c:pt>
                <c:pt idx="8">
                  <c:v>5</c:v>
                </c:pt>
                <c:pt idx="9">
                  <c:v>12</c:v>
                </c:pt>
                <c:pt idx="10">
                  <c:v>9</c:v>
                </c:pt>
                <c:pt idx="11">
                  <c:v>9</c:v>
                </c:pt>
                <c:pt idx="12">
                  <c:v>10</c:v>
                </c:pt>
                <c:pt idx="13">
                  <c:v>10</c:v>
                </c:pt>
                <c:pt idx="14">
                  <c:v>9</c:v>
                </c:pt>
              </c:numCache>
            </c:numRef>
          </c:val>
          <c:extLst>
            <c:ext xmlns:c16="http://schemas.microsoft.com/office/drawing/2014/chart" uri="{C3380CC4-5D6E-409C-BE32-E72D297353CC}">
              <c16:uniqueId val="{00000002-EE3C-4962-BE01-FD92762D7077}"/>
            </c:ext>
          </c:extLst>
        </c:ser>
        <c:ser>
          <c:idx val="3"/>
          <c:order val="3"/>
          <c:tx>
            <c:strRef>
              <c:f>'Pivot Table Analysis'!$E$953:$E$954</c:f>
              <c:strCache>
                <c:ptCount val="1"/>
                <c:pt idx="0">
                  <c:v>EXW</c:v>
                </c:pt>
              </c:strCache>
            </c:strRef>
          </c:tx>
          <c:spPr>
            <a:solidFill>
              <a:schemeClr val="accent4"/>
            </a:solidFill>
            <a:ln>
              <a:noFill/>
            </a:ln>
            <a:effectLst/>
          </c:spPr>
          <c:invertIfNegative val="0"/>
          <c:cat>
            <c:strRef>
              <c:f>'Pivot Table Analysis'!$A$955:$A$970</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Analysis'!$E$955:$E$970</c:f>
              <c:numCache>
                <c:formatCode>General</c:formatCode>
                <c:ptCount val="15"/>
                <c:pt idx="0">
                  <c:v>4</c:v>
                </c:pt>
                <c:pt idx="1">
                  <c:v>10</c:v>
                </c:pt>
                <c:pt idx="2">
                  <c:v>8</c:v>
                </c:pt>
                <c:pt idx="3">
                  <c:v>7</c:v>
                </c:pt>
                <c:pt idx="4">
                  <c:v>14</c:v>
                </c:pt>
                <c:pt idx="5">
                  <c:v>7</c:v>
                </c:pt>
                <c:pt idx="6">
                  <c:v>9</c:v>
                </c:pt>
                <c:pt idx="7">
                  <c:v>11</c:v>
                </c:pt>
                <c:pt idx="8">
                  <c:v>8</c:v>
                </c:pt>
                <c:pt idx="9">
                  <c:v>6</c:v>
                </c:pt>
                <c:pt idx="10">
                  <c:v>10</c:v>
                </c:pt>
                <c:pt idx="11">
                  <c:v>9</c:v>
                </c:pt>
                <c:pt idx="12">
                  <c:v>13</c:v>
                </c:pt>
                <c:pt idx="13">
                  <c:v>11</c:v>
                </c:pt>
                <c:pt idx="14">
                  <c:v>7</c:v>
                </c:pt>
              </c:numCache>
            </c:numRef>
          </c:val>
          <c:extLst>
            <c:ext xmlns:c16="http://schemas.microsoft.com/office/drawing/2014/chart" uri="{C3380CC4-5D6E-409C-BE32-E72D297353CC}">
              <c16:uniqueId val="{00000003-EE3C-4962-BE01-FD92762D7077}"/>
            </c:ext>
          </c:extLst>
        </c:ser>
        <c:ser>
          <c:idx val="4"/>
          <c:order val="4"/>
          <c:tx>
            <c:strRef>
              <c:f>'Pivot Table Analysis'!$F$953:$F$954</c:f>
              <c:strCache>
                <c:ptCount val="1"/>
                <c:pt idx="0">
                  <c:v>FOB</c:v>
                </c:pt>
              </c:strCache>
            </c:strRef>
          </c:tx>
          <c:spPr>
            <a:solidFill>
              <a:schemeClr val="accent5"/>
            </a:solidFill>
            <a:ln>
              <a:noFill/>
            </a:ln>
            <a:effectLst/>
          </c:spPr>
          <c:invertIfNegative val="0"/>
          <c:cat>
            <c:strRef>
              <c:f>'Pivot Table Analysis'!$A$955:$A$970</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Analysis'!$F$955:$F$970</c:f>
              <c:numCache>
                <c:formatCode>General</c:formatCode>
                <c:ptCount val="15"/>
                <c:pt idx="0">
                  <c:v>12</c:v>
                </c:pt>
                <c:pt idx="1">
                  <c:v>24</c:v>
                </c:pt>
                <c:pt idx="2">
                  <c:v>19</c:v>
                </c:pt>
                <c:pt idx="3">
                  <c:v>31</c:v>
                </c:pt>
                <c:pt idx="4">
                  <c:v>19</c:v>
                </c:pt>
                <c:pt idx="5">
                  <c:v>20</c:v>
                </c:pt>
                <c:pt idx="6">
                  <c:v>24</c:v>
                </c:pt>
                <c:pt idx="7">
                  <c:v>13</c:v>
                </c:pt>
                <c:pt idx="8">
                  <c:v>19</c:v>
                </c:pt>
                <c:pt idx="9">
                  <c:v>22</c:v>
                </c:pt>
                <c:pt idx="10">
                  <c:v>16</c:v>
                </c:pt>
                <c:pt idx="11">
                  <c:v>19</c:v>
                </c:pt>
                <c:pt idx="12">
                  <c:v>12</c:v>
                </c:pt>
                <c:pt idx="13">
                  <c:v>28</c:v>
                </c:pt>
                <c:pt idx="14">
                  <c:v>17</c:v>
                </c:pt>
              </c:numCache>
            </c:numRef>
          </c:val>
          <c:extLst>
            <c:ext xmlns:c16="http://schemas.microsoft.com/office/drawing/2014/chart" uri="{C3380CC4-5D6E-409C-BE32-E72D297353CC}">
              <c16:uniqueId val="{00000004-EE3C-4962-BE01-FD92762D7077}"/>
            </c:ext>
          </c:extLst>
        </c:ser>
        <c:ser>
          <c:idx val="5"/>
          <c:order val="5"/>
          <c:tx>
            <c:strRef>
              <c:f>'Pivot Table Analysis'!$G$953:$G$954</c:f>
              <c:strCache>
                <c:ptCount val="1"/>
                <c:pt idx="0">
                  <c:v>N/A</c:v>
                </c:pt>
              </c:strCache>
            </c:strRef>
          </c:tx>
          <c:spPr>
            <a:solidFill>
              <a:schemeClr val="accent6"/>
            </a:solidFill>
            <a:ln>
              <a:noFill/>
            </a:ln>
            <a:effectLst/>
          </c:spPr>
          <c:invertIfNegative val="0"/>
          <c:cat>
            <c:strRef>
              <c:f>'Pivot Table Analysis'!$A$955:$A$970</c:f>
              <c:strCache>
                <c:ptCount val="15"/>
                <c:pt idx="0">
                  <c:v>Dar</c:v>
                </c:pt>
                <c:pt idx="1">
                  <c:v>Mombasa</c:v>
                </c:pt>
                <c:pt idx="2">
                  <c:v>Kano</c:v>
                </c:pt>
                <c:pt idx="3">
                  <c:v>Kampala</c:v>
                </c:pt>
                <c:pt idx="4">
                  <c:v>Kigali</c:v>
                </c:pt>
                <c:pt idx="5">
                  <c:v>Nile</c:v>
                </c:pt>
                <c:pt idx="6">
                  <c:v>Kentech</c:v>
                </c:pt>
                <c:pt idx="7">
                  <c:v>Cape</c:v>
                </c:pt>
                <c:pt idx="8">
                  <c:v>Casablanca</c:v>
                </c:pt>
                <c:pt idx="9">
                  <c:v>Sahara</c:v>
                </c:pt>
                <c:pt idx="10">
                  <c:v>Primesteel</c:v>
                </c:pt>
                <c:pt idx="11">
                  <c:v>AccraAI</c:v>
                </c:pt>
                <c:pt idx="12">
                  <c:v>LagosPR</c:v>
                </c:pt>
                <c:pt idx="13">
                  <c:v>AddisFW</c:v>
                </c:pt>
                <c:pt idx="14">
                  <c:v>AbidjanCS</c:v>
                </c:pt>
              </c:strCache>
            </c:strRef>
          </c:cat>
          <c:val>
            <c:numRef>
              <c:f>'Pivot Table Analysis'!$G$955:$G$970</c:f>
              <c:numCache>
                <c:formatCode>General</c:formatCode>
                <c:ptCount val="15"/>
                <c:pt idx="0">
                  <c:v>11</c:v>
                </c:pt>
                <c:pt idx="1">
                  <c:v>8</c:v>
                </c:pt>
                <c:pt idx="2">
                  <c:v>12</c:v>
                </c:pt>
                <c:pt idx="3">
                  <c:v>8</c:v>
                </c:pt>
                <c:pt idx="4">
                  <c:v>10</c:v>
                </c:pt>
                <c:pt idx="5">
                  <c:v>8</c:v>
                </c:pt>
                <c:pt idx="6">
                  <c:v>16</c:v>
                </c:pt>
                <c:pt idx="7">
                  <c:v>7</c:v>
                </c:pt>
                <c:pt idx="8">
                  <c:v>4</c:v>
                </c:pt>
                <c:pt idx="9">
                  <c:v>13</c:v>
                </c:pt>
                <c:pt idx="10">
                  <c:v>10</c:v>
                </c:pt>
                <c:pt idx="11">
                  <c:v>12</c:v>
                </c:pt>
                <c:pt idx="12">
                  <c:v>9</c:v>
                </c:pt>
                <c:pt idx="13">
                  <c:v>11</c:v>
                </c:pt>
                <c:pt idx="14">
                  <c:v>15</c:v>
                </c:pt>
              </c:numCache>
            </c:numRef>
          </c:val>
          <c:extLst>
            <c:ext xmlns:c16="http://schemas.microsoft.com/office/drawing/2014/chart" uri="{C3380CC4-5D6E-409C-BE32-E72D297353CC}">
              <c16:uniqueId val="{00000005-EE3C-4962-BE01-FD92762D7077}"/>
            </c:ext>
          </c:extLst>
        </c:ser>
        <c:dLbls>
          <c:showLegendKey val="0"/>
          <c:showVal val="0"/>
          <c:showCatName val="0"/>
          <c:showSerName val="0"/>
          <c:showPercent val="0"/>
          <c:showBubbleSize val="0"/>
        </c:dLbls>
        <c:gapWidth val="40"/>
        <c:overlap val="100"/>
        <c:axId val="786225920"/>
        <c:axId val="786222560"/>
      </c:barChart>
      <c:catAx>
        <c:axId val="78622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222560"/>
        <c:crosses val="autoZero"/>
        <c:auto val="1"/>
        <c:lblAlgn val="ctr"/>
        <c:lblOffset val="100"/>
        <c:noMultiLvlLbl val="0"/>
      </c:catAx>
      <c:valAx>
        <c:axId val="7862225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22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Analysis of Order Value by Country</cx:v>
        </cx:txData>
      </cx:tx>
      <cx:txPr>
        <a:bodyPr spcFirstLastPara="1" vertOverflow="ellipsis" horzOverflow="overflow" wrap="square" lIns="0" tIns="0" rIns="0" bIns="0" anchor="ctr" anchorCtr="1"/>
        <a:lstStyle/>
        <a:p>
          <a:pPr algn="ctr" rtl="0">
            <a:defRPr/>
          </a:pPr>
          <a:r>
            <a:rPr lang="en-US" sz="1400" b="1" i="0" u="none" strike="noStrike" baseline="0">
              <a:solidFill>
                <a:srgbClr val="000000">
                  <a:lumMod val="65000"/>
                  <a:lumOff val="35000"/>
                </a:srgbClr>
              </a:solidFill>
              <a:latin typeface="Carlito"/>
            </a:rPr>
            <a:t>Analysis of Order Value by Country</a:t>
          </a:r>
        </a:p>
      </cx:txPr>
    </cx:title>
    <cx:plotArea>
      <cx:plotAreaRegion>
        <cx:series layoutId="regionMap" uniqueId="{B52EA534-92D2-4C86-B2F4-49EE5727F06C}">
          <cx:tx>
            <cx:txData>
              <cx:f>_xlchart.v5.6</cx:f>
              <cx:v>Qty Ordered_Value in $</cx:v>
            </cx:txData>
          </cx:tx>
          <cx:dataLabels>
            <cx:visibility seriesName="0" categoryName="0" value="1"/>
          </cx:dataLabels>
          <cx:dataId val="0"/>
          <cx:layoutPr>
            <cx:geography cultureLanguage="en-US" cultureRegion="GB" attribution="Powered by Bing">
              <cx:geoCache provider="{E9337A44-BEBE-4D9F-B70C-5C5E7DAFC167}">
                <cx:binary>7Hvbct04suWvOPwyL0MXbgSIjq6OOCC3ZFkX27J8fWHIsgyCJAgSBAiS33X+YH5sUuVL2Sp3VXdM
TVRPxOhB9iY2CCATyFxrJfT3m/VvN/3ttX+w2n6Y/3az/vywCWH8208/zTfNrb2eH1lz493sPoZH
N87+5D5+NDe3P33w18kM+ieCMPvpprn24XZ9+I+/w9v0rTtzN9fBuOF5vPXb5e0c+zD/TtsPmx7c
uDiEu+4a3vTzw+Pmerh++OB2CCZsV9t4+/PD777x8MFP99/zmzEf9DCtED9A3+IRogiRglL56Yc9
fNC7QX9uzvAjVEC7QJ+bpfwy9sW1hf5/OJ1fJnP94YO/necHn//92u27mX99amZXflp06e7mePz4
l0X99L1R//H3ew9gmfeefGP3+zb5o6b7Zv+vj97cXD/45IUvJvhn5v+/N42D3sbwR8N/b6ff8z7h
j3JECEfki3+/8z6RjwrBMJLg/19+yJehPzn/D2fzY+d/7nbP+Z+f3nf+4fivd/4hNMaN5k88dhg9
IhhzLiWY9JvzRotHPIeWgsOpu/vB9yz+L8zknxj9a8/7dv/a8BvTX/31pr8w+tb/mZaXjziYleb8
85ZG+XcOEI/uAp3AxZdmiIefYu2nLf8vzOfH9v/a8Z75vz6/b/2L/4CNf7I4vz0o3fX8JwYdMHEh
BRWIfM4p4jsPZPkjcI5kubxz1N0P/d4F5f/673D74MP/gMkZf/ul7Uex+MeeuN//nkPuN9/3S3ny
15+K09th+zOj0SPGsOQF/U0wYhRTyZn45Clw1Ldn4Q9n8WP7f+52z+yfn9639unhr7f2ufPu5sZ9
WfyPdtq/B7oofoQFKQhGX1DX9ydAPKKUE1Z8aZX3DP8vTOjHpv/a8Z7xvz6/b/7z//rrzf9SXw8f
/tTdnlNK85x+iS+QY79NwQRSM+e5zPMfhp8/ns6Pbf+l3z3Tf3l83/Iv/wPC/2X6cy2fkUdgUoJy
BFn1W5Oju+cQaMSXlPDlrH1Kun88jx+b/Eu/eyb/8vi+yS9f//Wb/YWLoXnwiW18McL/ecDJSAG4
hlOCxPchnuTA7wRmRN7DOf/qPH5s+O973zP/9433nfDuPyDiXF0P+/XwZ6LODIgWYQIDz/oUVO6f
gPyRKETBcv6ZiBVfnP/pBPwrM/qxK37tec8Nvzbcd8HVu7/+HNxHYX+W3vH/wWf4PZnkq1hQXYfr
wy8a0zdKye+3/rL/QPW61/X3pKpPXj358PNDSLm/bLpP2sXdK76Dmi+cve5/PZBfe9wCM/n5YY4f
MQwZvZA5RDkkKZyedHvXwtAd2cBCCESLXDAC4W9wPjQ/P8QYmgoiJGWE55hyAFnzXfT9+SGoXpwT
BOwcQ0rKcV6Ir5reM9dv2g1fTfH584Mh2mfODGGGQR8+GD99626eglIMERZxQNK4KArGYQ7jzfUl
yIbwZfw/uZNpLnBBlGg2/94kOqs2Ituobyzyg2HAYL8d5g44cilkztC9YYhp57reGVG8b+ezrJj1
iU8BVwvS46ERm3jx++MRhr4bscAYeIFgNMeEUAhvd2b/dmF1F/ZU+6xRk3QtClU9b/uKFBosNaqx
WxYyJdAU9aSSHdtWFfPYTE8MF3XRlSxINzXlYHl47tlgiycMr0weMbZsrjjuikYSUgY5dLsvl5DV
2VIa06aQV6aQOpgqYw1FdbWKrR5o2eneJ6nSmMXFHweDW9arbY8ML6WnUQijxJgbkU790m3pBuNx
WWq1AjBJobQIWNBSLoiuC6l66Taxl6mQltO3frCbSdVkENOiXBHKYq3yuZd8UoIJ4XFJpCmsfLwO
vV5b1XQDrd/kWwr7KzHh3tNynTFFj4M38L3ShxnpY8QmTlsVll1Iq4aOutqoJQ3biqpcZGsxlqhu
ua6Vc6Jbd5Xna5+rAiXRnfQ756xCnvKBHJq1F2lQxNh8zRXMRZKyyBitW8UaH1nVdRMpjGJFn/nn
hTeoeWLjkknVd7DwWlnjvD21Oe5fM9tP/ES3sjOHdtyxGyubC6zfzRrZ+SSXxUZaJbwl7uPWBn+F
bRjISdZyY9S07sRX20QbrIYcJ1kOky3IFcPzuCo96CEeWsFN+8HplvuSo0ygY7B5htWKWeGPxnqU
zU3qQLK+HdzOnFGwzfBaknag9jRMFGfVTgkca0UHthTvO4ZJdzSaLTRHjNit86onO2+yctkptheG
JZErL7q6Pl3ZutjLcc8y94SLIfOdsmgZB6wmPWX9GV2HGF+M2iN+3o9xmC63doMBu6zv0EWfUKKn
DmPZlXNustWUfUe6Qe17NtKDLWbKd7WRtDCqbI6MOzKzrPkpD3riT1fdjBGXsx1Gd5q1TpJemTwP
4QRvHfJ5ufTWscOaIh/9gWmz2Kj6loxNq/qpF+5I+3Xe38qFkmxUvmMRXdpu5l0ZfMG688mC255R
NxF54XUYM5W5orMvMkNNvMgLTvEV8zO3XUmKITvJ6t0+3jgqVM5HWTY4dPowLMxop3iq++HCLIU1
54vZNAejb/l4Mq3C6ul80SzFruw9kpMvRTKoPy6KfdxOJgvM60nLw75dbDtrChXFyHGV5rjEUeV6
35u+2qcptfjY+NmIxyMeuX8rp3lOz/WC6p5Wu/TD8sJ3K+sbhbLJtVE1se/euby14TRbuq542eqC
C4g+O65DXUWKphFOPG9JF8smMjvtl2lZ83nf1RxX7ZYXzLLMjy82GaiRFxCznK9Ln4ju4/M6k8Ma
T6dRbL54v4cp5PvJQJraX8XRsWx7MbmVjWoxlK4Vd37kSbWL0O1h4jtqxspJP80H0fI2qVm0SxpV
anjDywWPiVrlIJTKp3mBzULUBptPtiqzUszl3CG9KpvRUR/tfqr9sZiDQE+laLP2yZ4NWXagcyjq
yhd5nT1eg+6nyreZ2cA6KI4nHAIHfpl12ZQfD70RvYqFqNmTLoz+dNDIdVXHwB1KZLity54xshXV
Vu8ha8p9HwfJHjva6kUq6udVC7U7zXz7VmfL5uXpsslF98/lUPhUn+vF1k2mVepFE8vfzyvfp0vI
KgUVgJNBIJQ5BlHqLut8my6JiYEWqFE05tofrI1uUz3fzSf69glB/CBf/nCcAueEQ64kOQMh+Ntx
IO+j0DPcKNeNk1ZjPy4vWuflv5WWPydJwSBN3gnLAt1LkqI1xSRqGCabMslPdrueTmg6mX3uz1jD
FnL0++a7e9+vaOPOfFA1IJhxSXMQmeS98Won9LpzAubb16h2A8BF7blz1SDwXGmrkXJsQ9ddPaY/
8Nydxe4NDZgAogilYD3O73nOoW3hdQd7LOR1f2hT1x+FyaEjhHyqfn+Vv3UeLJIyASpZAQmagEb8
rfMgWed2yWEoHHz9dGtId1bHQv/Bgn5ry7uFECqBunFR5Pe2SNy2fhZ0bxRL+zxBdhthMbXN3zAW
hrJwHrLc1jaPF9rbT278XBr8vD0/ocgbN27e6OZzcfjrx3+cf6k4/1LY/PX5XXn5109Px9vhRfC3
t+H8erz/zbvxvn4Vhvs8/h3A/u7Db7D+P0Hzn6rY/6TxX4P6kB6/8fVvoP6Pmd8dkv6l4yfED0oS
k6wA/MkxwhRAPLzzE+TPoIQGxXgA73AAJICqAoDyF8yPHgk47EDBGYGtA1ThK+ZnjwA5Q8yBrlgi
LgDMflnld84CgvP587eQH1DPd2chF5zkOQFCD5sTyhkkv7dB256udT9tZbS1DldrrWUwZdwdj1d3
kd0atY088285agfzLhrbkctZR7L5E6QnwFRVAozbFh/WKQPkctSMY+4+JEtljOdrXQxv9tq3upTN
NGZnZlj9iyl4MT4eajk8WwgAIz0v/Xs01M3rohF1Xy6MFfIkmrT1Km/T3pR17/WmRryvHyUkF6lg
ys2gZobFWLGuWM1Zx2xaVTHgeLXEvZ2UnXDMqz3ZlSmZXPcc0cafjBrw2q7Rsh0ajxmtwCi4e7qh
saVXDme4e0OwBxSincSPRc7su7yxE69VCNL6sglp+9gMmDyn/R6d2ovYvGNTNjDFkF7OiizVo+Iy
wHzrriNJq67h+XKW9jafKsgjHarW2eT78806k6sw646UIhQRvyLRmPHMjLR1WPUjoc0BO2GLI05W
GkvW6/Q6mpZ1p1vXsPGAAmWv+knwvnJYd7T0o9t1mXQ+JgjgXWpOgGtm4ZwW2RTeWzy34g2lBs9q
nJpsLOG8N7zKXWyCmjikTsUx2+KB0iHfj7j23VzikXabanGubblZVAzVQvH0oRY6mqNI+/HM5nUy
5T5jfSH53AHe7WkvywzTcJUlYm1Jdz515RiQ2y8y1m5Xgq21rep1RexGkFWzkjaLK5TssdanjWw8
L3NL9q6KvjXAXsjUzMdtnIdO7WxoNyVCbMHmOYYXo9DEp+D0ZA+uQ7YugYQkryYUQ68GNmB+aHEc
3vqiJ0Mp9rHgSsxkLNSMOvlqGOpgFMZ1fZK03DOlM6GZiikWdTmBIlAo3wfWHRMMm6LMmxkQBRdZ
8SH1EjZdL3svSjM0cas8i8Df+ibU4pSxbtBHTOzyWa3Tfj2uaZ7LDdUSq+SaOShngGOqfWTruyIj
6yX2SFwDA8mCKrgGnrJ0pNZHKaJ8UBulHWBvvdTXLZa7Vzw28pWZAp3KgqxDXjIN75jGZX7TZnZ4
voheayXd3N22EwEc5mwy7/Vq2IstFSmptPj1cb/MGVN+li0cn5zRY0C6en8M1hk/ptYPsLKcypdZ
09pX8E3xbETGNwexxPCiaww9s7IdAGBi2pA78kOCmqfeDuXKmI7V2MrlbUt5s6kdeyBXMfUAr1Mz
ko94Iu5yoHC4Sz8zkhTq9omrrUvhtQZ8vJf5HPL2qMddD/7Ypv4iW71zKrZhvul2AJ79rLkAIsdI
B7Rk5xdpbXU68lOH0Mls54GVMfOhrL2or+2+ttnBt9FvamKhPSXY9mOZrXMNeNybBL5ASNYl0e12
x7u2tyjN4T1dxWwUxZFd7CwsXg3FDmwCdU2e1DIg+3LH7cjUnA99caK1D2ddlqH3vRwWqlag9FOF
kLPPYVDWAhkZMqdyh8VTglbzmtRFDpsOh+l0HgV/77apHVScoJ8KXbO9mqNsLuapHl9MsmsmBZx/
eAkEJFwCcqanq5t6ojLS4SMn4MKUEraJb4xNxa4GvQ3Tk3Ew03xk5zl/27dBtCf1lNVrqbPaPo+d
zYC1ars5RadiqiE2oOlcSD4CFkN9djFR0blKSxtfgGCypopAwftFHEZfqCYP9hTW7XxlsmYvShhK
9spLnLVl0U7enufCdm+jL4ZXU2ZBgrDzklAlE0fpAFB9Socct+ZsDBCxSt5BLCo1d7RX1AGRV4gS
/T6j/QDoZm6EqESd+ZvO23Y7E1FkSUnf9rerbfJV8b2uLyyaIJbuZgMdJsb0jOqRGxUdzFoR7tpd
rU3T3BCxtotK3RK8asZtiCWPEx7VriMnFZGjEAc61MUxmWsf1JbaySnrSfeRjDy+pW2me1UDa+tK
rYFelo7n9IoBGOQqNDoKlY0LOZ8tnZayL9xGVAtQ4GXoanoJOwVEFFQ39IOsXfIHgobmjdY9vbIr
SmtZMze/6s3WnXRirqMi3YqMarupfm/TREZFZmrfpj7fxDFmbmtVzEfYVqvh8ZUHNy2q3QW3Kmyi
YeDqrrgJczMcN5TPILfUbSEq3XXjemQzlrsSsoLVoKR4ye7+nwPZLsSoy7n1C+yj2aYnbstkcwxk
jjwDkm6mqmYZBbdMef10oMa6cp6aJqs8rNmqLkPpcQC5SFaSQkhX0SKdVEaHMap8hGy45j7uZYAo
OoOEVWymqguaTkcOdFcVewEa0TDvMB+QIppdhbVHQs3B8VTtS8/fiNn7J32s84+Ye9OoAfd1+3hk
NXyZstpNhwKHNB1ZlOxSdUD11+Ni6AM+DnCfbD6PjjW1GuRIX+J2ym7nYW+vEqedUbvsYWWBrBYo
MiMYjj+rh1TiQAd6instBsXg1lRzPAxzdmXtAodh3WwOphp6EAbS2GwQ7DJUv8uIJYsaAMJf1x1Q
WGUDvKByW0fe69GLVBKTeg3hoyDPazbhj4No20scjLj147CGys5197FxCSSj1ollARK4r6cjjv6j
GGm8KdBedKAo8vbZskqCITvhvQa5p/U7mD0sc9XM836mZ9LdFGzPdLnQOT/gSODM1a318kjqtMWS
ctxeBJCfE1izgO2z1EV/w0RG0yESHtKBrExAesLNeA06yNpUiQZ5k/LYnYWpp68g94n2FPZ/nZS2
ezhv9BjG497l0p7KWLB47LthfQ6a5f5BYj9fLaO0pjJDz59SMgJicoOfh1L7eWpLkc/sdpSeceVp
sz7FbJzXKofoV8DWHrVVvB1Ao27wljYVeYtehFjk7kls8CiPXRbCqUFI51W+9f5p7/02KgN7iEKs
0fiiHeCMjmbnEHGtAPJkOd6JAkEJQ05o0jSVzS7CW1KT4tS7dnlpRpGKMhNDezzYPcVygB0DYHQR
4zPfAYCoIOwNIKaIMZ3OkcS3GUTKCaKmTqcEkIUArDVIyN9JFq7EBpLmseaSvLZpg6MRZczO2pVk
e8m2zV17CYt64gc8nqwdotcieH+ph7Um1RJAAwMQMxcvpnzTIGY7MnvgzRmIOSH5bVd6HdlRElme
n4Kv00vsmfwot8EPShpQHA503bp4zFhcdDnUYnmXtxHkKdBbDKSCOpAncAstvdXb5jOAVONwNUG0
eQFy4G6qYmBFmWi/boc+je3jPkMHkQ0igryV8RMUSH8LWlF7Fbs6Q487GrLXa07o6xq0v1M+L6Mv
Q49BJYSMHjuFNE9IhX5PT3RkAywlanuK11YAntRFdtuOHBDCOPWDrLrC5zUUK/qmOdLM+OOGd1tW
rsPc6COZcN5BkhXx0upGdGrI+H5WJK/XatnrGVVNu5BOybijBWSburZHs538EW2mwI/y2Y25GkGi
e+ZJJFrhNCxC5SD6OCUnswbVLZpnpZ0KyBy/EMl/i1P/P8eWBYgOX690/4Ytf70++GspDd/1+EST
MXvEhcC5pHdFMVDVoMb1iSUTaABpDSpcIE1JENqgWvSFJNNHRZFzqFZ94sEEqO3nwhh7BDeB7zQl
qDDdXZGEXv8GSeZ31bdvBCNBAWMQljMO42EkoAL+vYoj+pmwFmop/dKacT3e0NoCPCEOyZO9R1tx
MQo9GLUupmvOYxAhVDT0fj5p9QoVJFBgIR6shPsrEQczV2OXdHoqXd5oleVmIkbpOKHiyRjw0EoF
9UHSO+gB572CkgQoO5NFmTnqiPDtY7GxNi9H1Dp+zoY5oRJKgZD7oV4Sc8gu2YYVEPjQlAucnFZB
1cINCvQwtqq5d11Qce7oOcub7N2eGZ6rKSYEZDsX2zmbpX7XtYa2JbUEMNTA7QjvswwCOkud6VVX
aCDwQCwbq1iX7F62NWlNSVMroarC1zCpphUpqGCaiR7RhTt+4MiMrsymjm+P2cD6N1J05AKkRYcP
IBPrp34P8rrBRf7G6VB8GGsifTlveYS45uelU1uMmL+pCQz5WmPQvVXL0mrPN9JL+yQtXQ9p1pFa
VBGu9hQnrB8294LuIPJX+7gncuiAjM2lGEWxH9DS1I1q81i8cm6m+EXumrif562PZ5LXxQo+zPpx
UGaO+5N+qqf56TzXqD8hbSyCGjnpTgmnEAocJMI3g66LeDTJokmzWtahfuUgxEDwlVljH89146nS
fGrpYTLz9N5vA7D8fSrETcNB/CgR2dirZPPwFpmQQXLuu3Aci2mEDDQOxc1cO0DZbTJpPvZ7l6cS
YajDABnJLVJFof1pm+eAhzGPW37kWy62smNm7hXaOAQvUFgplAUxTOs4nzkgRD/F+XFwWfahWTKT
1JqMOcX13FxmwcwfMWMvg9Fjp5oZI1L2oRhHqPQU5kVMbjBgoG466nu80jLbPeQHvkNsJ27tsOoY
skDTtzy/jGxpiVqgmKxL0/SAgAC9yUzVJM0EYJ1d36yQRFG5TnG4IZB5fFnQgEEQ5iCUTD0HnrVi
bOwRoa4YVD8sgLqpRP62Iba+qZMdngrK8HuD9rY/mrVbE9RzpmGp+FLnHfw26V0BJ39SKCLij2tU
Aw01m6RAJ1e4Z8OyfHy60DxqNU0eqpgdCBIBKpd1LlXRTG5XDdSu3RMSPFTGDQIWVOp8pkBb67Qh
qGrueH/Td7q+sQkzcTxaR4bTvIh6hK1rx/nFoAlrgMDIO2ofILfgNieX9TZ2ZzjboTbU+A59mKaF
7Efa8NUCqmiLN22u+fPAg3zjhOgHtYxYmBPX0+BOmtTbp1PvEFQIe1IzOHKiHUuQyfQtmTekVe6n
AkFj2gng82KzKqcu6RLUl/5lanQDlRTS7PFl63r9NrZ3/pF9a5jaAoj4Fd8ShL7V9IAre766XjW0
mCBIYaivyaK1LxGB0Q61aLdX+5Zo83Sxs+ewD3nsLv3KfF1RlPEO4P2uHzPSTOkYrgfk4aA9X/sD
iHweFMjJMV3RrLdwoCbukRoM642StdWz6qKQQHJlpKD4DdjaalzaBh3B7YUmKu26u9VJkzmotrsF
YFy/mPM5I1B+dZjLTuG9GOuq8LTmR5vIlrcZEu6tZROJKiWgalD4IDpVYTV0V30sgFL1UQcglWLm
IDQM6f1cBH86rnrvlZb5ABhgG9exmjmjl7BhV3zYattLpRlr0sFsEyhzJpcEVSMcuEFRuocE1C7S
odx40aaDEOPYPK0b1Jz4Lna72gEhXprJLkGt9R6PBjJBTJ4YuKDY+swqqGrO9rwGwOpOg+1bq6at
1fHAIAdF1e1Qdzwqahvkgdd2eAdVHdgU0eh1KMMkxeVcQzkV+BfU+6o+QL6Dbb2at8YgE0GGGVBR
SThqV4zxMKu9pu5JbQmeD50u8rbUDDAhSFYglCjIGdGrbSJAFkNmg4ZD2mdT1WtnZuVaYl+ZuamH
SgSUQ+kafm0lWtH4ihgns9LHDjbfYoD6lv1g87dNaDpd9nC/oPIg/zQH4OPNqODeDPuwSoNACES4
fQulRY6GE5bmPKVXNbdwoBUHPfdDCna4iPtuOkXwLk7yubPLcW2AtAOi7i/ylecvSWb2t30k/qbJ
IBaWm3P8A55jVqvNIfRqda3cFJ29+8h03hyvu3CnPd73dwaTeC5rDEJAUzsqAYi23lXT1JuuNJPD
lxvcAXjN81Y3ygrXwTUP6P2mnmhywBfJftmZbP/YZWF5ArdWjCm9YeE49e0OpeBFyKdwMwBqpS3o
/7laPMieCk2NW0BRWPBJHgXsmZg6IGYgd3qj6phAYhrMwq86naGu7DxgeNXXLExHrNVjrNjqE/C4
vEPnDcjmN/MKWoBap5GyMu/7rXiu6Y77cjac0osZ/thQ32HttHVqBWoFYiXroJZ83UnQWaHjHnA8
hVK0XZ/tO1zkACmCg1R6piVeujMOdViQVSCA1sMV703oqlS0DPZAJ9b6cewyj0Cy0Rbhky3Le/Tc
b1OBS8F8byskuByAqdPxvHBT0Z8OoeFeib3FN6LQKX3A26anM9fXfXanQ1mITL2MptoSyCp3Pbe9
7LeGvtd91qaSog3IM4QiVodqiqauq30NqD6Z4xab1xxoDjvM2Ty0V2FbBleBgoDax7VJGjQjDlEe
BKscpNcLGQgoZM0+L/W7yNhMDyj9UoyOrhBOLbJfWAGBq5fTcOTzfEG3UwdhTGXw9wzoGOTMLO3V
AjeigFvnhWXFmTSh3j4GuaLuYoYA4Y8CtYU/N512/rxGXStPGtnhPT9YwBagvO0IFLmjJo1RnOqu
pbpku3b6jCxQHHjvfOZl1YQVuPHa5jaUhtUwUdIAGX+81pFRKN6vmrIPcQ3/m71zW5JbN7P0q/QL
0EGC4OmWh8ysUp1UKqlKumGoJBUIgARIkAABPn2vtD0etyN6JjyXHROOcDj23tpSZZLA+tf61m87
3jLpgnwqsio+GgM5HZ3VumzxbT8HtzRxwLN7GZdoyU9LfMixwWOq06ubz5Nva3wQfmZLASmMBznz
X0snVAmcJtvh2AuyLMV3TGHJm+8jT85TafuP2JZpflZS5AGnhIQlNvVxLGoCv563G0CS7VQurtgu
ajQy3OAzByMRYsfXJjdi2R4FDp7x0yCI/RNBRt+Xvi9+wKmNi1NSBslPcBRWck5LV4VuV1yR5iiS
/mh0lsMEOI6Cl/jQnH6YyzVKu2CTeL5ad4zdRfjBxgZeRxLqElLb12YulnecCdyeMreWeNSTmMNN
S3dXPm6FxWuelGOqOwrZsUCtWZbifieL7XJU5z6WNJZQ8BVX0N8wt9Mut2QhcDgG2bd5UnigNcFt
4xkCgSKyyDzet77KcOrNuDe/UjBS+J8pXV40hZo+2VBsGVCQna7N1Cc+7+aCi+fZhOFDkVyAdXE5
ovTK0/Bpm/tpqVdI6q3VqqCwVsyKAXZd4D3ApJ3y8jYZGD5iU8TDa5TMxdzYnMm42VIjpkbB1oFU
gZs+PKXWMHujMs095G2w+hPdx0XAJOmDbo49EuqCoG0uGqnEQWtnrVT3izc50IWxXMgnCVptxIcH
FK9ztnC8QdC1R20U41vAIJ/LrKP6KIdG4l82trFdhr7ZKGKoWvzVoWX7Gop2FwO8nnit9l8uOkao
6HXQf9jMx6pberWId0ASNJh2YRGGi7Dy+WiPPFn10Szwz0r4XGzLAVVpt1m/gDso5sSdMHZU2dgW
GSMwFpRPo74LId1II6UqiscSZ35/e6hNmAeAZV68Ftnubd8ok4pkbgzEP32B9BRwr5mZp+34f3AG
/mem7RTB839vHzz/me37yH/9h/74j234g6qfYv8oOl0z9+sv/7uXgFydwqa88uv4bwCf/8tLAEkL
2V0ksBhSsBIF/d+Be/oXAC+I2cukAoVHMAn/w0tAzy9GFp9U8CGKkgDd/Xe8BIA0/8VLKFFTrwrU
G0qCf2We5+m/sBokypNcmPmU5wETJtOB3VcEF8ydX45F3TmDWxzm9yrHbq+Owd964s3bQO31CITn
sDTwB0vaQGkH0e69taJlBy7SWjmd69aKEKoGr9r0BXY0ZhcfEFx0cg38GxktUMcRV3foNNmHqU3l
0H8oaANzCsi3XtYi1kVth8Leb+A88V7H6ZFeLJDm9FwgZ3Ad9VuBKKM4IJZ9xfy3hYMLvbFuTcJr
WZgl3CZhi0zrIg0cb+EJvSA5HeE5Q37xZhZI2XHim/4HTrRjbncAcwwv+GQQvhwGAwaIROZqn00w
GAaV8fsqCkhAc2JngxgxIKN1NpLvU0GKH3HuCEbHNIOxK3CLfTu44G+LsSqcmK+2B1mqGeoZ2fKH
3rY+qUNh9N5UVOc3u98hWzXX49Ogk1J36Ux02cCzJLw7aKRDx/Zki2uuORKzDEPECxfeGPxIPNA2
T5eorOkmjy+YnfO4USrrT8cOkKnbDX6YNoEkzuGyclue49maM1fp9mPlgCjrKlfFU97n5kEhc+Lt
sh5Q+N4anPnjuuNcpvFMo5oDlYYPDN9XIxYO9cq3XDdm3F1oi6NI71TqDnuOD+COjU1w6bXJAMHQ
pPCZkxNS5WU6kyVPwAaVObIFb9yWPx/TsvMLd7Fbb4KNihmqSCy8mZCmDh30nD3aoMYk7qbK9Kwm
s1PgQudVgog1UQbc2RE/n7Oc09BlbDuiM+ysGPEnNNl2x6F5ptOQ57MH+WAwWZQkRRy5ShK9ARSN
xDumLLJ2GAiRJtmomiEFknxJIPylGy5MpItoQXCwEoBueuhu3JYEEHSaxvYORBP44ZWnGEYXP4a5
W2bjzSWadh1OhRNwIdzseFLCzcZV8KL1nmcnlsyQMiFEq7g1co9e+bRs/jRw0B41xg7GrwhGUjxz
u6z2azYSMbR+3sL+feJimpthdBt/GaNhF/dS9eut3ws3feJ8I+6BQY7uj2artv1m2f1anuZD2QHP
qwRqvZFK0g/8uSN9rgIvk3bFA5Sd1hAS3haa6PlztjuF9CMOhJ+GJXje+YB4pZ0HsOQ3iSjnqTZX
q6qd8msknpmpKB9HZYCPDspH6W0KTVi1UZ/FyXmoQvZRYFbdAcpwJbsYbtGI7FpAGBo+jfq0uHxI
OhhK03Dx6RaLc5WOg25KMIDmnvUuVs0It2R6AKmBk6tnyUZ+a6Eg/SfYKNtTlfAsbqz3ajhlSyxY
B2GLGHSJ0a5rhnWMtxskMfnQzer6d+HiSH5JKV2mezLuq7jssVn1A0lw8lzgUI3DDcKlcb6Mm+IZ
sIJo6m/N4Fx5Vse8J41Ys4U2hU3gLUieTFGbpcOQtHrFuFOPegTkAMsWuczMqc/a1YfyG60k/jj4
9vGLVLGWt71XbmmHUovvV2f1YwnIEoP0ydyqNehXKHz87hPMwbmNBgdswMd9nOIVmwxtStrDUQBt
j7/rcoLjZsC4g2+CLlcdUo7jiUZ+eyTZlri6OubiYXBH/HtG3LpcAIDPBue3GJBy7AX/k5CleJAB
nyu4cKtfB6C7H1t8xP1lpdR8BB9lH4IkqqolOGNko8lK8bIOo34tk7UkTYa1ML97mE74vrIZL6lS
sV9r289GALPMgBvNR4Aoj5VDVJTHocH7Cz5KeCauTgW4aOTttixviI13Wo88M/zGlKWwp0P1/tse
02G5SyYuX+ZND/K8Z2aPbpzhXkMy6mhuUyAJb1mcyTS6MKKztIAvfaUBJmX1nQVBDssPADPSLYGH
rRniyX2dANv+4TsFHJVXNjw7JHGm7j0C44b1Nn4Zhiy7yXuSLSdY3X11Aanf3ztC09/GjjuiuiSH
YWOSbVX11gsfEE4j8gfLPG53BPpeNUkVJnUa1lI/gO2Bm5VhsHvRqGNwxKFkq2pFgBs36HiYu2nu
uW5sOoXPBvwcRVGjslVdLL3EWRR8WrSwPVP1aemrQdajj8nLgt9e1vmksuF02EA+9cw7BKl5tYKp
YxJmVhxNx8uc8PVzOfr89Zqlg4CtTHHLeg7jq0/d8CZVkuIwM579IDjL8X17M4p63pc8NEW1HAg9
kS+8HLHBwB0vpThFRpjvwJHZ/Y6ZS53SsZcPS1jU67xN+6saI/IWxb5SdQ+H4cnmy8oaNH7gscJ0
7YvO9cwtHeFm+goQRaTAXVD0wFSIULRFeAd/Sgi9RGcaojiiDSxdJAakWKDu3UwC62aYAQkmcEFy
UFNp8Zv0ClCt33MHFEmtL7PIFCYoGIHAp4YZzpUo9/IRImAzl3gdHGmYWnC9zeUhh3qMkz5u4LgU
D9Yjqcfkys3zRnr9LjFGqnbIPYxNnqZAwCq3oLcDx7UXeK4K7+st4ckr3ZX5NarrV0kN5U85zSN5
ZptepwZrG/xzkdL4nbDAv44cU2yrSr6kzez57DoE1CQ9I3/SD/Ba8cmCbkB2QySolH7JzI+Sx9X7
YbPxhTCdfUoGn37T1WglPJdR/wb2DGN+GjlMrln7dMEF6vlyyqtRR/VoMvq64BxekKKy65ecJ8lF
m9hEjS3JOrXkenE0InHrL14U69AQryvexGquAJ2JMqcXWtIldFtORw1rbPOoUIAbbID5CgcjVLin
BdYA7fA8sT8ZvO1wOwY3fFdsx4yITgtxzQwlBSEYQsnbbMtBOtm4hE3kwCcieIno07b7GI8+6mZw
bhDgyNOR+lLUiaNia2I2rqLzIBuAQ+IyutVzFClkCfNRtgmA/i5Z5p5e+rEST3reyH5CS2THHXS9
TtHCymbfwM7cv/NszD9ZQWCpmyrivjFHEOXZ7AsFpVVo4U+w83xfpz18h1NmRiLbNJvH+4gpLU/g
YPZnWqli7IKU/ROs2GHtKnWA5it1vl75S04xsSacvUURSz9MPHi4TrGA1U4igT+OZxFwLhrtjwqy
wNWr3MJ9BVASznoA41KTPkXUF5BrTc3iDoW0YeZ9du2Rsaieza5+8tEu0w1c3n1p3biWO4pnZfFj
7j39JtAQidp4wHxbC3yitvVlWnbVoPTYTmyUe7NuawXkMPHhj9js/jAJixlzzHl41tm4/gJcCes5
aO/eCr3i+qAVkromVBwxN0QzdCoHMbrUfrZCt3CvpyezRhzkBzzWpBTIRlZoBtStcMBCZ7NYzJ3v
ATbWePwp+YR2gfnMpgl+9D4taGdZFB1oM6ZL/pkBwvqOXBAFjCXOh9/xQIuqXYQ7vibxoL8eK9tp
25tMwLoc1jhDPGLm35IXduwgonAJVU7LEb4dK9NaBJu6mpcy/BDTNdwYwBRo3G0877ssU9Mzs7jW
ahbHDoRdAavMV2ku8JsPMEdhLowHnPEJgr5njP6aPXDWmmXavW3LmsLSxWT+awd9b+od2SOrzUb0
0RlccDAOIouUEqkIPIfgZ1CLvQk40cosjl5huPT5M4y54R1WifsRjp09lVuQx+csXydkjce+51cn
GN+ojQE8NzTb1Ge0dnoYiVzNCW43U8UN0sj+zmBvWloTm8e3IH2cPPeAoSN8tIexbZkR9hmbILKs
3pkeRZPsu/iFsDlGwgW6v64qn7N2PJi/2yKQVHgwdw/GOKT7/YZgazyBQlm/wFjjv7hKMJSEfty/
5bOxrx500ztxPopqgdv5m7YwlhvQsfLLCif1aCqFqwL0n5OvAvYGQmmBR6exEKqfqarIQwCH/n2S
uV+RupEkOyPxcd+LFKhmfcUPWQumCK6fWyBcluXwEiFrOrxXGjNDHXGbpQ0LVSbgQ9Pt57Ry/h4N
qXhf12p7Y9IcgGajBFm5LTJxlxjkwTX+snqeSjn/wHgzIogud/uYGbq+VUKMCFVUhVfjzTrONlwD
GN+A400Gjiud5Ffpq/xrrHT0HqOINjcloOu3g5QswgBM8NgHXx4C4Mhgn42WO69RR8ruwz5NH8fu
/at37Hgv/Dr2HSb69Y8dsmU/4cGabgsFKqtegAOAhBK9GWq20kI0+xq7txEt0x9YL5EVgJe2RNQ8
GWx5KpMJ4JaB4w7V7HHddodU+deNpGZ/qFA2nBsxj1V5C14LiEDYIUX3yA+si3mU/OZJmMfmSBkV
n4eDR0VDtMuuB9jkTgPANQT/SPI/jNqRxe2GjMmDH1SYIBg2/UozC7U+J33FujVO2a9VusScQVTK
R4hiQh7s1uMz7i2P0w6NWX18oTumKVj1wLpw+mwGTwgJK9BIHNsKwcWBF3fI5x40uS6QCeBSzbt+
gX9Xg5IBmV8uEIodMG7d31eHWtN6kRstn5OrXMU/5If4uyebgJaKEL+g/8q2cUSd1ZS679LjYOQV
xjJ/YjPKnOhGZnKb7v7qI/1brM3/TEcNOM3/yVL7xy6dfyJyrr/i78UVLFSEf4YuGFrnaGpnKbbP
/L24khR/QdoPMwy1ERS4IH7/weSk2V8qUAHgbq6llfRK+PwdySHxX+CFxdhVgyYUKROS/Ts2Gs3/
a7EK0gmNGhqjopkh/cuya0Pmn4tV5VGxSAX2E63h6PiEYYpMDzOqBfI6ZyzLDeNKUGA120RnZLpp
lmL48VDiEUFpQ2QjP4+cKDg2NkXbNzztfjNzfyfRt1+qBoVlu6DSMZkPmGWHBMqpWLm9iD0FA4sH
PtW0v8kT2B+snlIQb7SGpq6WV0Yk1CJuwCQbPCxowj0yTaGhvteyJZNjtnyhEdMUb081xJu6ryje
AneycPHsFzMIOz4FZm32llK4D91VO+qnvOA9dH+JSuJPPuHkuwW/A8JjVBYhQDV5DeO9wJBx4ujO
xbeMrAg0vdviBQYC5kcUIVdztpQ48yVLYTE9V6B+tsc5n8bvaK5GxU2xAx+8YCCLgX6jgfBTTLtd
mn4nIAKnXIkCKrD0cZ2h1ANwFMdMS7doWdtsVcupjMYARs6WyiG3JqV+LJxGaCvdLIpTRYOMLpuZ
0vGzFqkC44HrIgfzsGXzmWdLhjkXBiwM/2WbaxCkuavlKCO4L2Um31ZohPu0TwCR4Dr3H3Per/YX
OgZSPUBaxcknjFXsJUK5WTeyTPtfcIdXcYb1Nu9fZ9ScKwCNIPtX2fG4PPjPKR5SeptOZiz/LHMY
xBtSk8M8Anuu1k9wxdK8s6uudIdo1qW3E3oGnx1sifKECrh/n9BtgdWhcFzWAoPEc6SzYuhQ5Md2
g2jEqNLxQxVovrDBSxxf+QBptsCzqA+sgfiRIZ76ckwrMiPMeu5lw6smT5Du0NbSsOKpIJCMNUpk
a+hCKX3a4m/BN2Rakw9Hym1rZOzcF1x+IEqOQsGFkZAcj4CKS0xZ3Kp9E10hx3XG3KHGYW56mcLH
GJZFq7PioTwh0Rqr2w2cgallzGHHrShwHPebKiPTHeDs4JgCIcu6gatKPggLA+3kkjF8nW083w/F
1IvbCSr+qFEi5ewRbQnCWlYCdas3dKp/jKUFtXnEyfGBFnuZnuOV4oWJlyhFf52mhLZhi8fnCdZO
eQMaI8vODjc8w3BBAzvnoDtPfOQCKxUGPT5ji0BxAE2OgIQwbiINN53C/vLY2IBiOwh7eMiIVYG0
raBlzxq+7YIway6is52xteECTyT5zk18VSejrujRIPJZ0pvVFMXUZkQ6fG2k6v3aWjjsPcJeF8FY
EiOGOXwpC7/Zge+ZEzXH/hWaeZjOEWjRz8OA8actDw9weMFn4mpq8wmrFopcsRbaHEJjnMbobiQp
Q8xYIiDDtQhop0mAslzhurCWjffz4WuEVWjC05J9ocoijkQIbMqO9P1OXySYn/0MZbWPDxzV6qFl
vZwAkCASQBFnSuL1JKIhG96c8y7BDzBjUwI/EP4jAp+Sn/iU9/3J65x+FtsWe1AwJIq+VItzF/zg
UWeVKn8m+6JnoBYTAGyHNFG2AhV+lIKMmlXHOJppJ6fSvKh3oI0SNn4ij63eV6/MBa6QW0+8AO9+
IpARqEbNaD2S9sCyhfkHmbT6FFNK0ydw36s+IUGYshoBAzyuxUf854Eg/fPkCpzkxOe2OGu4f2kN
sGH5KFZKLg6n/Pw62T0ZAPvzpTxjgMmSO7kpzEgp4md2tpZUb6Hv9QtlMBUfBGgff4cq7XF0eeFc
0UxOwUMxPkMR45hiwMbcCRYJGPQ2DA+7mym5F2NUhKhewf19syiH/CzpKu3rGkHlnVJ8NDMKbYOU
X7IeE0qNHCfllx1ReXZDPWi7U8aySD8or+MvskiXtc4UKvi3A91icEzAYt/dkGZobMm90F1ipEwf
sX5lx3cXzatuTSqnoaWAlwiOpeMgCEi3EAB1Yf3AnyUMdNKY15LDwZhPJMN4kLGqvHp6g1zC0yCo
FUXTQ31jJQKK6r3F+3mEwhPAa5hiSG0GG7nbcizY8InKA5Z2c6A3UdyBKorMe8lYz9Km6o1B6gqe
fgf4l01s/k02gK51iFdNf+VSx1/X0gSh65A5gXm0gn+Lg8UV8DgfESMHlPgBrsGll8sWI9ClcPtF
UCtrcfNJ1QgnJvvkUEEJCEwC7seWGmcFq8cEvlILZSJcaEgqyTNSbLs1M9kP2XkPTrBlkc+OB7EO
ib+hAtIZkQ+17Kwt7rMGm3DIZ1piw4qvJdo5DE3W6EjOWYJ6dj0GsWZ3aVoO9nwwVso3qd2BVSKC
CexDaLByJcWOnMEO2BLTVGIatj+cRUF/WmWcoTOk+9mP6tRnUbn9hIeufFkzvGGqTRynoBfXJRD1
TYzCp6SdjjIfUJnElzvfjGjRxWM391D/vqu2bQj3AP0LTMIDdP4nulq41msU9vx8BYXwxR2DiSlc
wclbDwYsi1fU1/q+pB2mSQJtrmFPw5HiVWxhORRp4jOLiEkl7hxI5AMKqnaMjxs8ugxnEwlVMdyP
UxrlP0DYhvXeAZCwjzDSdqyRSdEKMK+ops7ZHehAQu6JNVH+aYjEJjEcY5Zoq2UHpljnRh/uCehz
FF6wKSJ23ze0Mw9ZR2Y5NnRefOA3gcDJwYXGMbc9Zz2moLVWBZwZbajoPyEEi1RH4fT030FFoNEz
DWXxgr0C1T0+uAKxfkHV+1zYHnHAsaDR9WO/bryp1dCz8KmaZU5vOdSAfAkDAoSfqHtN74vaemQL
GlPlnc/xGt/0McDaTmHH6P4kp9mhaAmRm1+kBarxKbCUTrd9VO7qUkh1bG8TnnQ8hTFn5tVPIvti
JhRMcyTL5Gs+JWLEtArP6AxObuYXJjOA1Ps1bcCRQsa4JW439gbFCh69jOMI32oHDj5FV7+Fm0uJ
jUEjENEhwR9qW/bnIcah3/3/0WcLf925lWFc+O9pAuyq4+//sqXr+iv+Nvpg1yABeZPGYAFi9A6u
W03/NvkAIChwk+GGQg+A0vgKHfy9jBAl+V/wcMTXwajEIlqaY176++jz162GeUUh6VC1z3JK/63Z
5woI/PP2Ckwq+E+OdWFlVWEr4r9MPrhAqyQQmDS5M8nn1SNMTjLd5bL8v63owC6xf/29UMu4li7S
NIf0/tsU9k87ThDCJMFcjZ14RL8NZtlywsiAsH6cfNRA+aKilyHAawCo5g+xG5Hw5X7/Akmofs7o
yj1ApACotsN0U06ZvDgKjxJgKDalDORPFcHDnmf/Chw0vcXhFj1xez3q0YZ6koAYv6eBlV80Epsh
wRYobI2qujVzf4JxuOoUS3/BG0masmdvfXUgI8nnFB8M/B8GELqHqUWjkudN73L3uE7bkyPL9qdP
ezTpkqx4L+F5nnlFwXMDAoTyELejC2mD7qAD+1BMFSBVQ7teWfU7lFOO4AX53+TMnLYh8OWLWQpg
GDPKK0NnQ1+syH82hhUD8gDe4RkyXIK7W6bZhuCLTylDHfnLFFWRTDqsKIrG+Es15FhEVV401lv1
eYt9MnRcbuMqIsd2ch513/228Fgt8IamA6I8BM/wr6q9SLNHU6XVk5OJ/TViGY7FdzQhFBxjlf5c
/ZL4jsWW3sQlFUND9RZylBW26HvVh/zzMfX6t801f05sqNDd7bmjrUtWtzViD9mPDXXs6macJ2Ak
1UDwmSe7rthtNqTFW9AKDL/fxAEndI/9LYrWOTslJu8vR+/Wr6veAXrsJuf5LT2gUtoE2XCoseoL
iDlc0vIa28UoQOtVbLfRKkHRM3DbS82WqagQJMRQnUVZSQxPIwbijk0oNNQVfmMMqCZblnqb0kyf
sBhnuC3sjM5cFASKKtjFpr5luQ7bCT8D5vY4A/FGq7AiMYpt/lF6NHLbY3Qjfrdtl75JyiG9xmMT
6htgh7Hygcbo/dRpiAfWaEi211U45OJIu1GqsZOK/rh+NUjjwcb/LmcZHWcsSapet7TAhgBJYOrX
6TXsbxzYSlfrwVS3x85RO5kKilJv6ni2NiMYNoGgkuhfYkrGRxr3C4oea+mXEwYdEHxm18n1n96W
35Bj2NHjil7qDkW7JW+xvsaalhi6uJMzVdjY5xVbKnAuVHkV5vWPxNKtoQW8u3+nyAFVrdD4vp3J
KA+IhKFasO8O8XUzRGOydCqyarhFndDoS7Ft089cpPINiyLM2I5QDxtAIazPqSeUuVCwlStDPaKX
gHqjnHssfsJmiM9pJspfeCY4vZlRmcGHOzqJU6QQJQoJqAu+myEaaIcOBJxr4MGGdwj1cJrg8Zm+
yyOOvhBRYFTZ4T89HthKwfGKpiPYTYHdbecKlR1R74HtGA84pg/AN9hVgtIVaNJA0w1Bi7VfV6VI
cQPdga4QTrBsRYIQBUQee8YvKscWhlp7eLsqT2aEOpzbTikE0JdtclA7kabZ0qWxI+Ipdn7/XYAK
9w14bEz8g8bgXw9RFD2hjMTfYgC27C1Fx/u3TzL7Kxm38dn0w5S2egcf2qB0wI96jrFlCZbIxOhp
AbSA7QPXDuNBJuznCvn61M/7kWPMsMPSJdnEjwtKkOY5qQhsgRllOFLLamYfMp0YVt+hvT3fYhcX
GBvbCyc7s6G63MUwhOwjpCGcdZhDW1E71ecgy7BibTiZgRvdkX0ZEMD3kOW3lT6uW9OQ+h6dw1qH
5FJt0FttIgR5syPAnWYnlTszcKUxWlzq+iIR7Dy5C0vgoDerPeTdoRBC1gfBZP8CY5v9wii+Y9Mj
8pWyzn3lPkmk3H2nQdC+IWsi4yWRxgFXLo8eCD2JsLECDvxavq7QTFMT52V+l1mNcwBxT2zw8o7u
m0I+gLA4Bmd2P1YYQH5oz7LtT2kSNX0sTh3+XaOSNrUSGHJGMDQku3nGigtafl51Fh1gSlDBDzBC
XJlmXRjneP9SRTvjD0HxxOHZgpXA8KqsBCZ/1g/KIUPIsQoBWMuqo/SMLRJix4Dmk+hmKiONAjpQ
tLmoU/z7+8vAI2k/sSFQ/EhYDze6AoUn1qcfIpLzdNnSHMsOUGd3UQlMoUCR/6SXNMJ+RAxCCmBH
ZJNjaRk2SuJEAsK1ft2rGDArRrJ4Kr8VAZMKDmcmlud5oXvawiQnx0WFTNMzuG/EoDsyHRwlG6p0
qOnLid8yjiV2F9iKtHiKNkDLCJwIVgWiQljatykZpD7H4CDSc28BUIG++GtiuhRxBV5AYMavJ4VA
9lmueDsuShpb3KCzg5S8hgubiN8YupfqNaz5FnfKVFix1c7aLOLX4Tayvcyw9ch9mAoU97JsTrAG
YAKra/BO6mK4myHes3Pv5qn/GktyuLaKMRyeicj0hD/9ao5OgvB63PcAe24oEa/f4/zd9z/bEU+i
dZJN2ecdzck7P+B8/bQfy+7aVQ6YtkqUE9WzrKpoux2GPv81J5SFNtKVsB2acqpoN8DE9smGlLxj
MSSzH+gn9MNP/D8TTPae2nFhdzoXBbmR2B8qsKQsrlC03HGMYjlBUOj8nPGoYBDpZkNNyJqBsoPe
xkf4jWyW1nB20DoWfHrIowhyASplIi1a6ViyN1VHdrHjjF11YlpHih0BXGDIRYWv9wKKo8/YJaP+
BYyF+r7LBfvgsOZrhq0z8o71w/gAzeA/Mo0pMmw4ttDIidYTVfGBN7kM2F/h1aOBj3AiFlskGkw6
OHOjmXbO7csNzfPxjE2joVYgHNDbCfONc/r4BmQfqzItbP223LANlawgXUK2cYWyUxbdq8QjqP9P
9s5sN25lzdKv0uh7HnAKDkBXXySZo6RMzZJ9Q9iyxZkMzsPT90fvU6eslI/Uu/q2gUIBB9t2JMlg
MOL/1/oWFJqVFbuD7zriCBBtVVAn2RnSGC41rRk2fWP/kFPa76K2tTxbZSXBLic3VVeFm6Qdf8yd
0mINA2fSBSnFsKHsnqpkLK7dkcZ4YkfarrbM5LkYouDLmOZIuLlWnEy9U7g85AzL6CqYdT5y+sQm
U8lwDoa2TfEzETs8EvoaPEc7+U1OUcizpGqoq7pDphqYbrZR7Vl5AYT5nWnSXI+mpnhGa2NmqM3u
io7AgCVX0RtWq6xeR0Y3X09lhsFlsuShsiAaaqJVXnB/XToR2AaIWDkHfEM5BYDuPFlV6SGB2niH
Qr/ECmmDh2AVq5Ot00SvXWF2kDKAzaKJMBH1urE4trSIPd3MHlOOwJiJ6OsOGH5vJZRZH8u0va9q
KJhJVOR3FMGnq0BzqqsWhfq+yKhLUc2y/GQK1U2kujhGqaSuWioUh6lhxhiqiSnVytT4Eknf3djS
HcQeiogrjIQXKFT4qoa+XzoWIdrFtvbxmOFP1QvVAyuqX421kK9FOQU3wdTYi09BX8Ewvo7c4kFH
64cNWFEQ8QWv5iTy3eDGPW3d2edfBsbi1GW3tWN1esyCca42kWt+FWxxEUta474ojHBpwWRIF/EN
5sJvFcf61rmBfW2MfNZttxFXFh/OrdSGR3us8y9TT/1sSDvjkI02zoW8Kn9ULiIXA2zIQZ+zbF9E
GTVOjGjRwA/3W3y5qzkfinVigLhETor2w9N168EFrRSvTIm1APu0lawNSLCveqNjvTT1wNc7gcoS
U5JKSSd1l0XeiH1XKi3tfF1FJQOoqv1JqbPzF0jIusKswCdEe05SYXPGyYSvpKnYCxxA4HWNQV3r
7dS9JlUEi+H/n/X/OusvPOx/f9R/E/21lAaWP/7XOd+w/uGwZ9JUAk5I2tCX/J5/QgfAEeDDQgFj
uFCxEV3865xPJArsFCHQ5Kjar77ov475OqBu3APwC2BLMskZ6W9AB95y+Ww+vxaVAho+0DUMtAJn
yAGHgqIG9IRel4N4aTR2eZkdoLatkkquzKzZVPH9bzfmDyzAtx3Vf47oGtrS0QWNuRQwfu+oSipr
HMzskC6ic2Go5TYP4r9mIezGP+MGF4Lib7WL/xzDol/rYLqlift2DIsDbR+48C+ln+yxPGa6b70G
B0Toq9O4+smVgnB5qVcHKqv7jy9Pe1vL+DU2VB+bJyscOscaj/v365syTULeCjA+Y/xsTllgLOoF
aENyFYaKb6pHUNFePr3+3XHJx2GWCdZW27Lpjb8dFwTVFKUq4xYtBsWg3Cq1dixD58Iy1sII12Mi
b/RMbB3rr7yDf3u3lynyX4UiLhiGOzR3JIwWZSvt/Ga37EmhtgBGK81y6QSDfDFsuc76/r40jMHH
Fic+ecDvZi1DLrR6brFO9dc8m0MxBfscOCTYaTl9b8axP3Di46jUKde9aj/AlnJvmzxJP2HX/mFY
lzFdthXC1Kj+vr3F6thXdhlT4QB/mADX0/TvKc2NdTCm+yEdfMM9mDBwXj5+su9eGAfHrqCuR7OB
ILDzB1tpUBXTKQToppjNIgpvs6cpc/LxL8Tqv32O2JLOnyMTaJFhGBo4SuNsKbDCzAKFVCRewD4Q
k/EGLgjbzuKC4+8nN/JtbXGZMngCCJ1TgcharIlnc9UKezQdlZ54hY2kaj6OgMbM+ZNB3t+3ZRC2
7fiw1GUZePu0JF9hSJsowuM63sStHXjNMPZ/Fbf/7U3745UIgA4GhFXqpWeD5BTl664HYlJHZbBR
etRP4yy/GYka+R9Pgz+NRA+WL4mJQ8TRzkYCZY4ZtZuYBhymWbe9tsw8Xr5PLuhPd80UhDywh2Ie
nINaUb86pi5LHPh6dG+L+q7K5CdDLC63s5mGEpG3CBcrj8Y4v2nKoHVSHXkyeLlqD0O1fp0FVbnr
6/KOw5UfFoOb+hjFejgNbrqj2lR7etGpt3rda7o3tjAdRuygn/ywP9xineI6QgDboRStnr3fuaIZ
YRM6iYeHYaVjum2UbGVyZvz4Sb7/PDnonJb6/YIOslAYvZ2ZrSrxD+Dh8IxxQPNpjxvQtveqy05N
TYUCpK/86dql9YWSA4ib0mITi9e3OWB/SS9B88c7ylNiv+iVO7szXtvOQHZKPQbndqf++PjnLhPr
7fou8DGiiGGSq6QmnX3QLFBiGURo7sp0l40/7OCYefrNZDx8PMyvD+O7cWiaW+B0qXBYZ4sCrNHe
RXuSeqK3Dp3sh81Q5eMRjV6iYH1tsIrXDSotEgVG9LAGFqwu1bt1TTFnOykp7B81qz5ZFN8v+ezZ
oDstuzFHt8+XfGgqOq7hho8bMDt6zeE11aVvabvrxB7Hg7IrKk5vH9+JP0xDg6w75iD4BW772Y2w
gKqy3Gsp3Q7avAPlaxQxh6BsDx+P84fXkG8Kq4nDpVnvVhT0Sg0ud1wNKeohGhl5MGzy0glu/94w
qIn5RrNE8uUkPPd8Q5RoCn6rnPkjUa6f3MggmwAB2CcXc/71Oh9ludjfWkhzWgYG+EYuhrwHPzJI
JsnK2brQe6NaZ3ndfTIxzh/S+XjLf/9tPI65cYimI/FEfWVqF3P1qH124/44BBZD1xbs9i3zfB6U
aofBjyHc7NIq5lVOZElp5p+tRstq8/t7x5WYpopyiUakTufwbDXSU4AwSQHTQ4hwuGzoyG8ztAVf
ejvqj7DqGwCMDcqRGaU/MA66gGjAym5uPvkh5+vMr9+Bn9peXjcagWeXi7NSKxrYCh7S/21fCA7u
AeLISBXU79V+nbjlJ3Pm1zfz3aWzEWExpp6tnn9THTEYApMa4Tt2N25NioE3OZSmVWDRFp8R59wF
jSv8KQ1MvzKAPBmKvhnT6DrVQtJokuNcVDvDvtEwk963VXD8+M35wwQAf+PwmeB4Bh3jbI6J2eRs
ZA78PEqzLwA+0k3pNnwKg2C0Prn7n421vF+/zefKMUq0Lqy+E87cSTV+WJO7GePyk0taHuK7O/7b
JZ3tYlQrHyIIUSn0cBeWSyEPaRx4g2We8JXcTnqEa6/svuGczvyPb+b5avdrev06ObNXY+9+NjKs
nlYoBnJSYSkoU2orvcBx99maqr17m/h66a6KWNJeLtM+u498g2lcxzrbmjwaacSSKMOxbykfesCQ
wKWFD1CxUL4Vh76LtliHPlmY3h1A2boTYY7qBiohEEHnbCXEWAQVxzFrbwzDH3ZrHsGk36klWN8u
j05a3d6rne7jZ17pdbD/+Ca/m0VnY5/N2LbsXTVtEIbVxsvQY9xTwBU6zidzdaExvp1FZ8Oc3WTi
Y8pqoIzgVcO0tu1uZyPiaymxrCxdHizUshBn9lXW7WmRgggpisin3bz9+GLfLVjLr7CJKiPsi+7N
+QEjpVWixg2Puk2Ta4pph5hYGuJk7nBFroMS+97fH29ZBxx2YSpVm7ObS37NlBrAjD0IJiuWjC1G
aN9iTuE2H2mafzzaH2+yjXxaMJ3pu7ln8SWR0vdNE/Isq8HdRTI+RKK/gX12wHh8oyXulbQgKdDC
vsSYpq/khFyNbu4na/T5BmyZzbapgsa0bRsg5dnXCcXqgHdKq7w5onB93zZo8bxZaeyTklZm/VhQ
Lpd3iHvLajNmvRS3H9+G8xmNSo/gGO46o7vsls7Gh4c1gbHjLhT5SUHp1ZieFYlP7vUyX39fFZdB
eKSuoG4D/ENbbsJvi29v5gVHjuWQE+/zFH+kusZMtIIc/snW8k8DuTxQnqjJxnaJOf19IEk/LteX
T4g5Vmu47NuEztoxXZK94iD5ZDH4w2AIiCCqqprGofF8Q5+Miqk7WctgPX0BjEe2sWnKesEqfHL/
3q263ECxKJ6IGaH2xtb57XXR8KevqKkIUp/dUxFsrPohyNc0uFZFfZGN8cbB1q2Vn9zNd58UiiQO
dVgKu9RoTPvsZFSAOJvblnNJOg+XvIHhCsTB14/n3x8WGZQn1IZtil2Uis/mX0kHr9RHrgy15xch
Oi+UEQJI99ZSy2fwB/+dS/ptOP3tjRxoX85RmNQelnHiktLqMPbd3ceXdD4vltrS75d0dttGZCIU
okgxZNclVtYAnqBYnOGs1HwvPrmg88GYGaRMMg3ZSFNzPp+Ece1CzQ8oM2RQ6cGTV+oTSOvBKxC2
+0GZKJ9M+vM5sYznLqV0S5gUJs9DICNj0Gsa/rXnpiEJj7MKGMHU1h/fwT8PYiFP47isv3MlCRW3
PIBWkuY0zNNtlQrfiMzpk7fqD7fOhYSnLtUQa9mXv50LHc+oGQxuXeGc8v62GH6Y0W2dPX58Lb8W
t7PFj2Fc06LXAbjq/LOmwo9MZTJWnp4ZG8QAj008fMvsll1hdjCS5Jot4wa9crmCwb+ya2cH1+1S
tzvPHZwHveA2Kw3aZLd0r200gp/8PI4BXOfvPxCzE593nb3cYtMX5z9wUVhHWR4puIArCEDNpGu+
6DSlfu1mi/AgyDuOAp2TYCLE1EF5V1LWInLH6oQBCSOQ8NHxrgvLg3AhTw6kiegpAnOJoyLRCvsA
Bg/oAcZvMd/psz2SrKgpz1Oh2hfGjJT5K06ZIPKt1ixPAyrFYBXLAE3RlGBQXWmN0+3SuqqvUbHn
pGM5sX4K1L5OH1xtDjW2JN18OYzuLbh/Z40yyX6wHTW/GfRocC5x4gzObgIf/AWAXFNuGywSN7UK
gY9mOgosa+7HR3XQe447szOhG8vz/Qhxaq1WevAas2l/xkcrr9B32MfEFnKlpC3g5jR9FeRWmPsG
k+ywkr1GOzSM5hAtRmlFXlubaoomJgwtNOJUuTwMxXqFYRmYByF76bcM9vomdjX9gFTEHta9WDRy
gIP7Z1W6SwRMUFwGuhUuKRJyrg8Qc4zrtCXLRW+ji0EEwWFB/GyyFO2lXtXWk6qg2dsJBIGXqlaY
N+6IcGpK5jvsBO2xItJ2TxQU9lPkbJsGDVNASkqw1xqatoFeRuthKKJ2pwCtAtQqMsRDbVeiOehM
AhSMGN8B+pPrNkhlt85FzpTmifrapMzdXRgU+oNoxwbE9RxLsTjOYFqhKpgvtFSqEFf0nBuXr6El
d/EiYR8hhELFG/LpMCwYBGANwJXUapvL1H62yqzBnNsCGOzrK60JyXgCQhepU3WdjxB8mJmLBX58
JWSB6kGU5tDvowLLHqgmKaaDrg7Kas5M64fMsaZ52IdWaTJnPqBmaw31STYIA0LjWOV6eq3ZinrD
82pPIyRX7QpIyHehYolSeWgYwcKM+2wWVol2rDwYbvFq9CMw1sS5LpeaNXQeL0zAbQ30tmEtqeZT
2mB/NmLrCxlhxSXyDYkMdvmBMU4FUGNyH5f2rHkQP/c6aT40/8kGJXQK+C5OIxnimbRdJBjpA3wZ
/ACy3Du9guSqM2+D6CdaTMwQajgpz3j2T1PJM+bDBid2Mu5noy69YZ7kwZY5vuAJGUFuT8OhXg4T
6KucC8kfFYHs9FPsNqQLleXkzV1UrotR1TZgM05IueFDWZO2G3LKk9nAjqNaQ2y/h2TQwxREjeiJ
cCmp9/2qwij4lT59vGpE3nljUL0YaDOgdWfyCiTufOBYBt6HN+wH1D+QmYgnzUNQf0W+eUHRX4Mp
1hah+2zjvBmC/JS18wMhfDJYD502PAA0VYsbHWlIucbKXmwwnHe7qHFRqyhpkd4NCs3glapV+l2n
vpqzDgIR8QASTd/Joi/IWr5heuWMzIaKfMxG9Xn07X1KHfGiSZrsoQnM2NeqxFrTf4vSQ8vSVvUI
0zql2nSKpb80sWJtCANy93nIqrAOAV+oqXZVowAKM6gS8KQXtvFP6IwXTSYOBVkKxFKs57bhBUpN
FFdwqdc94pJwpaLP8gytzD2nLR/DPpO+pWv6Cl0eSuGkXsc5oBU3c/j7w7w1o2hnOs26mOGaIoVC
fv9VdPpmAj4E9NvL5njTm4UHKfwJ+YavJjHDJX6GlPJHBwW6pACya4jzakk/s8ZuJ7tdAtMU/Tsw
YqgWfeDzIVj1kL7aXS8t46katHGRXzyzjvkuUpf+oE7hgUIaqT/q/Go5rWfGYM1lZj+2+PWOcNNH
P4Thu6rw/coNGD/tu6YORD1Z+klhXhxgycxXkD2tahMnbCzYTlCUwdnbvDRJ9eKE4mZWs2znkIpM
Ag/esJMEJrHulUSr11bh3BkhT7ohGPKUdDPofmeY501XB9XtSIwwz9vAcUtkkHqta1lGEIiZfodd
Guz7KfjhNFAF8rC3HtUizHazEREDEFy2kfJYCPM5KYG6OAitQ8e5toxiXNuNsQunuboWaV/dVopt
LDwJltdCIbktrEZgSyh7XAjDuFPzQz2N5k3u0uPQxoVugLgNGrjN92HOgqcWxr6HFTHJ1nkB4+wQ
UDTZEru6xTUIkgKoxquZy05dJ1M8RfdFW0zXgFDHraLkymVoZYG1nSGQXJAORFzQRNSPFze5iRVU
P/DKhZeOUxIjRC4YckCvjRLMia0D81jTXppufFL7EcUVzUpz3fVD8OLaE7gTPMDzdhbiOjNySTUw
R5mVyiPm2GnLkdlXxtGnFuHjIz5wCkMQLDHvFpztctPrp8jrZDPuYvwf7QrenaCD0RHQYrH3eEqy
okTEB2XNvMWva/ysNZSTlhy6NefjtVpbV4YaXVF+3TZBs54J9UE9GlQkEx/jhq6EdC0P82i5zzKi
jb2Bmi4QRau6rae6O2RRPQBKWfgy2uAkzw660ezQROMEfVmg8ougja7qyR0zXmheUcyqer2vBQkT
Rv2IOk4chK0aqw7tJnFwZBC5F0hi4Z1S/VwxmdXEaxvIkqhDybqDg7SKonkXDeF87/RAO5JMVu3D
XA+EPeUL29RrHKtYu6E97wLCrHy2Pi+hahQvUFT7xis1+cxK9Y0+mqRD0ZqN747udBPqyrCbrbw6
ZoCgbX9Rf8deA6fkSIgXBkUNX2LNEpMOGarHVIdU7JTYAbQAvdaolFejPal+KYzkQUnhNK7yPiGl
zu1sKL35AOFGBUq20yu7a7w6dMNjQojC16qWw3Z0xezySRFj6OtwdxqkACRC+n3sVgImWvlEdLKX
JNZzQ9azb+DoHFaAUS5bXdkLWd2NjlZ+BQTYbjMTQZq0FM3m7g3Duo0HSDxWjo2ywLAG+enJSNrq
CksxaerlgEk9EvnWlqnu8afCkzYSOIbGERyJgZNUwzw7ryDPyA260YdGEFzuV4NUCa9zk6sW6wcO
wzB8hpnGBiWIHdbQvNrJtoiAIor5izlNmEcbJ9lZobGLSF1XjJA0DocDLogmp70M0jF5ySfQWGrB
Fpxy9EieVLDFhX+BMrG6LaMQUjaFQL+NzHSXd1F0CVVl30aqodHGgEky518IyNsPRUbIX5XeAJ6+
x+nbnJDdPeVKDJalMDZoxRu6DiMiwZrGhwIhPH8OZ+4Klj3QNpLvg8eaFhzJg7R38JZPbh7dOako
/Xzq2B/2aa+uJNkit4bW9zH0KzmgglZshfAB83YJLMRQoKgHcyrrC0ePmudsGm/DTLsxgvFJmYzt
YGdtuINgThxouxZGwZFLFqH1LR1Ak6yD2lhSyADGXxsxH5s22Nez2V8T/gQRPBFQ5DBbF/X3ISqq
pzZwaijKpnqqmoIjTjPL+26WF5PS5zUCfnkbxyhM9bbdGmlr+2Up09c5UrddUI/PUto55krc71Bh
zMdIJGRUqfo3u4t/5sQOXkb6GMo1ik4whrBV40QftgCejC3sFWowafxoGGQfkwGQ+6g801XQQ8Dp
huwClJE4hcSrb4VAL272bMdhuR5hPFy2tb52Z40PG8fOu2qOKj+JR1ADirT9pIy/WXXkWWjSX2vb
ohAJ2v2Ud87BAssiHVKOYNRY6GTMrlS2bcJ+IKuM8nLQjGLXl26/sZyo2VmaU/AddmrfVWwcuAPL
AApOkNpW7pWRdT2NUPxR2l/ZmQWjZkqhQosxb7cuXFlvkBkfbsh9en9hiL6MvLEOttZo4aXV2tcR
o0ZFQgmR5IsXI9+mRjuFns2h5KULbUSvYoDJV0XDV8wUri/i8Dt0qx6FMMJ6YjRvXXg7AIxgSqvh
nF9WdT2QO6JOeEyDKN3XndZdVZJNFqrj8URgewhuSY7lJnEt0h06tcceS7A5PX56EeRNRGi3NZjn
oCR3Zsx6ira0rrwFaf9KKKuyr0fprvukSkw+m3bUoh1lVQWSStG7ijFWpACaxhn0AkiK78XEUb0N
4qfUDUjlI3Jjg3OMRTyNernJ6g4+LuAOnyYp8tgyHR8LSJUrs1SgiaavJQ7bGyJsII0Zg5ud4pjP
5K5lGY3INxzYh2otJV7fwqkfkj2mF9/mwXWrA6fmILzAuyyLy7HQp7lkY28U+S4VsXtLjAHyL46Y
BGJ1mtNnXhy0eQrCu8PiYpCdUtnQ3saxvUrz1qbTjq29Rd+a8tsmzU2tW1gJVA7p5vaaH0+EIY2j
kekHKbGIXJsaqTaeEpFPhOsvd8D3JK3iR7alrbtsMqanuKZQQ4TKwA9IFLdZ0Rsm37x17BX2fRdX
sKUaAe4wHD5bwJNDtdUiLalXRmfLb2Ty1hgRIXOzPRJq9jA1BJ6uh3GaHugdpsYWpIf7ExxL3/rY
DuVlnxjRtd1k7Z1rhd2XThcBBIN5isZLmfTDgT+pKV+H0AnzLVRO5zHKZzzmSLxH43scS/eaY0fJ
qkxWsHFiQ2IPj1GnF+sgjAFRBLECY7QHRRecItk3uL7laMeXpNZa4bHERiZ8lifJkpSTgBO77aUs
EbQTz3CLFHneK0UluJb6Z91iR4tgtkJWyjloYbITNfiRtMBYURZ9113Q6soKT5GGu0VC7G5j9mPt
bpzj1qdAiPpdijBd8/EOLGaje5xIHbhC3/Nt0JKLQtFaH046SnZNKVpMNW6fvgx1WD/E2oAHo14w
7XR9WQY7wIuibM3xISYcZ+i3MrhX3Ls4rg+xBbGhQ7nMUgCMhWrUsOHDJ/voWEYIVU188RgkE+AI
B0o5+iVH8/DA17T3Q5NTrLrV1BuRciyGQJeN67w27HwXzb4QXhgPHNiURvODSCfcQ3Sqj/LauQwm
UB6botXWGHfmwudGH7M4uDBisZbqdGHUT6YNqs315lqLN4ExlUcQITBn6lrHmQjUHgTAPDPvjm0k
yhtZ4HOYrxmwfB50TW6GPiH/iu1+OGscta7m4Kl2fIUyuTleTE1HSk8iqPAmNYr1xPxOwUPxIDGj
rCdVDwNLfBlVags/hQ+YsyKUc9NYA7GsWgBoFCAs7sRY3fbjrP5s6Eh2K8Crge1Rv6yhCpMMm/Li
TTS7+/qC+pxxa+ha9Tjo1YO8oCBYE3taZnwtJf96nXhL1rXSmpe60cpMhZze+KRrrFNdO1pVEhYs
54QtbWQwRNomU9PgFMMeh/gAMoQTO05GNnuR8l2He2ctXDNyMuGufEfZ0K2SQnoTFN1W09ZDT4rZ
PJGYG4Puh427fHsgCoCCkMgf9sKdq2wdY+CDEiqXGNgU6zBVSiu6mVSIAsBSyqi9yoVyiHT9qztP
44sN8tAvdbIcVuEAdMFjQnK4sQvrW5EqFF0KwrWAITqiuHRSSKEbZcRlTCxyTJiGjnNKzabmGBKM
SkHHCBATRio/mI1btu4q27xvp/EiJanBWdmFxDSi7u2awKhVbJKogRONGX8kMW1a4VK+rxCwyvVg
mz8bLFBUc59aaA3qLs/byKZkhdXERgpx1HAnEK6L7zrlPblnTxretq7cQLA0iUKKArHXgZkQi6Aa
J4guTb3JlLBygOxBsLw3rdIkIaupiFp1gsFv7Gathu39aBXS+k4kRXCZpI5NBQT+sMGX2dNnoZNl
lDesd0Bs7SJQ9h3GmzRtiP2N6sNQ9scesg+VNxcrrpTHTjXXEFg1f+qcJvVFO/cyhLItyApfleQ0
dUwckV5SOZ9bvw2JDoNVLa4k7HRamb38pgVDMnoTO+2DXeQ69YQUNS/FBMzfUZ+Np75IWRWdeOYc
ZpevWRZlyQ3pyOqdG9Bz9rRmhidKiPBTiYHocoQ4WpzSQoWj4rZjsCferNaDFRGLlbKyA+JgD71o
1EsD+aazBtlCDuhY4zyys3D2054N7ialekEGI/S8+yh1CTqPrOipBCZYXDaRXiqek2aVvg6JZxtO
U9CHyXbWJxsqvQzv2T5NyhqjH4wacxzNVzWd8mENDa/xe0VPfFD0cu+SYv0SmNZw3/DR/5HB2VW2
vaPkNzP1bzamfQDpVqYVpweA08tSkyPIn5HDRWG2dcnifEmHVr1wtSTcBTOBJnCX2tKwVhlivj2N
EWIpHI321SZp7JHEGGrX2KxvZWtHwcimaXb53hF/id2//TLEhsnJSzHHRnKCamzW+JWKbQk56iYK
Zv4JNCFkToMssQIUM5GUFAbgS0XX7KHMB2ri10YzFzt4J8YFmBZxAgHU+VpnKD7f0CE5LOi9e/zN
BNs2QitJF1F7x+R8Bt1iDRyKKvyOAF45YHpNa32ulG8gKhVPgW0Jkgp3rMgIZ6+yafdxof8P3Y5f
okwLbSrST/us3a3p5gxUiZ4KKCdSYokWZQ233PtgvP14oPOONvPcQDBA/oK+YBWWeIjfe7AQU1vX
7Gl/0VVoPTvBHpdryVMaWU8cWgnfiTgYiN78u93KX+MKvCh0pfCbibMeaYTZBAwAnak+z7OtWofp
MZ9K+Um//rxfuYwiEBPS97UF/+/sNmIjbaMo4zZGpkUuAM7OXK82s+1sitzq9y2U9/9Om8pBl0qL
1EZqeNYhjdq8qTrebM6IWr6TBWW1fpLFHiKq5hnojD6ZKOcSpqUJRDoACR+aiYZZnF2hBg8B3Cgn
DgfqmxuCxnOcY1ITb4ehe4AEAAHme5tmzx9Pm/fz00Qt7bCDMTX65gtD8fdpE/OGVqld0z6X+Zan
64/4QUVj3Qat80l78Y9DmQKTA31TF+vB26HGokr1fjlN5JRuUiq36E20mq3wJ3Pl/ZuArAJlKJMR
+gdP7+04BSVpt5GoEZb4BVopfttJekAzXNEIUpu2fMU+mSzvVMYLMZKExkWzI5DuuGdvgTNY5ALZ
vH2dZhqraSSkO1pyQrDkq5X60Gjpl6ZsdiG1RygSG0K6f+ZGe5sk9Bs+fqDvrt60ECsshjAMENY7
LUavaA0ZAMwjEXO1xk1JwCrl/JVRs5XKdsVnppl383YZDzCmjY3EZqk7m7eCWrRalzqVvXV23V7M
q8pH7ffUbj++rHcLAMMs/e9F346N1D57HaHQ9xRZ2I9RsipW2Dzg0wbTrRTKPR+K2HP03v9/G1F/
O43cwnBynUK7Z2U/apjGfaZQ46RQqLSbJP9Ua7Lcp9/awWjhzUX2gSSXRZwO/NkMQqpUtaGDjkWW
3UGzgqMBRF2yj+QIU4Y7fXY3oVQ2kTT/mjB/iyF7X+b83/9a/s5LKac6DqP2l/3vv/7X9mcJeehn
c/6H3vyd5n//+s/46ZYM5Tf/A9JT3E433c96uv3ZdNlf//4//+T/7X/8Hz9//Sv3k/z5H//zpew4
3vGvhbCn8UX++k+LS3JRzHxgqmyjuJRvAUrL3/jLV2na/2D1RZuPohxtB1ai//RVGjoOSSKW+LTq
6EwQSPzLV6mZmDGZmSCX4P9hpmdp+yc+yfjHktWELQUaPdooBCN/x1eJNudsmiAJdPlIoLbSIAvy
G9/OyoQyotpaI8zmVCvtA+U9AX5QVKhcIj2sD5Qpwm7lUPAnZRGMQKTaQAVm5UtT13XDicvU6+cq
qhFywgvDjUOtqtPri9jOki9UaProQBBARJzLWMeWv5CTQOBHnNb2BCtk8aHuSsJ0ojzRzG1CT+cL
nfngmrJ6mnuIvpesETFVPRgNLf/RyiL9SitDw5qcNnW4TUiivIsrdmQ+/EqoDHQOJQpoR7LJzMBL
3hiV0V4HYYYwYsm8G/ko4RFH95qKiA0aHEiIELK+0N02FIdkmu1slYVqLbYViEztoYmTARQIe0wo
TZObAbFPizDc12XrBpRS6jDcjLkapgcIMK56KoiEqLe5sDHxp0GBuhZws0NalV0XQA3Ye+a9jnfd
MNxTUrYzVdnBUaEyNUE1DXJlQUEcaPC0dQM9albxn5O2FiVrUdbSopZXEFztw3ZDwEBqYxrOd3ZS
hs19T3FXzLShoTg533WV0md3QQJOq3Y3PYEJWUCzRIkSl7wP1WqGWx0Hx1wR6BJBAtyP/YgKYoaS
aubVfDuTXJF2JIGoFb23tCnqnnwjIyYxi8y8UMOVjyVok6IfJd1PAwgEErcycJACR2wv4i5Lv2pw
dBMatHZUOdfDFGmo1cdo6lYqZcf+Lsx4X9bkU5DBJ0aiXG7LqjLSKwPkf7q1s34gsTJLasWnRzgj
jWX/BGG8BklA32QuURPFeGH2c0sdCqpVOpC2Vw6VG+8moXf7BhYwwNIWFhYn9zLu/ZqA4WFthvVo
b6wphDk8h71qHPQpUsurEhy/tUYxUNy7kE6WckfaXmOf4G9qBnOOfrxt+rit7GbbhrNzHTXNSGjR
wOcT/UnYX/KEklMs0kLuXFKxIdsY8fhsk1NKs6l0hmXeWkEfbyx1TMZ938BlIZ6go4PpOE01rAc4
jvp2FK0IuTOxEaGK4LDvkywz6l91BRGV78QYECAk9V114Y4IXlawuFCXUFIJZX2jubV96yI+jndj
z9mGxm0QBNOqJ0xDeyAahaqyHsWDwCthZ3KTUmXp9mFGaWkfkNuZUedoCM69gsHSDADbY85+dLeI
ZwiXJn+ir5PWdCCpppzkThMw9IxyeZuZELJCAH8gjYSi4GWkQB577Yjn5TQT/WJcCV7+/hhVeRhQ
mWlF+aIl0Gk8eFXWtQqpxvWMaA44PqcmVA0rr48aWI+jUmmD6Wm95twQC9dlu2yUvUJNuFEuItem
7T6UhiLRYnTS9KoxRkNJf0C90UORLcDQaILUEaYjx2o1RXdNJdC565xJ7GjT1d2q0+JhRuMj/g97
Z7KcN5Jl6VdJy3UhDI7BASxq84+cRYqDKG1gokhiBtwdM16nV73op8gX6w+KyCyJESmZundlFWZh
YRaUiH8A3K/fe8530psEb9eRq1akw9PRQS3gpUMNL6ZqaQYR3p0e7KrPTgOPhOZNUTAX3OVjz6hT
SqmeEFDM0T6LSboF8RuRQGnRzT0Le0x7O7I3hhsJF+19mmcpOWgpD/5mEMRWgCMrBh86h4+qoKLH
WG2CJkyIoR7mzy0HpWIfwlcmgiJrxUQ3PuZZMOTPs5tFFaxi2q1P0yI0mBQqxE+ys+h1aBET/J76
0bRFIlecxbEdZlu8YGRNDDNDItRcJN6sWqXQ2TdR7JCWWwwjszmZ2mdLYuCl8oRUr1RJ5blBC3U/
1OTmntrg0tKGJr4eb4kTYh2hCz68SKo6/yxzKVDBfMbEw4H8uVLC1tNeDrYkLxVbJT1Okc9XJNaw
GTi9zSA0DGUbHlMWOiAwgzQ3i6mIsw3TTpqNcU2LONaN0uWiYM27rouAdEw6njxQq1wF+GQZiY/S
6ibWCa+fb0BxJBZ5lUnsoWhRTh++Y3iVDXpTluSlbMAaIsdaJIkLzVZF9uRPhPK6fAWmaqXCo1d5
7HShHKMPKk8wzMYdi9cmcCycN6ILUyaU0ACnYRWeM+6C45aiGLGkvMnyKOvcA0wLgnsKG9zyKqyz
PxirhLRDMhPTTel0TrgdIxKFCJzwxLNjG+CeELPb+kyV05oX4rjsfgzZ6SN6XRCVtKFc8QxrajFH
xzADBkWiup7QadwpUHen0khASXWMGgjLz2YEtkGID+TcS+YgaUE7THnNsCfCFrs/ZE23vx8jr7+N
ifwEslWW+ppHgPeKsp+Ba2Ss4bQi6S/dQEpoPiDBKSCWTCkSYgEzptjnThL157JfCgZKfqb94rVO
syA85d5QjM7x7xaA5sthfZGzKUg7AQNH+FQgy4egaOcWuknawylPfUtd2Rm086e8tXM+XadpKlCB
MdN60GiLIWkqp0PWZLuqXHL7oNIOgA0xtFO1bXNl0RIHGAvxfhE5naWRttDGVrHp9rRZkfShQZmv
Cz48suGbdXRrxZ2IaWGQWAVEqSg/8+fmh2BAtTznFj4yBzTb3WgPwdXYlvB7olHrRzBIzkIc6hS4
0OvAum+QCUSv5OctyQ6TWn0V2WN2GzFjuAaZrcgATqLlA4pL7xMvdfiYW2b5Gmo8oBLN1E0pU3Pn
DgqFROJORX+oPLZHQsojA0gdqwIyBScbeNVpE0l8KtkIqyHC4rBpXXulu6P8J4wxSpqW5K3KQ/xX
TctF3ALxB6NdJSfsqCStL3IoDjLTDHRS6XVnNW+l3QZFYd5b/sQcIINzcREVDjC0NPSbBzQD5mpI
YBVvGP7m75GFts9j2/rvyROqPOKMlEjo3OWx3kgkGGglU8T6pedH3Xaox/oISmYkdxxVfM83whhx
k4F9qg+2WzbMpTJ1ZjFngdeHnu65W1KUqFDhzSMVWo/wDhfmFxbYia0YvH8BBbvo4DeHsXmXBoqc
dMy4etpyn9BzExGIni1303gCijNjsiHa4mJ2iajai1DZX6ROC6Iys5EmiPEjoIThPAPIq7Ss7xY7
Ib5sqhKo/nkVUvPUddMhIZFGtscoDWnSpmaQH21REMCD20LWFykP6MpuNDmLvdWjDao6gRhrQUQG
+TeKkpBmdofUAcHhwIwNWFPuCs2vrVLys8NFFsXWpoBp0YD0FdoMSyQdbunFejY9iVrMjUgN2WCP
lSVkxZnc7gouNPEKTDnv1+vTrp1AXcFR58Bnb0t64eDtVEyLjR1D9y4TaiuNWONcTaJWMk7VgSmT
fDfFbursOpDlxAvkEwzQtKmsyz5ojDiCCPCzo4wWanNwnpIpStrbaDtor+6INgn3DbmB4aGqLOZ1
sdfibfYpFi1WbI9PbNM5iwv2N+/9l4a3ZN+OU0tqY6mn+qHxxAKUOPa8LDoOoAlg/pEGb78XDh3P
O9N6UbaTTdFexE05WNuq69SN1Ymo4u2N5kOky7p0IZWGSXsg/hSK1yYLGgsupxxVNl3qNaJhRaKu
xPp5xSwzp+yzxT8UoY5uzBKF7xJTc49kaT+9j+XaSG5cJSailojR3diUkWJnMWzFYYkVn4wCxsFU
C9qrhp1XtVF/SAY1P4RJmalzZjMQ14GTw5SWFfkEm7xRyWdUuqSwznOJoicL4/KII7yQOwLtSKlV
lUm6/4ej93/P+BZnPZj++zP47T/+V/M3Og7/+N9/+1w//+3a/OP/1F8y9fLtKf7rr/j9UB78xplb
BCQOMzGkQRrR/fkddiT5iXCBZHBc54CN3fa/DuVgkDghRzTBaDpSH/CjfzKN7d9wbeCt4x+cNnje
OJv/yrn8LXuBznfEU4Xhneaf42Ft+/5YjqZhmmvdk8Xr4R/o1KldLy1FnOee2GVmLot49aCM4GYV
06A+Pg3QFEBnXVL3bMATR3paEVT39pQgc4RBKrYdksdPHKQtUGoh8H+ZdM7vtx9NnL8GGn11+Xzb
c7I9LFSCVgb/tSV4lu9fdUEicmmCj4OP7ouBrRDXaZbAAumKNr9J3AJYbzjUNx65Jem2IkT3XRlK
/co03L10iYk5c1tnerAQPa7CYk7wzAjFObA7sJ3wQsePQ6VqUJqQ2vYVDMF9R/18IfgQWXey0vqC
TnF8sbNBoSGYpoPfu8MTNP2MSLw11TEdUPoZU+cXc+McqEoQ2VFMWfU2WBB4b8JkaV/9Igb+yzH6
AkWcv8ogrZ/NOL5vuoQ2QcxryxGPBvwleuV0fr5tkndORKjA+jkF3Q5j/VXa42ZG3uchn2SDE8L8
8dX8UlPuv+fKICQdtX+/Mlw2y+fqKdP9d2vB17/0R4PO/i10A5r7jCxcOOceX9bva4Fr/+ZgmoN8
4kHUkKwU/1oLLGH/5gU2TqCIzKW11cqL+Odi4IBSY7TEXhW5jBz/PwHnvKgAXx1SBoflh2t9f6/g
GfStxF+T5Wzu8oRQnQtEa/mN5rz0azMqXjLXwhcumaUQTMVe+/21OM9HQ7uKKcJoiIk/M+EgqPfd
FJlrjF6NFB31szWDX/lfS8bXS+JaYgkGs7b6d9+0qRmhVzB1GR1bqEJ2g8s8ujZp9hO72/ejot+v
gv+Mdr/DowfQ5/s3VjIs07E/j+QoRXV6ynxObiVc+x4eeY0Ya/RrTiXf3GfXv7+Hv9V9dd2wj7f/
+ff1IX77ziJajqvBDjDCV5r8N27ZlGg7pLNIamNw4nBB54rYynTJh00XkL7x44v91RvEngbABPKx
G6438bcrSh5T3DlFiCq/rdUVQef+M/Gf+kRbgzrrsRdGP/ne1u/l23fHGJPtE2EV9CqMkm/pL9yQ
NrmVDe6CMT232/lpSmN13vf+Axay6KKqScHQ7f7H7/J7Q2HIDhsQDQpuBvcs6K2VUfjtu0y7GEcW
jTNU0ihU7EpO25Z065/cLH++SkjbPWBx9mgfMnz7/iqDVpXFYZHAIaHQqwcqu9Rt8PTjt/L27nBZ
9+EHSddZtwMG7d9fhN09XNTaXVG+MPfRWHA2dWRz2gKhOfnlSwXMf+Fz0Hv58/tpPaxM+ehTlCaU
wltk56jrM3ceH92R4PSffEfrnfb9jUGrhvXKXj3OLCJvPr0xa3SFUGUhNTNEYBbN8Qf0f/0HmMfJ
ZSXmdG1xT/ZPHra39z8fJ+MSKjAqJrk6rL//OJNOaq3ClIOWkN1NFi/TeR5G9YWrGLjNc03w6o8/
1L+4SQiccPBbknLBEr/+/JunG5k+/qWqoV8eawJrMzc+CfFd/OSx/uur+OvcFWv6nx7rzCcyPavo
pLiOAjmSi2RHmlL86x8eIgOXSTLEL/Y65/v3EpdLkOIAprdo8DU2sL2uYp0FZ04W6NcU1/31jz+7
P68dxHU4FNJsrQRGv0V/zIYM3kbpZeO7ywmf8sBBGO5+0/WPqhLv8tAgwDLiJ2P8v3jiEJWgv/Cg
97ARvHniIKo5lalpyxJaG2BmISihgY95EmN5vP/xG/zT17auUXirmWSDf2SU/f0HqqWy+tKd0UOH
bns5gmE81jUy8F+8Cm5+qmwmvGzaND/f3IKLxeQfDre7KTAWYTsgx2Cnuk7c/uplWKVwPHCXs0NH
0Zs3k+uQg3ZXoELAs8gBOwrZoWkJ/eJVyJaBG0nBxQYtA/vNAwyatgsKj5s8YtRGIFCcbskUCnY/
vsqf7gGe2K9YknUlhBXy5iqzL5whDDHbMTS3zgwp3biRkazlss0PP77Un+6Br5cChElUGVSxryyI
bxYITl7ZPOa1R6sJWMFmrnrbO50Vhqr9jy+0LqjfLbjwOChY/HWtRda0xvB8uxKZIewbui3Bpkd2
LFjT5y44yehRgMrGI7psO2cu5q3UGETwptBhxF+Xhz/jcv75/YLk5MkSPqk/7M5vPlqeVzdPSGbf
5EwSk7M5pql+dPCe/Rr+kCKATKhgPYZzPZ/rvHmOrTivEtp3CKKnBu1npJnL9Ut/ktDpu/vxR/sX
74kLoJen006V47ypquQifI37C2/isKh3MHrqk6ZAlfvLVwHLwSEDuQsEF/nmAZsx6YxuOYebPKyT
fVO4hH71Y/qz20S8vflRu5FLgCqEypbK5q0Czc/yHO3lSPwqao1pT0e7QmeLQ/k5CLvYfLQYdXvF
JtDUp7sO7z5BItrEXnJMyAuob+GuBtUBYaBm+SToo0GpShLmzoGMYF9kxC0+B/QA1RrZUJiXOC7h
c3r0BiuyRFrb3CYupoRDzG5MsGBOJ5CmbULixRlhIUtMnnnqahQBbcRckahywYQqwIKdFl50xSKd
zOEpNNYou8nTyRsOYxsm0t2xn+nhxge0iZ2EH3vkbtS9uAkC2JUbofKeRjs+jWirc0aax9nNTXre
56168NPGPrrklxBez7tT7+DeW8FH7IdzeWnjyVw2Hgd54s/IeLG39tx00UmB07++Xshfm0+hLCzF
jYXRWB9Eiz3kgnp7ripS2/rJJwgoV3Q4a/rxTBCJ6mNPxfQV7LvJyfz3zdq5PaRtF3pbd/Et76ao
cPMR0xHrm1wsgpiKbGFN9FXLSK4AptFs+iJU/qH3W6d+JEAjsc8ahMjuPbAtmAXwV8jf+VwiayR8
Kqxh2CyJi/8AJDNmKlJMdXdivAHTnhZNEwCLGJNV4I/3O2PEXOxI8Mju7TSzltMQfDuRtnPOMNYw
FciugzmV92HqIGttlrAcTwcTuK9LO0z2rnQVMcSbkv4x39pAiAX0roqMVZJgGKv2RQBPOkgrsbZ2
sWuUFb/9hl4VYa1WJZk0u5VP3nVakpnFpLUquyviW2V0VpPOc93TypZ3M47p+bRtvdqP12RzRm97
g6jZIyrRLhNg8/SZke+Huek9l4RwcoavEKlU5pxwOd/dKysfzHNWzcupcecw3mItBiSM9Y6DGQYA
Bk+LkyEGRNQRduZWdbrPnmbGia67rWsb+QHmOtW57UmBkYBk1zZuiAAgG0UnwbBPdEkU1c7RiT08
R25jdxdeqMv2pde5UTW8lS5akoM3u+KK3BLChdo1D3c/GCn0CS+i/VLYYU3oRxRk12Fla0ZLEjFC
1GSddZ6McFhpC7Z11VwzxxUd3LDWdYcvSx7nfKu9IUzrNJoY9jzZY+XUR5zMZbdzItSSGOt9Urvq
JidFIMqRQ2yMvSTh1tTSmk7NkJUBBCtGRDdT6ZJPKrpoiC6RcKr2mCZV8xzyUA1H5mS1/aVq3dSD
8avr83XwP1+UU2yVhzFUQ3jqpoWw98Qn+uOuTP3hqhvdJDmfUEWU78OSnNWDqXLH2aeWRp8u3BTn
1ZIaACMYqMnmwAE7qD0MFS/aowqpGA7ncQUJ3VuDYqZe8TFYc7RQkhAT9o4moXig024Px4Bf6e29
1uK2b4OU6V7o4Qo96ZzMTbada/fN1muVjrdhPiD+j9ugeFm6gDiiMS0d8qwrJhQnfj/W40fG8bo9
TTnxRCcZ2h33XLWEFV33UTLKDw2xStn70Y5qdSrDMlyOTjP2CbdQUvqHqO6iD5pYkMvVFZPsnTJv
XmzRt8llquA6bJbOq4l6ilWDyyLxwvJWm7Dk6GQ3Yv2C+vGzN0SMc6qiSe+aMS8jELNBlG8LHv8r
gihQMPcizOaTIGnAO4sWdiZGag78J0CShL+roZBUGGiMecRP2q6fWVndtL0htKKYSuuqwKB4y8If
YEB0Qys5urBIcXPUCMyRZaniDmW/wnKRhJMh8Cj228PylRAzx46d8v11sj20mfGZprhWGO5RACl0
H/UEmsQTq8aymXITPyZUNRzdG52KCzfqLMQdRGCcNqwXBKAKP88xVzhZ/RHFGXqnul+ijxLkh7d1
QgSxrxpXo73BJ1B35+iZzLCJATQ4O92HGOmltjOzC+uylMxlBboXsih6Uk0WQZAaweK633tO380H
exgE8BHGZJABAIkKRodz02wSGznWWcrTIg7Gyu12G/Y4gM70kBjM2FL51R7zipufattGAZuU+FDv
EWohA54CL4nOABDgJZpGdFVMLNnwNyV8Sn1waxo3eJBU8MSypu1L2QTJoU98T5M5w2zyAJvOL7Zp
0GDXGvJyiLaTVdnF2dwnAJ75Jhv6HWlPUwJMD++EKB4MslgLScTBReov+8h4Cbm+glbazJjJ3sZi
IMF0UViSttY4NtjMJ0cyB2dmiEUtkualsUxs9l42l+OWG0pS40fuiGxozXGDAeBonDGFnxw69oBP
2WzG21xkXofIQPIolqWx3ikrDsTGWT2DSCuCRO3Ioo1IDiwcy+zmyMom1i4P4xugVpi3A0NcD/NK
kL86lWPg0kRo1RGVVfNTqHQ7bHPPHcN9YXTP2g40hxhQG3oQZkuB1syxS3KyMA32HpFbA+fVQeGL
6Z3xawjWgCivJeDwQ4hVvD7NyKXr90TfIpFp6jEmZ6fJ5hu6fnO9ZexHKLbBbhUeGpmX5x3CpXAr
Zes9ICqqcXu0goNpm5R2vkNvRUJPRYTXsgtU092kC3owXk/qg14pcjyvOpCAa4DVRWTQlgsom5Ys
PbAzZO89Omx9PPL1gupm0CZABOhr9zlFF8gGOLq0tdqhbgklYycg1awatLU1C5vBzoQ5vs4Mk89n
YlRRXyi3EXdksiLNbEpHnyHtgvcvrHwsAWrkwT5ISBdC8iuW8EBvYQopkEoyuLVKMHr3jLecvdJB
kR+cWcX6Ooltnbyb01JFTIrCism3yYdhPIe0v7h7i/V9te/XTYrHqpzIENOYocBAVYTDNvAj8isv
x9h+LLwOQMFie9w7zLilOI87PLLnao2CuavziJhrAm69ODuTbp8QEGalLeEjm4agaHs5YKoPvdNG
L02XYOKbM/+LIRtZsb86Okh2qLUguhD5RxeIKHnL9dQnyhYHt/jS4sLP9RjHO8+q+hNQgQj1Bgm9
5CRLSEKEalLFDJU4HKKdrHvMWBID6YTLtFgetUXY8pkpkRxxMSPoCjfBfIOERke7DBxIiQE4zYqD
iWVPWGKIjHhH48eoHUWXOxDJljt8/JqPAFJE7591rdu2R4hL5Y1tEZu8kcZfMGf56E/J7O6JMzPG
e2+qcTjzW6SCIIyc/oJUtFWzNBvZbd0EXtcG55cx+xEl4/DYJ477OHO25XZzol4c7LirsUjaVUE8
Zkbg4X5VPEJY8oj81ol8ptcvCbqcAISvyFx9nXqk7tF8MYrIq5atkZzM2rqyDZg1bvk65uU1My3y
gZ5Csm9Flj/GdsoKYllxNW96lyIR4BNzNiQ+ef/ZsKmPW1xrRGwNTgUynnymkayqkLiEZHRIcVNC
yTs0MmW5r4UAGoWWqEOmQ8onoXsIzYb97IRmOJkJfcw35aLrO99yXGszDxbRTZR9wbW0MUFv3JJw
z62bpfmj42R4PkN/mFwUZGV9gmMQ2KApGc7gYJzC9wJXVsXEnmy3HRqPNXs+1cNL2a2CyWRWPIY4
11uD6brHb524QffQklHypSkMLdMFAbcNKccfX4kwVh9klssTL46ppdB4cFriLIA7LLEQK8yB4Vn1
jTWt+w1ZVZjFaIKicILahECmbD6PVhecL7UHM8hJ8hK1KXqraxR4lSJhyWi5ndKg5Vbq5yLYaQJ2
DiiJbYuIQlnIg10QoL0Nan9EowkrAZWNg4xrV0AGu+nrHEEB4k/vgllpkpyleW3da5kE9r0KHWJA
jSmGd4v23Gu0GAS3ItWw3iNWS629tAd5iNK+v9D24PWbDs01tLJCNU9enTTXqLS6aYVllByGHamX
rdeniEorgRJj3Q7i+Oh4PZrWHHdydUPPY3xJdF2/lmrw/V1lteyeKGMduAliqj9PuBY8tlzPTO22
jvHxxKSf+ahaNsEMZpQ1ztQs09w+Td6eB6w20UdrXipzU9hWghm3S4ueyPQstIt7fPw1iknlzAnR
nZFrnO4d+LCSp9JSdqtRJxrDTwI7Dh4qwMP3Y8DjtS/L2h8OvXLLdjd2vv+YtPlw53EUxDfFKdTd
iaVuQm6lHIBC0yFYPMyWGM6nhaKdqfHCMYSnldi6rd3LdJ72jtelL0bD+sMHHC6fJ932z7mG0Lpt
InYd7lMLWa+ydI/Hv0oKMnJ1UZ/7Mk7TQ4W+AHckJrR4X5qWCnipHPehQZr1AGJBEb0algh4I4b+
Jzm222Kvy8m+qj1wMnwPCttyQKX+nPRxEx2DMC0elb9GLnQrMqFQXuZuCR6KHv0JW+y1U8gx5uQF
J0899RkHuTsYgkn0ic92FsjiRj3v04nSG61hL+9TBfBu12AOlRtLB122g2c/DIfEWxbvvIKUibLA
wXM5UQqihhnoJkQ3RCWnGO0DKwx2Migs5txDax9pyOovYvY91jZE78z4uz72OSgXBKDQbKIgx2sP
wtwArHD2Qzv5J/64lGvmZIZoyBLTcrcgvPqUyKh1gUXY4hFRr7ysZ37JVmcdWwWAuOFhxB3Q8nDY
2t9zx1E70D712Wt7hWsaUisadNrDipg6iEvlUbeKaGZZDvWXKsIFubGY0oLH8PNRbHsAEGcAVsiY
n5EfIzpDmkvQDiLgz9aYmuxi9BuxivfCwBwZf8Yxyku7f29awDZs0+F0VSOgjPZOoy1ClRc9vV+6
TBTHBcw7ws3BsrIjbT8sslS3geI2HOVJEIz+qsKn8bzxkffqqwYMC2V3WMrgYqhE8lgbuIu7TCrV
bQK/cu4sfBs1ayjF7qadkP1tKyT15xkAeQSvi5U/UPLNq5qSPXSLfoKHX49BkWyNVyNr9TsBvaMI
V+LQ0HvmS4CEDFKCGyGKzgNRkJDIXq123Jcsh80UrSjHBFzWrkxycP1Fn5Wf9Mgys2lnjzIbVGR5
b+lweRejq30xuA14yqfMdGejGoZn7svEJYqXo+Yr9JRaH21qY+ssFhmC+h6VIPNpwr4Bipm+q4+Y
V9k5tQh7SDxojO1PVeUh8qzdvNB7Y3fL06RBne/Q3AkSXEAbnBJObD6SFAUQRgyZCaFoLMVsxZeo
qCenusWk4PF8aYJsjqOiJOmvbEWg6K7Q+FB2zcJJ9QuNg7z6ZOdywD5qRNsd20TRptpoYDOA6Cjj
NBvf6EjrsfTsLL1lqBh4+SZW5BbDEYPT0b4He+5H0N4nBi66GDN1GcZyfB0xMEPbqKeCddqJOS0H
BeeVLJDZRbGE8Yuvh+qV4rb/qFCwOh8G4H/laz5RfR8I3nLHjZCNI07nVuXNbZomSh+dMuzSO9kx
rKYLoPMPXdK9r4s5xN03dGjdfW4Nt1YUuzmuOEyX6S5WvnPC5/yprcSFrs070F+vnHeLXaqC57p0
po95BMYOXlJ0lGRzt2vJaSlxJPup2xbIZb0vSejN6fl/KB6luKgj4DPGQiE5AOC7tmTttnuo/j2b
JPpkGA5W232kLeFzlEFFw+tuR//df4QN+DXD8Y8Deg1PMWlye2BQlPfvot4Vt5zMRMYTnVKezmPY
XquomdhjdF/c/7hj+6dOKsB6JiJiRUbbrm+/6QsTrulzZ0qLA0iOTIIW5XZScbRrbWv6xeYwB0Pm
LsyQVosYOTxvfIr+5E7dgs18I6ysuEzYBncemv1fHHlzFYT5NiNvxiKIY94071vpe11DOiVmh8Cc
cQgCL8G48CdX+Sqz+HZUwWUQyNFKZzJGcNNX1ds3M5E2wT/gdC24g9Eq44Mp2HXQiXm1BspXzFfI
v8OrMbA5UxSJtu5DNrxXTAOUPr/+BaJQo+G+Djy94M2QevBj0kwtvkAK5X47dkGEc78loVVbf4wr
/kd59fdVGPHvhVfH9HP9+Vv95frHf5dcid++qiht23FWVQLjlX9Kriz3N5yq1NTIHj18iQgK/6W5
Evy11cuKNoOpJ48df+sPyZX32yo1oKZH04nQwWVG+Qthk7TEvhup4XVg2sm/YAF8XinJQ9+P1Ch7
hzKNPqcUcJwXlA2zWjYQuvAXZNa90Y51gQSYhOMJswSon9bmcEejh6p1hlVwWqUubc9Ow3vfGmW7
H53CyvMTk1aePgMpDigiT2VNM3/WBbPuOGvca7iY/nDWWkuEharK+/WI1WV5DcwUiNnFnBB5wg1a
FMN5PDhlhpm373ZZ2jTRto8Uv82t89w+pRaIhjM38dvtxP/p7ihdxE2Kd6TbtZ394lAcJBfW3PVi
G2tKu2M0dfpDkbu9vfEY03bnDu6N4mRB7u9/Ludltq8W9j3FrH6wKFcTVSkcPC591NwRw2vIwVHv
SXEe7FNI8OA1+5gPZhc0+GI3NPXlyh3z0mMTpeWwC2hVHVUwDP0+XIKuARJHbtZJDvk82fvIpkhp
4ISI/yIZ5MWE3aHd+EPsv9Sits59v5Y0shmvA26IOO5vAnvx70OImc5maYU6awD9RBu60FFz4hd6
svecXvSnRWbVZzt3YHuFoZbHJLaifuMnc/U+gscK94mUE46bsADv2UnyFy+BCksaNvofZYcVAyXV
K/SitldCPPRTc8EpAJRsUs8x7f2Ydk0JXvseX0kKZJj5Wot21zbcN04Z+McUpq+/taPYHC0pCnGo
6XTrvey87onmCQMmAu2CWxB9EzDZzImtXZxMUIaixhkqKJpVEJ8MtNQdzg1ht/O9lvGyl3hwHCoX
O9jC9wLmLbKKj+DNqk9Y29OV5Nshy9fZ7HKenxit1HZKi4MhKrOOmr3sAAFrPCVSe5x3LsjUHv5b
bb1zfAPCBTskTVfBnXU+AjCCQ8hsKD39epDYyKHnpbJd8+mJ1LIcqtWGPBWJgdMimL2u4KmyIV8v
S5Q/uUx62tPEE8ELrStv2eLS7J4k88BH467gPSYXKcA/O42L/ZTqkVb70jxVhP25+67Omhs7C/Ng
awHtfOmlklcwopJyXwgY0lun8qZlNw/0EHaYcqtnjtrpDMk0QKuQldVEjp07BvdB7BUTncqhTbGM
Quo9x2wnPpR+UF41nss8AQvHVAPTrHvq2bgvbpVp/WGDYa9RR7ePzyVUnid3bIp0mxRe/GjnzAJI
ApcQ1MkvzYip7Yz7atttznHPToN+UyxeRto5NuwcuGNOpM5Iu/p5RY3x6iIz0PybyxjqSdF1VNox
pSQFXJ+8Gruw4I+RXg5raKn4QjMOtBdx7C/2MXGjJT0dsyImZFSTLcbDGQ3zDhMPufGNGcwtJGgI
k5ALnfDAVru2jTrZFXuvWDi/F1H2XOZMvzbGK8bmYDoVlkiRvXFvdDOBDCXw4Ex4Y/0KYwpNKGhm
5zkOqK1vszQYX5myjq8Qvtpgg7umGXdoS0nK7euQoxi0y0fGKAMHi0KEDyYzg78f7aD8RMOwuZaN
wVpGsz5/pZnjwCdbnOjzDNyPQywpaT0HMy+6lEw5X9zWUzg1lMPnIrkl6Wm7fnVWabDe+z7B2UkG
uN+eYlpmseEkh39txOTzabF864b+RzQ/JJUXPkJzo2pcmLdtK1gIkF2hwm0BFwLc2nZdlGakHU0T
qK1KSfO+c+mZfyyHmIwJkvCCU1aNGItrEwxy6zeNS+dyaYIPQeyE5ZUb9HZwoLYJX4sWLyKDfDop
G4XN+1IUmTUcoXZFT8IZw/qQ0C/AWWdG806oKMk2JsrrQ5wqWCa8Ps6zHg4dOsZcjPjRBnDDPFvd
dYgpx90G/kKveO2YUGT36Al3NmLa6aQ1gwKhNQXyzqdgbrZDR2c3G2IQqC4F9HvaIjOSCaMZGuTU
O2C5oPDeqLxewZWZ7zjbtFvo/uR+iwCH/gonXAw32Lvi0amqbV6b7i4PgyLaYtosYCG3Irkq/Rh6
Mt97c9HLELum6Sr9zGYQ1LtM+EnFp5VjQfQTU8BqZ6FZDr7w5n6vJIsa3LyA9lUz0+kCiUEoO38m
EzjaRJsHjw5jRlbJwLO6y7kCq36acH+Opxh3GHqPTZW724L2e7lra+096Nhy1L7PR6c4H715+BBg
cwLjNdhleCiESPH42yr/IscM8PcGh1sCERG3kHiYCsaS26lqMrIRSqQ7N8rEOQxeNhi9K7Oh+7Dk
TFiOVdQsY7JB4W9NuBPGWG1cGw848DWWZZfQ+E95ldJXKIVybpJunF+nsKhw+qY4zuLNsOjqE01A
5wS9f9bTEbBE8Tjxsty7UlhLwV2Bjm1X06mZIbOF7otWiApoAshjhgz2Ri7BQkj06PctGGfvovpA
qLKHIQSD0V0bzCwqLrdEdmFYc9UOdkEKR68LmQA0Yple49LlpXs5SQJ82PFUUv5Tr51CDIpLnIMx
JDE7KZ9amLs2AIVPwN7qa9OZQJ3AbjC3caqVdcFZb13y4rB+1NjLAGvOQ8KhfCfith9fc2eZP2I+
858rJsj1cdSevEj8yLU3VR1BZ6SrEIvfj03/U3X/HeHkj8ru85d6/q7s/vrn/7A6iN84RLJkIgcG
LhSshoY/rA4uPyEPBj0mwkVuWURkdWO6FFn7b6ifIB+FHn/PDjj2/qvstta6myBv/r8NJBtIWPQr
dfdb6NFqq4pAQqHNRBQahuvL+1bJFqcwNqpaPPnYDIXziEd8ktnG/b/snUeT3Mh6Rf+KQmtBAZNw
S1WhXHtvuEGw2WzYhEkk7K/XQfMpxOHM48TTWsGYxcQMu6rQqMRn7j0XUO34Auu7ccG06tE4GUOf
E5gwO/6GWcJkYBM0wAb2IliM8IAcsweZW8SAYF9/upQ3PzrVfy7pxyTAG0TczD9M+7zP5uTnN2gn
ft3ERf8+pRAvdg66H041WVag/RAk+Iffv9qv6rO1TSblmlxoPChoc3/pQoYFzq4g9JK8CnS/olvK
p2Yqmtt//VXQdZLIzjOQfviXi56mc8FTpspZhrRcNZl3p7Lyh78JVFzf68+d//pZEBgTzuv7jDF8
erefr1xg1rDTbSSwjSXzPU8o8yqc0v5YeW5yDvY+3AE6+Y6NdP6bj/fHVu7HrAHN78p5wrKH8O2P
L9y2OFpGhkpMhBjrArYcT6ozir01wzD+/ZVchyR/+ozguvDtCYsN6i9XcqkmuDk0dxsXqgVDYqCK
6dJ+HY3lA4KC9TeC2T99MAYwq4iaKSWi3D8lOIUyK63cZGZH6PqzFq2JyqX7zsJ1+ZuPtb7tP3ws
enFeAgsLljUYRusb+WlowwyXcrBNs01sWShzSfraVWIUO1zT49Y1x+qceID5+vfX8k/3/rpXW21P
mAgZf4WcRz+/aIxnL59KlGHFqHx6n7HpP3DN4gH/P7wOmXZk5wn+MX8xBsFMJdAi53UWkdYvbuys
y+kmf/v9q1h/ujX4OGta7PrH5Kb85WWQtsw2vIeUh63umSjQRuXhIA5ZgrxGicuSRrPMxaFTQHpa
deR2QV42nBawNDPGcLh29ZXjLX8jxP+rq7xm3lHTmatp6NcTJnNZ6NN0bfLFrU4ocGgIhvjvbqC/
uFNDe7Xu4A1lL/B57P90A5kLfvpBcI3lqMY10WWdyrodpRuKoxkx1+8v9l9da/bknDf++jj5lWgl
wrgwQBKkGFASYz+K4Is1BOdd4J4BqP1XfVd8JEwFHj5A5MFMZ3+5glTmzKxIvdqMhCMe5WLqWyur
cZkWhmPvYrtt/+5W+vPX0eZbiBqZB6UFwe6XV4xdtFSjxddxAEdxlafBS2cFZ2ENLIkIFsYTB0O/
ZCEyJNKhSPVaIgf1tz+wAy010xuR8G7nKn9KDRb6v7/0f76fbIffNMNkft1rUPMfv7XMlRk1BWw3
+6S3kQ6BCrQdOZ9+/yp/vp94FabHq1sTNf+vLjArzlLMQH7KFtD05vOpWaWDiKbikZnOumf6/cv9
ktrIPYstkdsJIxhuUH7PvxyAzog2pnLpzxqTBd4ZWmC4/vWSFh8QnMWIkIKgihzwT741VJcEuxYd
3bMJDTuIYCvXl79/P391kbEwrgWX6RBAvd7/P32ddF+hz1F8fFmEfXckoqSfjoQnJH9r5+YH/fHg
t2E+/u8L/fI8A92VuiNEHoaOeYnw3Ul3dCp/dzr8qTLg6q4QxnV+i6xW/HLP2Jr9kDdwdatqSK1I
VQ57Vh073tM45X22qjbH+YSqSE0kyNQMBX5/Of/qbnJCPijOhfVw+uW3W1ulP6Os5TnqG8yPOA/3
MsGXHUKYOv7+pSAI/HpJ16cAvzMwvbwm//LH352J2rCCu5/DhBm79liSg0KIhQqRyMuxSsyoz4Lw
wUYf4q2iHxZ+cAAs9KSCQfW7FVvBYybjyoCcPVZs7HiU1AuiytoYgvqN+r6tvqmUgJqrUDX9OqdI
UwePZjOyRScvrY1fdTP31plBCgWgcrMYQYSP9oSIHZqn3PaqnM27dMp48FRju+oAE03Sw8FUDUZX
QpTGwojY2cPIRve8XKXNlIhtj9Qk2BpMLfQ+tPtW74bJ00M0qglueBAaxrbp8+w9MRJSE4gVS7xz
p0YIHQUWLHHegi6KQxc2jiY+B9bgxnZmZ9iaWR2rSJuTlgcVBqo943vufqEgcuRFoUplH6TnEwEK
gtX1Z9T6xAHByCn9dO32QVRBeSHmxR7jS0Qd4NVXwfmswnOzZm6av+ZNZSXI1cu0GJh+pHIIxXFG
oWKk21SpYA4iNLGqP/l1rL8KZqk3jSyzWz9owBN0nayHKFcreLDNRDNHxcojRO/WJgczb0wffADE
wkFL+a6U0Qw05CvSEDET2GbCmsKbYmUeZp/4Q8B64FbQt2GCsNMVkWh94hIR3oJOzD4xiuITqQi/
KXsdDM9UqIkootLtrGeH6SF1oHoxR9GS55aUUBodRMl+FHDZmPENzCq4wClbiHhMKhiPPnGmNwld
OMvnTyBJ+QknQV2dexEGzvIA4h58Sf6JMoEfmXxtCwnghCQd1AH1J/gk/ISgEN8xPwkX5hRhhCsm
pZ9icUzQJ8XIqj5JKtYnVkUVEsRK84lb6QMPSUC+UljSTyCLYc0BDkAoLRKlu7tfftBbRpGAclE/
uC7+J+Ql/0F8Qf+hcFewgwYGE/8gw0gfSkzSr8CY6pMd84mRmde0AKwDwGWohwDNVM4ymXfjJ4BG
On0aHpofZBpQkEP1NKETiSAcAa9hiuKpXWAzKWdbwoYlORMkklTBeTV4hOSdch5V2YmOpvKOEsZe
ucVaW8oDPlHzhjTC/I0pp04v64lhb1QNJVFFzHWDq9TqSlYYNAmIzzC85VtO5LbcdslSNRss6zFb
5rlLv7uMhyFwpt0U7krwtcEaONSZEZYXlIlAkhemOsQxQ6qpkGOhsCXLYRva2sTk3jIpIs6gmlA8
JsH6I4E3j2jIci5d31rYbWxngivZYFUpjsTA2WLNjFoucmMCd9RiC0yjQYSuinB5dNf0cnW4a/yW
6VteM93dtL7FDdExL7pAcbLEG8L/RIN8oEQq0FUOiKpCZnC44rSaSYWaMoS9MtPLVytc3OdyZsjM
1H8oT1mCiz8akCEUkWUazWs6jmP4WrCD6p5FTG4Y1KK4+NaWgcW3YFGeffASUYXntSIp6yxgPuXv
LN+Xaq8YUBIVVkrnyxDr0tq3cLaYKYRTy3bFM/NvaQDz8ECopHm06TqqXZMrslrRxnruhqvEULRT
edvuqQJ8b5syWPEQKkk5b2lKGOAGeSedbQNY66qzavFCOFf+AZASigiBIQtRyBimIHZJS74UIdw8
uGx2A//EqTglnNTp0h0zcjCORRyzpTB0TVgQrif3Lumr0tuWLMBddOxNLkh+y0k8HeYkLc+rUrfz
vWaVZFtbJLutONh2WiHqBG6urH1XIAve9QOug804Ttm1sfhWglSlQkn8NHrQqYojRT9FLLGOvVoj
JLHz9Fp/9/PYVa+Yd1xN6h1im5TBLbS7bt9Ty/c305DYJ9Y+NQExucWiMXarPPJdtpNnae2KihMH
eNqOpQ2Qr63yQh9lhHLk6AFiFJjQxCG0kRO2P2rD/5/7/fu6Cf/n2/Zt+vX952X7+n//GPrZjPY+
sUSA0slTp9H7n6Gf5cAwwZqK9Rs0xs+rdv4OpkeYxaHgv0JJoo75x6oddBL+aYzbJjRwpoVIRf6V
VfsvkhDfDnhb6+SQboE/wIP+WBHVi9eL1vLI6ChaCJ6BFUsmNADLmlMQp9zXhS0Nc4NwSRYPTlin
q7mfdj0Icff0cYtpYiqW8CG0cFMcke43JHpK2srzBfOGeV5XeXtnI9QciWbNw3CfixbNZsljY0XJ
cSQ1+05VtnpMrR5sXWJklo22aAC+GiVN4qJx1rg4Vgdtn7EspPvqupOLw4JNiLNAp50Qz5KMBWkS
Cw37fHSoYsxAHdUV/KNGHSqJ5QhDiHnoMsdh9Wega7UTurVeVHPkARvdWJJR+9UEi8i8WicVq1yX
MLQLjFnFy0L8GEFVGFO8F1SV6deElCESHDWyA3oT+wYiU7fD5BPW6qphMxShv37sq3QGPyhjn/0l
KbGuZTw7/IiISnd27sZeLuqKp3ltvCjlxbA5kzC5y+HLoQfjjTJs5PHZt+WFWfvSZf2TSOcaOkuQ
3pnG3OOUymOrat6nzM2/ty1POWLuQLfSjZmVSO6TNNTunWugJHxtElXPwNpSjkpnGt8txiQOISaq
fktbf/7Q5SwgApQ9Xf1ONaV3LVjUHbu4gYTpObHM9l3n9pcBz5b8mqERu0mjs20C6rLYOC5eaqQR
+T7W/BjU5vgdYQKjUrI1U8WWTI9+gOI6aR7aLCR0zpj9yJwD72hy5N9Wy1gQiWANqB1nquku7yYQ
rnbq3M+j7Ew2Kr6Q0z7L/ASvBh4J5rVbLCUyJFo4DRHQYvEM0Q8RLAbGeZOCYSQYJUkRuJzXDiFi
w9YDks5mRIOqtjZg2xXFYLg0IYBo03AYFkaQ+xqub4JgYtO7ovR3k6jt4FwnZBVFGL+n+ZTQFcOF
rkfPOO8zj4SMKfaCGzvWXn+2TPD/z7wYa9umjXU/RF3akxEUB35fHn3FYurUAf94IhwNu6exTAT3
TVgkNGuDjWzRZOzMxmsucLCSAiRlt9cu4TybPlTyqncS1Ms4dY1Lympf7QemN/ezmkm2rXk4HCer
Hm6TtJmvc893I7uYJ+MKqnF/O9YrqJWBRIW/NCmTJ8RX1RGVicu1wqOa7rp5jUka+gZBQ6zKe7sO
8QikOm1PTWuL28km5CzBXvUac2shzqZZY3ULUxIWIytg8iwrLB5ERIPxAzhZEXcaZAyWWcSFZEVn
XVEYhI8V+tmL3fRhmltxRQAj9h8k9HGnT+SDd7J91P1IaOA7CYV5jIg01iL1JfIJbfBtGrd8L1s9
fONUEA65lDOP9pCd//oUT0D6YW9EbQvsOSztAxRPEjQPjtnqyd+lFumiX+Af0G6dY3kxCV5DbA6Y
DdmJh/YjMdiU7Yi7QbpxKkLo1fVHo0ZnyNek8hgybgRzNRsvzKnK4Tuu8vJBVbsq1CNOFtJonFCe
k3xGOYeHqJ0kQmJr0khHK3TPyWZyRrFvwrGCJAuTu3Y3izaLByzEvM1LZ+zccXyiZQpQigiKKKKL
3SYtzQO8abKnCHATSbv1BhuZQefTrT/WhCTTHFS2N6ZfRZh01VPIfMJ7Jam7Lh4CuxynfW/1tbrE
9wq2zou7JduFBeUJzQOpz/2NSqeeShTjp9roYpRRpfCDbWLlel/71pVIYVjsHmWYiYNehxx1bcov
Kb/cDVhjvGFc/Sh1y+bMIVHhng3lRO5QifcKSy+8Uzq5aLbdivAMftDl4rbqLCi84I6cS0zDw+Lt
VOYo4seDoDcOIZmxR38au1fUIjaQOjtE/O0soDmxIe2zfqDyNrvKOkwyLJ9SLOrXCXbYcWPW5iro
piR3NC2lTH1xqnRpXCNVGbegVYpj7FVkyDdJcDLBcyMUnif3yzAjrdajTCPZYy0zGQagFBsgsXKc
G5upXeYHvCjYDUJipncEEDlRPEi6Btue7INddb7aiNkO98JR+SGzU+vRLeQds0j084nszxrysz1h
WA9+w0wNzABKgkop5xSmTfVUzrknz2eu9SF2/DcN+1p9Ibipd856LGDtO2virr6EiDdhCKDrQoDh
+90T5HHUEwDgnZn+1QsA84JMrbArulLEl5MqRfJeZF3+Fb26bbyQUF0kF6oqKoQoeW7EeLkqO3JG
bhksdjbDDkQQqBRE1lW3kz83B0T75JnWvVddeQW9WiQgJaMLC/xq3q8esgFfexJcltnSVZFVcJa2
ctaH3O7mbauYj0xJiNiuDeV8o91FLDun6s0wmugKwpPXYhYtdsscOHtD1iBUrNTdLiGmQszsAWnc
ixm1o0CzY/LtvJVd61/EeeHdabVABeiKMEE5LqrprTSc8SJziuYreaWLue1hD+xjY1yzwt25uJ+c
wPS2yOL018GDD5wcq5THDIP3rFi+dSlzmqu4SEZ/P1PIB4c4y0jvKz37QjYsL2jmyS2f0XN9zItI
5gPpVSCxOSB7AGWfheP/l9D/bq8wqn9eQ98jhEr/7b8+VPbt68+19Odf+1FMO8F/mgxdCVYhe8v0
xYpK+rFBtz7JoRCN2BgFK/DnH+tzw7b/07JhUKzjxQCk3DoU/0ctbQiPcBAkq+zPTfYH64/7F4pp
61M4+9PIlqoHexA19Br3xMqFsdMfq2m+OWwNBtveZJ4l7SgxSU1z7bLzm43wdf9qTwKD8mBwZgAv
hovbbp2WZ8EmRi4KN85aPEH73rcyUo2a6i3z2tnIiWFIlysh4G/fjq0TJuGGAWAS3xVCqOGiys2y
3TmY3NVxkV5+KFyB/8weG4sqyKqYrGBJEeNwT54FtBDWD0j+t75hc6wmNLHd1xIx7oirVNpEwUdw
BJJb/JkUKC4xst4Xsys0zlQ0DHZyKPKJrmLDMHOerhmzTtQAeOriYTcqTJBYuxrP31I1QL2fgnkp
r/lul+qAlSTI702blL87G66GfOuMzr91k8ozb92e+Lgzr267KXKmGtGSbUHr3suhaetjOYDZeehn
v3a7KGPWWkThAO33TVKJ50cdhOPCwETHPLpx38NMGGqtONyGxffnS4c7Jl8iLdeNBk9qdENXVoCz
J9vy8er51SUrYTkbyVxrvhP7COB4o4e6ywB51EUbhXC023ojFhjX61Co6uxjkbZWcdtYac5p7fpZ
d5V5BiMVh6eNcZKNkwcfQd/p/sjzd2EzXPgWzmHSDTJhbjriGGB7lFThJU4dJHdOy8BzylJS4b2l
Xo55wq/kYzJLOvasWixjH9dWza+tlRgWGNGvmrXrCiJt4G1hqngeHxCxIKK3gDebcSGyMsZyylyx
7K7LfqidqyGswuXFoNHChjZNGSPC01B6VvdFTFYXvyx2OrVPrR7r+obM3d1Yhu2B0EQ6P1ecF6NT
PCVNoU9gMEaqBf9FzF7zTvpIPG2NYXgxA/zncQKvZL1xb9OiAPXgkX9OZB4EFRAdBq7MJEG1Ok1T
eZMnte88O4mI+9fWLsrx3LWV3kAeJJAVfIlJVjkWMdEHkd8PKLEoOUP5sJKH8k0uclKTh2W5jQ3d
7PmlGtgNUxP7p2+wu4vIK2AiBkECe4iVYakKs9x7bWPHyk+hm6mw2spwzExADoxqbkaUhQRjJIGH
cd70smzNM2tQyF1kc5ZRhhn2tLyxXIh1vHOnwrWveIrVy3Vpw9tFgRj0r0U527uWPNket+IsHSTX
5bDnGxbj0qntQ970Dg0t7mzscQl/LsMyVd6ZydYy3JqmGvQdYdaf9iQN54UnX13wxdVFLYyXbCBW
+G2WYTi+ozYIqWOIN3WPRlOO2WU7N7WNXtUs6r1l9Bk5t2Ob57vUnPue5BenL/U1U/haHxejk3cC
42Sx1XOL+itVLUanZe4gBvWdMndQ9+FyCX+QxbafjfrVGNKWDq9wGiT5PUfHVQO57QzhCcLaJeSi
bsYAZx3a1yI4+lhI/T2iBmMnauR22xChebgjEMtFIN1jhVe9kRMmYTIcg+heOOfxAqj9qBnhEYYU
12hQTSo1e2ejLnwZqM26DQ12cW44arip6VdKXFK5h4S8ESU6RcetXnpbLt9j9r/nlpctGOay8Z0W
DiwMHdudZFm7gCG9iztXOKeMD01CTBqzpba74iALw9vF5jIgP2w5P3kjLHoW36xPfptZh6Uexl3m
Zbwz7LTd6xROjCgzHPPfkng0nisxJNeanxkVXpft1lTpO7cKykOD2eHQgiG9qOxSPiS5HG87MqHt
s9jvPjzTg/QRZ5XYt8bSvDLfrR9zfwywtGrL/hhsq2ygmEGHwB0HMWjJ/HGHAN16SJyFbAu3GnDp
aMd/8Uub1ejU4zLM5onCWuO7Pus95W/jLHCfhIc88LAAqWAcSsYFGQ92caEHsEARbUV7jRjB3+FI
XTOiTBXD5emc6XuvhketvAFV8DhUL6Iy2wdOABvRuTAAWEhpFISnBuI9gJxxlUG8jAjNSVCz2/Ml
Ntr4y5imi3VR1nrEDFCCDgnsMb/229y/5TJPJ0+GxZeu6dHTWDUbjCHgQ7GlM4WKaDtJ+J1Mh0SC
1rKaY2N76pnQpoCWb7K99uAPQtyVRuBxKvrpS2X6w2VCQirORUs8eGmnXpU59nuENt5+JAb7jvax
+3TuHgffOJsD9vmp0zyYxdRejSIc4+sZldJR5TPhkA2AABoIdz7XrNj5d33MkJPQcsSqPfaweM6c
0XQfiXh+E21TnVlTclGkhBkSuuDqJ6shFQfGuLj0RX+N3a98aJaFZSeTXTZ+RCtNdY2XPIsvdG0j
a2ZocNuXfX0eLmspAFhNvmZgcs5svIx3I4GAkKTq+tqMi5Q+30hew2xQh1YyQGhN1/goF9ukX2nz
vsTpXNO/m3VbnJoZYCwIJ4+0K0bIeyZG2UW59B9Jll/DOzpVLRtKtH83/lh094KZ0i4nGP25JcUb
x39zBcPuUlltf8rTJjM2Ri3ND0BByNdheuHbNrck4KRPhmGCy0y6CMaYOIXJQLnQdWdtyCiRJFcO
FkeY9badFEMs3B/xwxTW7p4n3ztC2IxpjQ9wpZH9ISzy+rwZq31VsQWIwCO7zamxVVFu2sYciOnQ
1xWpt+cUOcGRAzW8kEtuHMjqcZ8ogwzvS4sOP3mfvBmel1lW7V1Bq44DvGwX+BFGhSY3j/UzqTCO
c6Z0PT24AWpjsiDivsFFk6iQht6lWDvKhKLkzlrM0X8l8GZ4SwPprevEdD5meU9OlPbMCEHuR5P0
2bznkJPfCx75V0HvPZe1kb9KbB97C8AGXlJGmD1Og/bcaYbsGOvQYnLHcmAzkSH2OvW5DcjMbC/L
ySiwqDIq9UOtN9OMH0k2c/DCN8OYdzlS/ANvftV8pGUCVlP3T1M5ZMapbNZTu2fHSvdjZb3e+2qe
v02pgagpHLJaXwsRtweChtpv6D4JIcrUyqgZSxY2uSy32vQGNjVDyO/YoMnNOwZg+UzKRtw013ae
ByRlBX6MrLpOIqMt53mjLCEvYp3xfpIc3/64XKBOJ5ANfHx1MaOh2axW/AO+mrrZeoZv7bHADDuU
Q3hYqJzLdrOaa4YNdLRxP2ES3HUDHZ4TMxolYYIxFcG04zv5TtV9VcAsYpZUvMzGIF5guuk7nB7s
10mcb/cDg8bnQHX6OJAct5/6+n2RvomCWpURFungsiGk5bL2xm7vB0v5LkfbOfSFMEk1HTGAh73i
oHTktRrMNHJxj0Rd0mV3wygq8r0Na0+At3zEWLecubZrPad+81hmoG0WGLWHGurfd9ttAbGV/ndk
HMVhCEusSbgjNk0K9IIgrzvKhI6HKdxIBGgh66aOzDYbCfiJUL7kkqw3btmAXT/+7fiyqLvvWenS
WnP/h5ErRHun+G06Zx1s16ijK30WjjSiujLLw1CX6dtIJXlM54AvXMds9rFzq/IAG7C6Yg4kvjAi
LOGDYOJBGtYgRTeIxz7oqaE8pdtPr8WoyJCx8gJAmA/xjtE0W7GC5q2iNiNebOvm9keVuf1pHe53
uN1Nfzf6MIa2RcbiC5qF5uFfjCUQoWb0ToQkUTSQUk/NYNgCHpxUYKdkgOugTRS+lyDAA7eNp6A/
dDq2HyUCxJCbE0wA2Vx9zDTUFi+GrdwP15vLN7vtx8ss1FSLi1BfZpv5xiIBxG1Vbnr5RgPn/oqk
S55Z1QqfWUin3tLQm7vEiZuoNRQkQ4l4IY1G8uQo6bqb0h7F1SBhb1mMFXeylPqO0Zx7pTGKIUGo
ZkhXZb1GlGFt3/R2/zlGr+Dr2Iup8Dko7kRH+Xg5Js0E9BJMTY8uQXaolnH6b0l5WmNbCESMhF2W
EaPG5YIdhG9e1tzbZcS+VvGRZst2WDc4dILcseMVSIDiYSLTPY6MeaV/T27uH9M2cO7YBczHti5E
fjaozI8j5sjd44iT0mSDOVnbuRMz2Qq+hcGlAxU3PffdfAmio16dzkWJJKQ00+PMdHhHCePeOPFg
HNpEeN9cezQdUsrq/ibgGD6JucgvJrkkbz65NBjMTGZJuwKs2G4ULgvaAkeR3hQZWblZSNDNpsa7
sGD7cvEYrhSbfej3xSuoForA0lMPSA34KhI/RZkChfxDsHzaQTjJTwanHMICN3sb8Jrvap0PLwoY
33UvOJ8sTzGccjz4j0jrGfwBA7ge9WDGWygT5VMMeXIz8IDBFQrL7Eog4NqlOQuPHO5gQPHgmFcM
kVDvoCv7alFS7ubWE9+GuoYbUeWuyeYqJ/2o5FA8KWQWF6iRq4cK1PWrHySU043QAJamRjd3DQTW
fQsQjYhzTSJckXS7Ko+9k6mRokBwIsxdNLqNLBmP94Gjxtul6sMMl1E3wtVK8wBPkbYOhZd9IyEt
eSoG3Pkz+JJLzSQC/qeM82hune7OEtVyhKTQI7RGxHDRZkEA/6geD40xCybilXvWesEyR64pnlPL
ik9KD6wPYiP/7mn0EmAo+vMWssimN3X8zU3WECG3S688FAl3FociD56MUXFItwTAKyy5wabuax02
ITtBM96zqu+IogxOrmf2F+hdkjM4+Cy1Az4+7MayvQ+EjL9o3cpLu1E03GOfXaQQiNa+Df+5y11s
2O6xjKuYAySDybXNpOt8geAhzz2jay5yB75F69T3HTqCfDNZVr0PnTzz9pzfM6SYfM4OI5SJMyvp
MdH0mauoaFX5JJYOh1my8ID2q7KOfElPyPktrdswsbvnqvU7UglIoaSA7zEWsmxIFv4Gm/rbJMF8
yIO2gfPrVCnNNdMTimoYVAyuTe+oqZpI87NdEUa+moavLdrEFwIwx8fGWqS7FZPr2uAp8eFZ1SIG
bqcpPOnebcJzkHJZ/oaNLQyBXlDjg9UsnJMQuGf3uLFld6BUfi/Bt0ax2Y03QyVcsgba4MOEofja
ZaXZwcQJ+vwakB/zpIBC32RxOiN0VsVb56ppesgHKNLAw/D8FO2YPIfx7B27SXT3DD7iQ5tNnrEd
7cR0Tw5SAn9rqoSs8km5Ati/m5EEte44IjuZvV1ANFp1ZriiZuHShuNF1VdmvluYwBUHtTjOPoyB
xoGjd9+9xGwPcVHn465Mqca3rEiL7Yj4KUKEY373lpkhCBjP3RT6EhaeNRTFnvZ0wQYpqeFPjTcO
OpoCe75gsKPZyCQtEcg8Lgm5cgdUZrNpgeI0m/ZxUiILNpWumHoRyoaVMZPfem25Z7AYMXH63n0W
s5xT/Wh8MzuZ0vc6jAIWZ7onF1JcUKA6EfMpVmbSNq+MPMtvrXKpDvbowLlSlX/ZG2K693VVXPFJ
acQMWcBKRJ8aNYDDtuhUAdEJ4vCu5sAgmkotzY7nak7mGdS4dSY9X7a6xVgYMmYkjRMN/N6tVX4H
TTPdMoEvwx3RjTZh3wQ+3njQJ1aZR+2al5ZPDANgD7kSLM3J8c/6JV3MO1UC7qV60HN5zrSD7LOC
ZUS+zaae+DcKCMO5V01XJzcGrBL6Nu6skT2NXaTC+y4kC/u3HkIXKV2uanUZaZakuCI9YHBPGZbt
4NgXRZrDr46LKX7Rbo/znLvQi42DLYe0D6OGvj05lDnxkDcdzbg4xX5e6C10QhoZHY5hfJ6SGr/s
yNzlVVPt+hfu1AQfY67z8MsUdDFLQVNzOO3qblWMDbH0b+gcRP5YhKOn2bXgcT8J2ADBHn9fHFwC
bJniW9wDcb0v6RrG04LpNd8vmtV+lLHRfa/olSGQBXmO944n8yZjRwk8BLu98qA6QrANo9m1Y2sX
+z7/fYA74tymMm/KY24NUAx5bQ3aZQmtXdIP+lyMqc72o+Qxc9eO/rDsM8QS8cHk2+ReDl2gl3NV
FLPABU/W25H5kPTPy1pY/cGZSHgltK5frPjOCFxevDNMA7UjHzQ5MCmch1PCKkrfYDmF+Ub2Szof
cH0CI4PKW8mj7mzDuMmzJpQHGMOr93ju7PoYismLL0q2lBTJtFHmI7N0j2OXMDi4osB4R7S2dIk3
4cJ6Jlr0wqD2P/ArBq05AabLWMJfGONSUR2Lr2GKpb8zQdptgS0lSxTEXX2BQGJatrih52Dv2fRW
IC6RreCHld5NN8nxIu49RswxgN605etJd1IeFxEfvJH8xU2pydMj8kkeHExLBFSF1B1Sem9ZB0Bv
UGb8yBhDsjNU/qlneniSqKzOvXlRp7iPiyi26eJJbDV2qa2+edomMr7vYZzCFFCZ3V4yf/UfUEOq
66GkvNgMsb8SMmndriddvbfx9Dgh2uK1Vk+ynFgFhWdZ053ZGjXegCiE/eZQ76i6wGilVbhpTahz
JG3m+HOZaKVl+qyw8W5YELMggjiG7dxQey0WuWvTJD2kU2cc/YEwKS0owaDRklc7HrDkejsdtHLb
uMu4j6UJbZcl3I7BuHXjdoBxB9Qp4NqGJo1PbjewPM7YnjJUWWMAMArugsrKvnZOGuzdiVO2KDpr
DrcQPh3zclFLfkxL/9wYuuSYI/3cCRJ4961d3mHD+Jp5hBRuJEf8LVpE6zAQnn3yRgFmdwbhrguv
+UCbkV51NGVqpRqUN+US8OxaARsBefaXVt+3r8K09Nbs7PJEjU+OY8PLfRmJVD+mbuVEku/UeZK1
00dQhZAO3I4vtpcVwyFuLO8tzYcLLHblUzno5HloDC+i2/C/OVAj30yZMbLkwr74HXUHrIDsnixZ
gMiTNVxZVjnvFCsiFM9NtZPOwKhpgNm6SoX3JjjMvdmkz14dgo/SFmDajQKXuWVHm9wZrIOPnZd9
F0XlnbJ2vnYYKOK78R+t/2bvTHYkR64s+itC71ngaCSBVi+c9DHmOSI3RIycSeNoJL++D0sqKTMl
VUnLBnojqFCVGeHudLM33HtulUD6yjWO6gYqoj2MSESm6MseVXY0ktJ7qx0vC0qG441ZfszSEsyY
EVmif3gahEW6OK6MMFFU6yRFR2ej28prt5xeKem1oCow4q/jGVibeXydruJmYTCODV13uKEGeyv5
0hIdiXUXKcl1wfoGwF+qdsaSVM8LRMRqW9hGv5WpbO5Y6MN1XG1at0s935DqC5F7GvTtoikQKEOs
EcpboU2PCCKei9QIoNXdZQlqiqjxoYOzHqW2TDr5SnT57dJbt4iYH+Yc/WllsO3o62dkJvVZVopD
yp730OQ8V5mlXirAbxfpMJ+iaVy25PVFxO9Ke48aqT8bp7a+KCtvOhlA0jaKuhZsvEbfI9kPG6mD
hHep4stU9bs1X+6zIQL4riNbaR0BgwITjUDvbbXvIMmY8jDkOrmN2wTeVB9qUjYDs/eLnd5Qb2W2
v6dtJBQ8j+cQ1KgKzE48c4aS9inVyQYccExzstOtAU7YdmgwdWzcrDv0fn2aC1MLnUQWTBdRgzKE
NRwV9OZoXXmuCyU3sXoYByP6qROdW0W0Md8XtUfVlJ5ZUQQAQ/DYyiWdDgjiYZKOxZPUM+5UHNUP
emEg+dbmMmS9VJ1Ar1OllC2B4E710MbiOW55MvMUsGNhVRzfrvFUmosd8GGtHVuGxCotZqZhaeel
WzrYJ6Mw3muRNGFeClo0W5R7aoFyi27WOberQfvwIzQZhlmngVQA35ekfpA5H+k0sO4CfUftBw3d
PIkx85ixNPHTkhfUftPQ7VIX+92SZw2xnKJ8GdkfbpFqTWE8lkTyZSzbaBwz58bqOrXvwXETjBPL
9SKY4w8aUWoNs2Dpn3M2cg5KnuM6lifF7HeDPf18yKPm0WihWbvEt6Nem/hSeg2CDxzs3BGIVLd6
7IgD/qU93Qw0MczHdsiCcFbbSqXnQ4nOiuEgZzgOg6kqups5y5wzPsPq04bBzoCB8AbwLcmDPQzd
Oczu/D5BBWvDrJkqXlpWsl9gOPyl9ZTTNaL/B5SwKfbl3GNowuqIgOOEuF7dGni9hqbsi1byyBI5
7nybmCEfNV/W5JzbRAdsJ9fNNoQqk2vTDuadYHkYlsb0lpiav4QDhOdsG40KNeOQa0jZzApF1165
pnXCSdY/RUxSz+qZyzL1EnnDdrsKci0lW3odpeHAUD4W7FR7ZYBBEa0Rjm7UxoVp9cXDEmXzjhRu
Htom/YC8GKOSsW+Myr/ptdzjOIomEQDjW8IMpXho2DqD7Nwm1yBL+nHTqryiBoEKDV3vPc16FOGs
I6JtlwrEOQv9vdw0dgHcwZQQDds5ZiAskCISZiGoakvzCpSMYgBkd8BvB6ZCE8zPvha4HeZWqt28
mJxBUBbGnZzneQc5RD9UtscmD6Lv57BUp8ydCibv+nyWdoZ2xXmNSAcZBjLETgtbL9LvhY0xhTCV
8Q+8XD+ajxwBdM1eHbzgq3TbsN2fbK5NGSvNqmbsgiYSUuwOpJsDk54BdHynZLj+i2vre+f6z6Yx
z8L7jHOAFB+0iebP6SyRQrDqRmWGBrvC/VGK1JzOcPEYevj7P+gnOxcvg0Qi17Ady9AdTN8/2xM9
Qm/A86Vbi22qu61Ht89QYvnRy1hTO6L5AepDmeYn9wZg5nH/+z/+J4aAt/781RSNY8914LuJ9Y34
zh2nGs+PauGn2xR7S7GJGMNiNk0RLiDks6qdp7m+fEY/kY0X+lAY1/oimTSsouCQhbqWnMe+1P0L
ox865y9O6v9IWXNf0xaW/73+mfdazog+k/5Xzcff/+nfy+ncf9aXr+Vn9/Nf9cPf3P3Pr/+a+Nbw
tX/94R+2VU8hfTN8tvPtZ8fq9Tflyfpf/rv/8k+fv/4t97P8/PN/vddD1a9/G0OH6kcBDZ/Cv9bd
3Coye39S3PAH/qq4IZ7TZzW1Uth8nt/VzvsXxY3pEbNpgkUABoezDT7F30U3xi+A5ahDeRL4E4yf
EcL8JroxyfvkbyMpTgg6D0f8R6IbtOo8UX+3STpwSIWNxcpzIGfoqxv4xyeuHuEg977LijxxVpYT
hGQdyPqxkap9NM3e3na+KC4TFHIojWfvQhnO9KZXDKNHchtD7uU8jAeru2QiNiHRYRg3w2cH32PJ
HWvn+QgULXtcZuOedPDlASEpgoKki2+iYljO7F53aNW1CXPZGM87QYnHnA+VhDXYbuCOfXEOLNs7
lX00rjMZUjB2mdYOeihNJ6JV6MdncrEZ02UJTE/UHq7zzeEOQZxjL+wDMaB0V+S/eGdZ47Q4EyNs
sGJQPurZRvRg8KQE+lniyC4CvfCJErcVRyendYrCWpdgsh2LhZrDnXxDpSOSI7ak4bGD8UsQjT3b
NyXn055fpbsoI9sJYFkZ1xjqUEbaRGHUM1s3LEOas8mr3mipyrAyAbwOe2mcuEIrtIvpJaE3+llG
CVzqcrpW7jMzxWsYepsZGxN1XfPVMMtLNHUTK3WiQ35r8/ncqrot472lTk8MeR7cUg+cfGB6PLkb
FBF38Mg+NNDrp6ZVz7KOyuMgR/OqtZEqunmyaa2OwJdMvLHz9M67Hhx/7V0B176b/EZu7XE1YKl5
O0dJ/EaxUEBO9RhjZ22AcGd61cv+Q+BTCmTpGy+T071AnD8qUzvhyMuxL0bFrTJoJZxmqj8qXdyJ
qv1CDPQAIuIucvTDPKLMbNtdx+I8qDT+X2N2NmZSixUWorA8WKK63WXSk/DVI5Oqyr4VsrxvS6M5
z0z16li0N2QZHhroYb0cyNGBib8fS+AMZ9SurATrlP2MIkPVMhnObgzFuCxSrf6Fohy1lbbhmmMA
rUGLNiEnk3LQ5PXegb6ejsMR52T2qOxoPkGmChAAb4rxeUR/OXwgVrlrY5c9+0vjMJAM+hF4docl
CxyU16FnkYlHHoZNzkaUtDjZHIfs+Y2jWbBgQW8PzHk1k1AYXKDjuQHO/VXT3eq6G2PmhNYQH52E
ldOGwm/ON/2Ehh+uIujErnxkjsfMHpOHk5Q9a5/hksgB/sn1r92s8TdqxmJtd0+maW+p9G+JV0PC
bt4xGqSQnW2saPJmwAC5NsI6LXvenQ3WZAWFnb7oc8Z0guGXVyflBlfNqaP23Q5yOCeXJTlIxs/W
AO6LUc0cQCc7z4UJYJ1h1Q6VA9FQTndZog06LYCcWHaBicDJ7GwYk2M2cBmxTjYTYTsHPlOa3RU3
WGciGY7OK32yg64szrWVQ1JWBG10WjluXY2xZFIOa0R9fFcmqXes5glOdOnEN2CAWFXkvJWW8GbW
IvhiN0wGPoo0firT9qgVX/2cG/eYSpstshrtsRL07UbjHxLZPMnKJlZ7bQ0mC4BF6YaDYHemJt4P
PVPOtsvkFIyiVSGz2WVDRA/0sV4nt6FjQU1ck00VFHk71ksI5zvbfWMG7u6GBAFEKxfzZZ782ziv
DpGmVwhv6AcR38ZlflMnyt5QO4bI5LOk7u86oGIBqLCRyazH8o9VxX6w4wC41XvEW4eY3mVaGjnv
yZgf4XASU5SgLuveUVzlb3kFkbK1G2rUVY4zBFFppyHpeQHv/1Vqr7wu51ZjJRDo2kh9Ci+aQfyz
3vJ11CFPpoAtapPPIFUTZsyICURbHKoqci4zt5DXvJw2mOolvWTBMGwBTkYHzR7UtvasE4rymI2T
OpDc7h7sJH3UkdcR82eitDAVn7ibRPd9tcSnrjTAxqcmNgTBMmDso/ihiIqnDDtgrydWaAlWQx6u
Q0ggFdoVokq3HLZsYbg/ry1LWg9SDZzqXvxmpGhHBXq1uaQoLZqsgW7njnvcTQ7g8NF+V2MTcvSA
MjF7RztKv6BvYp1/ZumjPrwS6lCeMWDs3+qJoehmMh3nvTK1yg4BLyqYYCnsiI2X63QpS+PuUyMd
wZi3uXdh1rXxQExYE0x2piGh0J3LghCky3LEdLQRbURwQcvMp4cCHXJy+zssH+0RZUx2xkBwYPsC
dQ0XbFdctpVKdgqwIcRCVfDFXK2yGhOcCRP0xnDS9LDkzryfcCM+yRgNQVle2lF/aMlmluWhnsbi
YJhZdbAWguKZBYGD7+LxONbqgDD7S/NrdBOTrocxhuAVro5sKEV6d/B6le1qPY92Lq+FNDvGsGVj
XJMPFxD1x1vAa8Af/9hPCp/YlMrbpXN0cqhexyWDgjhK90Eb5mg3uWWH+71n3Rx36pDZXbSNGIQ/
xmjsXjWrWO5jMOnbCT/AhcV45FFLQeMBTcdMY6XxCbdocsohgl5qRTvfADKXL+ksYg3bzbrz6ElA
O+Z2aXJh96usXavOWYdVj8jgqrfEEMsdtvMINSLuayS2+s4rveja9/QiFJUeEVc8L++/Fn//UZX8
75XAV/Kzuuvbz8/+4lX+H6iD1wr1X5fB4WdZv7evffr+p9tPObwV/J/660+kRfwpwDZRf19Rr3/T
X+tj4xc0wyB9IXUAoNGpZn9TpCM8B0uDM5t5LmnTKzr8b0w3FOzoOwTWAWG4xooW+608Xl2hGEVB
waEkN3QLzPJvncFf+0yaCroXeop/0neuRKof6mOy14VHh7vW7gayBN34qT5elXSaNvkJNvZJYfqI
Zy68DnWSrL9qvRvQg8yyqDYoXJDdzL4yeN5aTjrJwhUFLBKceFNyEPyqy82jMGqpH0dGWt2m9BF2
h1G5LOkey6p7bTPwfRXDEN9BI9V0utAURaGKpmFhEVkgs2sZR1psV6R+dEhtchl7iJWWYCQ1F1BN
qxHyJU3PSc3G+zz6AzrAgRvyifRPmJxtXRQPHWlrJHWieLcDgdy4DaxxWjSiQZY2OQ5Ukaz5EmZp
fN8X8Z4k0fTCm957Z3Uucjw9VV18RBD9Seyp6+RiQAcXo2cW63W7QGAny21BczmLpQhaT9U4qeeO
LbVqm+ghtdLq3bGdZTiMjrdWt2h3DUxJPQqaegUGaDYNb0AJXn0b7GUW+F0Mc6/3Jo6gaZbVrp16
TEO+06s7LZ9IIe/pYBrEXqp5Qt/fShrErIH72+kcTEZvQWZmw6xmNH1MJ/Y1pKOCOegk17QIXz2r
yiQvw0aav4Y5k/jg2TVJj6PZ8nNcLo4vzN7LVUkULRPm3I5vp0Jb7EOf+vLLRbeOLi9Px4muacEa
qEXI0HY+RLqKORiZgRsb3gJznL51zF3agTDdViQG3DGwZqalC02/BxfgfEvdEbEqzY/36IxJN5LH
lxGfEnXEKqI77De6iyl4aYvs02rj8XHEVMkgsI2WDu+xII+ytu0PdxhR5qZprFNU+syqkL+ORh8O
0ppZMY/sSTfmALsCbzz8nJukj0ClbHAnadGxVJ4jyb1IVdpf5MhYjI0NUcYPy7rRve0YefpO0KBY
VNeO9g1z4HxJiIS7RHtDkll2EC073E0R9dmptWKfBBMkZHp/4dFO1XxzlhitTzFELH3MeERR4pJu
wqijYhNzg0oTpjefBJ6/86Zk1ZRTvpRORHeJ0XE76uCqtp7fzOlj1fqttStGJ1dHYaYoztbh/+wg
XGLHufVtBKXk0fIwni1Yp8dz0M/RcozwpREYYjbawG9MusLWL6p63fwSIXKSHmsf9q3C8liradRY
JB/l+oWGUMl8ZvqEMZgINEjYxGjR6XWtt8BujDAaPqz9AKrpykyib4Xpp+Xj0AhTXeoEickz5peZ
81zVtNhnFfkYC5zwoZH+G/naMrtlqTQmu4mkc/tWL80JP4Mi2ox1KNfspZSDO55J6MVNSASyS+8a
gaXhJBg8ZW3pspWO4BQPYYCmkNUoSpn2KuND5McYLvAavKCW81KwmIy3A/c5FyJjyrfSLmUS6kxB
xQttAL1PRgrboyIhRwWaj6ViE2tOGyxtOXvnzFkxO6JfI0lOFUZ/RAjWf9ok0DIXcHMMtnisbRsC
cz1pV8hVPSbXHDM9qWOJNbxCJ1/uoiwFPsO5m6XhVICLvzAwZURbMTZld6tXIldBwRbqxlW1lxOR
HI03YjIJJ8M1z6FEBgRpq1HvYFljda2+YnPpdyZ1x8DAP8PLmFp8pFT+qh4YoWnmHfdTVt45qARu
WWeYsDyoPfFMk06H2mCMR4TTGOyinW4azk3ezd37QmrKs50n8j11MyAkypnUWx57Oqu6HqcONoQM
uwm+C6vrCYDpyuxA0oPZhUx1WpRsKN0V1u0CDX+rUibtfpW2a3DblAMEYBYVYR5IebO0AZ/TLgb4
WfIdZKPGM9AB16PcR/0Fi+YCudCchppIFjeokIdVIR6A+qpfxSKsNGXjz18wOcp8j8WJ2TBm/skL
Rq8oi11XUzXtR9DBp1xmJLrwftrRJXOI/EGYoOu3k4DVvvEjXVwXOcuBTVVMaySNr1l6ECdp+tw3
o/UCaIqsoYqV24stmGJv1VzJeFOLomtuG/iX584iejRDRikmPkAm9ShDFsxTJOtUjzRZcICNkegU
VH4pW7AYWrzWE1zMoigz5gtDxvllKsvoC+sQpsHKi5f7Ou5ZloBYoIAU1kgOYuQlMQWxMZR4f90K
3Ps0TC1jDDbQa+DK5Aa2MUpA8dZY760Gtw4rq/VXzYnKTYMk65EW204M1zyqfB4llEWEayGeKkbS
TMln27KwmREvFPNL03FQbxPyEYuQRZvFw2VregxMO0oECjKCWIPYYuoRJMngPgA5GkA/z+4IpQVf
fAIpxrQOtcYQLVgmzrNNZA2qRDc3o8oDYqcjRdYZQtkZ5qKgMlNUVOSht+KQq0k2YYpMu6LZUJoR
2GOHXBprqrufAKK6Yc9M5N7EP8R7qmb/lpwetu8Fipu3gpu5CtSScZyV0VKjJzGiKJgJgXgY5QL4
m8aiu+KZ0L8xF+tgMMsUAnzHu/FGReNg63D76aWADfCGZ9BNuJFNtimz1fjrY2xp90lnJ88Iu/2P
AmEq+i3KA7jkVswv4TTETQeuX+pcm4mHr6zl98kLRtXneku+8AZnNe0tpFo2Sr6nFp77CSFBZ/om
W+nU0Jw7hIGpCvXKSEiVjSUTlI5AsvLcxS5fBox/tE9kgaLeSZoWexf3mjySvIMVD5lILAJPGf4z
cZ711YDhqATH0aWc7nAmroi4ZSaRcV2nW9zyw3XkRk2/n8imZJ/ZU1yxYIsrPNHQ9wmbjTmbULeT
eGAlNUoQ0FFlE+Kq0tMtqzr+8yhdPHRp9TpuShtJnZJPUxLtYvZ55wrrI4vzfKBAU4I3GtEJYLLL
JdXmF2jp5bh3xnH5QukKF9juUm9ija6i8pzOTCDx7evlXLSW/HCYIz7lKEPu4zmWguGL8t/Iz4Bk
zhk5f5akIw7hwoP5wjLTL3dq0azzFi8bm6XZbtnkQV89jFO3vFrt4DlkGWpYXuhPNZ5RT4f63826
fBwMdx0/mCRx0kLKASUUh0mgMGUAAW3bjP6x6ZlvpU100p2xsbZNO/ZMiZf0Q8WlNDZL2pV3XVs0
3/xxyj7ifiJ+TSe+e6SRtdJvyOhUAUaprR4GuEqfrBzkdaZSYi69RffvW9fPTw06x1fK14jPD0XF
O7dye1NLMQEMqw2CwUimzh5TJzW+zHZe7uhsl4PCEc1vTKbjt1HXytuBwCYMN3VBGAo5oem73fU1
dVkX+29NMcZPs1s4r+4ATAwHUFe9Md9oi2CgTT/vQZd2myiJEsYnfuu9lDwpF5M7GHaAzBSXGVv9
foV1FUu7mXSzQC+2SO9cuXO5bOY4mzBB1poqA7105RuTXIKPZ6Ze1qZvB4n+bVKHMiEnBc/O5F23
ts0QS5ntgJB/Wfy7uSocAky7ZT4aHPkxJvhcPXGmEY1B/97OnMskmyHosFBET1aH8iazC7Sbcn1a
zHxk4tGItMi3YKWgUsNIcdSunWX/Kc2u/WZrGSm0QtWsW1XSABy2zV57ipAivZMdo98To+pJlDu9
xvSRIv9hznKsht2SDShIcZ4cloUZ9qrl9km3jDstCqIeZdPWcVgUb3IJS4bRO3LuA7oddqimmmMw
HkabA4HQyBU/AElESLg08CjwjVFPozvPScx0altmQYTzBkFAIbX7qAOkzTbelif+SPSI/FMrEDux
RiBCuZpXT5xHCttqzrUvJvSwMAn8BbtZoxWK8lKQsCsMu0NZDguDPflIxU7UQEl4S+5VXO5jSdj1
NI3CZ0pMvRuaXmtTss4+N4uGWOWVDVsFK8eauHwkKulvk6boAMdEdis/tQRa4yH1Z/Ov80O3zNGs
Zz5neU2SgvPSEqMYB8PQqktN84vnqDfxn6CO671tb3vJI3KHxtu5i5YsMFiwAId0YKSOVCT4fi56
FmHY9Qw0A7Jr+njH12U4kJk4OGBbCwVKpHIwFqNGJT+kpdWrQ29iEkeJjAGXYRiLciZkhUh29qQQ
X4xRQ2OJ6LDjMerxZB48HbNNUDtMcDYiJ/5wYw+cNTuESAzWzDTGKeokMYCKwjFKue9mxlsbw+i9
XZbZgGgc0U90HfHsk1Roa6QCF1im20sCUTsYBcjzLtwpG81dFnvGamfSGDOWQH3xZ2FWJuZkxHi6
GyqbetMdjaLb5iIChwJfJxV3hcVePLS0mJbUVQtQgtqquaZAyqBwVTUajX255GAk8YdBLRytUlTH
npzzKoiJjcu22ThzoZO/U1CLL5E/hA43iwUSdaqqPcVMd6+JvM5PkdC9guRWzLv0JmTBhoWUnLJj
7DiX2JstLwSJqd1OJaUtGOQBW+Yshty/GPBHT4GBUqzmwvX9j2zlKAaIpemHDd2U0Y7saWyHiSO6
+QT2vUkPhd2PD02RA/SQgtS5dSZomkAVdT9+0P2m19Ew5apBskiIddAmYJ02c2GkXcj3JfE3C1ru
JnSR8uZQKbiGNh3koHrfFDxaUOXwNvHmehllp1Xw/JLUAaOnK4xCC2kJmygkY4zpQIuGywjGpBi8
fQnqLzpBigEy0ZVFLg8FCVHJ0SSw0z3EXMz1ZaSKNjuQLSyRqJdQIA7c/2nM97sXyRb4wNwfpV7U
GH+i2cVviLiM1nyaqmQHDY+P2XRIz7umzFZoPYTfkNZiuVLupEC0eRmz0auYWMdFczklgA42UD+X
bJ85AEgOchSJseUXxMGbt3FrIRQuafRZyvTtNu+gMYUxDeJXpqvF2Lvr9R72teZbp4Rfbdn0Cwo1
zBB2XVxqLnC/cFoawm9RdLYpnueZcKEY6klKovRM4AtMgKoKcJiW8qYbTVQweZFHzk6S82OEmq9H
9d7Wo8gdQr+iGESG2JAqP1pDp44Km766muWsj5dwaIbyDK3aVNz4tWzT+8htChn0ZNaol9EhR4lV
kbEs7i283Cg594ldJLkEm+G0G2eO+FmObXZSPNWwG02gGzvLT6Ponl1faiDnRtvOdTw0kEcaWtyW
Np3JyZYHii3RlPH6USEly3Ce9w3z3RKfTL0tJjv2Anp4IhWbUvTJwcxsVE1m0WNj9osFKRXaQqPb
ClH52Rt5u9qz55Zlc5J1t3ghM7+a3F3e4nLnpcAsz9k2zj03ajpre7YE1rxdcB3JvbBKukwPDRLT
KDlWRmAars9Oz051fasUiKnQXMwM1lLfyTQQzSQk2rRy6I5c8JB2gTu24raxCMW5HdwKk67lLLLc
u7nVGDtH4dYPRiPF02QsI9DXGroBSmJ/ss7xXQ/sDdNe1IEUcQpjwrTa20wU2StcWySHspPFEMxD
S+nbdotWrlgXMw0FKZqXnqjcawwmJaKdsRi+4S1u98vUjd4e8zGuaKBIbR1W/Mb1tq4cSkLwRUjT
K3u+QxrIMjBasskG9FM0fDKLJ+8FkQMTIwCj15ElYvfDPaFRara5W3lBWhtevbXTpbhmPNCzHyom
cWT0VqtgrjMRr0Kz8sWbJgxJGoiaSwJ4ynmn0eg+ExjqP5J/OsvNInhqg2io3W9GaudvM/NwaFGZ
B80oIqiKK2JMRwKUjLRF5MP7zGnJDJHrnIwi8uMG9ic20F0ZmtjqvxUa/J3NYgiqFXRWBVdJhhVv
FVJ3H3z5IQP4btvMp3Fk9P6Et8ovj7MfT4/DUOJSloLMiIAKfqIUzUciaZmGxfmQXfBlwurG+zv1
6rJg8zgU+7RuOwqpGiEtCEsEhrEIhUaywLTRpKBv20eDMbWHnqdEkTEMUf2+RHjt5tetIeA5oND1
MT8QrcoKcpf75I/tdDE4zGo1J+7kHZa1BTopAyWxdUDnqPfBW8wVUGUDY2/DpGV7tneiFH0sYUmT
Xt0bdek0rG0nMYSNyNm6EX1T4T0lG0gnsqqzhwZbSZeY0tZ2tmDvEyRjMqY7rGbawA3g4zQsXCsq
wrGphTzRCyITtVmNMqWwBqbie5vtndfus95djNexmP3xtoj10mPXFjk2Hzax2SSj6vP02Y12RIXa
FgNd5ZlKXafeMxjQaWHgSTjcPDTICcdFLpU3vCd+MqoLXbZ0dq3l6qOxcWtkWQlzOhbH1kYp04RJ
irF6bt6irJ2RxpsiH+7zCGic3KQ6Avd0M9TYpejB664Hy+/iZLKfKaiT7t5Bu5gFi0mewIeZaioh
qZ7aV9y50qf49okukgXyWTaFzDDtMbuKeTTqWy6kCOAaJkdcxVyT/dZeiuaEo2l+aBNjyvajZ2Fp
g3jhrmHw6yTMNZleavYCfLBrRMian/08H1x5jEA3NqdBg6kT9gk6XEhcSfGpz1HzKevUYIWUMelJ
VaNXW6sheIxmQiSSw5WMtH3c51kS+liRtKONgbYKW613z13Zt8apkP4Es1Qi9Q+UYacwUywEvXuP
RCgCXWNJnWysYYyB0OR812keMhLVNao/QeoqWhxfuIE3RpN7VEVNZZT4GshEoy0zOjOQPtMkxkN6
8+wbMvnQYEr7zJJy7U4mNVrxzJCluZ2ZMC2Bn/PFPlZTnVyPJn8TIVhkUDEmihW+I6Xxv3WfQjp1
Jue6MmsTP23fs3Fu8URM4B1U8VF71fTYLb7SwrTwYDKOqCQGzpVOLny1o/TLYArKS0CmnfMBOagm
mWAC8Gd7EeODg/T2joLCBhlmWshpvKg3DFzQqn2uK0vygovRvM1UP42h0c+IdIFvoact8tu8mhLw
Y16ibZZeNNARM9DTw+K4ZOf2ZkfvYK67FQOROX4/6cU7hdkVf7ry6MZZ5DdTsOA7+1ZPCmWEG5vt
5+gOgqhsfcxvZlfHMeEtLo/ZiJgOMM2obqPKJRMYYux4a9Og1CFNXvIJSdy/ZRzCuzP2rbrr/RnD
IIdahD+ChPhrLY0l0SnLRGK2lvFNDqgeWInK1kOxIKqUAJCClLmn0tEFPYa0lwu4AfAzyXSnwNRk
RCW6jBldo0oY/YVs7fV8m+YF4448a71XLfVBEde6LL9WfN3naMWEmDMkwsjIQXGuRQ7Xd4rtix6d
QTRXWTpXCFNLL39ByhrNYcM2tt0obVb3JHf6ydEvtBhJQ5lOHtigJlOBrbnqYvI14Ik9nJhP+qjU
4d2tvfMyz5S2rSLdCbMRhVvQVlKbjmZqe0Q0+EX65aDxSYMMwwZSF+kwX7GtjDo5w+KCklbqLmdK
gbk2xMLU2FtSHSnbWk6/5MT6uqZEXj0kNRRCGkxcI7SunI06fnAgcHFcIAPD8KXDascwG22wH1qk
1WukJyCSggyyTmhYBwmvpeWUrcbgg6ZX3EXK0h+9Hi/ODrdacmPBFeQpyhZcTQWTpo+cw51xiPJ6
yRxnpB1njGHrp1Zi74e5POFxmGp8cpHRXcqhNJvAFbV2U2CmTJmL1/OwibuerddQmNF9C+tmYGBr
gY22Wo1mvvFZglxSEno3cqoHG3LFmhIT9Z3fbGLmvu5hEWiIQxAvybPfTDGmwdEShwX1gdx5HpPh
QCeWg1GOQB2C1ojcaXJWkE7TubmnKKZE3nZ25kyhHuHB48liL4dEKCNZJxPVAoCjsdrsBfpx/5U1
AGo2OtKIDxffTX5L9CWGeJRgHE6MYVgEeV493MJr9bUz4VbWZe87CMsaEg2e4XfqN4r+q9/b0iY3
vuP3O4dS5WPBHKLl0WbtJPGIwvpi3lPJLxve/xDoyqTKwLDVkvCGh/p2LLv6VaymyXDWm+6x8WsC
snVZ1P+/nEcFe/z483+ZFovrf72dv3+tltcq/VGmuv6Rv6zhbR0uMsoVnTwO3yUAhWSHv8pU/V8s
KMdEGiO//pUP97c1vKaDfxMGzDgfAhjWHH3NSP7bIt74xRUERXCxmybBQSS9/LR4/71F/Lpl/7tK
lU0+WmwTPbRv6FDS6Pd/VKmOWAMZ7lLHDHGUTdsM19chbarpjwJxflS0rz8H+IBAW+Ci2RWOi+jg
e/317Iu54ejk4mcnxwTYUsM7E7j6CU26Cr/7BP6JuOAfX5OL1twULjFpNopepMHf/6zcZBFJCCSM
KioPalAoXRAVivPf/yn/kCfEK3J10zERDQPKNhBYfP9Tkg7LMdw5XtGsmTfY4yqGk2aaXHHYJRCr
O738g9f1D+/hmjrFA7PCBEkS03/6iblpd14Djh17UUdSLwfctG547FW2GE9/EEryRz/spzex0edF
zRZCC5zh87QvzNp6yGOLVpzDs9n9/nv5D58YAXCAhnzHIW2QnKBVK/KdOj/pdb0anDHfWLLRbvAt
4vFUTvsHP+WfvCT0/6xU0IYjjvHWf//dT8GYLHozwXPpyTk7y1Or39P1LUHnoMf7z18QiktMNy4d
C1jjn35UWliIQxQqXYTIR4cXE/CFVn/gavhnb5tteMDWIUDwqP/05S3KwcGLM68KVhvL3EBErxE5
2en3X8sqpf/xjODTcYTP4hjZkEBT9OOLMTUSpqG30ZzGiSfDtpsEYnZP/i97Z7IcN86u6Xs5e1aQ
IAGCi97kKMmWJ8njhmHZZc7zzKvvB5lZ51hy/VZ40YuO7pWrpBSZBEDgG96hjvtjIUdshP0VbO5t
Pcrma9Ra6fIyG5DEOs4gdNNNsRZte49GHQ6gJecxXrbzQGqeQCC/XUpHU6/rSSg3I+Ip0ZbSppJH
pbJ5AFVSQWQNkTqzAFw60Q8UjYGd9dRQ8q0c0+ArnNHG1GRdZNVKSSspSO2muU4SFMh2SCX7nyOP
luYztBnzxI92TUaEhUrTWjvsneqJBRK7QYTAjgd+fck0iOOFYnrgV/lbvDM569Hu2uT4qB/QmqGl
I4kt/9QHDxlPH89Nz8Z80iywx1PSd6OiZUNvbIacTWDFgW+7k/XMKv6XF4YwwYbAYCwgAZI9vkuE
Xs7o2wB4IOktWzEK+cLtcUm2m0x9+/0i+2U3ZUsDM+TQhDMOAp5Zgz+9m7S9+0TKmPwUNul3f8bv
GmquC9qJ3lxyR20HaZvf3/Jf3h7P5u10AU4YNsiTMbTo4NDC55YO6kFI7s8jSu56eeaYeHoXgRws
XSXfw78U3wT7yV2g87eJ65DItDU+vjs0YrqZ3G4a9e7PHkeA+QBEYZsDCTcH78mW0yLuV8VWWpCl
qvjGQdZ/43vdfPfndzkHDHjMsfTMPP40TxVUxTi2SKw09b3NMFDAdDUFpj++i9A2DDiPu8AYe7Kx
FST3fSmQAltoEb2oKoXVFSreZ0Xj/whCNEP/81ssgDGa40ZS0yESk09GLA2SoYkSH0BLt9ZvE3j+
O2sQy3en+C6GDjReLPa/fy6Ud5/ek5iNYJ2jztwW1P7j8aNUGcnJVO6moqUU19noxyF6WKLjoPFL
Lq/1EKiP3jiG4Q7lw0Js2Wl6OohSoHha1IO3cexc5Fcxx9cAbMuBZt9g3mPRrW0GyPmeO+l9N6U9
Xb6hWB7gM04+rgQCqH+GJc+PtZlyD1KyEaLVFW5XB+VSJd0Ebt+1O9oBUX4jESetEfhDH2PjuCto
ozkV1muB2ggZ3OrT1l4QQr9Dat37EnVM0AHPG9Fs8ijEG2wO3OkK1Sa0IZFFQTkF8gnCHjnOYX8v
Tj2tyDIIxBnCaaIgutCvzbfI1hnUM4emTafJaSY6ann8KdeNWvdOUGOjRyZMuy1vnBbdNZSpAP7F
DvyhRUB9wjHddbIbtJWmANV/zrEv+eyobFuNurYR7J0lKvVrHB+QIG3tW71CI4BKZDXvA6CEtCB7
3KRc/NVKNJ62rVPS6IV8oob1xg6WCrcjieHFRxHHhsiAID/23isFSDQtHVkf0Y2fcAnN5+me7khX
bL0CvOhWjXg1UZacSt3tBCgi/IVqZAl2mDLNpr3jgt4I6tL95rII8p2lR/XQx0U8fUDFMPzqVyNE
DYzokJx1pV5QZFPW9zlzaOMNNATuMT32rAfaOOu9R0iSbOkBaoDqypnuIlSfo+s6RarUUGuLFYZP
0FjvGwpPdFHxNPnUqy7+Yi01sod1IOrPQCvpjWy63se5IJ0Anx08QZN525R+h76NKCYoxihJIrCR
wqfGIrwZGvcmG5cxPXiDNaLogd7NFz8r4LihfBfGB1zGAnkc1tqlVK5yip5NN7rWwULfHcmHbqWc
YqVTKo5e3IxiE9iW/8WqnG7YlAqdOgriEes8yFz3HfpfiUKlSDX9dy+xxPKiK0BYXGvEEUYIYDls
cIrafX7Immx9w7g76UfBIWd/w/0k798vKHN1V0Pj5Jhq1VaJCgE9s0+0gkIFpbxO7wprSVz4LxSS
H3BFaMbrYgmBgaTFGNkHaU9o0jbAleNN2iW1/4M2tiGUdCgDfet8VBFfjZWd+rRyKze5AVTZo3wF
+BigUazG2uhLF0julO2w0iSiubZegVEJ6++NXUOEJ1xs1W6h3IX5F1S4+i3o57jc020HJDApbAs2
o4zlsMsc5Kyoj4PI3MQNZOddsxTNe0dEeNLjfVBgwjuPOtzAE/ejvXQpJm2A5RED0/pPiluoeaK7
BYqWFSXAzpMBU3e2Y+rO5kwojBmrpuDk25RU0ng4nfyccP0u0l1EqtdtIxp8X3B3F9cFrOnhDVtO
3B3EeDKIQr1CApnGe1W2nzsf9nr/N8b2JDLORpxtpmZ1Mp0yVm9YUIHBwI9qNtZU48mlykGyAwj2
xnfSKAr2K8ioCZkpQXW6f0Fdh5oG4tn5V/iHqAf4dTvM+7oWwT0VLFvj3DtQWZmWvvkw6xHREszM
IpQ/KzcvD9WUU4qfPNp24J48q92iHY0iindikXknRllwYpdBArcng3SS4sqiWtNSTDI8tWltlxyk
dzN0L3ojbYQ6beLaxwUp0/DWi4hT93WWoGtXg+aD9rYWDUpYY2p7Vyhb0Xuyxy59Zc0VR7Z0oWTv
0z6C2Jho7DSgPOq62IrJDd5QvF2RA+zxNOKUxwad9hnwy36Wenpnq4g0BoJkMx+VBHgMGtDr2adr
1Lq2qq7tt2hareFNXU4h9HlUjN/QiCtek5FbJdF0mNxxDUSHJvotxoIHguCLKtfszc7S0e/SrpqA
j6c6dq7XDoj1AZUQfcdI4QLigsL5VC0RipsO0MW/eyxQoGJOQpKpUt8F9wiCJLlxKx0+WNpf8NAj
k3A3buoj74WrZv0AWc+n7oua4j1a2P1wmJOxsa+paaNyDt50vLWmsBTHvksipFHo/ZuXBb+Ng8+u
8qH3e7ve2Wkr7ml8k0PWoCJRE2giUomuQCEbT4dVfa05Omv0XgViKrElqi9FBa9lg+pjcx00SQUG
oyMT2vjWwG7tO876wfKJxg+ij6mZJ6qfXvBy0DNJ7bK+9VKfUmM72EbjRKDhvI2xVVGbqtYumKG2
6HjIXkbvhxQM4LYoJyzGbcqd8d9oD44tQmyjrK7bYvRzFpABM68nYHMP4mxAfAD0zLZw6Fvvh3ag
Lz6cgND0i8dh53SNX187HeTfLb6UQKaDE3x6xCNHbsHqi+humD0Z790iAp/ht+hWb+UJet2dYNjJ
CZJdneDZ9QmqrU+wbSTLgHBXJzh3cIJ2ryeY93KCfJcn+Lc+QcHnEyy8OkHE5Rkvnp3A48UJSO6f
QOXDCWAOrA2Y+XQCntdnFLp7gqQHZ3x6cAKry6ip24cQ5kWL/lY49EckYmRxhYB7g3AMGzMsrQ5H
yM2U1TDTjK+zcxXgufS+zaIQhLel4CSsHeCQfQ6GCao/qO4c/O4CoQJXmqXfrEs/0DdBq4T+QNLK
7ibNa04jvxfBtI0HsL5IWNNb2PbETu59YrsDfD6IBbzgObk/chEeqoi9NaLGV0DnFNfpZNNZklDL
xl0TT9NRVy7srqQhG9yDv+YMI0muiGGSKhpvZFCx3SczQdkSW3LdIuc0gaWi/veqTeiLgpdFtmYz
r5xbxwGhOsr/s1/9WNhm9VYncfTed6yWNclOEb7Qrt+qA+8+fUTLrqsAGZEuQHJaiWjbUChqaJvB
o945i0rfx7YD8W51IZPC/sbxbI8FrBnfvLE+FMXKO6LznNYoEF1rPXA2wEzM4VofvbZvXrqRFRb7
IF5Gd1+BwRq2o3SXD6Ahrddd02i1E0GrfmgmDThTgwPTvlcqtGE6iDDBjpKiwfwDboX8DGtTjfcz
OD0jjU38CVtYo9cLCqiFb03o99EF/vENHEtdvsywjEX/3Kbzt8VVd15uML0dxNYD7HasgNoNYJ2S
0ijZOvCeZR6jnjPUXfDeMH3ovAcxKJ0OL9tP6eBbRp5KIskYIPpcHKxyoMMRhpV7B/PPba8jpFfw
oWkdWKt5CzTx4Be5G0HGXTGb6Ds/0NjsDrzpsorlfa7S6sHzwylFlRTdoCOCOrO9rbK19xBrtpS/
p7Iw67d+SV3noKIRFCgmiZh6Odmc790BdyokmURzg3wPrsZAr5x71VfArOM1K7+OPSqRAMmALpiD
uLWg/zZIeRm9RJLMFvQJ9BwNl5lqjPt9aFofteYk98oNUlEGiUbv/xMKKzPOn/mKJlBSZsEC3QkL
HlhVq6SHasccRaT/mb83Dbu3g8si34lxWOytLmMn3eWdQ2dlZE3iBqU670M92BEwa5XmL0ZyGwTA
OgBJm94bZ7KXKlne/j6Vcp9WDEikHIGIoW3kGlCBeJIj2pLg1EGbf4Ok1VLceLwc8RaUdogUIyq9
2P3FvRVgqxR6686n30zvPFuXN6vT00RuYFJkBxhSGO3FZb7Ko54L+qieqvvqTW5Lp3wHKnwEQ0DG
th4g2aTiGvs/8RlgUznu15nd8C2pdpQA8CmTfuOiLvMZPFvs3zur717LHuzoDpuI6ANWQfMHkJ5h
8NooXtlHMJ6ROlphaAUbCkk4OhTtNIyffz9Gvw6RFFpJw/ajrIIu4ONkM27iGigWYBNk2Zz3FrrC
V2GQChyyitR+D2J3uP/9DZ8WjKgTCq1div1oiwrXdDt+rg6MS+rbyOpiB5fb+TcceAs45StxcrX2
zjM1gn+5l0fNiA6JRyHe954UpzLlomDhwXySre3t6ebrAwLP0fUKpPKZtP3XpB1ZEG2KoNKh3Cqe
1HCCMsRAp4iA2er6U5Bky+2ik/aZsfv1JsoW3qlPZLo+vvn9T5UVRAUgzo8zgUmMUWyRivgNZJjp
+vcz9G938QXqxOadQV/oyQyhO0hqQ5IDWyUfr1CaBU8EAPD4+7s4v06OuT4lFfikAsvQJ7eRCoCP
7EAymUmq9nDqcW93LcBBKIi30trqwe6aNyHQO/E+my1rvEtJ5VaQcU4PunZBYvQlJ1OjrpfBWfzr
2IkQfg0RrQt2v/+u/zYiUPg0NUBaao77ZNzdoLY8kmnG3e/fYT5tXXdW5T/TTfnXmwjfQdWJvh41
wceT64zBKHow+HDFSUOIa0Eu7Ja61sszlelfBt6lHs0qpclGwy14Wl8CTTw2bR81QKlRBQUE1BvO
hLa2q4f7zp++ghTopGm1mRaEjfbM46cC1UjhSgLNp4DU7tccqUkArR9aUT0nH/VLqY79y/Mpmdke
PW0K3o/vJLwWNAd+MTDQomHjLQhvcpqlrxPE/ZFZTYJNPwT2n772ZtMUNnh1w6SW8kmtLtLtIDpN
8yAp6nDnJUV1EB6r+bT+/j+v/b/YnX96FY1+1EUXyghU/a//eh/9ou9k/uDCX5c4qrHTUqCne06v
jhbMfzfOpe962EdRV6fTwqxc6OveX+BRsCcmzIXebvuC8+6/u+Z/eZqAAda7g/6Y52KE/Addc15a
FtzPtWNa8hTzHcn3oERN4f3xgpxwR+zoY74jy0WBr016CrCsz3hCl2e2bpeovWvURLHUqvIQHkMt
xS3CTYEFnLyKP1uTT/mQAiFQOCCTSXLsxZCTOS6OD7bTD9DTyVOSuk1XIA0OarLqKjRM1ukTKG+5
XE86RQxOn+obIPrCe8Bl47wXgETQ16PM8HU51UUMsLt5CcyuiUNMxe2ewkkGTjd8G6wrW0i+9aey
cw6uiMu63sKzbL0jjL1aONvqZCQOmwRTcXzgqHmNqjBGDNPCV52oH6mtYcDetV6k2qPdwuLejpOx
LIfRVsV7uLgACaKkb4jMRopkvEm4nU+D5bubCIYXJujCsYixRJj+AGvjfYJL0+B7VZQInIsQqZ8x
icqFmuYg1EasOT43NhL+zYGNAgv2BfiR3LAXRjCv7SmF30bYeRUsRYmeq0qzb9Sj8GJGVQWNj+lk
9T5OtvvFTUXzvh7gZMQ6QgNJr2GDLF0kADZOsGKOue0xHo3u0EFPE8cXx/bkKz8Yi3lSM9zm85Pz
fDJNuNAD4a0/o3maZbgNu/jUL/GIAO1ycq/vC/mRCHH96p/c7a2T0z1WpMCXbA8VnC1GWXW2m2S6
C9GzxzEdN+NwkxVu9rL1HRJUU7h3SAxRS9xq0WBZ1axB93qiqdzuWlZ9jGI5LLJN4S3rS1/3wts1
lLmyKxIkY7wM9jzcELkj5Kq6DnKGT/XE2ijfhYgM3BLVHVaXMxyyIsMLyyotFe5gSLjhRkkPAqjb
LITzGJMimFKUiqwnm6sp2DslJszQd7r4b4fTgD5tRI9g41KzATAfjiqFLGhRyAwi+OTUwSf9qhVw
/xCThwa9myn0xLelm2YP0NydNwb6XBypoSIc2fUQDvGGi5M9BM3xPil88W7qya6Qr8nwYK331Nts
3RFOhC7KyHGeYRS0ZFGQ/4iKBq4lvVG1DtcRnH0AIbGecX5bB6n0tjLQz1sLsuK3SA9o5wxII3XH
mOUGSc4Zl9e5u7pqH61LK28p+HlUi6ph/NRSB7sNkDGoj+Aap+hQOqA84X9ZY78tfa+1DxPObDei
0PN3Em2cVJqhl+JD5CcpIrM+5rlXJdBveY2x2XKky9I/hD1pQ7wiPkvZosjfIlVH64WqVh+g/IPg
xYueclSyXwZrvhI19CMqTvjGbVY5v9IznnCHAsrplZdn7XQESbneT1MHsQrp5OAHtb7sVRBiGXuL
qELT7VpXqDvEqafP9ok4bJ9IxLgexR8mG0XIXSz8wtv6XrMfuqZqt/gJQkGuDRvZWKc376rJxTbQ
PRGWU13Wn6WMoDF3htEckwZ+bArXpi5yojxnJ/ozipnqzXQiRZO4kk7PNcqgHV4M76MTdxpoEDxq
ikY5UmmGXY0Avjsfcu0DXs+Rml+24HJhYzt9v/yoK5dq0Us5IMugDr6LFR0ROjDSd3ZMtLAZ6mz6
Cu6neg0DUYEowb8E3Thqa8lO90MBWNcQwVHMY8tzDT8c8DH5ZHiijUuIJR6FMlzCtiHyyjaXTgho
S2gQ3VvPjhX084QUCs/5sEM2C6hAtwO6C12dKIbrFD0Cv1/mljo81QI9s9UbK5aHQKfw9iF9zN/g
l0+fXEBT6P4VzjtVIpztIg2R76lGrN2bStaoi2w7NCmgOlchmXSeBN/oQJRyV/lrNt3AUqXgsUQd
xPz4RNLHEgXCft7I9QoUfhgAsK8ZjhlZV6ja7ajUPs2G9UuPpUG68QND/UeprMLaEjomRhqB8If9
vEAAOwiIyNEOPUHU0CZUwABZOBY19yFznG2HofqHOuhnlA1lp29cMwSQvtuK0kJATfIc2/6/FCkh
i1n+XfY/a/acMtf/DDD81Xf29AfnKEl6f0l68K4fEI+4/Cdx8zlKsoT8i/iEgIeQSIMHMOCNS5zk
+vyKXDPwQAzwGZ9f/RMnud5fdMRt0k+TENkm7vqDOOlxNoJ/rdS+C7CLy3kepY8nuVUIRWj2E5bd
Mi9+0CJyLGTzkMCIbvodZQ9cXJ9JSR7HZdwRNVBQk+ZPkf4kOHscl/kRhJMRWdJpgeKMoQdOGc2D
NQLtfQimCQVfeNGddfdT3PrmHPb9rKL7y01B/xlsFBgswCsn2aSfU3f4XiPMtumhbV23eUDUobfu
VM5WfRdgo8fxXdBl/fObGqIW8BsCYZuk6MmTqrZIIbn63LTidrFdqewWJUk3uy3xRM9ubVJpbv37
J/1lQtGTQiEKOAuIGfCiT26aaQ9gAO4LwFg0U4h3CvNZdROPHSLt3va739/PXO9/wmyfEwJEoE1Q
j5oqyEfvyQKK+jETcNe2ti785iGFecotztMZoyvC80G/SWzk//k/iBzQTJ9fU48f2ixg3yUYsBlu
voHzFI0CTkMTuAUeYD70Un32YDO1eVuC7zbsHc6nZ1bxk8f2QPMp5UhuyJJywIk8XsW5l6atj0DW
lm25MsL3WKhYxV6207jg+gnknLqNxlKWf2J7VE16oN9M2/GZOs7jha1JoXxASxRHtCfI809olp9q
UrhsBa4qvzgM/NZffYx0Dqw6qPrbNiG+VWhNjuMzS+zJPdmyyBsDCojcknfpaekosmxqP3OaGy3O
0bqDW+yxZcAdX6fNUgWs9QWtPfVcsv8U0mfKyUCFmV6MtwNksR8PeZrGg6KDhewsWnnWXZNjwA6F
eRkXJjksATbcUd9VY785L/ekQ33UB2hik5T94RCA6mbjJYt1wSWwjz15y4gQoyyFx75xa3Y7eJun
MZjZwKw7RCWhlwHUtgBAPPO2mbfpf942A2WUVDltm7IdEbBtP3nbTOuua0CAbmhLKu5ro8TDwwVy
ff6l8sXTEfcFLxPYeKMCZx7zySIvYAhB6lYII8W2YJBnn8ZotM87EFDNIcaf2bor17HnZ1U8QIF/
5VQCd/tjusjKfuvaJURjdGw0qyQ6rRXkWWiP1Jusg7OHqceSddP4sieL4f/scm1YNYBNSq5YWnbD
Pza9JencjCPMMmHIY1M9kbbhRu7Mt4o0mL+XZWDu+s/Na1hY9l4mSqbDR9ARfVJdZTpY0X8UpMT6
dkkXLLRoOWBl4G+HSZVmnSQoEPjHykaoId5ZdR+4OImRTDKJsUjJpNB5dDSDHmBMy+2wWOkzJFSt
1O4s1IICc7E812aPjTu1+ndk4SkyJVhEOOL7tFjOkL6MSfH85H5Be0FrbCyGEQNwnUM7FDtFE5dr
wDHOuFsfwBSnFmA106IAdp1+KGZhljtkodr5pJs5rz/Skq/5eAMKzboLuSCjlkJe42c1lQGWB+5+
Id+7agYz6DMqJEzf+S26PNl5/U5lag4kDAKsCSzbxDaAvt55S78MLrwqVvmutzyd18c81kUBxDiF
iFdAqXXN8kA1JfObQ9YNC6OUibVxRzq34IPaD+f7tF3hVrDkY4wsd6Hn1U27tSRaSdMLS9XxlL0U
64S579YIUvD9uyYWirQsNmfLZelcxkPpZOIrS28oeV7nfKISUDXW3Vp17EvYSUfmEjKnb3hMJ5xv
mKW5G7MWbJFDQeiKXjZO61tMTqccc21K49EIz2xOAzidwM+6D8Ea6OXz5VJ5O5lrgEExx8pYVxUP
PYQ2rOobv2zpqW4vUxIBPWYGLzsVIBAET2EyRkX5d4AcBqMjc16UhwWpQpBBNT1NnuXy8cCtB5bx
jAAGH4RbWnC3in4gY4sZKoBmoFttowEXFj3qGij2ugQVegL+oeFOJkXmHRB8XfHVuHyejJw96XCe
hNzoWPc7VA7MEsF220uX64gDJbuF28nI4UND0AC9BbrcpqdiXbTgttKa3BH8RYP36Pw+U6ie+R8D
0mJtfWv0EszroQJyBIfQa2aKhA9LEE6VvMFLUWTth4q7hPr7gnGSE93BqEUt+j17HbIpN24p22V4
Bw3LvHNu1Y2O+NrGwNaS63P0RA+8YxYvC7lAs8WEOP1g3sqummEN7AHCBBjSFpZA/jGI4ZrWsBlb
iw9eXvTzwsf2lQPj8hsHwZjsdqwFb1BzHuJFeQlby5jlOcMfFVi7tx9oKMZYbs+qo4rztonRq2fl
Bk5hZggleCK7yczsO1rnE8iQSzjiKrs3U5kWM0vlHPHqDv2B7jATFNXixgGKGUVHjd0DntYDZYZh
PUCTqUIADWWt2Zh8NLNZ4pNIHeKsxa6YNeqK5o2Toy94Ptoaydp/9lC1zV+VbeWB9gxcXqxXsNzM
+QCNl2dOe8gp+QEwdAI2JvSJgMtdj9YJtRjjMtNnL5F8DtQXCnd+/kqCGSCywZZWcL05i2DYoVYQ
KgXnPa3529YOzFkUxazDu4r2Y/4KxhtKAXu7gQ4THtIeXf2Z4pgQWAB7bd34xdWQmKh5l/uoU3h4
1NRzsBwbITFluhlzghBElgHC8ud1xrLwXxFqN7DpvJrSSLOpcR9GLEdBl+Mq8KbM01pUgrlKSOmQ
T+o6iodrHXQA1ncqnQZ+FjqZVF/kYpmPk8hL/knsJUmRYvbaaowRBfZGw2E9XQKyAE66qHAODWZx
Tu370ByzQhbBFdIgTo2Zl05bLl9or+fyjRV7DONMvWWqdnZgRb2zK1sPyuMV0l+Yp+6xh/MK6wot
exbpVegslBiO5/FEAMb89ZSkLd7LgayH8U2STBAAKAKcH57Si4UJIVQNCtm8G2aUyxW+8Ksx6swm
n2dTygUjlGIbVEx0GyKErFDqeaBWr8f7CYCNRgYkjNOHDiFMzJwbZ20xCKD2cpXMIICXne/jfLaN
loblfjgvA7QWXPaONLNZTwuKQNwYNRsctGEzq4E5WG1WT7krGzgvrzB0ZePFt6+FpgnXc155WBco
lPpyngJW9mieISsmY1A8UVrklEvIM+YaW8s8Pu2mjlkUXlHGbHpxVJm7JehyM0ir19lD9rJxBWt/
02jBqjuPYmYDyamuZDmV8WsAjpCFcciOFpatBVTVjNHqkBvs5iLsuHywpvaA+HMQ14W3D2C6M5Hm
RTDXPY9wtoRmsUVhj13Qpmx63Xvb0W84YSjDoLuI65+/LiM6FopAZTkWiHDxABk7fuZdu3ZKJebB
zpEL89+CvDQXK8jdetaqXbv1K6C/Fd/IsYdKzx87dE544CWksBBTB07NDy8ToMrCPEmFIyK69RtR
gALl3auxYow30mpJpHep6rW79+qJpX558vO8WYQd3Ob8m44KA5dnd4n66Ha0kAVIriRwb7DkVdeG
FOwRmDdv+3l0y5TwE7BeHkmNjgdM+HYHzFjwgbkk1vrnc1hN9ry1lxU7VRo3rw0iIgU/TDTP9MXv
HPM1OE/YRMq4nflAmg/mlRz61sw8qhIls5tWAob0/fl5LLxdA3GtTztaOo8j4xwC++GvUn8y14BM
aGZkTKSZwiFJBD80JAZGCCCz1V8jDF8ysoDOO6f9ikhWxwczC/l8UKWRZ85uPc6h914V66idb51Y
Sle9iZwk4VvFjjC3UZ6lyn7nRAMR2gZ+OHTer93qA47d9ZNjYynLa2l7HUW/AsXSVwp/pAX9hjws
aonGy3kDqwazoY7zcpr5mpIENhaYNsWfbXwPrWZf56H5FUaSK4O7FvjEskNPqgYfmOnOAcfojnY/
JjdFYTujQuMFuoS4ylXXcHSh95Nz6oB0yTkjphg02XxblgjnJEcOsJJwPQF8MgaHMWD11W8viQuy
PGUJJxtX8izHeyAJjX6vMZZEyQNnCsIE8vuKS+NjBZR/ozVQ1/kW6QhzHK5Is5jjMO1MOC09fMzI
0mi44CrpNrGjo2skUGQZowoqkZS4ZXAXvrWucHRgMjChnSAPWGXIn/NuoFN6BAiOEsqLLoCpABxn
dc1bXCT9hJBYnMaAqbfuRGqYYyWImle/Q8ULvYWXIZVfRVesKNA924iwGAFklpZpa2wvp/dIRMI1
2a7N39mlINK8DFkeOyQuoUU2YURf+Ur9ETiReZ5OLQOmlWjQd9Xyzu1Zr0Sf4dgTnVCAMVG0nJeY
H0bEOYRZ55CqyVGXHW9s30bRa6vKznfa7eXWyO3Bub2xYD3B59L4Y7LdDlQMCPu8JJB8u8t3jR30
MkOsp4FcuzisuGb4olFgUYoferQM+SHMeGfqbQsmFoBs26BsEGxyD+lhf4sUR+80uzAF7pvuKyxJ
wq82QRq2B2jR9vb34hwyO0trHkAA8qAL42QmjGY7w0wLOF1g0ou4ykoWGrFmzzdIzZd8aMCfM/3j
+YuzKZntqa9n8wUSE6c8sP+bS6Gz6ZhpP9ff/FM4FqZsK3eXqWQ/NTM6uZaO5HWA9m9bbTGlNBc8
Z/ioOZvL1t1UsxrZmk1BYEm6IV0P7dgO7VsE2CoTMJ7qX12Ump0gOJXEMnsoM/FSoFyIll5X1+YR
VIq0Zb6pWmUy0OmcKF0yXEI+l1fGbgHCDi9QjzXfvpBAbsXDiuC5F3+e9WLWZ4b0JbNVh75JYJuW
/k1w38/QJaeX6BKHsLk3im5NKFq6bXAsBaI5p2D/sjQR+oeRsPPOS/qSpo7ni4fp2PKwllfhJPnS
ElMzqBca35oCG/JzHj1Gvr+Uh7WA1wAHpZG5npbvAidv3qh/qiLBapvNYcgTxqc/Fwsr6rL8X01J
06y2IGx51yvkrcxHYlQpExSOUNtifvHuJgV42Y+Bhzhlqa1KY/zYYcnK5p0MzGIydlRUUWwhKaGb
HXMND2khtlHwN51AyYk+UREfK6msMWALz82mVRLqcu9LafQ8b965ZNgqXBkY1kWYgkPpRzbfToNu
BdBuRTZQF2C4MzjwLX655hBp5sDJnGuRdpHnHX0vRo/nGiGNAU/EuGI1LHt6uSa7uixaiVoRp8PU
QYeQ26Bgv1cbKOwwmfC8VCPXnHrgoMMLa0CdlZk+Z/tOGIAX2172hpiwNYv3YqhtTaMbGgWbo5sv
in8uS+oSMdMINJmkcYKp0msPqKlq9udnviz+8RTtX977QsH25DUOSAF75Nx6eEcg3q0R30XE3kbm
c0HHhsHhVDavDgSVGlCAS+8fo9PzhdXipzzHQPLNRbpTPdy37JzpGSjWV/Hb8+emUzKEzZRJMC7b
kA1onD9yl8QUuPCWwgVyn8nQZOCXquN4XkljnZtSjjDdBDI0sZpP4jRghndc224ejtUqWqMZzr7D
7y5rTnmtCPkKCGGHAw44VBKGF6hXZQPCSj1JIHaYiT+T3N7G9aRweIS8Rpfy8zrOBIZHSXTPMF++
Ly1vF+6LL/O1E7cg6jXycXUVqxZ8uNXr4LoeZDHEh9wFsRDdybLQVvatXKaqC6+jTvhj+0bPuCi7
xoQOKP0rGAnmH1W3Pd/s8piXJQwc39RXOoRNmFW7EzYR7VAT/n+vysRa+11Z+KYWeSlhXN5v2Akm
cA84ZxirywwG6JHNBbSdIJRvcf9i3/x93f5xyRykDXkYZWPDcgSe6Z/gMz8VjgsVVEoUiJHSaDXp
c3guIV52wIW4gEf5/S2dEx35p/Kl4C2gWk4BBeQpcLETYvinm+a2sMYpZHAuVYfKtiTDOJ1XiwlV
mcPk3DaYO5Q417vhXA2AJLxG8ZXuGmE81TEPdX+QTytloe2fzSMGD7Wbocu6U/3SscC70OtYgRrs
PP9ngXI0Swg2FzQGJBKhSBAT1jLs7CMS8K7+3oajo1BoyYD/YR5wLoUBPTT1VerdDhdzz0fhuStW
kTFxO6j30mfaRoUbISHtqeUgV/ygk+OQxibajBxt1v2lNuRmWGJzJJ5XyaVCYEdLH9WH0PJzBLHc
OTOHf4jCO5Ngokf+71w2WOGOskrQgHPUcbJqc6CtPwctUJfMEXb+WeZTuGAQhrEtf3g43VKxnpAt
5XtfYjdiPlpuJLSDYzAsCu2+3aWovHi1uVW0YNijXlcrjHZ7f/lOZV9TG8qR0GQXLGFPs/1dQss5
cc0xnJxP/hEuKKfOpRVUud3Ml8MrTAM7Kj2KwNlxCQHJ4KiWQEagSHLewi8RQ+Hl5g9G5FsRdqXA
gLP7TdDNddPt5/P3Y+7NBnLZUonMbb60blAIRK//fBJfrjmBy+J3qSzN1/UQ+DfvIpRcaBidE+W5
t4+HwezrA2IKyNlbeZnGHKBzaUpkaHqenjZqzcK6nACXp11WVFKagziHfpWQeRZQc6SgmH4qSzYC
ii9En9aXy1t+erH+D7Td/y/ynjRCN/+56b6tigoW6M9tevMHF00fmu4urUnaM2CbfXro/zTdPfcv
gdENqEUFiYOiAKjAS8/dcjDkoadntFsCyeYUsGX+03R3xF+eQPkEwR/2Lggl8k+a7qcm7E/7IG0c
GjkwFAAK8P1orjxuZbUNZ0OSwb2uo6FVG3bB5ap39PpuWBObdCKSh3AapLP3nGb8Zpc2EuvoTt6J
spP9Pm3tlbCs/Jzj0g1tOGoNt9ob4t1ol3G1jVeiy800FtUb8uMi3gI+829LNPBBVmmUiTeyi4b7
ScrwQ+5MCRA+Sv5fSMkLoENtRYrkYUUzFO0KJMebb0Fl40ic1mF9iyHI+mnhLLwb0DHz0fyqdkkR
v28iu/pogTiiJ5XXErHMhg3KRrEo2lbQ3TM9hR8TWZXfZl7z52QwhBmwxwMqkSEA1oWoBgn9U/x/
HBTOkheL3CQyd+7XamhvJB2KdNtkk35bLZ3znfZJvlert6JM2E8wfpoQ9wZqt9nHJQsmSPc5St5U
eJxNESKXjPw4uElRUFmvSo8ORpxLF2cC8H0/LdxnsQmnnh5waQ4N0OcOFr/mpP75UAR6lzdLKTeA
per9FMjwWIpl3itMv/YNam/P9BCdp1Bt1t6jGz5p67mhHcf+lEvQrZpCJy4FRbhx/jd7Z7IcuZF2
2Vdp+/eQuWPGshGIgRGcpyS5gZHMJObJMePp/wOpVJVMqTKtFr1os9pIViapIgMBwN3vd++5WBON
3ryZzWynHKv2zck9gsrc4YU8J7p7mef6UYXzF9pGiPYjzmbj4ecX4m+Gm6aNIQVXCFYN1zA+Xwgm
h9PIDU9ydqUILmFRHek4Cn/R3Py3nyIJWDAOIS7irFfnu8tda23TOk7NrYJ8ea6UVNvG6Idf/KjG
31xkAAarNYIMh4A/9fljDBbBhGILmwIOF2ZuUpna4NeUIp5glIePcc/hYoUiz1+ErcSj4hRU0pwi
0ldlLM1HLCh4TfiEdfsOVx72wYIkXBTZN6nn5FXNJSQs20/ApXtwH8HKzRwOwsvpzDIuei/qr6Ux
FZC+86i+G/K2fIL1Yx9nq1DtGi/dRokO2gEo1tj6CzjJFudYfsZ0UAe4kk7LmYH0Ff+xB/x/sFT9
f9cR993N/hcn/f/NIxLzr98vV9yXf6xWrDvkvwyWKnqsrHUG8udqpbm/8UJzTFr5YDuR41gpQv+y
iOHWIsJPYOUP/9g/Vyvp/kYHHAETqo0JQ9mYQv4Th5j7+YnBYYKhwMN6sZqKTBcDwudbmSJsiCFZ
cqxGrYmyeyVa07wYxGRl5PKnWQcDQINKKMGKCCMsm3QfeUtGZeL6dYnP1eBTO+OSyYx4LuYxAovC
qwdrd+AMrRERSo8ISzrQDRIYiL6Aa1uoV+weUtw4HPMJuBb9nIz6izV5zVA+x4qEKGQlTQdB4C+x
FZsPDpszDKsMcac7owU0FYzAtwYw5qM1QDn1UELQEptTh5WdnaHM6ZyaK7Hc4UHIcCt7cXRpZx2A
bWlmBTUquCI4njIS+hoZbt7swa+K+AylXqvPCQQI9FaT5kt/aVNLCyQ1cskBS1CYwrqUQwc4S9Ny
bWOapdWkzyaVa1PMkEwt9sHRezt9NIlui3abD84o78DhTu6+zUwjumBLOt7nSCztwdS6zLtu2JSK
LZQZlnt+dRv/ctfb5aGAm0Jf2dBlOx08Z+UjWbL2MjHEzt10RV4EfcW8yTfjuT5MNeFtEsPFQpMb
Dn25l7PpRgFwF7z4ptHa9kabOGxALHcnux92ncoQ2Jm/92s8usCWGC1H5qeQMHgh1fBBKeeYzlyb
IaOvdKneskwSwG9oaC22nNLjXmBkYCwZM3bO7WjOA2wQUrVHUAgpAH9E93K6A27iRNeF4p/twkgj
wUD7yVTiFltwbgfuUDbFJfITfuYOo8S4KzRv5h3YZ+yKcLL3QjsU4YCxhGMridBC5xwA53UtniFR
20BnsEFi7TKb/titV6VDRiC78YYAf3czHglwtJeN5bakm8niZ8iXQzEdxs623BtZeMu8zQlaD0EY
DQ3NoIOrE68gIy830PPLB9ue7ZvIqtLnOvPovYhtV3+wFzHpmzRz6utFA5LjF1HVQalV6mKOkVp8
JwHwD9qIyja/t2qo2XR2cyKXOaVRnTvE5hlu7ujDie203JM7wcbLWMYU5ww4M5JcKZDzQMQt1Gxa
f7m2cQiKPGgrW7uytYqVdEzHRG40jrvl0aqB9UBwHvVtlxRKbIFOuv1GmQj35OjHlg6wYqJuD/lX
bhYGQtk609WuJXIYvRF6BBwSN5XH1BqdVN90zD9fpAeHnoKVyBMbjzwNPWiaQcrEdUNQrSs8JGKC
BbLZd4sVy1Ol4N5A/DqaYoYn7deWz3wapkL7yNy0s6FNSLi+GN9ykjrFOOaIILSOwZ53sTsDv0lv
sfbTc525wFvOKwZEz7lqIOt6zUI3Cv3iFCugp3qv2oRiGGRlbDQ7jbGW6VdMVPaWKKEOOEOfP1pV
5kgq0VogAjyty6lkdvKaug0dSX7JVpNbSnF9o3Er4oVdYJYsjdhmpSlJ8M2LyaHPxgvX75fem0KG
TXXnvsbuUHhHrV2KATFZVJK/mTxr43ZUeWvf90PFriusxza/cWfL6kBlOLBj6E+jiKXaKpeSwNdx
GBlFbRg6atBgiNXF8dep4S3Bg0WuZRO3dcmI1bM1b7FoLU8yOPpWroRxiPpIz7602HPKg6fpDcVH
Geiou0kjKbGNQ0giJ2fpq+yFei/XmP16qrvmLovpgQ+Y2K5MgcIcmiIiXV/y9uZ94S6zu508nTqW
CbLDPB6Bomd5FTjowX1MRQ/vbwg4AJSPtYcz6xGp2jb3bidj7zKRZVcERCytbPaTuK7mp2JEb71x
Q5yTvuy8bISrHbpmfTbpSAZfnETv9MP66i3CLZgPCJp+Ojhu9BUTyyLAOC8zxKWZUzXpq1ifjB0D
uLrcJlhgnQ1JBZUFxsjkxxcEK+uzrizdV/xy+vMw6pp2NwzWAlNLsunFzdCP1whu8jVetAwa6QgP
ZtsPE/3sRib1+EkWUrQ7SFFwDEZ9zEnjaIIjV9xbI5PnmqnQHgdOb957jDTcrYkXEVCLOUZ3tt5T
vC0Q9Cgvmlsa0XsmlT6f4KQbBxPXWjAAyx33qhOe5+EEZStPtSIKTFkXLCe1Pg4+8n1N4Vpc1Qx0
zCa7qU09LvaGWsaHobJitYP01SRnGVYralDGgQesd5skRImOUXVgRA00JCnlOEUgQVAYZyGNRVh3
QfnXUJXDWj6HKi/dQzpolraPGp4ebHEUM+wxLZEtmroMUBYFfiF4axs4rD/SWVftekLyOsXElIv7
cVzlt7RMpVZgmYkiBTYi9Yw5SweAKhVFhzI24T86GdQEi4wNrItGI69D8d+KThtq19gbFCR/FG7f
2GBBlHzhPk6o+WwTPUJDjeLoqh8kQ/fEoRz86I1NfTHKfH7Q8glmQM51zC7nwRU0AhF/hsQqkpiq
jjg2udZCJLl3BHm52u+aqtyjKFIjZZU5jPspAuFl3jEastauqVioqxKZWWzI1VEhlIuBHDSKXMfr
35Qfvbsa3xJajgx24ESHt2VfT3CoVORc5yk9M35dEJ/ZgWQd7mcahozALJPyDpu0/RLDSWOAbNlY
3ZhNAN2Ol5LfiKyzDLcR03+Q6LTjxNuMPeAtSjLMxVwvCt5vrpreYNmQqde10LiRU90bR8RmyjEk
uyp7O+DDa0/sqyZ15VEGBDlOXwZpHhvg2slr7jVtm207V4bQp9LULsYHhnQq3WeyCt+XikDjRiRt
dN9JxOhT5CxJedkNiNzvFUbQDzOU/KQDzrwc12O2diH1tjWAaWw6il3ZyHib1GqsQ6I6i4qkddof
1Cm0xU3MUDS/CU24/YeMQm9n54LjahAtbbu6kpFRDLs2HyeHJFzZ7KxOIxAVJoUe8AxDgYImQgET
RcSJ4xdVTmcCLpK+ITBmR6+yYDgdlJlS6hCpSnPOOs/MnmsdnMyVzGunvtWLuVN3ANtaRstIFh9e
3i7N1ix1zp3J2M/iiGyQ5DvKBEoHZVKNpMySCh7eTEV5ekzIdnqvSTl5NOQYs6yul9TI9G2iaYqi
U4Py2Gsi2WlP8Sa7Z+BDADeGbNa2WlGzFYj3savqiimIzUR9bnl2NbgikqdQxGliEdJcIqM9D1Wc
flBCKmY/SoUT7/VZ0nKzDEqnFbCpuktAdYuBZRAbOkd5x+Eg706zYhRY8a+MOUsixUVKN9ihp0l+
QLs0L1hh44WelCbH6IRY9GUhFXnD7ioEFBsZPc2lEWW3ZwZ3lo2xdJ7rzWDr5rOLoZGTv1Xp4SYT
NqBjWu3abNP2tfta03NKPUjVmXgpo0pL2VyRuPNZ4MYLXOjqirEMAI8wlMMru5Z5AgCCqEJVptm8
OPWs7klPZmspSxPdZDnegKCi9IqokiwWEnFptTzzRmw6EoexKLapg6MkpMWErZXBdd0ZSew8JWMu
aJDDH0ZPTztqlo/vK/0gZDnU+xreOgU2qakep8nIug2EUUp347zIdAgiKvmIPXYKu74xWJXIULru
QVq4vYPF0cUbo40R5k4fzs1GEUO8Q6WkFjnHcf/VyQnk+SIaRb1xmA8lFIHi8PMFbUqDH6m8KijK
pC0uglGnGP6bQ77PhCYT1pBMPc3UhlLwpFd262uqBCHTx41J6/gkvqVhmFOFlTi94jyfsk1FTeiJ
kFXUufkeB43/ntPpMPoDF79mJP69sPySFG+vb+O374/q7Lr/PKwbxm9irUWH14K2s8a2/jysE+eC
+EswwiKOgXVKoOP9U1q2frNXEyRHfA7yDpL0Pw/rmr5Ky4QagBVb/GPk5f/ktO4an5MpYBAcSebI
kyxszNncNX3/vb6FqQMXLglqGh9tqz/MVR925R3tHEMbXuAbTLV9rIi5XqRha+8a3n+g0qS6p9qc
kUXYALEk6bNLmrSiPTUZK6wXQp0SRqUBY5+Jakkhb2fH/YJicHJafdrTSkVRLXWaHv2bgGfdJt0U
mmI3HUfDYaQqBauU9U7LNrvFur13UIR3fT89CjE6tG+KWLtx06gCiOc0EzKZOZfvhujzs9kU8qBs
imVNlsazlD/+oeZfuas5uPZb9Gb3pFeavddDU/ps63VKJ6zKtwkTs1jLOKjM+smU3VtvxSfDLm74
SYVPdbTyczejaqOviwO+QRqmzfmapjC6y8sbR7mXjQHPlDdKf3KosXQCKN4lpnjUg4SXiaDwed2I
ZIx7Q7mn4lycISa03VGJzD5Pemm9NgPKWjrBG5sEW4oGcMk4ZyNuiwho7Oh627Io812cA/QnMVRw
COydnZJ4N4iNtcFoEN3R9CTZTcvwXpAjvan1ub5qZggboki9S9sc7cDNln4r3JLG5DZ8oF153th1
ndLSzFza16o43FA+dE26gT2wZkxnwAfaK9mwo8IGX500zbI3lMQ2G8nk4SzVOuqbykjeg6UsKxxV
ZfcO2nshM93KJ8405mm2Y+MlV56G9V8Vh5jrd7YGdvkBExr67ETHWFh3ZR10bK0pWDZ1TnTWOSWK
cG2ygn33GKodWgGxVzGO86H2RE0RdVqbapPBBt1Y9UBAmnPqxmXod4RbZN0UbqwdgEdSnm3Q9ljH
dXZiQy180VnmPsp7riGnMeTNNnfeMU1WT25aFIQ/5mKz1JN+Zk5Ges8pYqIGBYpgRrYBh1ZWHeNI
VycvtOWZQQ0TW+6hvHRJaJBxMsHMjcRBihUApu0Qbs3zkcn1yU6J0AZF1I62n8+W3LN7rl7ncRz2
s6WJfdNTGAYSYbQPRuOKYWPQWkWofo1Ke2F0bqhuOdPjZuS+dgE5trOFpypZ/NAcqLtiNPseD9qb
nL29U+JAhWU6ao9eLssA++dExVflveKJbR40MzbvuHEW7hQnCzBsTTemrKwdwAHhx07XvkeLqR0F
/qpblS3axlLJl7IwMeiVCEbVmtAX8YTbahni8xFbJzWFhbGrtUVSXmionUXh6paVnwYwIdq48DMj
dj6asWn2nleaJyedb6IiihCfyuSmtKb9QA+66mNvr4rq0GpWcTkp+1h3hTonqX/oxqa8cxa9ZsMZ
XyLX3yFSvK75IXA46oC5Iw04z60XbHiZdU+7WKro1hzMN/QJFnXW8H1Mn1i18YzsTmoe9d1Y2y5d
JZ+cybQfic2lOwOExQFixoEU4CvVwQKhrJKXU54bm1Rb3imnGd7GIb+isui+qqp9Pa+dU7YZuGF0
FS/LQ+G12EyzGyTI11GPnvAbPYSFCtpSQyfrmNs4ldq2Nk2AjthbABFB8kSnSlhPaIzvjh7CkaXO
eDvl0VuoN1euWOIXWr4JcS25g/Q+xd9Cu771YueyrYrmBFqB2JLcQfCExw/GorWTUzElZ3gPnzBQ
ONe6qc3bJGm+DJQU2gkVQFQ/bqo6vsY3fDRqR9uVpTgyo65hA8tz27X2oNKgCBr1jqqmdNsgn2XM
QTZNW5t3NnVS+5xQwUpwXZL7qbGsj9ps8h0tVneGSYPnaM8nl1PcLgbwSaDEu4w6poRzCTzOWSy6
fp3RYl452fgBvInRhLt1i68m5Wo7o0ko/bXjC3fuwYRiHjzOdqUfC1O/9KLY8WuNMwjG6eWgcuvc
0SDfUSX0nnrTt2TR9hbgKVy38YWXNsckpaV5MjUKraz4PerS49JE90iEB1vgAuGIhwIQXhhVQ0kd
Rh6/U863MLQ5OZX2TTyO90XunSaeDN8ZdP2ppx456JP0Crpne6CPSQc3qN+MurEV3niNz8L7oFYB
iSzr7F2MUIE/ULtMaSvfpXYWbRz+D3ZLU6ysw2rvJJ4AzNfJLZW1TNGsFXkMSIXDl3NaXct0li4P
axmyT50bippRghAvu/YubhQ9i8by0rdy2Iapm39zqW2/5WjAJVT8txu9QsBtOX3upV40767yJj9R
nDfxNqmvODSWoOKb7j1dQ68GJOGASx7j9DTiGPNueiqb9vWydHAyaJkbd0j/4WU1Q8rzQ1zTcoNB
NX/rsRTfsc0eEqIdJeWPbtwP44E+13SHgf+mj5HPtJ50VLQiTHsPoRF3YHlkMBVuvLYZtsWQbhIU
h/Oi44zGrEoLMuShjW1RLsGPTSWW2+x1jQdOK9GyMHFnO5tE+Bb23/TaiMJOgrQzxFYohTwatU0N
F2Wu9elIPsihqzVph+m+sFkGj5xcsmarF3aH+G5PvVZfT+g8/pAt26JuaK4DqrlLS6PfJmGCVRY5
ra9erT7GnRlBwaQhONY2Tp1hvW4TPx442c6Z+QVhrzvjwlwLvNZOQ5dpBREH59x2TLJt2EeXoZkF
Xk4HbQw+WG7qaRC4deVJ5PNbPcznpODxv03ipk5nJvO1fY0JbtxUgpW1C6ORs1zDdwR9WIVZ8eGK
WW6cCp+lTd8WAAmN0f+4eFPQz+MUNHn+mtqz6fchfBQS7T6boW06KciJpX6v4AZzlQyNt0pFwmfU
3uZqSq/sioNu4RlPFQ2Nfk/yiLLZEooR8hiJXfshaeaLOA+7g9cYlV85lHzkmiLwKIp6C1sCLgbE
Fliu8xKE1jycob0ahyLBILthUDkHmRmNF5kWxSfpjtkh9xQa+jyvLrjymeg2WApnhKQMuz2BYjp2
4XlluuElBZo5kEwtfURNX054+ru7wbFenLghoYit9Hweuo+mQEBp+KMIbkmtGIcztmH2S9pKhkag
OphfqrHdV7G3k6rat2j8VDEHpj19IbnR7PIxwyAUwThK5u5Et9uTZRbtFtNVel8UPPCK1Ce3QEVR
iG2yCFpN8tY3YXKE1Y2WbTstoKFMDa9NqoLOwRVad122ZWEjtbK1Yx3pCw6SXnu+5fCjah2NYvuh
oin1QCWP5qwVpgRmGJWtFeYlRqzmRqKTMM8xcrLDgWnSun6qusmw8VfKSQ20FjX5vMm6OWkWH3bK
5O4oaqTKFCH+iRTP3G+RMAwVFDET5gtXK0lnDHAmojOHQdqNSMFhb9A/kRcKsST5Nd5wQ74QeZjO
GtLNLVpvMhfVI7yUVGyMrsjiS1mjj+FsN2fnW02z8yQ3RmyE9dHLnbHbNwR2v1Zd5AxaYOt5SuZe
MFX6IpQdfUxINwyepkRpmLZifKm0Deg5SOmepE2wwtqwWoc2W0INh86pFCJu3lDM+zGYNMuQB8ID
MaaNSluSh5rN7ZGpCDFQjfeZP5EeSA5harSbRbQmZoR89vt8mvpTq4bQ2pZzO4YvNh9wSoQ70VWY
j8gOl6NZZO1JZXF8DwweJRQGyLY1SZicZrKF07FPyEjOCk3toEP5rc4gVhd8495MWParktP1wke8
us6cNQMwUQQK36bidDyXS5227JGLUL+07Bl1sNYJ4RD5CYt7L7OsNy8tIsHqJynmqRc77bfGjD8Y
5PbcUkjVmwsltquYql+nA2oR6QjYAsE41S5rV1y2L+Ws2cBkiLpqmxRp0DzMfVLrT2PUorWXysY1
PJZ60gfg1ShLhe2VqvoQTWrSbjMGjuOG4KHb3paJ3XhfpNPywjacORE7kXtat+cZEx0Ngv0IZRe8
dpevgiBaIxSjRAvKQTXavqywHLEF6CL7wpFFYhwndHFsBDLp8kDXMlLpOW8O9RWv5cjqQ8LNYWGa
rPPMCBfWvdCLHmkNka+dy+sXSnSoHlDZZuYeZlKMh1CFt6IDJ4tw5CSYpa2lPSRTtcivrjG47V5M
sxjoH5KSIwvBm34+LUNaXWodi+CeR8wej1UXOr6YXC3dm7Fyh0dKtWGOp8zKymvRYGvekKDieGyk
EGFpc26xAmpAdfAIWSj+4VNVuPYt3ZPFWZIXFtkF1hxGHAWnWWpUFN2IgV2m3jZFsT20xnq803Vy
hoshrp1GZNe6UMMGqyC/q6pDigg77LvP3hjKayR68zmM4wfOTdyfDC4JLcZEDDc6D9+mZ5r2NELk
upLJwExFrFGBuVTdEGDmRZ2L50m80i9hzgHmclDBtdN5h4a9+BdOfN0a9Zic9ojG6IggXub+hHnR
9iO9bXZeOHX6xm4kNrAsVJ13HDy3zIPaHrJ7e4peu0y3L5LKU7smlN6md83LRR/6LXG5r2XUX+jE
rJDE0xv89GvusU6PhdNPDOgQ369UlH7MTcpQP6K/cjfXcbQZDVsCfmWeO+Bkr+DTu/2rZpr9H26b
/7pK/sfC8fHvxarNa/3t/zx+U18/yVXrf/OHtWQVl1YHyUoXNqTtEoP9U65a8UMGohSGDhIMMCX+
ZS2Rzm8S7cjBO4lZWxgeJsl/GCEl8CGyWihMuEFwUVr/EaQRpOP3tj0s4JYLdYKqVJs0ID70H5wl
mJP10TJblgwskGcZizLycOvZz1ZdmUe2b8ZLPZNu2uTK0DnvN/S7rhUjuzJyi9dKpsc47Hn7aVpl
BxBJWp2Qnciv7LozX0230k+9yxbGBxLgYqFcdFZSvZzdp9CT2lXaZyO99XNVfCH+RNxgCtdWUof9
OqyVg5Ke9qWn3IHUUTXv49603miE0F5N8gAUdshxa4ps2Vg2CnyeD/MZ7KMxANCYPHz3o/6NQ1Bf
r8O/7I1cJ3TmlY5penjmJWzMz5peRbV9k5XGB1QQ/QGsBop73kzj3upViIWCaCXD6gKSgVWyk4zt
/t2aPQ8FDDAzc4Eomu6YnxIjTh19eBR2VsyUjEyKI3B8UeVVnbNBEYPgrKRQOyQu6G2Zmcsvmrb+
9nusiB7Cx2uZoP2j83BoI4eE6QdOtPi2CMNvsZHN+7xOkbLxkGw8KnAV87ONQ3XsPhpi+9YrJuCS
c8tR06nTDRkB+Rbm4XAMrc70KXg8H9KRVCjGmlNWDua1UcbpWSSr5Bcle5+pN7//Bp40gSXjMhUm
xqrPv4EyRG6wc/4ocYeel3izzunCo7yjG/RzmRlV8PPfXH62tK6fh468uq54MFZr6Apn+c6nuIx5
MmNk/tYb+ZOWWQ8xr+GtBYnw0FVlfqKYiREY7QRgPivu/anY/fwPYPzl4eQP4CAhA14mtQGm/PMf
oEjbSQFi5wSOkMpwySpGzg5p8xXKnf6x5GHDqKYdzmyN+Ni2GcT8xoGeGeqSWEglkuz0tlCFe55P
+pVVOkLze2rLX4ZwyLdLNjtxYApWV59oeHLCUmOX20o62mOVaFuyBpm1wyrG8DZSxi0lvFp/KHIV
fSnLMrrFKYD22tPJffr51/6dv/zpWfN4K7mWRZ+i9Ki7/OFrm8ZY4bTo3o1BDQ2cHXs+zpozPqmp
GdkHiqTa0RkkcGhO+gAvcDLXd0HYXuZubt9hcYkhFvYtlywbq/my70p4r2qu+y+cf7rLeN3qgX1w
b2yyKY9UKozIuPQ2xEx7fF5D1VlZx+pCWhU6jEsNAfGds59/x7/cyh7ttLjPeQjJrZi/x3S+u7V4
OOi2UNYbHIa1dyMH6s381peRRNlJQ/MPz+e/bXH7Pdbz+ZICupYweIE3rbfzeqd993kNo0udTS/C
gjc9WWFkbecsyYIy74r0rC88/dXIPOcwaAvEjLDm0BO2tzoMCeVD8Qh93YmG84o66yJwvNI+tLLM
IkwQprbPC88504TbGBsmIl2/6TOKbJZZb2/gnw330AF0DStcNN4zIufsZncnGQrnRFGYoXy0bU5/
pIMMnwj40TOS/oOnX15ZpP2AnSgMvD+/9j+MZ9bJDI5O0BZMg0CHuSy7318LWs3NaSqW99ELhyCL
FO3lXDGIESo+1f7st6wuv/hI1vjPq8f6kbZgKadWVYgffdV0RzlM4Kd3kSv3zMs6eiLYqAcWkuev
Xlp/eWfwzPCS5GdeQxRg5T9/O5ZqwCuqfWcC9WQroogclNv8WZbhBvIChjKcVMshw1ZHQsh18pdE
pdnFbNqIGz+/zvq6Jn6+6X6/4RiqCf5A7o8FnBkpSTfWvbfKnMQzwkXR+b1nqmuoN+XoT0OdDZsY
6OFDGo7spDUz0p44bY1POkcfZNexuWLKUOUBUIaFu3Qqv8E9sFwfyyOMMWcI+8PQ1MjVDgCQE2Mh
o/Zzg/E9QfPQ5iMLR/3il1y3az98KVBRPLVr8bTncO9+vr4iWdwm1+zXPNPx1dn5ZH8VrVo2ikf9
apg7yPwlJteF5dSV25qn59ukXOZ6iWm67Mx1DtdKkk2qk2y8XKqp28okTtzAApH7OtK+8zHbA28F
XVvADseLfme2eXtJdMx8WiZjeKS+Sr/iXUwHXCoPWdgkN1lM4YbvzLje8Lm7XACBQCDxKlblQeeU
9pzXmm5ua0xXebY4R22hp5RC9P5c5k5RYPoBxwXELLWp55Mm+T7b6Frc7gPNGL+4Lf56hxoSbhtm
HFfCq/+RoMbZtB3ptHuFpCueTdI3JeRck0EdRG60i7ZEhAykNxUnu7KnMyee6G9Z0vyYFpxwAtzR
HNnGnJlakX9x9M66Rdxub9uM5qlNjQ7f+VNk97S6YcKj+aStbn7/Bv896/yPyRbnZ2ed4ptCY/h+
ML/+F/8w0du/QfV0eNGxYXKIV/Hm+YOz6v6Gfx4DO/4Ug00MVMx/zuUlw3xiJjxPQjjgT1cA3p8H
nd94B+G7F2skZ+Xc/2ce+k+P7QrJJOdlGA6vxTUR8nsZx3cLYAVtJDTqnHxWz5gibJdTY4wDe+5l
/sWu7fPS/ucn8UFcDdZc84cXcCehf4Uc6rHx6fEmbizqZk2yZrvCEW8E0aiW+e5HuP7jhfo9WfXz
evbHB1IGvGZdaH9g1/r5jbT04RibXhrEcZbs2S/KbpN2E68Rd3UxtokiwDroJgwlxsWPP//sz2/D
f3w2nCoSEp7B5V3/+XeXNRxlUsUMCkqRiDxgkKWABcm2KwNRZVH+i0v7d5/G+skNRMOFBQTz86cR
Je1KXlpBLd1S/4KPG2c6U/yajrO6b4brn3+3v7uuLnzP1TBCXmv1mXz/3RIJPYSTWaCctNib+qIF
XeY8mVlqnYWVU2ywcxnXmc5ffv656w3yr2Xz92tq8mOa7H/JQvK/P3/uYFtZnblVMNg0PC6Y3dex
1ya1jXem2+1mXkHxP//Ev/mmHDCgh1GLYhFz+eG66tSugqnCk2qsjPtEOt4BRnx9QfF7G8Blk+dS
LOxZorH/RRSMXdeP35azNNRYsoP8FTjYD3eQY1hsD7B+Ad9pSxjIamEgZ2Lv9XteJ19HprcXcaWF
3sEJdQtwUBfbZ2gO4l6bsHptsGk0ZKhQfm9nTc9FQFm68U12y/BgpQZztjpRw8L5NRM688e+ojKn
jbJNJvvybVREQ32Meua15tkomJPeyuIBQDxDGABibey37RRVW8ttLMDiEwkHSkfL+coc0+GWVbeb
AuA75U3PbcFpkOFpuCXuVR/pTEyMACtwKPG+OrQJ5OZizdsJWDqkLqgK+kZLqrrdDA2ngZMbwU5J
d5Oau2LHombFSeAUXsY0CvEhxdBQmwDaY6PAxgCnnAla2pf2wDZoLL52uZqeUqUl9j6hsOjWAs5l
3wxebe1GUzXUPMZ2ZjKNXVBymtJrAijMJf7q0NFbNM1kUIcaoCNPMoLko6tRj7fTcmd5wdhMZxj7
aWrRxrQ2niuKOKtdHGrEF6GeZC+RbfOiUQQLocA1pXwYEcjLvde2hBszYiD5jklqY2xbfbC4o0XU
XVrzRBFn3roELBa7+xa3QzdjhfXSr3S5QWoiGpouW1xb9hGw1RAe0grjwaNB9QBRjSnKyjNsARhW
FnDy83NKeRoT8nmw5JNnxK0u8d60TnGJhxjwvBo1OVeM6doyfoRgWEFDZr2gP3rq6qi+YVaEmwTt
NLcmag3blDhmNphZw7k/Gp0dQ9Y4prAWoy/1vmVPpvWynDqzucp02DI49WEYMZkuEovaQncR9HtO
1CvuzZL4TTCLzs1uBT7b+FiIcTYv4ngAAI90TZCCxGymseFrBHOKcwmgim1wwfUoUdEpboNZT0y0
IoRDh/L8zEAgn89dR+k5NhGjxc2UDkPztalAIIE6njIiQr6yu8Gg1Ezxu1xKmPrRu+hpC74z3Sk0
dm6eJCahg0ZzcIkXHIGfltX46OMCUk2gW8oMn3m+FMb4XuD5nh2SSDC6K+ejz1dMWNplmbeZJd6a
sxjDfYRU7rChj+xxuF/xKAtOTHBzOEKYUePzMeenePDG+3marHTTYlsfmfcuMQafsIRO647jU20k
zW0PVrDeyKVl4q+8ocZ2nmfhRe4o+xlIZbgvFok/F1AbXVEEEDC0TqDcLkXd9gJD5kT0muM8kYmC
DWR8HuFC4ulLZ4k2ILGTQIJ51+QkX5mR5s8Gb5H3Rvem3v9f9s5jSXLl2rL/8uagQTjUsAGEyEhZ
qbMmsJQOh9aA4+t7xb009iWt+cw457iyqiIjAsDxffZeu+M1jTuSIeWdrDPzg8BL+MX+ssV2kroz
uep+Gvcrp1ofD75OzaiGSvnLozeGEm/fdT7h/rg2p48at9mUtR0zbcj7uUFJek7X830nIOcJLHko
ih/6ZNw2LtGH3/2xJNUsXaMZYoGOU/3ulONqJ/bdlLbxi1nU+Zs1LRv/InLEl17hb5D5yTec6U2q
kjBjP0yMpnLftrBrqKKeCkIIlQsEOd5Ws31ukZLxpQGZpAd5yNI6WVRbPReywYbG+oAE69zZ5wpF
Cj0pBMZB0XMmSzczwv7A5iOwCz64sLLx8evUaU5LiGkiClinPxpuvQWAZKm7Ans9u68t/cQm9E9f
ekmfGsQVCHv596OiQprNRYfE0QlR/R5mKGU7s7BUtRd5g63OY2017oCNgOGohrpqLtNcd2xXQ/LI
JMqyKY0gP+lrmow9HdGPJJn9qS2kFG7ILgK/bbNbFXhqgWMMVq1I+Hsl6CtkZ33X9lOvLsirtf1p
rSYc2pvAS38SdJV4h8GGurlfudrSpMENQ1mkgaQS2RBhrx2yF+ljSCXLthemINlXYGiYHyol/kAS
EiLmx3XJ924hVJlANet1bHQelZUqc8W4W0oj4HQykBSW32E7y/BJtizsrjITV+J+y7awPPh+406X
Y17iXbHbtcy+LDHM/VXf4aEjsRYIfWF1XRtiwdNLd1e0Yysuuef6MFpDCnV5Tk8hlrvCGNrPkGrj
K9jArrFLmQdJcYWGadaXWoBavOb32rbXARYIwrNMpeZxgl9mvC9olLVv8QHIYRdgOsSl7/n9fOmd
kTqnzOQ4Br44VBO91oDt5YdX2wR1uBGIgSaPSbvLBeEpNNlpHiqVYE9VDw2+K+fYcuujXXG2n+Sk
hp/sLEQvi1KUt/QKfbMxjC/ijsPRCiqcqFj7s/wARkSAdzqfjHmOqgEgCfkOTaiQ/2rPktcAwY17
/LIJ3ArjrVU1Iho26I8xNLp1OIwpfKHEUsL/nIOu7YiZ4CpjcWq4u7Vyx7dhKcWz8s6LQGPpg89B
41KL6HfuPpaMR/muwFZD4FFakpJdMxgFXoA6fQZ0n2LrwrkfTHuKeNdX0BPrGFmeUVw6+RScP+9l
Ky/OvTDDLVzN7cTTX2GmYQ0frGBR++kqnJphu6abybIenDULnge5hhRgt36w7YYMmG9cEyiyd2ID
K5csLq7ghxmGRnCxwUzEZKRWvAddYfnVCfVgrq6bGjxhNHXuWL1QL7F5r9y8ibEVBoGHyGpTcgQL
4ZQv4DjuKymF8N0dPeOGVWLNJznSr+vUonylKdfTR5eCc9gVvVN7O/IwjbMfZbNw0vZWesu3gtLE
pE4NpeKGB9MWO8Z4digiibVHjBWErSSXzxJtpT6/rUaAl2rwOtQQ2czyt3B9fU0J8cYHOzP8RI6b
Gb/t1rOvh5L2IwY8bGU804umjpzU277EVg1XTZFV9jUBegw9lC5guvPcEWgTya2gf1mMaTT2gyKL
8wEYLqwPvqFTUKSAMYzDOG1UNhne0I2nISjW4rQawLdiBowu3WeFHuTeGM+RIyDgnXvZEdxoHpWb
BdNVD+8ouzTVym0mEiTtnB3NDnTD5hmjRCyF5MJAkuFoFNkLRaYkrJR4Fdyr0ohK5zyMnQJZh8mA
RoIdKcQ0Y1Ab5AnbO8CBERLqBz5A7DvStzUDaaivAZIF/a6nGZj0pq7Y8FqL1llChw634ZzQpQUY
eYIVnLQjS7mvxVPnUnA6f3ocdb4j05/caeb+YHsr1ySJLJW/YEqCXBqFvH3BZ6jopt2VfMWeCY43
HwaKEL+OrWd0YNNHPSRDb7430tTbqR5GH4tYltk/81qqG8Cb69vQ1dU9ianQWe5VpfoGX0JYhTHx
Ts5P4zLiiK0zfdio7MBJnA/ZTa2KHNKxU78gmPc+rjVn8vADzjy1g1mq33pe6WZORZmJSJpOe4Mo
H/x4GKx+hYbVFvuw6fu3zta5oER4YcvhiVFUV5ud69usnxkAuf9K9le0XhVJ0a5c7oOgcsi25g4b
56SL8TD3GHkjRmM8lUBM7fdN5dsLKp5dxwZuiC889bOgy6uz+QxNEjU4pLAuNEUXvGOy7R5C0ZF1
4aPHWms1OV3OZbrdqaqGU5kOvXnczAYxQIWSBqshtYyPDJ/TxYyVc43XxYSTCYzrbHzTRfk+DVN4
JxbbNUTsVHrGAMKzPLtwBsijiX1eeDFydbkTWaqvnjZweN0uZGL0scFOtM2PXkd1G7iT6i41qUKO
iBtgQBur5aXVXf0iyrS4YSLDO8kgSkVkn/dv2p9CPLvKKq5ckDSPYBA35EGxuBrnS19SIQd3kKfp
Ysjf3K5ge4fOnL1irUDehd7qn5ShbM5Nduq9WPk0/BqWbXscZcFDElVwVOwY1xm3x6TtS7eq3Wzf
9hYVnGBEncc2PXMFML669SXkJ+EnXpcWQTyocIKwT9GJOKQ8yH+Vbaoaov08GStbCDueHHuEhCVL
cj+C0elxXCaOAeBlWoLrlN3tz3GMOq6dcrxi5Yb9bwCOo/9Uvf8rDv7PeU/378XB6JvQ5F+VwfOP
/6kMOn9j3wwMA4mIRAyrABYFfyqD5t9QClEGMTOQ2hFnve//SYP235zQ42+EHrsy/AkIbX+XBj1y
PrA4GCa8ANXgHOb5D/AaVGz9swbB81EIVnEuDcYmcmR4XmT8RcWikjGdsSuhImXuqg6z2wfnKnCn
O9uKte3toSUuHUnLDcdZZC0iCGhoX5pvSvvwrRXLsH6KirtxlHEY9ROnBeEUu2uKE2zgqIVUbeRI
gkvdhUzmW2e7uz5gQub8YK1GggBjPVJO4N1kuOGZ6KmRp0iOmKJ92WPZB849TUV9XSxiO28omxZb
58I/edyyFFMr+WdCQ0AWl+ayYWu5wmXo5XThE9fN7vLOKBRboLyoyBBK4n0+1fFtPPhm9mIToJni
IeSEeRoW5oGIfQrWsGXsXcTzdt6vVtuXyWrx4iNWrfpylQNrBtayPBqsXKmfjs6++yl3tbfjnxBD
PHX25MbSWmG6d47oHkVt4VXuRJ8+pRkOwKh3IYMSmnQFD5ahHx7sULRGrOWoCeq3g5FGGFCWd3II
9LZjhuqd3crcWkfdtpVOosRgcX4S/bSbOXs6ictE2h0yg5M4lH9ssLwF0xrc0nHJU4GwddASeKGO
ZI9hi56rwoZGUhfQpSPgeiQ6jXZqn8eOrofDOlkkCEtBJcTO3ebmpqabPIglEC+XRi6WpOfsUM0z
ldlP79i2DfbBDtio7p1zTzIx8NT/nXfTwkhjT98wwezy0u3zbrxVXZMP2NV6TN0+zA59AU/FH4/T
XHG0dLaFaE2dmvTguQz6bHimzNcJwFTHO9TEHn80NGT7sPKOvmo7Hd1fas6q3w0JT4I84ZxzdGvN
zl+flnUoQGHmvnMuTh1zlBe2kBA4FLe9uJrZmZyb56s7d4V8AI41zN/OW1uOACA8MThn80KyYhid
3xy0/fec5mH3sG5OdycsC6eKDZsji/IwOJP5aHCnFigoYBNUavaughnYRWIOszznpYuypxecQzmE
iKLx48GQJcWIk++kt+7kjp9IcuUDFQUmIa0m9/m35wz9bpkeJg4ReNmCQvpRA8u7ivCbBl/5PIiX
fGmWLbZ7P1URS+vsw7Qm46aTcwoJY5KkuclvQQAJZ6t+nTfbeS065hV6/4zAvDba1eFBrdKfRZbZ
JWFQ+UXDoX0/smJ6Rz5JMX7XdfoxGhh/VNn2b/Y0dycUdfHEfrF+Mx09dEcnnyUFH30m9R68oZ3v
evy4J5M6My3xJrlVxwJA6iAZZ7/ki8kFuXD+aNSbT6DZ2NvpikdIsQ9rkwAgI8ZMKNlrZCzof5Fv
5l6LzQOoQBQYMCAi6VExE3PsbjWgm7w9+ODLYpcWIR+0olXeqZ5zKeE1p8rQyr3so4GH8eoEanxa
uLc8ZLRiVgnwTHSclETIt/fHZz1a3XAjq8W+4+NFpBis8aLK2v6jzzlEJPYq+g8j7/ilSC8uFt8N
Bxgu2poRxsHgu99SOyj/Gb2UZMxokxgQ0ZT1e3Sa8ZJ8S1ckGVMv0YdApj4vWPohCTSXgq7Fn6ZH
ZY5VGgNydtKreu1RhoZum8PEwgoLKjQLCElA4xn1bYBLu8LDwX2h3E3sK3E6QgVW6q6mjfhg5E1x
O5iemiK/HDQ84WzoPzgskfgx3HYQidEwlO83KavrcDKEd8V5K0PDbEmGUUZk5feqCxtr72qLzLLX
ZMZ04XQbt0cM55azQ5GwiVhSnFmsOzHUc0d/hwj2PSZLYgnS8p4qq4UaFs+55XVPAekUM/HYh19w
RsrW624gQX04NxBlhyrVvfXCgtbSrO0D+83p4EHs7JLb2zEUornjWF+jxAXVed4cUVPiIiun26z1
tnPmcCaKky4GakgNauRspJjHdylNu95tbocMmC6pjeldIWrt5FK0T8QDzd8yzdNnu/TSO77qXCyp
bVU/i6+xoPuuIuS+zr51ZWeze/PHZPDfGel//tf96f+pZVO+/3VG+sfy1BbsQX2mncBlV2oKjz/5
c0SyrL95AMDYzAiAlQGZ4n9MSIb4GwA9arxDDAmCtuDz4ubvI5IBgsx0GGdM3NpIcO5/Fmr2/nn1
Rnc9HXfnZDSv0WRTE/7LVrPJzNFhiNr7uT2a1DxvIfmCqp3A4B4CpzTvgD+5D8CDoY5ArhsvVs6O
Rmx3of6SBgeSmN7W6p3QG8ClaSjW157ukVvtQmQdFRSvxF6y5aXPfTpThjFfbsToZcEl1YV9FYtw
5olkVb3xOQvguYhYJNOiqapr7BRo2NyGcl3y0C6m8CF316mPfPAPaxyIRs/MCKHrHNIlkOGLqYya
dA7QmcfGLcx+L4os/WEskgh6Eq/jziqnJSQ3U6pnrfOuASqh+B/QbPJHH0yTDynadZukgUhlRms6
TXky9+aaJwDZAgpxHRDgrAc7NjWqtsZnga1jPbUL8uxu4DZVRJ1siCVF/ros8tooemQ/s56bNVl0
0HLgoqQgVySnnLz++ctU/v/ZFv+zKYcPEty0x68Otc7jkfCvs+7StputPe9CUQ13W5j+8pLSJ9b+
aQf/t4azf/26wGn1Axv7ojgP6hTX/fNEHZb1iD/Ful1mvMLcbUVXHZmJh+w4y43b9P/+O/3rFhHi
qMt38+yJtnC2Ii6cPSd/meDpKEObVdMHZw2G1c4pytc6JG+qwnBoyLSQwT6FTW13O3/wONDbHgd2
yHmklnbZqtpLSoy4T25jtryRC2BZjiNFdcM31LXAal4lNQb1oS0teUcLAmXCoxwDE7ISVVqXpIXG
BVAKPI3I9lK+e4h3BCGdjk3DOR24npx+rWF6VCW7CfA57XVooXLfOegEL8x5ykHpGJ0l2YQf7LZN
CosjQ0dD3gQ8r4okDLHgkUpvwrhlL5xqt/kbkWAzaPtEIKNuEfgoEie4tBd98pU3txTo0Xq3d/Nm
+jIrsBya71YRc7bJt6jWBJyPAwi9IxFpyHSdco3g4NKG9j0GmXta3HbJEsjw6Op5AW8uHHfdAMZZ
J3YHq2qe4gbBpY7zzHJve18bKuo3kt9Albbqo2BMR6zpwJxFw0q9QCIcWjUOoVm5d2tdD0QGPcVS
1CGn2SCbFcXHKGdZ773ZU0EMzLkwE9+1UgYbtHnmFBwe7xYz1oLBkM545gSqpaMhM9JqX0IGsO+3
jUNoHJSgVXk7mulmcKrBvfLGaiZbDfb8NGB9DGGNYFG8RKYM7HiD2vuSkTgviB/5bR03Aa/zJFpn
y2OXq/9qW2CTXLBbnR7Z7ioORRJNZQ+wxXnZQPwEUdpPBlJ0Dth3l/GIJtwhquz8WwUFitzQLeNp
NALeCrKI60MrU5s9nWTZFZnTaIpIs3dn92wJhbI3I9PEtHYRDFS9lj6lbIV/RSKoOm9/ndW4yMYi
pyVra1V7yDvakjBrZ6aK86Uza8ahnNMD20CL3c7cfS9SF9+ZCCYakhBEKVakZqg7tbKvLnrb4KCG
ntR6Cbe+7ch2yL8KQoU+s/Um3TObe0OFQF2fWKODZgjooCftu4JjGvTmvjjBxknDCNrzXnPcoawt
3ytsxRfFu2gnviBhywgsVINRAz4PmatqquLWFQLsoj33d15Q6CCG5lXXRKh0buN9B7yXjLYb3I7W
Jj493uOX0jCkexm0Id5SG/9cgEimZ+OwyT4zIrebqItgycmnUdrYGhE36dOJerteHrQ5VNO+daDf
EaLUCnyGrOskNaeFIqpAY80ZFz+4GD2oryU3GJSypl6spBvd/mkLjNXa1Y7dP1pZsX670+LYEbGa
4cJdLUMecEP1LlSiqvzmUyz8JNUSM1uIn7fdBfSwiqTTXvqroVArP+ZbC1kAGpQxsNcviVlLT409
XLYm+Ajsqbw2tF6tS3ojgp/Vcb3bxZTtd7Zhvt0ZnePirCGxaXBtUS9LvK6sN1LPTvHE6q2/ZqG6
/uDnJVq9GlX62lbzWRmozwZDabXcpjZrsVEqh/Zet5of4yJyWIZzItCJVq1/K82CfW8p8Ubsy9E3
6n2gW/lZS9G+OMjiMCL8bQRjhtsiTLbAgfjncuLC8xtUijgWiKs9yL3wPg1A8Ue1r3BeLPM68XKh
iXTn8233lPJ4LIDiifTb21yP1DCFCQTyw9LUsSjn4Gq0nSaYPom3QwkyKNChdp6vKz+zDHjayZ82
v0xA9JgkuxVeQVhW5uScF5eiOTgNALHtkt6LMwxyGs+UUOr1qCSBCwKlkznZSFwctHbE7cEnIY2N
+bIo9XYuNuvbX2A+ljp2uA2Q/CLad7v57tLGHh1J10Sbpb9rQ8q9Cs5rwZGtX/2tPMhle09m+om0
HglLi0CozWGnV0da2nC3OB4bw6SRuR30h3pAyQ71PCFxoo4Dd+u1tg5lIdsKtFnjtWCjmAWSNCsa
mSypwvczZYH5vAyj9d2nXfDlViSoo1HL7NZxbeN1nXOkV8Ee5ifnMAbHwiu76bQUENBijDKs/Ekh
VlxCweROcUVn7A/VBRDgpEEgcB9UAqyfYEXPZ5Xaa7crRTdMpHcUNoR5SzdWxWu35hAyCSxEMyss
Hc1hyN1f6a1+BJZpfMK6FG/hNo63kK38F8R587NO0xR9Ihtaph5nCzTXKUi5pBwsxHCrN2c3aaXZ
aXZeCyBkwFL5S+4biN9eKF2ViHmmdAuOFFt3CIgEwDHUOh+ZV9lASm29MMJpzrMdFv/blNsvvMxy
ZMY6d3GbCM2N+yxRnx9Gvu+UbWi3+NUXZP6oQTLT23UMyyUJWQplkaFWw+KoWi5vrZxdMFDGljUJ
5EEA0KJqq5O7cnVFcO0Ezoi8Lu6WfJh46NB15MYKN+4d7dPMk0ib5WflnG30FmPSTzdP9WuBof4r
KMxyoFhCBq/BPPHhW7Ttemd8KIKJjS7wVWbuwBS5tprWrnCsbSICq/e49aX3PuJsfatGLrqILQx5
ZrNgjbV3Tfi4kS03aHbKMEwHh3fILDMDU32t6pQVYM9de4/EToAfi3LRreVlsSz0mUUwO9nvuKDb
fipLn5mcYrBvVq6y3+iNzqdL+PgMFzRSFCLOnTLJK4cjfVUW/nzVYiXveaYvWX83YOOBJ7qNZBnY
7cB/3SCjiqWbgA7OGdmptQOHvQdVVJS7sAjwZw1p4SNCpUGB1uF2JQjdVm0WSwh4KgfsEQax8W1o
2xctnVTEq6GM+X7N6hDLybLUD67hEABejGHtjj1NL3wjke3WntNGs6VijWc28NYct17vWh91ikqU
Yx6QmpUAeRSgb+SJYcBPBzQiGwfSBJpBnFfw2GleCsVIeercttIpT3SSL9T2ycVd6AebOS5EVdFv
6oPtYEY2WJbOGjdNmrpXJfqLvTDz2X4OOhdpqrrjoL4QsTAYI+zYKbF6ATCD/5aTEmZqNRza05Vt
3Olt2oqrYAqNVAIwGrbsy+7d0thXNY01d0XPIvarRqi1PnCcYujZlZo744UZzCTCI+tsBZribalD
OyYD2Kh9S+FVmzTdym9BTZDmKAO7WPsE9qdOPQ0hm7syoZYsn5433W3NE1zRyt6XA5Upj1NekRAH
O7PRr8coYoP3C4kjTRFE88D+pTLHs/0I8aAnvrtx+JBUTK3M3jjHfJ6iRs2rTdZiKzJsVClQhCfd
j9Ar4iHD5RI50tjgT5hSDNdG1oC9r7t+Xq4Hv/Px1cMoKfw8ylYOvhcptjbzduoEVqDKch3ITO2c
2g/20AbeNU7x0gbloedn7Brc06yC2sPonAi4CoJlq2IrzYXzspA/+MHeMFTUzvTzmQjc2eWR7Nvy
OljtlO4QqufLztMKNYoFNuOJ0/M0xDJpPKIzIdPVORY2sBZVbjHgjba8ysEVmNwoNUawJoQ3BeHA
ceI2WOxXDP1tl6CxC+vYZYLkT9BsbnuBuBzSQrt0Gb0IGYvTHcItxUigPtk5tKM/cGgVeqNBp1qb
6bYbSTrswG3MBe26jOSJqgx61HKnkmpHcbL8aSxO9BHkzjAn6j30ONAqtR314FYYCVKSk7gryvFu
JRS82M1lPldS8Oj2U34RYwaDVLNw4ICdZhUKeyDK+8Vyp087D52vjXOvfDXMTr2ijMpfVIOil7LM
J7TuOUO/wtVYly/bRBG7SxvBDdu1YeNEfMUnza/egLP2LJ7ekCSHb9gAmPksY1XHoN82cLx94HKY
MDXWHT9w+/VizvzpaRXO+MwOnhFXbzgYo3JWHsqwGpZfQdMMWL9WjIiHbHDKAFG/5Q1bALfeWrkP
VdYMpXw0e6962xiX4GLxhDDI7rUOfpaM6tgdLdnbx0ZlAMEZGLEdRZxsT+MZqLG4sN08+KRBVP5K
PUVWlV5IYLpeXxAxL+HV8VDKKx/voGOt45/m5/+KZv9juaz2/v1m8fq9JPfyV9nsj7/w992i+zey
VTD38COww/PPLu0/hTOH4LXPHhfbHZa2P5aE/6ABhgSvMecTvRY2Qx4LwL8IZ2SvmftILPCXkMyt
/yhgTZrvn7UQTNwuOx/s42ejM/LLmTz4V20CPm6ebzbAtXANwA2nYdNtV/ioTDoiU9AfNfi1iN8B
JSIQ/X4tA/ciq6vhjpW3hx/Xri4H9kWP3qiC/VoY/anDjp3UsrWuhtDqIKbgg5bbwOFbzLhZ5Fo2
F2076sQLc8otu8veWy5dJqVvGgDeqpnqzS29H7d6x4treVLNQeItlE6Ya/ssRlPzStZzw7g4wbq9
bCcrHpflFhHDTXRbdxdGyHqA8QpedNGGe3y3lyYXAcgc48ewwxe41nsJE28wMutCW9i1Vo5EUysA
mBkMtu2yTOz7VbOjRlRG8xAkuujTx65712cs1qrc42Tn6x4CL/9/Zz2AiNuHTnMzCkPsN7N6XL3y
AFIxoevv2KbdcczHJOz1saFZNp7MItzB/gOLnmW3NeawnshHkuE5pvT6WhjFU2ogxZHMwBoIk1a9
ZCbF8zy2Cf3uGqzS0mt/p57GzIcOGeWO/W0OQ/ZmSkzY5ujqI7AhI6laa2PdWToXnAgCtMAwXsNg
5y+YxLDoMIDVWXFfkyyE8f7Zm051WYQBEFqksLjumC/6yfx0sBmxP/hCz8dbZ/xqq0eXE75b7edi
ug7HhiFrWd57d5kOriPkfWD1N3BgTu34UhenVIdFkg/4P03HxaABMHIZrVe+UXVMJOzSDsf72q6v
2oVh3YG4dYATfLfV+rv3yY04Q30Rwtk+us36ISEBFmPRJX5anBZq0ON+q77ok/yUwmWe57vUE+Sv
uO/HuTLSGJLHD0mGKs4Flmw3pduePfiA02/fiCk/wnlLEGhZiuG1YB9E0Ad2WZ/f5qakbkXO5Qn0
Ly2gvjjU+AD3i5Pe9165HxDMytxB+UlVccTcezMsLHRE2X2mk/VZc66etL5wiumU+3QNpCEGk97C
A0WDEBKDzO8oJ/gelPvL6rcfG244aN1xJeGsvkXv7EN7jcxNh4AOQzYng3oKxPhU5OzAWvNBGPxE
FeC4HLWV2Dglk2B1dn6aXTRbd8q8+mOY1LbzN+m9z2zGOKC8zoDwmG5z67aHa1CH/WNIPyyLN55s
2OWtjDaCdPySwKtt3+Ci9x6QB+u7TipSD07dMJJO1jGX9ickePuUGX2QwDiGYd0g0eQGM2jhvtuL
s+srTN6TFW1skHEFz+puk5euVBzzhqRmWtHWMSVm2IfWl6fdExC8QzudqJTYLGAgK9z6yaADtAFh
5ak+8qrqgp5fxzfiauuTBrAvYYzflsN3Zgks+i25FpaSOg/HvKrLF2d4AEKd9JUV5aKKbMVr55KP
i+59EYehLDF3v8yB95WVJZTiZvY5t4E12toOXgJHEyyPfvt7wTUGJqGvG4PJEj5EG3l0A0q4Rdhg
sQJpJ9P3gakNfZr7Dc+WQ/ml+0kmQIRqL7jr5AVrL2yxF+BVzOy3mdfeQjpH+0X9iyWsqG99IO7d
W9OqyjpmCjP8CVM2FtGIhEDrH1Ntax1PI1uwS/yJhRcNYAbhZZpnoztCKdOqN0rno2+r4NYMmc4S
yzDmXyNECnYc7pmYj2QUomYSmAQkvmaSVsec3V7WMWWWBQF8PHtmC8e9c7xPaUr0kr7ON1IRuPe5
O+dbNzqMErILz20RwtuVddlRUSzZLyfDrIFXjZNR5vuN542bDDajZ9shJoZRDaaNY7tTQsEmIbbD
bBYcslJwRoSlluqSCz5wY2Cs0CE9Mdd4vYYLTn+Jq8fitdzckvZs66bOy1sR5MZ1M9TOI/3wMm4b
mi6wOOoHx2qJqgt/fKOfnOr2NH1GNgUyt0xfLCnb45mldWuNM5cObq4ea3sQrsfa7k9GlYWnbtvr
BVfkWlyOmOcEVL5QyZgamtibuInOwxHs0k4WM298c7c4w1lYOBQOn7tBgwYcnx13Wn2kAAUzyhin
cl/7YLfmkM0LLuhHpRRGlzl9Gxy1C9PWv2L9AJdt+N5ESTEMxuDFy4Cm+celx+2Pwsjoh/oW+8V+
IjSLV6VBd0fIJE+WnoysTNJ+OTjTDA8tkE5kr2i2+HTGPVrzeuHJ6dmj7q2fOcEKdRq2Fsm844Q4
c0naXXbvqfQ6aOV+m8uHlFNmhKHXeZQ6q65WPPyxfTYryvVX2RjVhSjLy+oMmCegzh7c5aCNaH1u
WD+wcmgj9LrvtCx/goKThtNb6phRF0xUtiiPlBeg1vr+Do16Rf3WaLFcezAsdgHj+90Ctcyaqx+k
6ishx0NKVWbRmzdB9uYIPexxI1xWQ3sHTRPRK4sLZ4q0yg+TvK1L748N2nNmrFcM1Pde2QBcaEEi
9X3FQ8ebQTQVQES2o2/2P6Ye73ynKm/xUtNUIbYDB6xgh9HpananG78f87gvQqriJg/CQijW93S5
TQuO1G5uhIelsvaZquJwu2JQTzhgJzPjEo/SYP5qXNZpea7i1ufmT9gxA+huj/uM8gk/Q0PG2vg0
+utpy+btJjWqo2f28spz9N5V9h3gXw7uxJojY63uKreAESfyxy17r+dxV6mJbtzlwifXiDV3wlTS
ntI1f6s4yGmH8wTlfFHaTeGFNeaXQSP0zucdaH11T5869+OD53NfXs3qOAQNp9/WCy+NIvtB8kJK
Mz7KvqFmnS9Sa+2WFfJTA1olpB0HxbC6mPRUHAqln1u7oxlJJjQvHaVfvcm0v6Y199ilXCCmT+ql
/sZ1Ei9VRXkRs5jgf1VN8eK449HDcj2m9W3BqT3qTRnsA3etLxyAsE7XcPxb8UOEH4QZE6HuhvQq
w67RdmCwNIYXsAB9+IisekVqhPnmaRbpLqWhdFxeOmc40qhbPlOszFPwNtzM8EAm6KJLjeOZ8sDS
F68q9F/fezG797kyPkOKmPv8qkln81sR5rALOxYD8sM6JmUaHiZlYJWgYATCs32o8Tg8twuItMUs
H7gmCaL4POWgZVw3rglh2PvxcrigIyNNFy7cfVHBeVSu7Jf7e5UNnQa+y/LFbV+MDou7S0kbQkd9
IGeYMkPXiUSuNxEgmfjSaDBuKiy0ffjbkzu7uBzgzSl3l5NUI7K/gXRFdr0D8PLiBupmys0igXpz
4KtG82Jmm5SKUkI88sgwm/dVtJew9G7CAtB0p1D91rw/FlidcYyZ6DyYXjv81f2wh+2yvS5qRg7u
f7cl/EvZWRQ0k0mmB1oOPMhnkx24AdvVdoIj2Nr0KV/SY6iObb2+bpX3q7SG9bxbfQu7D1pek8lm
vdrokXSO/8sncpH8X/bOY8dxZe2y79JzXkTQcypSXkrvJ0SaKnoT9OTT92IeNO79f3Sj0fMe1sGp
LKVEhdnf3msLQ7AyYOkSZohOnPUtwNTQIQc4+iBifDPl+cFlRk7qhtHq2hrWBoklGLrVRfMMbg4W
EwyN5bt2KX5m9ZqHi4HKHPRqWmDv6mMgAc9d23Jk7FqbT9CLgKrV1l1VzNP7orfL3yThZyKRCWnE
15RnaNv0d143PqMwrf6xk7OoI7lJMmV64zPb8WeFr3wGz5w7u6G2d+AiAnpjt5aZMwkoHO1+me2O
KUo8vOTx8lTonLC0+ay6sd3CtGM2GeeMgyQZYfuMPexAn8WxQXvKXXBuheNd8BLRBM8s0EtvtNJ9
hS7xXbfpTVzee731RWHEurm8qQkhuHABjfbb1GV7ApptP1mItYfFtogGmPlRi5qD3VVnmS4A2rCC
TQODJXz6ftKXW0Iaj0iAt8Wo8CuVTHgF9wQurhjqGVrUTJc3Lfc7P4LONlrOXe2ChzfNwJu776Go
7AO3hxhLBPxLOzq0berXZkWspebNa0libICpzoRlJrBUUNph5wGE7LInb3Wow8CkzvtojP0zB8FT
T1vCLmzpZVBqPtHTwJngVaEwgp629FvKIb6tRDuNrF+UIX15pUO3YR7ulznZYjVkW3nCa+o3Zj9S
iKJ3G+KFNBtZA/OdsD+Bpn/NDA0ecn+z1JIBaiP/4mj8E01i10fpS+/1lz5G6Stl8ma209UkcVRF
3mHmY7HDQwdus64+QmeXNNwJAMovVWqzvwq89Lr08VJl9ICVr6rqvZd07ruLYboHs3AmwLn9zpTi
dknYkROHSUKdcidEyXu1a+OjzE0ZOF5yk3fap1qSbVMWzzFKqJ8ST5CJ/IGN4+eGck7tcEuYwA+d
5qAQGX1BNI42izvXiZtHZZa7tKEZa9E5ndZOfZ8rsKALypaRMIRYSPP0oQ6GOF6yTaezrgqPFcvr
h62a9E8RZnTvzcZPGNvNhtYgy2+m4kDNJsx5i76ksNvZZTVs8AqBJnWG4iynllMiODWHWV/kudzw
rfkR2uEX7SpPXO+lWcDOHSa0hV3X97sCVlnQZs7OhNc99vXOCvWHMY22g+5srTHdVrRlIAge3HF6
JL3yVnNwz6mfJnPAsBACpXv2cnPXdPlzWF3Ktrh3PEs9hJYTJMNwaEyCP8OyqeMveFL7ZHztCRJf
GwXVslvs9CPLSKqYMpxAn8XqIbKHnpvCXe948KLjBF+MnuTxn8jol2tqpvC5BXGlI0+URmqCXPMr
BhnmetVoHOMh9LbIr/pTK/X6TshFXLKMZ0+FWIVykfSvMPyxW1MIccwdew6amctzuCxXqLUqMGvH
9lurqnac52Nu1DzAtBhJ3HgQa5EBW/YK6vw88UV+kfGmEJE8ZgX8RWWp6YC7Od9DN/3Q9Lh8llqj
caGL9K98ytVr60iqtRvacrzISfZlCIsAzkt7NHGJ3HGFlfehoQHWDG2L3NEQ894Xip6s2DWejbgk
n6bFQjEIjTCeWkuYWvz7FOpsNISmp5Ct7FSXDm1SWmlmGy/SWeZzysNoI7ZmNg07qy5sLZna02uP
w3yVOSCh9FfkVElxUkhJWIn1YCdAB//YHim6ZlbTkRUIyGobz8ehirTTOquxm478TNvQj+ol+m4W
HqUGsQPB11uKo5Xp01tbO1O0wRLNBsDLfLCnafwbcp4KEsbge1yn4UEk43Q7hcX8k1kel15RzNsZ
XhqGc5iBnu+k3IIqfrPqkgFb3cqqXvZdHE3M/CIX76aZfpKhsRmszxnO1RwKYQ4mehnEAXsTgXt2
qumPabn1WzcMlufrmW08jTatC1Nfmhc8EqIG5myGh4Ghx0Eoug8QvvkONbhRrMHIKGynUKZXxZPL
fliAjk5DOrRS61pQROeLSKshgRLd3g7OwIh41RdrlhLbeESECaEH4Iuw9c75mvQifRJrd81sG3qK
waXWdrXOtGQgNniuUJYvGKIZk0lxxkeTEZZj1LHFKM6PGUXV3TtmjRfTivv3GFoOa2rXLffMIbiQ
uLTPf0VJyWEDWjpBAU63B0d1TATS2Tgoc+ISW1iJ9VMK8Idg+40x9sOwy8ALJw3E3TY7ESpOLynH
ozcKmOcjTTnWGRNqhEUu9CiCrnQ9xKDUdZvF7ZS5y6vG4rheKcYjQ7aOXdhkAHYdk6Rk4LAcLc++
Z4ieBmXjPUxgvPWw2asmZM7cRPtYAmXDkuh0HDhatzh2YdcBuW57FIDKqVwXcI81nxkNsowAVOCq
NAFtogWt9PZwIoeAi/zwZGujHjSuwYzT4V5fBnbnWNw9ynCHZg/jm+v03kTANQLmLeFDNZbxXvCu
zOCxg5rvwD6DVZgHfdZz2YlGLdxr/Du7xq1lULQx81fXGT/drnodBk/eaWIyOQeU59wYr7XmlBt8
6x3UdA8c0rI4V810Hiqz2BVueT9T3LHvcC/1h0qpIdo3Y+9cJ6dTRQClo3+Myvojo/Gbb+oY46NO
0pYcF64Ch1RFk5wVeZR822UsqZS2Nft6Mr+ssJtHVCJ3usKRxOA4Q6a+cELGgDJra2eroRMyBH6l
TriLmVHC2t3bMOgJ5tVl/ZPrC5rn4tgRn+jE2KIvm/tRcNTWde5SHEb64T1miInVrc8XVr+wp4Ca
QX8YJFKY4EbK5pl+ZpzlDj/3FEZNuk00J78shEoPqR7R5YVbgrLx/jrqtbs15KA/GeayHj0WdziO
pszRFJ1wPuGIJnGeZnV7nUKz3WHUti76OoNkCZHejhIxTqWWXCSiStcdEWW2CRDeDdCE7RD1+Eyd
of+Sqk8CuNLDJrVtOlUwZHr2sNNiY9+r8VL1+vigdwW3+94Q07eTV2Jj4c7SuDBn1CLYkRv7KZv4
keuV+mMlbbxbXPz0vAqcADlD2+sEAuFMBSlyiY7hWfl1X0Une67uLNeqOfwUUXPPhEf/iLiDEUTr
FVkUbTL5tqXR2ZCs2DjKh1sSni9mr56zqkVY7KJ7OcDjwZZtB4xTfaPiQo/cYfL2puOmknDjHeOx
0/dLE47vXqhVl9xAacud/KSz1nK1ST4MqcWHMW/eYe3fMVl6GkL5l2WEGsRmw7GUe7h2M2Bf42BR
odaYY6BE+4YExv8yh29dKClez90Rk1rKs1QxCKtomiXkhFX21coBRmARLy7Kedcr8xElaa1SgYbo
5cYdLXDE7MdqX1gkN7JKOySj9UJ12epBM7t7dKY7ith2CdpqKp6MRWJXs7KvifVPUoapc0A01aUv
Ia4DiF5PrVqypQuObGrH4YRajL2racyN0eviedxR8KN/kGvCiYEO5lOI4jwnjb1l5OpDo3ia0ec3
ZEBvp5aTg+UV3xApboRZUR4Yln3Qw4s1rXTe1ZaovuEI7mpW5cDo81uRDZQQqpBiDCMYnfERG0u3
pzmhfsCF4QIcmS4q01/LxfhuO4wW6XNLVEFQt5Asg7HPsbPkTCD6KURz6grIy1lNPsf6XDybNzFx
nkfhXecJUqeGANDMUCNgB22UkIgpK6i8o80ebcyKqrsBlW9o68NU11t+1R32S67a87boxI578wts
PPZ1akB9SqFO3lhiCQQziuBqPjiqhINQNk9j39+GHjYgLtCXcTH2CeXyfkJRyDaZ85Ws0qBFOg+D
UOkh45x2QW84VPBmrpnkkOe6BrGlkhAAOYqN9Jo/BvHgwwII7A6B+GHi1L+xB+7K4Wg92pZ1whmV
BCpxvG0nqCZOxgMzHfOtrwZuBfVLbsc77kUkItziz0hSZE+tYxewM1G5mqSl9mxg/TmCX7Qpz7S1
d5SDc1+iVdNc8IIHzl+caTqIob1Xc/VTg8L1l3DkiFYVf9soRd4Sf7HTvroK43VlQCymaQ5aPzah
fePG2Pk89TwmqOYiUveRqLMT8vNy1RKaCAqY7TvgDWtFnEPNUmtcqnn6sPP86EWSdw41bDMW1RNq
vLZpC3Fi1Nvtm8nElz63DI8YZhwt6owqs1UklUKrula9bQReBja9dffCCEUgpOKdC/1qwJDF+2yh
5UxvmI6ozxy8S9Yv+lVrmWJnmjvekzjT/E5wi429eTcvlbnlZjCT5u4yfsPFZc9dLrWispHIyHaK
9CdHVy4l8an+0VvxeBDEh8nrR1Gy8byZwomUPOMAR3dDLo3CwO7HbVrrSLVq+zgvQ/bORj6dqyr+
WrQweTeXyL0J2/BQ9jwuGPa5nqh1PEJsLKrViVsRHIAQl4NLO3e/hrfIH1Pz0lKwgdVxhxskMPPq
EvblHu/iVrreJ8T74QfZQ0OSYjDmGfO1syS+iPGPzrqs8uwtZg5DQaTlw3Q/YB9eVzTSknpF1za9
rlfd5ntaYx1pzexHJ04IOnojOeZtnDHc5dgeVdPZx1xSTyZX72hmbMkj8SGBWdO4x4XGM04oogJx
16JHd3/TVr0tmRdfPCcNsNfKTYFRtOOEsTGiJaWKFHSQmZ5KJY7w6FG1WaJjbriJXIYPS2kN0U9g
9fR+Pi+j8T04yVlL0xP+gkOaZ3sPy69D7hNzyyHGwwvjU10SGhJvRiHpbPQihjk6S7UnwoXYAHmu
mNwIRZ8ei1rKL4l2VdUXqquOGF9zTq29dZDepTSt4mDWeXbKQsywZKQt366zpzksXukU+8sUi193
ucXeXrG0ryeE+M1DYOppaAgMqr0hcojHJE2eJ3irfl3GR1Mtx3kKz2Epr5h29ilDrA1Tv3Nijic2
xhYNGDvxOtfcdZYBxN/kKuIw3UhxAW0S4Z1zSbJIX6zXduXFYMVyN+5kyRPjkCeS//7Qg7hSmoK5
75rB4ITmNeM32eFv1Py6wPjpWpzbjBequ9vxL7mogKkxb4pcaBkCZPyni+yPpps2jWMeqtXSTiM5
gi/tps+VZWDGgxDEvObGGJYnuk0+K9G8i4mxQhHW276d/TG6wW/Gx6pISC1QBHbY7lyaZPiuSG2j
G722CTmecWyIJPgfdsVW3mOcBUDD+5AmI5Xo8LGt0FdCnLvILA71CtxcKCzxswqTa6zR8F6KrSV3
o42dKV0OWMrTTVtXxN1ESANN1t8UUyHhqUkmXXReTGDu9nFhus9Ohr48LnTlaZnT3tI6+90z7Rho
mVxHnIMWg23Vw5jIHk1Jbb184Oq/T9PLSPqsSGsRLLnJBSavnhTvwmXJJAu4tJ9kxuubU7Y8PFBB
RnPYzBvNc4fND8rudzo041fH/HBnUVqmZXfC1py1T8+7cRz3ngiwnznGbVqjA1E0/JLpgI5Mb+HE
PTxqnDUOIA1YcPrPhueLbnJvfKGwb4ODDJG6s+8x2B0WKtf43/Zoqgw1Yrx7Hls7vGwUwQdCenjT
+LIuTfqslggf4mjAdtiVLb/xxlTwe+gwfNObdDfmLpNFPQLXxbBxmuRJRctDyBHEFDFzZ0YkUfE3
og0XRZsyDbGsfHaOrWw1t9R203Ba7g3XClSvYzSeIr9Mw3M0Fmdj7Y5yFvrfnaw4QPU5emupSEYG
6JsNhRQfVsBdqdFwk6CutytLxtMV+gxjPHpGylu+WlmA0/CBu5Bv2wzlwmoxg45u9zUnNODpHJ9Q
gJG7+voQxgyD5Q8H/0MRa9ey5m6fOvlP1I5XO29eTS/kq0d97xDfMRGCYVNvM8mCXLVGEM3qUnIo
LF7zsT9KnKxoRWhqdp+80OpLiHiOgqST4QNmyu/RyB/akW+ZsMXRtDvEx+Ts1RgGZPSWOUzwa1n/
xQnsc8WI9h1biC+hOa51Y4j+VjRDgE6uRSy/+syurnpPYbJszbOIaIDPDbwMQ7z1ynH+sEXRvCZL
N+zBrdGrjSgUcGY8dLP2PpnZtowVEp01BvhARr8hhtI62cksfvI0vOnKwfegmZTD9LTaal0xPlaS
Jna9+4vWyTxTkAUBxfI8umny0Q/l3cxlFZf6RtTDNhs0rkOuOrtdd9br/q5c3iOx+LVb4B2Q+JWd
e2S7vRGb+z5MtqszRudZDI2G4AXiXeXMrM6tuzPy8Zh3rEmEewNi0jQuu5tiGPiD2920NVszZnLs
CreMB441oYipMr4B5rH6Nd21HMQFTC1BZ2Dr7T0BEc6ZWDqo77g1ShhbxguoGDgm2sYDEuZUp24W
pzhejwLmGPrs2dwABZ5zdkSXtjlVMFeWw7l1Rtw/814apFBle0mrcMcuG2Afbo8gi31tOAi34BDJ
s5e4+26Ov2fQJ11FF3RVMWxRHEUBpEXOU4uWDzYs3/emtTNrtnQveyCg+xpTq4ufeBtDTB+sWAVs
kPFfI2KVjeCNTHZ25I6/aQqblBKWpoi6ysaer61M+GZhdFVZ9Cqw2WcSaaW457g57lKmxFRDaJsi
/bSachOZ2lO3tj8N0bYOGe0u3BsM7haNZGygn/vGPJJs7YJFM1Bx4Yq0vMxCh1BZtSLGo5wcSuhY
FArTSL7sQb+fCqpCwwXOSl58Wrn5OjjzLZob4AK0fbs8D406lB6bl6Xie60FVcT8Z562jpjR6dN6
/qNTXcqs3PyLqdjPF94oq34QXva4WCdAZ8Gc649JOdBlxO+zaQke23W7nbyk26ZZhi2i2jNqjLmd
41lfXJ5s6n0oGFXZjUEJ9HPL8ZQFMkZwRU4xI/NkzeXW7XPuoXL5bjk4JU326OXLo9uOh6R3mZMX
3jUFOH1Rok9vsCQtt9UwnSd94agT/vyHq+5/kwyU/xXF+WtUo1Vj1UlXis8vi+M/jWq1h8E/K3k0
wJtat0AxbLUCDLOf0mnyV9ouEFKTcnYu0wC7bIMxo9NhmjHq3f5fXsl/Q0TbUPKAykINIcAKz1ys
lrr/iPMlFHLbRQcLH/teS9sO3AliQa2db0hBZQ+qgBGGbO8+5XCzHl2SczsGl20X0KWd/fl9Mf/f
d/k/1kKL/7PtclPB4f4s/0teef0b//gudSyUDiMIssfEOy3n375L6f1rjQojAjoO4BZymf8OLEvn
X5wbdBPgCtuNsNZGi/8VWNbtf3n4N/m8da5QyCre/wvURVIIzUPyb44ullALrozkCaGwBRj+f69s
Gd0uEk1X1BurIckeNEbTZl8cpZwMExnzZd+kO5KypNAy3FttRhFZCeit2zPuBWvCxFHD+VXJKM2R
fqFKX3FYA1AD3xSFu4E4qkXcT8/7C2mMzDsJOPvr4Xdou2dn8thujYWyDIqIp/Zgo3eEVw/SxCc0
OAb+5RBLaALa4H7CaWBFib3+Lpxc89NJMXbTv5C9JaAAdzaeFZbVOHvHuEP8ywoZzHmQPsHDuwGx
CwaYkZe8hdAQNo7sRGAhVL1qpQXbv83Lran6/K7J6SnB69rRmDMRejFnsNBGk8Z3RNTChPyah9A6
2xrFtK6dsWUQ6dz0sBGe9KlWt01BzjLIVRXdQ191z4WXWPvFXqYbh2EVOcF0rSzrW+z78WDcEOpp
B99VeFCEat895i0+CWf03pFFvoWpSvfnGFLkYeJCncOULRXZbNqTLCuwk0B8OQmr72iitiv3toXw
8SVL1IbQyZ+s9epSxlP05EHazTfM+aODYY/udmZO9JwMgr/XFG0Ktjf8i9z7zhmKqTJZ2g0fbX9q
qeRAGIMuaMSeddRI6ewJ5WbPNguJNlZBXJn4VWnSI8mm5VqA28/aVWGvzh0msj0fmBYsRts+Z52S
t3EoKe3KniF2MvGb3cYL9CmJSFA04Zk8j8lpMxyKn2aA6auRnT9IgzLZjdbm8dUeNcijOlUNTEYc
Ovt4bYQRpF3ftu0wnbCoZZsJTKO5qWovPvZhs54cdO0RETSm65PwFsJNtq1LqkW9OF4wsvfK72dh
ncKcOVnqDvOO7CVOkcTj32tvcBwtiKUxXqYs3UdOLY+tAbfIHYxr2QC6trHnIBPZN5YqjbOIV+01
nzU/bht9zyQWWJg+1k9lCmE3rLr0ZzEXBvJo/AVnp2TYT5j0tozT1Av4X/GwlFSAKs+Nv/HcqqBd
jHRflpUVdKVIb5QteQA1WEe8bXeJwfisJS/jxxpGy3LF6jQFNLesqAlm4Hcmy8qdNILWhGOAwzmC
Xc2HUHCKc3UbFJ5FMaPdIHLHBM6e2GXkA8gVfZ/iK+SCPz/rMNg2zA5sElhVPKPAl6e+sOR5IbQZ
lLr8GA0zPXaFET0g92Jojczc8vFgZsGY19Mtp7N4SytjGnDYsSiTFmjporgFJ1nuuDkaV/Bu3m0b
lcsNuiciimG15yWheJgDjWf+VJFp+CRTx2OrOJCrJHZ20mnfJGjTbaUy/JvOXF45pHe+Y9gvEWD9
6RxFXo7rx0s7nOB89CeOkTjSPDXXxzkyn4g1Qen1YqKbpDOmt27BqbUkKIrM/AhvJWH+4U463oiU
v9YhH/LsTB3KfcR3i3JtUrHWrRujMZJiGxnwrOC9qCRWqzVNesT8oAI7jPLX0e6Nkxqlec4mDQ5U
i0+vkuFWOM2PPmRfiaydO/oB412hWQm433k11JRV+zIV6TIzHVcixN7teJlY8ZEHbeTmUTIy0sb+
q5VZPOxtyYNKViaazg6jAhlEXnnj9SMBexVZ8tANU/WZmfBo8o7gt0IsvobDAAM8zQX151Sbywen
9RBbat7DJuOWANBksSJWH91ozZb7Ih/kPWDeCVnpl0k0yoo7CLeoqr9Oa0a+EjX11fWRhNatxtQE
Yg62ZoJjci8Rp37tWhG5UkpMbf6Ni0gGzIfOF5bIU8rAuXbQGzqh+6QvDyKPbyIdys1Q5Y+dgaox
AXOpEEuFwn6fx3jlBBplyJ+rQ25PjKjmbzN5FCHrnGu9q0WCDhI72Qx7tMWrqzc7bKSk3outUdBh
m7rn9epamPl5KIwzI/h9BaojZMS0xIxAwAXFLc3qjU5rCl6SwdsWEXVuKEfEpbbl2PsekLJ+HrhR
0MQqO0LCNQo1QIz2BPdCbYD+JeiW4YORTiwO+iFjIyKndBmh5WvmfNdpOJ8Itj+xwIH50uQQrs5L
c5OO2LVIq2cTcdTenu8xixsrPMqgOzi+V+CWYHWUt8pAlY3SxwzXf5M3+4YeoACCjg6HNDdv8tyK
f+gzWZZTko0SfzebbYy0SVoitJ+VHjUe9+Xs2XGcGCbCyCJIOx9yEoZ+f2Ax3eHP5qrk5RojuJow
M61oW6vz/uqlKvZD4QlGxBLNLfqubZYUG9DUZogJHg6k8o7eNH7hC+yuYSygefWNccyAQN/aU1UG
yjEaKIPVaXK90p/irt+C5CB1mZonlsV4Y49K3yR1iz+LNB5820OEdlc50IL7ro8DJOEKhkVUb6vQ
oVjUXb/J3fATLtVVJtPRcbP+aymNoKm828JY9ENIpT1fpurREuGjpa0OPKUxvLAj1E06tKycUASw
PZ81dEeoCVCtdiMnsUDVhqKb5uP9wL7oWaXhTyWLST5Fr/iSo2AanFM/t6cobO/heV/UqLNIDvnB
7WngcxtRvCKWr2xy+qk7KvKgsc4OFnDPOuXQ4Pdhh38ViWhKdsYa6xy7Xr7HTBpqm0Ucp27Ub+Hc
cxQaSLyTudMvWNGLraUS5OFeaO8j0j07Ce7+nigblxPP/MMF4WSXQj92Co8Va+Dol5aMmKqZH+Gg
u7gke7raMBFCFHbycj/G7rucIsvXnPBxzD3IaimrH7QbpJd5AJdRNQwSRlgTd7YOAA8ywy412JiS
enkNvWL0IYvcZguul8GCWbO0rIH0V/HZX4ZxSUkxNAis2rvEOuYKRUm122JLVbmftsa9tRT66jS8
FH1ibgpdajgdFlYKXfvb1qN5jZbxYRHZQ295kOqwh2ayPne5vdN6yuViL/ubCrYMbdHsIARFvYmS
BUnNqw7ZQClBzDEV/Ntsc6jrPKROMT+3wOY2uEAJvc5EYDppvLsQniwc3TtVpO5hruuz7dQePlL1
aqcJzL4BtQAIz0C/ddHs0JeNJBhM0h47N27qax1O+WnJccU5y/ik6xyh7ML8DF0yBeBSliMBjylw
GKBqg3yIW/c2TS2DBKGS86WJnfYOj3Kzo6pHrhNAPIOhZu8zuHE/kU60GemJ+LwUnTf6dhNGn1aL
43Zw81VtjorWwOo/X6pp6u4r3jEc5CYGLZogXoCoUf3sjrgBCFsdZ23gz/2oFu1A2xI2CS0yswO2
EzC0a/Jgm/CZcslXA/JLTvTXV0WBsD3HCrtDWlbGPQn9/MPEmXOp9MW9DRnwMsAgs6PGKeQ2Pi13
XZ0v1HDT9zTCa7TLa0sG/UNMI5Q5zrzHzBE9u9E0HMl18qCt7F5OBu5FY+gBngKMy9XRMmNfgAva
cfB2TpOTvqUF1e/QaRe5bwdTnlsZmW+AzDjw5Lm9STqKMKYECcWNyX3EWAhJpH9NI9mRLF1rdkmY
ULlrxY07vMjfKl6QwA6LtkZB79I07bQXa29vM9Pg20upgVWQ/3T7tlXptAC319Lfae3/BfMdT1fZ
SfLpReUiuCZUBXu/tcFmPzXPpDH5wlgdvcKDp+KX/LdsWFt7hxGO1w5ic+gIwf5TTfxbUzxmGh/+
/FtfDIsmNU6iL0hmIa1Rccxa3Wh7lnGYwVoC/gFKBQCUzUxAByzZ8NuVLGZk9X1jm6nY6U6L9az6
LVcuf4uW87jhI4mnhgLm6beM2fynmXn6rWmuGpvSUkiW1Dcvv1XO2W+tc/1b8dxYIbUI/dr8zPTT
pV+sAGUcZL/l0M5vUfTwWxpd/NMgbf7WSSucb/12sdeaaQIg5HjxaFlf5tpDrfS1ktr+radW/1RV
ty7btPNbYV3+1ll7zrx2W4uWnmt6StbO63Dtv45/q7CN31psANxucxjWtmxw0AwRsiGr+zPBrmRr
rPpYwxQXLX1etWnEuaBBtKZouUr+zOUQHY1OZl85RhuqifXhPtQ66+jOpX2HyZWscr8kOz4fSq6d
1vXDwY4nxtgeIuOkxXe0LeZPSeQGuRP7PJZHauOXIIuR3VJmmQFq8nOZa7eYbXd6Ju1jaLQO1cgA
UdO2umXbYOpVcpst8CKlFEdu7V4pDHE8PZnX75yWoWmfJB3j+8q7ycaheKsq9zNsWzye9vBSTgY5
JM1pgt6s5J0eqphUhf2Y497YEM55Xvq42hZhR32hOnlF5PlpP97BF8O/WUukXe0syRnyco2ndvWT
QsFHS81fRruudzMMdQKJSvqiMu/nynhvCu/ELSFkckgAQaurvZ51f7rK3k7V/DKO3s04p69hP+OC
Vf2EJdlKX/io3zsV38U0pwSapj6J5VQ4sqyy+05FdaC14LIshXUY0vbdpk3InTy/oBMQgDmAVsCK
TFyPqapXgpD2opfiQbViFw/ytvcaxlhFeQq98Y/wavo6Iq+60bX2kSQ5FAFR3EXm+JAt6ioV41TQ
gI2/1AMGnPYcOvpdNzE6rET31yNpZal1mDjNWOYI+lUDh/lqwu5DJUykhnsA22/wCD+4nY8HIwuP
tjJmxubckPga2tiv1k2wTA6F+pviomPscceI5hoZxpZs6I7Fd8DiZn/kHbWSTCGhVQ4YM1tzp4Xp
fuG6EeXuVzfzfljz0dWN99nD/TOMyfsct9hZx+Q4L+F77qbfJvSusxTlB/rHkcA7doeiC4o5oiWm
Kl4YiYsts559L5xPLSS5Q+wfoiM1ELtBjCtjqTo07II17TNObWKWHfTlszN5HJMy5XUPUFfK3jz2
ExN7JWy/p1UYwZmXrPOTqO14l4JaoJmL68Z1858m0XZVF9NjzoLu6zI9T7mgmEUjFi7TjQbBp9wU
EqVUGA+jkz6XmXVP2muvLKsB26pz43d5l137iC/5qHO6dfHhLvz3rDadvdvlj7XWHjr6OWqn3Eep
/ig4uospukmz6WVSY/ic9zj4kzBw9OXG8DI84HjfOvcUDyQ0am2fLM2BwdahaQgwQh3Aek5h/NiW
e6GPBBfCQ4NTy+077vbZM6YR32bmLM3oiBD8qLvMVsMxP+FTCuRgJhdPyFNXy70gDW+0GvbgvsQs
lfyZzNbcgv0y9sLsiKSW20j3How5ZAw+8wVnn1cbh4C9kpnFrEr5+dzcuYvm3g62ukVHOSLZvKVt
8hNyMFzYogOXyoCbxDD7ixgHUN5F9d7Es8H4Si8PQid9GLNipEMpwdDPYwCky7sDBlJv4OAyIRet
veUe9cKo0PDppjMZLtIdj8W6uCfnryMX1GdEd2OP05lwKr3VMIQeqQTYkoLDbtZe3SR8sujBXUbP
e+gjqihKjaKFuRb+JBU6BwGYgZoWVJ7TUpsn6YB8BclgZp12QODB8pjr2Iqsxw4T7WzWPntbFDAQ
Py/KNXfwqIo9sgc24f6EuMUtHIXysIAvmYgoJymx3LIo90o4O32klqirrK/FjN9ajeBEVm/Rm/ii
JPBazKy8MVLDb4R3xJ9HNJuukch2Ts4KmWCKlJb1MXW9beTmByo5tavW3NAQeiGaQPBn5k63omRM
6a6eR780w58SprD4n+ydR3PkSLal/8qz3qMMDukwm55F6GAwqPUGRmaS0MoBh/r170OJmcq06nrT
s+5aVWaSjCACcPd77znfQdIMu42AyrjbpOHUP6moJugpem4rmzu23bds2RU1o+86N6zXK6Adm8FN
Nz6ivG3h28bZcrO7EA1BTnrE1N3ltX9UjXw0LRQQc7FMnrZOoI6LgSXHgGagvR6sbIdAR6NBYcTs
V3aAs891qM1nxvGSOwqn3buM5200RQ9qoBRPCC7YiciAR4Itfd2aDXYY67MsMGuI+QsO0xryW7JK
sRfzTIfLCywoP8Smid+fycHABdxwgs69u7iekE2lctui0d7BFGpWeAq+902JynV4A8B2zlGgdGLc
ePn8rGoiVgPwOSF8I4WNOzJRYWhjuME2uC3d7jSVzRlpwNaHYFxXztM4E6mTieQ5LbLrXqi1o9sT
jvArUjD8s4vGdOWGNDFUhrfZD6MtJt7XSTnXmauuygnvMhQDqBMmlhjViSMHiae6kjuz4iiuq1f6
accRgVWokxxjbWQfw3C4NAPwu41Hq9cyKAlHTQpLWG2QN4Iz4sdgvh2ZOGl/BZzpXprFq8ycYJPg
32hBm69EYhZ4A120naXYIf2wIdAV77koEOIRg6JHreVRxMixOIi8OiMmNTyqwy53aHGXCaXg1BO9
Q/gMlyUu4zXtvQ/NR4CCfPD3g9ceOA++Zi0KXxErVItIUzmS1uu+DW6LNH8sQx0MLwFlFEdZQqwA
TQHjA4QG065IqpAYengxfJgHWURGbt4j9S1y4DOyHieNTyJRsFj0wiFCBlpYNapq4D07ZtbhXRvL
yd4lyMark5PCqdnncGIecVsxHCCKCXOtM3jioajzuCCpIofWnmCL+EL02LN1ssIiG+DO+F5hIux3
Wda5X0mJ/K6a++GuMWVG0EEAUg4Bo7toLST4KVAKjqbDWRtzu/UiVb8OdoQPqlaTgZaHjgg7XTFk
V4lXM1sIyM7h5Bw4uCgkHAFriqeX0a8nCseIXLadX+iYqj5mneA9yuTRGheITEv+A1Ine5njEcM0
h4esIa8NXHlKfuMiKFLNvoxnvz2mQeWJFR+7PW511moa+iW+pHGqijcrRXExQGm5FmMWoRsQnHl/
44f+Z+j2D46Lfzt1S9R/PYA7yf/MO/n1e37nnQAK9mGTmIBNCCxYpmR/8E7sX4THf37AoJ29zAIG
XFaqi//5D8v6xeQ/Bqk+dih8CCBIfh+7WeIXfg7/aBPG6wWQhv+tqduPg1ufWAbyzRYmsWkzNRP+
T5hgoswyC0S5zaC7b8VHyNcwSEFvp77C2o4bmvMEorFHijTrEO25kTNiGJx7pN2ExBh9FiEXUK57
9+8Pca/rz/K+U5+f3fm9/l/LrfitYhVPorj73z/+sf3tz9FntXnv3n/4w7bskm661Z9quvtsdc63
/gbFXb7y//Uf/+vz15/yMNWf//zHN05IYNfuPqOk+jFAYxnQ/+v57P1n+Rm9/3CfWMt3/HafGHCj
bYcZawB+wHEhcHDb/QbGMZjCuvC+nAUzjQIUMuD/uVOE94tHPK4Di9rkLvvznSLI4xBkoZLHYQkI
+Ex8//jdfxcXcNn+JSD4p+Es7fYFZ+17luP4sIgFb+HPE/4KXtk4FeGth7nhxVN2/mgH5kICHHXC
Wa2T4wd4iXD/pyv0FxKHH+HH7q+v6pE+zWjWCsjT+en29GU0ATIMbnuiiBHGFsk9NPvk9P/xIiCI
PZ8Bt+Bh/PFXIx6IeWQnb7PIcV4mX7UPWYTPcPX3r8LH9+fp9q+/CtNypBrLHN38+UnTklGPduQt
S32+HGQj55aVvt9GwWAeYDu//f3L/QQx+u3lqG+4ZSzfhjf+4y8FcYA2rPZvBTK0kzna99Eg3EuS
44b/4ff6q4/I/78v9HP6rQesTpuDf4vdAest1umVqRgw/f1v81d3H0shEhPfcYTv/PQReUuCSRx7
t0Uogzu+iBptJKXogsw9YzcFNNkQB0Tx5u9fVfzlZ+ZbNJocF9a7+dPL5imjuDiXt21hc0J24Pet
mg6rL3JAezdDirvXKgi3pY/NwJWtt0PeGn0knOFDQs/gfQAqK06+CpoLoMQiJGO6AIH29+/yL68N
+4otbWxttvnTM6KV0oRK+LeVblrGxtnsrGWKbbAwZfJl2XNwUwO6Ovz9i/7Fp47Ux+LWQncUAPP+
8fZiThg78WDdMlMRF5YaAMviDfr3H0ykTTz8HpR9Jos/QcIVLThKUfMW/EO2tkJJ5a+0/B+0S+5P
aULLIgOJjJdg6fUlrcqffpc6jlKl6uRyxLdCzo/rclolALe6ULJgsAOSE1IWoXa4D0Ck65RIMRyV
SF1JpTxMptl8se2H0WYmu2ZAIulQgMFwTP29mlEDUOXG4aXXzGj/hmo0ILDgPbnLhokS1grs8Abh
dGdAvuqWhlSQ1I++B8dBOYU3AP5p1FeMRIUiKZJmT6lkt3Sc5jET1AS1/Tz2qi9XI4kxD12NJQwm
rDiaDI+6X4cqBK9i6Lc2nuXhqCSdlrrc0uNlZAz2LWUi4cZllWTvLtFA49rx55QAY98Te8lQ7zEc
HAJqJiOw75QNbgvKU21DqRCquE0NHsF9xl9Yq2lQSOlaAJtvMAIXZXFTmuizm7oAXtai6oSenPAl
De7CTycuG6xBojO+Rdoav1SaOkcOzSj83cF1EaKQqnTPdQyO1lgWwVHMzOARurTRyWuqqjhWU9w9
mIgk0l1UduGxNH3YEnWLln6FB7eJtmFWDfGeTMh+cd222ReFXYEuwKAI2ibE3VaX1pDY7YoMSXBS
JAZjxYhaZXyqsZ+yjWJNOAQAgHFSaGdgfg+p/w24YzKuimCcq43TGAgSFgMLA7uuDO7txG1uogLr
QFXwCjjpEL+UqUeuSkUSzCObCr7Dsac7JWtveJWMzqFb5tJmepipm7lviS0Eefgew8JPmXjFpdh7
asxeqMTKdJdkbo832hn1JYUEXQuL2gz19AwpbG+aWJs2sBIGYluCAe1/bDqLHgeN0M6XAJQ2rheV
74noa/h1RtJi4ZqH+qPAMdWv2smtrtCyAHuxsxFBgQ5ieO9z6pd8vNBxv7k9kYWo5mufiMFSTd9M
CLHMAQlI2NpEgj/7tYb/MscpvGHfkcugvBlsBAEIDa6qTFv5uRkGfJqFSxDQRmZyuO+SrLts7Mr+
MrlDp5vMFcPJishrrmCJEbilrcnZEMSA6zSf4OOsCi1yKNVzQAZgicYfOjdhdsYudUG8o7QZYJ0P
ncIF0uOuA2vZaRqyoih5xExcn2vRkw68YRLXg8xBSADSG9v0FwlREGQaEFg7muNUc4woUIs74O3p
oBP2nG7p+YzfErjvjzhNW1hYTXLvDwh+SI1Bfb2Gzm6/D82UPzp+4d4u4NWPYCwkxbITtGpDlZYd
q5G7+QgLY7xqRh69fVI61VEXlTFSGTr1R4JUhwsv3eLDNMPolXfQPpeETnlrr5z9i94qwAXAoQje
sPsxoCLtEfdEHXQF4QKznl7DsiNn2OLaLgjbALWrT4jsOSc94y1x5kGsS1Qdn4S+ossPRdk/CGws
3zw0Aq+yJG4VZLcVvdVolZ5GG70x7f60vKZH15srJLaowfHnEwNkOeyEwGDT8UYaAK3J2vaTV1IP
47PVYr8nVjRkUuUPc+ztENgrdJ/Y6aNNVeJ/3RhM8R/JCe8fzHy5B0dTPzH8MUhUbNHv0b2oYWh3
YzOZ8BKdgdEYYHbEM/h2mqTtEpS4NIj2jKNtAleHPj6bdsL430d6MdEL7p2c0QI29nVPhyHdZW6y
AC5wYEEzVPG4mRgio/5CXdCtYsti9lBH+e1QTROVuGuIS/xzLo33HmLXVrsWlIrRCMgkQKiX4Qcd
+vw2475HpU9joNxiyXdv2qHAr8M0Z35kDlg6F306ZMd+BjV5HlnJ67dCqwpWjWMlobELSvpngL5x
4AQ+wHKgr5cSLku7Qng5o8GrB7cgDUD7arDvF3SvWlcmrOcOrgMDUEzSxYamAzhaAyptSwJrlhr0
/EueXLe2mBf7/H+4XZ6KcUW1ipvAx0SybHaRYtm0hmkDZDfJt73h07W3E/+rhNgBXXVMcR3bQx3B
y2qqljBflGHAQ1AUuAj3TkaZ0toy7ch7BXU8XeKNl+BrZq8vSXj0jO99ZrRPEBACl1S+af41rhs7
QFFgXinz/tOIXfHJ+dsBw0TmKHAm8CkDsjl6t8By2nwEoy+d29qKY2z4FQpW8UTEsfnQLPnvGyBb
UXJo5Bh129lNSMurbWJm4Vgo4j1ivNP5phtzN9qhvLS/u8D+JgCHKhtxueE6XTO/BXE0D1BjDzbo
O2PrSeVf5e0YYYWQOQbcCQ4Tgz4sAsm2r7PcXveF0zyDK/HHDSmWxXMIoKhb9X6qu1MYcPtsjECy
UZakkoA09xqwB01RQ7517JiWVzX21souS+99VMTMbJHn+VjiiIZq1uhVCfxVXhfmJFo0DOdGZ3GA
jx1j5YVJXxtbE6VStHW0ps3VYp5CdxTn4TcU9s6qG3LcJXGoeHaYA8AZ5+iRh1uG2UCzOc0o+t8B
Ta61k7pxyLCUXGrw0gMylKyfQUOC+uvpJlFWgBBMIqIUh4S7futnoQazh2zSWdGji5p1Cg3DhEQR
ts3ZtMah28GHlz0MtIqdCgvzlB6Ii/eMSzOv+vhiZCsI8Eoy9T4W9KOffU5mRy9ui37TGZ56oXuN
FRekaRSuXUhMwNAjAvBwZIdgrgoyjcr6ehaLuqSg74C1SPhvVjMwqgyR1XE+ASW+luCjcXP5SN05
MdF4JuuuQaK+nu0lprsVk3FteTlud9naKQpFG4TLymaAyeUM0U/sIt0JOqcu5701khX66sp3Shww
9oDLGza4GFAoY+seta31wQpbPJajsOTeWhL/bpIJsdWOkj2emciOtXEYRFrce4at5UFNWEzWDbkX
fFMbVFZ/oej5xI/htCAgHXcOij38nwjMHptISa6D0gS682A4m9rs2NValcjkWy+nCjFPTFxYvQXM
2Jp72AaNg8ersaGQkKZQj7DyhOln11OaocTIyos+qoz+OBKbsGjHCoBoQ2TZJbcDyRVEOSJJdJAi
MKDXpQubxxhrxVLv5mJt60lcaqRA6Eg4qWimI3qhzRY1DenZaCjEoGF416lgf10V4Zw/ZnOQBkDA
Zwbb1FpOvCfylhBvGRsPGA89dSq8vu9w5gSgBOc8SV/IEvbz468Vy386lOCYKfn+dd8JHHPy5+bk
r1/+W9PJ+cWi/0jjyEQ76yDkp8L6o+dk/bJ4AYhrJQ/K84WkBflHd9L9tTvpSc+jUWX6ku/6vTsp
zF+E4xNWReodjSeJEeSnHtPf9ZzkkqL2p6YJdBiPd4aSfZF1Uag5S4H+J1+JFAbJCRn+73Y03UOV
pm25yUcz6V7sgXemVgnA1RIIRTDLdRKMPJQGzZvmRMKFDvau19T9nT3Wln8uWKzTI5GVXf8VN1bV
olEN0XMV7N7HlsjL9mil2i53UePl49GREXJl2EVxCJYgL/WTz0ZGDL3N8enQzJxpN/S+4uCl8Rli
IP2YErJrZEM84ncwTV7DUj36sbcxy6Jov5OYlKD9axEQxlU+JN/HloptrTylgmM6cWq9BlMKZiHO
BDsn67sPn38m14PGP4AOihoRPlDlBL/CJaHHT5iyhuBbFQxnXLrFxlbZbegYl8pO7JCDV57WWHXp
zO1JKmX8sDa7DrIHXDj5ZHIQ1EEtouPohLa5tjx2zNn0H50kfnaaLiAzKGiBM7rjzCXF0lTgwtNy
Qptg9xApIr9lh6Vn8uTAW4exaMPW2OVAJqPTEGTNhS+TuH1yDCLi914bt4SZjv3wNDO5Yc0Dj6nK
Y4YR7xo3eXippe+3uyozxiNkTUylJQTYY8sS3a7jRomHtnXI3I7jnjAKUlVleJwrI6jgLDjiziZE
dkGCjZVM18gzx49UjsmIAQDALDMQAkRuWJtCe52Tf/BhtZQjdpjO/q3iYBoV64iEHhIhJuvVavT0
nrUSCktCgh0ZnmdSaD0QTbYhV4lsvLvA6Anv7qzjlAj7kzyUGF0fhQko+3r0YizvI96WbxRpuHEd
pvTp3iWhRZ9r6qJiZXRB/5J4UmLZmNpiTzCkyt+ovZtpj+oO53HaKUyLUzc04V2M7I+sE2GmNvP8
KPM/E806/JnBjBnvM5gcA+KKNlBX+VgQW7vq69xGA0790hXd3p59qnZcqMSb2AeSrgDgswinmXms
AeRb3+hUMXsjL92EMmbqroif686d/Vd8dmZyww4b6k8M+SnERGmj0VrRbajKft/KIKwqD+EiiX0b
K7ejs54tEGw7E52F2k6lFaRbqCpt9RGEg46OlI+Nf1+PnUoeYRy25gAcI8nRyMm5wqDfWU2H3NBE
qHbFsctHY83ZIoeKLJQUW8xNLkmZuHOCnn2IHVga2G3twreOqH2rU5Z6ck+BrPYWcokr2WBmhxZx
hgWA0ibT6cRIP/Lf6qyJTmEqrB3VRw/zx2vZBf3sAw72IorMJCXHQuaDITTA1xqCHXPFEuJbVuzT
IAS3ZtIox+8LMow8NaO2EL6M88lC9sjxeiqzB2ZBlb+Cd8ftm2n9NGmtTqxx6cFjd7woyTvdIAn6
ou8RXY11+EDzVN5V2RxdmLnPda8iRi+ZprUPUpbnQXmBd10QgPsgc8tH7V8qZ2+yEl4MjHDgcofp
sENDOe0iaqRHEwvVbcDR+IIclu5STaqnpFKEhgEzxxBiEzgjyYF/dgoHM27f2AHAhIDFdDfMikME
rZFVR8r8yZQaVElP0so+zWR/mOuperVKJNi9RYCJ7PFZ+5AC+pVDBMqqtkO5EVCRIMyaxcq0WuNo
5Ylx1n17IzoqQjxHnK5KsoHmZoYjEWaetyIzG0UOMJcHuF16g19Cn5ACBtuc4T1FXoHMpZ/AtBjj
h9vDZ0PWru66lvQJwyR+jqYxqtLeGneWk4Xo4A1xchLZXUzxEL9EU+aDgh2I+jI9tfNHHR6TornP
CC3aecRirwbpRfvZHbEE5xg3kwLYWYqD4i4x6uRIYsWEJQn5IkkZhvHQxPWH5aLgTlBwvkTS17dN
R2WlI0ixgvKfKzKgPHPik0l5hJbDDNagbREUpvl7NPdJhTuST5VbXiAkJt1DSpgzrtcmm5EZ/66o
wSA4qsq2dN6CQ2x5VESjb51HwAUvBLx5J0f29bFXSX1BnXDqLdVusPR0y5blbiuly4PTBu2mcclj
0UCpL8beDc9RFYd7m1L9MNaVep/CXm1FazdHr06Z21uFPjCf//D5CLfwd607Tta7ghjEyywivlx4
qHmcOZSvuYnWeGUSwkUepwH91wmRAQaMNG/qMk/Bu1nOq5UkIxZQ2eBTT9zyWPmdfSNiEtCNKIT+
R0tOC3owQ/mEXee2gsuxVoZp3RkOPTGjjZsdqjVqKavIb3vfvO8V9nS7SAFMmEKsC9gDu8Rs8Ypl
trygV2k/BxNS0NRStPrc8ZuRa5aWxFYWP4/wFTDNwdK1I9gMlTWumnszg7liyRH5CKchfdfx5G5j
2plQPisJ81vobRNS6hjIs85dJOkRKWj5mMer7gp4Gru4Y7ooI4w0zDF3zLZ/20Rec2llY/o1zJHd
XmriihKCb0KO//TfkMdoFPEKwHYt8Bugdk9zu3ZWnmTbiV60jLAVEQs9aOqapm1Dz9jGkZE24F0D
ilw1pNgiVJhT4snYJ5hphimQxra5fOAqNu9NS1gUhsdBE3C57jMz1lfSM9rik/mKF75bnp5w8sjI
7d6oK6tjMzc0XBi27ca8QpBZdG95UyAfDAZS8Fo3uQHnFGOZifOHzC1zyH9EBpk7RtgwPoNeQfcu
h7RYa1lUdx1H/E2ZYbRLA1IWlXIX7SNhrTu3a+dDhi+HvOuFiOyTrAT6HSRy3+p43UlbHUWi+6Nh
TMkl+UbFU6kXByQipOobnTsOVm4F92dMMMmHoPYWn8Jj6VIJJw7yYDupwDNTYZ4NP0rf66awHw1d
DzhHOlfvVEa6Yz4w4l7X9UynXgbTc0sRdiiqrNgxVnI/02kixsxKjH00440IQfmbGOtvZZ8HF7Lw
ujtfE0i94gdy26Tax2GSJuQaMqcFp0OPguwh775u6Ry6KaL/lTsZ8huyMXIGu8F/bNziJQyn7h6C
K862JGZ+01q9vaMm7C5Mwu4QPuowp/Ab0CLVUB6DzRgp635wwmIpu/MSQaZd2mfdzDGq5+BeFLG8
qTn97jzywldiitObhh69u8LhGtIZDmvScewSBpOnvOJt7J2CvHsPJgh8q7M9RSTc4+KA/uTnhyru
rcVxJPWDTLzxkrgMJIcGuHqiEdz+SOIUKRdu47FhzB9GwGis6wX9ptIpXzp/StZ+2OOMsFGouis0
kiOhWokgh6NrEyY5DZ7XW2+W5ou2G9CkGEk0Joao954H2Tjf5sJsH9kZaSN145xzAXUG7DdmDR9t
cUy9VDzEk7TOrjFETwXU+49M0c3dRLoaH3tYvQefzitbeTHEC43POhPz1Z5jbzTPC7/6IuNHBGvH
qM3LuZi9B4J/m5Mz2civgjZjyidmzjG1O8UoeER0dtoEhPJsG919LzAndi7ds1U2k26PVbII2zew
qUmzySCyEaoJxfOOd/qsDPABsB+GDKVfnQjrQzZN5wJfbdV0PdF1ip6bjKnEdapFL2kkemR0QhuC
AfxA5kFSnw2jCqHEMQBsN3GkYTdzTOFVAjIXsrS/CIqG/VwjnXfPojfRJEWFTTxKgfNRXDgRLfed
35PbtsJpk0UH6fbAECCP4vSiYB/bBFWpKI7SbtiQqQtwwDTP/F41ylOiWFXNE0W0hRmuOK/Vx8Ie
mktjAOA8aPeDTst4JqUuuG0bJz0VWYtgvMBG1g0DOQza9VeFT54bvFrOFCRwbtw6PcUuPSc/zkGf
x0lx9PzIO7pu8Qo79FZbxLMjQDPX4KtfSUIv6OmRSDpmuQFBMgqOHsrD7zygjLVZupEfDNZrN4zx
o2iCDPCaCPeo/7wzi6nHkdsV884A/fLeek1+GsPefjdR7HYgnqrx29h6/nxwlDHFlErjII79RDm4
ITJRpVec4r03EEDmfIGmFW6vk+ZdQ26CTvPnIpnGz0g4bH1or5BpFsLrmyOtON4ZgxLr0PSD/6aj
pKB36YRBuHOA1ptH087HeDMFjnukt8r1MBJojGu6WcSGmuTzpERjpwaIRFLXmgNqICx30q8STe1F
oNrZZ7yrjxo/rXNhje7QXk8Sz+g7nIrQ2sagXL4lyDTg/jYVdtjWZuth6uQTxKkxfMXviD0dAz+c
9Itbg5S/RyEjvKtBpm2WcxcnwcUcBECTPGGOYNXrBA65M9Y2wy5bR/5tHkIpJMO2rYEmurkfnp1e
1QRd9CHi9GIGOrglulZ+9p5bVleS0s9by8wgz1D3M+iyDEuBAzPE4NM2UBpfxhWXD5mkh12B/ja0
7UYktFULOPsHg4g7UJD5Reg4wdaedLhL0sC8rmNy8ohHcujBpeqbSSQ0sBmEmP6ce89Gl87bGgDV
PjRC0ndLZMYczmW+aiwfckZcjPkHhnrMWKVtI7M1c+skxzLYoih/yZWLyjw2/eIiVq1xEQ3WuHUz
2P0Z4KcN8xAyVMqm+mAkQ+RxzrHgG/BYhNOWlePTnIocp0SVq4Phqu77lM/VhTm44UdNB4U10K3t
YJOZs7ObBDjQFZ0VfE3L8AaVrEMRmJp2vTcIvSGmVGcGfLxK7Ik66VBCiPA0iajf+0Zg3UxmOW8H
LEA7lM1PPg1o2t2e2CKaVae+ApNJepR1CVvOOkfMNAGi1Eq+BAmepNkyuw+7MvQph4eyG4lyXheZ
tL4bRFSfYno0d8COsamYjUTKO/kAtwS7zUq7Oqd/HpcMrhyb+p0HfucuiLBoNiVXOLy1F2xBMdrh
aXCY41FeZ0c/ttuO+awTXHbdlG5CN3TvqynKHrsoyo4lWUQOc8xQH2HMTzQhLXGc6PVvciiOp3gZ
HVqWyA6dSKGRRl29rfukO5u5lCHg5qZ+JSOEdEYKglIH1zChyiXPGSssB0mXYHfDtWv/Gh574O4z
oeBjrYCQBt31fzqO3XT8/s9/2DQD/3XDEQulLr//0HNcvuF3PaT5i3TQsgULOcTy6en90XKEUII8
ih6gjxLD91wPHcbvHUcDKRt/xz8Ly1oy4xaNxu8tR8P5ZZHFCTqOJgo50/33FJHQMn/oObroNHlj
YEiYl/FqQizSlz/1HFOlE4PH7mlyHZMtzd0WATYUahzzYsTXFE+5Q5pUl65wnq+a4dWmwcaBmUiL
HfTHrefe9/Y9PAU4DtmmIw4R1S99M+iWAxZtaZDjdl9PI32S4qIqyEAIQeIyivbGSDzb0YVt3Qnj
Pe+8g9WFmMS8bqN1bzxV4nvdiw3WnMY6lL69dtsPo1EkTxc8NMrJN75QzbpKzY5DLog72CE+DTEi
fze2Jz9DSE6lGFZSt8k6k/bCBA9TY62WlSi6pgAJtk6rjzle36AA/ZZejVLBOL9L7ITK3ovuYwz/
UT9cNL1x4XCIM4gPcftmwTiyURRdB6kNyyfIdwdTqomhn0kQICdQyMQaFBu/zfexa54agk7C/g1W
t4Lz3M5Eqy7Mjug7YQjMLdPz4JwrHPilOtq0VlUEkzZfSAozpou25/23xDtA4hdltGRjkByw0CeM
3bAY21saNNbEtPOLJNONLL50bG+dGV+9epTBd0JPV7O3OCjm4K53xFUnqHxaktb3LU60NNPnzPUe
59HzDrZAhsHGHu0wiuGFcwlUSla2jsG0DjgvMFi6g1qRcvqUkhfBTHpVlulBTnT3xESBbFg+g7Ek
qel1ReQqkZHwjpn+xfNATuIlfp2LjzQgFcQ/D0GFHxkepl13uWIb/KCqK/cLMP/k2U57pWdGVKX7
xDGRnGgXfzgfsgtbwWWPilwGooO38aPwSZT5RiQuxwD32cN1TA/rqtA95nLHby8mdybNY473iTwh
j0m4+Mc8Ilw7j9zT6IyCXKXcPts9Pch+2NGZ3oxihEjYnCqhsXHpzyYk92Gu1MXolVuzqo82N2kT
qy9UwquAXrFD7w0jw04Qa49OHbeEgeF1yRtDFydB5qW4Mhh51xih2AgY0uMfNXwSrh0SFwMz2oue
wN0JJm0pDz546SUBhVbbVpD6TGdoFWtjA1huM2e3Oig8NPpM5omJlXLaG2CuLSe5Dv2UkSX9i17c
skERInPvJOSaqMGi5RvQYDhLxz6axO4RXgoiguwH37hIemdNuzU3iBRpv7XVA5Cc2HwK8SzSoTpO
Yb4lmia4YdxWHpme4K+YSbc3TmSDrHSKE0e/LSnnXnmrCYq1YlSyoCanAUQMWE+0K/F0GM3hTo/u
XszVtVOLtWuqle0kCgWFxqdv3g3Vc0i0h4DmkEKjdWIw6+zWO3O8okHMVyAI41Fq03HrD1/G/JyY
LxZexJxwxduhyDbkD3W44oedZVyW47Fz77IW9X9ROJrQiVuRYtUxi53VXYzOcK+b9Di3txUPf9Kr
buOl5SXo4kMSTzB8ri3Qbwm+Sk1vGaQFYa7ZR4fKMR4IkwqZiFpJvVUwQMLUO9q1WjFHv6myVy+2
vkKycXKH40L/MIZwj1yeBjmTSEassz+sfVqNjOw3CrjGNH50ZAGSTLstYp40xHyE62Jpsx4LoBAN
j3kN+GRqhvU4f4bGVwnvvof0Urt3vUdNlkLZDFkirno3CU6zLV7cJOfWLte9iD4ELdtV3j5Wnguw
wQf/aWSXhQtIP72ADLUem7hYqSm+kM5wo+A4htwuRTcsqRgg/f04PaBE3uUTzHtA9+MuBpNLCMRK
jzQDFutMdtvNz4F8Z/y0GsjMhIO/q4S55b7Dx2XiJWwoBdejI5w1CMJw7Rf9l6/mi1kaBDjdm/Ex
7vbmIhR27PoBiQsVn3qlWNnT/zlkArJPVZQQdGHOFCv4MvOl5AizQYlzpdyku6J736ziJsk/GBkB
hCbmyg+aG78I3nqeWsb+tyZ2QXQEJrlr1p0C7vGG/oXjUhmIyyhrtwsen+zOJXrOajCwxdcFaiaL
+N3SZZTBL5acVJpdKUIj3oKUwBXMgGHRnofZ29RwaXc1TKGrqqr7laiG9CKzNEf0ziQAgW5ahUN8
NUftXQOkck2gNNfOZN7bDCYEzbTt3Uu7jsdnTyXtHoCOerRLOv44yokuM9rPfgisZ0HX76BG2vA9
kYHIkazsRZWoJJyCCDAXqEFUhhtao862p3+2R5OjCRITRKz0B6eR3wqmXyejVdHRkyYV7xAk+Iy1
vsh7Xz+Gruw2WGaSbCVZiaCIouHqOm74Xj7HdknLBps8GK8nbFZrV7D5B/5wC8mLJzI+N6MgsDSk
jjIpEaoIzZsUT8HEtVPOXUtZumcQdtPPEnblbG1ARTyXADNLDs1jvRs7yEH1F+QvAq4rs/wQTe1f
RAQbzyvpMW9vwwCGDDcWlUhlRjxPsXi0XJoavT5NTnwYg/kZtQ/mXQRrHUHK/AbOzkLhObneEcIO
gWgSSn/JB4zDbUMy89ZhU1rbrtGtvS5PdlGsN9iin81yeKlc6xkhEWF/yOoY/xzjorkparVDoPOs
/IFIFRUjMR3VBs+DpL/fHKqIwRUIMvb+1odgy9ivNulXem4zIH0yDIL9wGelJJkkidFBpiVYdtan
jgbIVyEDdcrrsgV835VPdWjI3TSFI+3N1t4KbbRIF/JgYl/tErvbO17b3Xb/zd6ZNbeNpNv2F6ED
U2YCr5xESqRGa3xBWLKMeZ7x6++Cq+Mei9YxQ/V8ois6qqOrnCSYyOH79l5bg3ic4mu9gpLiTZs4
DHB0643XfkNiF6ztKPRfpF1Sq9KyqjKWRWCP6EUl/laERuigfCshhIBFuwgVEVbFiB6rLczrzJvh
zWFUH7I+RtfLXebGqeIQa+AQtA8UCO1gJxu7uAFOl8/X7YjNf+yscBvXIdVU8szweIMcNcF5ktcD
iTihHuZxlSJCAGcody30Km3vzqE+cXoel7xHGO81dcFbXV+RQque7RFoqlunzd5OaT6zhNXiJdOD
/FcmBVpD14EBUmrtU85kWHctVIkV9HzD31DVQbtXsb+eO12T7O0WiTg1zGbHmijWduePm3iinUZT
QrGLAi5NtXi6aCzfvzF7No7GGLOD1pDPHdtvaHFi1V8IjhcPoOBJ9rO5+40xAqWctjCZY15/RwF/
eLb59JcyYEPqIw/oeuSqtVPX8iafRufg1kN+w0ehIRMNtyrxulUaCVapqHqIR4PWuAujD/kb7Cc+
wPTWQiQ6Swy1KzxgoW7qeNdsxrgduVSuIi6anAcJbiks7bI18uw1C/XsIVB5vhd9I3n1gI63I/3j
MJuxu3ldtOkSfp9lR8E9StZ+HxblmWsUKwqU61hLUqgyc/SrcMpzPQNBo4n43of5OxoElLieT2NU
IluLqnUtIgNmMZd8wuxDAqvE+E2b4vx7arriISRFDxRt3G9rOvGrxAjqFSQCb2OOjrxXmRvMKDsT
zTGI1bLsNWTWKWer0dEC0gX8GzcyqKTS/T7YVdle5FYX3dqJfEN+cF5lzWPfhTghb6ayfg78b2U+
9Vz/u/hAUvuun7Obg8kgPFX0O8/3gqvGc7E999230CGVoazqlncUzro92N9oGvbLSS8PmkcVB9cF
xFnh4fQPw/cSFtEyC0d89LHam+VwV6FHAlL662y4JbXd2xVGVVMy5sCehG9+SBOjiOST0aqHqNPn
AK1m00Xi2oPady47ex/FPxN+S5itIfy2urnWI3ZiLwqzFd3keB3506PQiHkQZDAakR9dNEG5pA6C
ZLtzbxPHRxHpX+Athalg9TdYmVDMNtcNzL/zhiQbVAQEYBuZeeaW9f3Y2c/5fG8xuaT4kF8Nik0L
FBW0N/r40Enc09jpuTC59jDgamGiSCr/tQIChmqZGFsqirmGnjylzb+pNPPBD4fqkIY2iKOGkLpr
5dbFamLeviOyK1eo/rxdBUUGmZaGDBTDPegOkdN5g4iJ3I928IaXvj7ESdtexuGc5dmlwOVTkNq8
Gens6i3nNETV1iCq5wT7ErH5QgZdRwEaVUbahLAAAzyye4SWuTmrRKsfXT+g100Am1NUIWOwrwgR
wAjA07YIqxq1ut43HbXZCXpWi6SVkDut8tpNEesivJD1sLCnLSWT6YlKVLwuNUhvo/EewZPAeqIA
iuRoVA35zKV4xigM3/08ASQB5fL/NFyYE+eKCl7Ov5VU9u81ZIr8g4xr/jf+qalQOUGIJXUHoRYd
Vnd2kv4j4zLVf+iDIqGyBKaz2SP0W03F+Y+Yga/40TB+Osr4HxkXtfD/SIqNlssVAn2X+SUZF//4
RyOVYyDN+MfWaFkSk6KaSca/1VRqNTqljj2Q/JiuW5VRLJYkHfHy9rALrFa/xCZya9jVmnzBZJ/o
ZrNu8vZct8oX9K87T3ZbuqA0/mhjngmudGaFiSI3aVmViup0Erqr1nVvOKIhVX/0yu+5V+CZRvbp
R+Sf0IRu5WPX8EYXdnPZ6eG3UYXNFYquDT1prpzqB36Xty4FG1P1ycZLm+sqTHZdE734M0A/9oCs
4PoeHtBVu2hhRLW0rOrB484dqBkj7bnDjEIBGh5Q1LHsVWATxZeEZ5xZrwFFAcgKjG4JempHTCMB
2yZaTjsm+S7nPhWQeiys6WXElR5H1FZqQCi8aj9BsuLGJ40t9afXKE6ucPzT0iiS5Byh1kqo6AUr
bgsZDWVDkHETjHJCwtunqiLAb0wzrtNcoIRLUuSe5skuDB4GrexeIl2UCMMdMOxiQruEBhTEBx+z
oyhLTo5faJhXOKV0+NjQGVHvUhDq4f+Tu0ngEpFsUOumJ0nmVpMMyFEU4jxQqytrCC4wKcExauur
LOxv7M68wugMKqVZ0ms+xGR5LNI8e54qQgzdYjhnf1MEqmQHgdN0aeDeWA803NdObOpsizN9hj5F
EBVrsrnPOocKgD/d2F5ygKJ0iUjivK4CshC14q5qI+rVFf14X8s3siG1jbbwmzZ415qS4LqcegWZ
q10AKePO3YzlmUazCUOIRUNgSmvtgndl0RoOVBOZb+s0uUyiYQlFEUp9Zd1pTqjdxRV928wD22H0
bnZmttODZvsXdpzflRUnvUVZvoZIFZeCJuBPeg/zsUP2206h8a/BrDyEjkG2jBX4G0IwrJ059udt
RLeCxpBH664EsVrVYhkJkJpYU8/AGnIn9X6WhnXgUPqYxRxGKnqNBFzHVyEdQbI1g43ZKbVxAcnD
7BHDMirdQ1iN2zEk9E80intuRat2hBAgECBoelJRUjTsa9fpv3NWg0abcNwx8ojPVQZPcc4zMvHh
EoFhA5cKBFk41VOVuPe6lhxUEowb0KBzLJc5XNoZPNlJtKuxjZ6hm6FyqspuPZdT45b7Kl3Ly77o
UePQxl77SfhqRe3ByBUBJQRsrUPyb93okNhdCRPf7ndN5JNv35aove3eoAk65KS3gGPmBDme2XSM
yEFz04UaEHoHTvLWGxzKs7DKF+SGwquN2gs08PfS9RGY9+k25RxQQXujUEb5TEXDm5vF+64BAxFw
bdwUZFaZVGbVQL6yNpTICs3XrDPPzDqMUYInGdGEnJIDCkYuW/4qbkc8Nsk6SK5CMynXBS9I0NwA
rN+47ks0h0CUZfTm9/uupdtjhdV1YDfEd0Ymmim7yvZtN6Y2hSPl31lmV0BuMsq91JClgRZM13DR
6o2p+wGYjmRXAUx9SWSB2svwjCfkoHeiHfejTxoCkkOk7JkvLovGFctxENlbTu9x0WatXPWpFe1s
baBWxf17cEkuBjKTrYg0uLKm4TCLz0piadENgZnqjGzNRCiue1e7GIvuok7cH5PqvkVR/0Ae4LJK
AwQAg/YeSpCkYarDkvW9Kx8nkj2Z53Y3XtT4CrnujS3Hqgj/n2MxEHFkdRPrC8xH/RkOgPRgjvgR
NKddhhSKUtBVqNOvA6e9RCXHWqD7ybbtQ/Ky/P6iFc55HWvmqgBMtp1cfd+mpP7KhrNcSWJ15FgO
sCfWr8J0kARkZsqpPacOwTmO2L4BH0KGRAPK86JWxBRH9SAQkKjN2GV3QiXPcXWbE0qY9Zo51zqZ
Rzaxf52PDC1Oxm9egvK0Yv2mCts8jNKsD5pvnmf9tJ7a7ByqUa3jO4BBR8VzIiDY7jdtaAr2h1Qt
e2Mq3vSY5XOMJSdzGVxpBbkmXdLU1OqCYF0kDa0B5V/16XczzoCD5zgQVDxeIlmS37u2+BH6TX1W
GcFsuxdbbALbIKf0zVUvx2K1gFOKm1Ge97gHlBFeEh35gDFGroOOa6UW70JK2alAiNxp1OElBXa8
K++jcrhd+8mFnNW1psxIeSRfCe55sYy7bI05biXL9hA2zn2FMbVvvQsZ9z90o1xOgNtiAdcGj+6h
8PX3qk7uDa7gFEorsQkqJlMuuErRVcZXEpD5FiL824BYx/1EqbSuLWNRDmW7DQIX8GjVwhRv+1u7
05+HkKO2Ql/lIliLdcoTmcEC0Fux3NRaEh9clx0IytBzqMh/X6jaMM5KaiwLvXGY6I6Hzqqi6xxp
LbzcWupbM9Omp2GaHimmQFXvcVGRn81+RbLiOmsECW8Cww+NTTCheRC9UrzvNjaZrvyDKhArNcxX
Jiymy0CG7avOvXk3jX281QK7feQSMD6IEaHk6GbpjR6LtTvC/KzEFTakEe0iIXjDkgv5naXZpOHG
9bdI77hxqcesEM0uR9a8CRpElX5P6ZLUL1bzWBGonUBVJFrxxa0VpaECyZiv9ylWVCLcXAi2hLyC
c3rva+7gnuH0tNcFGSaj+B5F7lmXKbFLDU2/K/3m0Rwle5m69VR71vSd9WiT4bsUlXawfJNGjzmz
k4wGE19pACmr2S2TuGh2GOWRmkIMjglTpMrTZFRPXX0GsVGbxD1McxYdUEmofbo24ZsZMIRjle/T
qF9QgoHmLx7IS90TsrvIgFunJZTYvnY3o2fUG6jnWAqdYks14Ru233zRIuFZkDW0gGbaXzWWeRY0
8/so/VXBNSgmA0Uv5TqKFHtmvtdbDVIknBsC/gqShJyAdE/TehlzrM/jwN5a7fpQ34S2fY+9DAvL
THHDMefiW5YRFSG3U9hfCX4PjEuDknFGyVaAlY9kRYfCfDfpY+XmPtMdKEgjIfGYjNDVYP3zs/At
AVI21VRCJaUFPLPLAuZdjhFckdeTeu3WQ7SZl+ZZ4tRLjl2bVspzbtzOmeFW/OQAyzYhSWcrz55u
kSdfWjl28xjq1xkc+PvckACzZS8oW+A8Klsy+AxJmtvIhtaM8qrFplQI/dVXEgAf+1k9Tj87ZKAY
+KKNAIzsZfU2QfxvhSaUx4wjX4gcd0LrUbqk9sl1ktpbRGOHsK1eq/pW0/u7wparuPZWhXWX58lz
V/iPdI/OYNdtOlBgk5bswTftVKlf0pBa4XOvVnmUmKuhB+xa6OFmqJGiEzv1M4+dJ4EWbV4bYlk+
Q1J+h7p5ISiYt+RX1wQ492aLwJC8rRhNWVgg7O65yaY0Ifrzzu6ep3I7t4ny0uc0XxEm5e6t+NKd
+hfEO/va3+s2MdbTTT64Fy0NAps8Uwf7WxVUe6mXvLwdYCeDhSwfqgvM3jQf/PaAm/S75KwbDzEi
QlpZK8ILXk06rrLWCKk9NFPhkTdcipXrxHyvjD9m1CWNCCY2p2l7P0rFico9UOm/yq3qptMEShX/
IOm/URy5FkO6nqpbqyblTk8HorWh2M0yF600aRWOq2YWq/Yam0mpz8GYKti54zO28Y0nk8cwTA42
B1VRGxfKVJSVgvsio1cy+aG/HgkvTehLJ2F7TXn4mYzFZNXlFtS0AFhBa12BJ0cds3K4qk9DPa7A
RC1QWu/azH1oJIeXsmnPx0pHB2JhNbG0m84y7sviSQ1yP0j3jZkUrtKG/CE/z6i+4yDkMuKv+6B/
BUblrrGXbszEtg+Aqa2zrCDabDAvo0i/7kEQpPVIR7eWxFO2fYw07F2Gc/2jHR/wGM43imDpsI0h
EV92nfs8cFai/LPUM22fZIoUjXtLybNCw7Ei3LBeSru7zcJuBZz/iro7VaH2ImYPDDSq53bHFkCf
befRpQHH9Nx1V25SXI5+dcDRcecSeYUf8gn1Mph0CIM6VXO6XMV9O73G8nsktPfJugg1ca3LNaae
fF72bsZRbOupPeRla91UefRjyEM61uIhNYRY0iNZx3aDaRL5v6ddij5cx+g6Tbtbj2Hx0zXym8Hv
1nmBlFu9U7ncplF24Yf09nxqfNj5UKcQe1J31jmbNre1aUGtC9I4QenxgPLJIEgsVItwkj/QH8XA
IPOdllvmsk8UHPi+PiQzTNJER1QG26qqXmJHe6wKOcfLDRuho1QAKU/zl60hSfsdKspLUXEkhfpK
m5lr+iKsMYrjWwIsm/VrTa8Il+s7qrFB8RNDyKIgOo2fSb+NNcdZK4PVHCxfs1JNb+1wgVJRUyTo
Js43rwieCyrA9HYIXzHMy6IsH7opSbFTZT0YODqLxKI92PB5cTx208qyIjqB9l2uEdOUNfH3wOQs
aTl5ecbJ9L7rxjnJs9xRggNip1VPnVc+p3FG+b6mGEvhOaWxGL2lXFqX1TSQCprnajO1yLdDR776
fX6rgwpcGa1zDX4CxZZHiMqY11em3h4mX17GNi7aKEKRNlUlb1Q9ibXnIR6I0NUvMJE8Q8hEUlST
LohPtSeMEaNQXg/TGWbgZBMiuwIMji4scAdo5HRUYY7r9NnG0Hs0DP9bUNIX4n48zH9aexWzEuN8
54BsIsPixyEURaPqqpseDZ4WL79lo9HyOMFrlX+TRM1y6M3bDK1BIN21F9YFGVj92s3Ld0sZ1wmQ
PC/JabEpD39TAh4CjL6XHVRocpkg9GKlnFJbgbsgnlFioZJ5qO7Czg7WPNKB9WE3mgTtRT6nlSEf
rhsPGqMvO2+PxrqGWFwQAmK3WbYp0qJcRCTeLkNFOolJUjzwjzJ58ZwBdSewCa5obz4CckePNqPN
3IjVUw5Ym/TPjVub51KkP+HkL6wxfQmwU29zYoNZpyP6bICMX9D6P9Au2Wm25OqOn2Gq2domQjjJ
jtijGKXpBXGWo2mykKxVqypF5kIHstBsXPyscMrIv7VGQcbXmIjZ7asFO7aWVFPcPAyPzU8AZhph
MqrMCL8bUNPXQ9wlZy536zO/oQZDswdIdVcEc78iUelan7oE8cBEp523j9XDu4h87zDWlrWoAEwv
/WQG+irzofWC19aNMQ0aF53KLm1mIjDA7z5TLVMaVfharYwiXntRsUyqbBNkBLf1E1R8+vhAXz2q
MGzLUZrb8CHJiMWatc5ssmhafyuN/sKvyKmryKMtDG0g2zAEEyCyC8OwwM/S+Dezc/q87zZl/9BG
NRxaW6hKF3b5mkjvHm3Tddd3MAnQZzrmuaraRdcmKG1+SQLqF89FdpOkrwjoL8mSvkjGZx/FRp6N
N5ZNr2+Mn7Ss2GOv2goObXAMlqkbnsPCunFyoCIhbbFKIzBQ6/d2Hl1bYDOKur32u8dyiG6jwoGp
M01kABVPVBXsneJIzIExB3Sy0GxKBNLyN4nfGJskwhpAS/6898rLFm10OiXjwRu6q8R0b3gtEROR
I+OTwTFp76CnFwiHHvugnLv/+UWYhbfxYLqX3RDJh7KtQDvkEyk3tLzDxFpZAKETmDq6p7Hu5sZe
i3SF5CYUi166F1Ed3Xc1TIkJrvx5Hcws2CJYCx1nQpyV5A+aIf6e6W5KFFzUNl7Gg/bYZMaVP3hq
aeYmp8vJzpA3lU9+PI6oJ4xbza0rTkTJg0lOfDOVlCASGgjYWDcxrIDYNyxOKMHPOq7ynaf37iHD
4EUpJ7LaDdasbRXG15hu2BaB+w/tBvfKgw2CwnRZObs4HS+8Se0sP6CpA41AS4OZMmzpPrfEKDwz
dQ45ZoH8aS18fxdMBOt0tkLGPNxh03sCoBH8HzTyv+V8RS39fxdIrqsQrOH336v587/wX082WEgT
LqlrOjTclTt7ov8p5lvyP7ZFAd2RjulIg6rb/y/mGw51fhehgm6ihLSsmTL5X33kjAGUtiFcMQME
hW18xZH9EfsFR84xDHoFtKTg5PE/j1hjEFFAt2sOjAlHMze9b8g1c7s5++1pfEL9+9gt4I915fwX
48AowIR+1C3AMpub+F4Ii4yT8qlxk2GrqOFQumwDvFOU8VZ/H/AjLO/XgBZSexsokUuxXBxJPodJ
lamawFwPoKoWLmjWXRNiE+LyFZ0Y6o8nCHgLaidfD6Gp5ThHQ41jEyWZlotFS/bKS80ReelrRfDt
719o1sP+Zpz/9Y2QEIE1M3iEpjUb+39vuODT8wMUAiTNxm5xnSkPHZ7Za9WdCeB+GSR5/g5UuwsW
dmtam8FQ7SYx6uyppsW0sY0p+RKO8J/PY1k6/+EB2+av7L/fG0BW2Oduy+fhkMQh01SehrW2qb/D
/4pOwAI/+TVtS/AXPB3mkjiapH4Wp2kW4Xuq0RpzkMZHA7JKrEKVaMbixIP+ZK7aEDbxZzqu7gg1
//+/fbGe2vqY9wUCxJpQDAMc4DcJqG1d5Vp+EF2XX8eTKM8DvSErvTIotpU6d7RwFt50WiTB9HUe
XVcz6i6I5Bs3duE1X+Lo/Xr40jCZbHP0ownn9eNnHPmhYfcjkiSHE9SM5Zec3fP26zNbSp6CAlNq
wY5gCfr9SehZ2GIEjqE9lUiZsV/YSEQwvJ544vOH/Z+UyH++jLRZzWBCSJPTw8dhaGNUqBtRXUjg
Jhs54SyP6GC+5WOEWjjFZ8e1HoeIK0zz7sSP/clbBSoDDiTydOaWMc+8335s0y76qPHJxcInQe4O
pni1dX09VRsIDMaVgArDxbUz6W5KB+Gk71bgsaFrcEeRff7eiTr/+lNn1ingpTx7xfL/8SP5Tkb8
TQyPx0mFd0M01kClzklPrCefzHJHOGASBQ1hxPH2x1E0SHCZTR4WGhwt3fbpRCtGDysba5cU08bm
fX77+7Oe/8Sjn5n5aoAk4csZbAMfR/TKhCAAqhfYbEk94zlSJKcJvvr6KC70XIMt1aUVfrRMoiUy
FMVre+HiAsYnhO6a+5ez+RejAOLFoDBvbM7RmzGlYCOHtKQHUBfdtZEn4dopp/Ifu8n/Suj9ZNkD
xSktIaEV0c8/ess1czKSImVn4WBhnxkBBUIPHDmVJE19/Qu5vAT4oU2dAOLjRY/rUSG1JhVUb0Zv
5QyxtyKPLj/xps+P5WgKuLrF0YUJh0jheNnShypNG71hlFqiDNdpG4ZGvLZmfFZl3gVjiK7Y4tYS
uCcWzE8epWtgOGEPwaBiHi9ljqiSEuO/WNg9FqNC1OmmneBZmaTznNis5s3o+EuaQpdIJKBGGPOZ
7vclRaWU9Wc1MAkY+QaRAipvSEwBYe1oFM3zsqa9+OXZiA4ENI/ixMOucLSACjd3moYARm7amFRA
kNQr5Ir/BcJ/ZTYSaormBK6ytPXjc44p03KCaWbTCOisbU60KO6YtLrs29Y68RJ/Nk8EmmWAnGzB
mIM+PkLfTvtO9pqNUUP6O9d3zF2K7h0Rn2nsI6Jf4TLGyTdwaN1GL2z9xPCfTRbBvmfxLJmo8mil
yvPGzug/soakc4WXDMaDdAmWp8Be/IvJQhy8IyR6IQ7zR4eNrNcnSNkdP13VXw1edksliQ50Nf2U
XrR3sAieGHD+7B9np9I5JBn4S7D56VwePszONmOFdDoKDr2XWtwyPfMCoYFYf3VGKo5O3Cs4nzjc
eayPowwxtiPPy0h7gfqDSagxNzk8yP3fR/nzd2IUcI2mZB1G83Q0iqiDbELUgjMpL+VdpAfuW5v3
zY/Eg2J7Yqj5zzp+bqxdnLtdWi+mOpoTZhxwsQa+xG7SKx0pgwPVBC7TROiJ0Ykrmu8tOCOnp9aa
is6q14K/RdqIBp5QdLsLXyaPP2UhIYZmi77ubHKe3aH5GerEYUIpQPq7jIw2hSJopelz3Af0+XW0
ON0md6vwMBI7EK/MpustrEda+cMNMriFYaAjxlS8sgPCflN8A0JAoGJMajyNw9BOk00ThuLVk0bz
kw6rfiVEFj3mTg8NqSj41HxeU6L8NTL7W5AJjvRN4mb1xucDPwMIIN/IzEKxd+l28RUpmROTAyOX
fgnt9UXv1hRV0LMAR2otMaDPptnknP/9B/hk3iJ7o/0hkb1xSpznwm8HNaiVKgx83Vp0tTAPaVu8
OMgldn8f5JMJZRiSVYewcsXyfbStxziPa2UAJYq6eLyILDKOnIJYnTJN6lMT6s/5ZFhcneaY9vlV
PJpPURnqFelkJMUNaXKGdACLMQVzf5V21DJPbBCfXB6VwdbHUZ6Xntvj0Q6RJWaQ9wkXqEwV6g2P
P5awOCnc62ooemS5ZQIUQIE8QKilAw6KHHP8YQV1SH8yjm5gXTYnHvWvk/XRC8WTxDuAlQJt3XHh
oS0sPPYccRdFYybnTSHreunBW8YW7uLMgSTqHErBbEOoHSln2df+cFl3GEdJ4Z5Qh/ihUOjYrIx7
GHF4UGQHRx9PLJd/bub83kQuYG/FxUqp5uO0yx2wctnAicUrU/O1LgkbAtYpfnLpN9/70ZCXQE3b
969PQw7/3EYsxYbuHv1aMBRCHABUAotcWPTYW8zTemhsSWbXLv8+1Gffz6GgoFOX+kX4+/j9YiOK
uF/NLsiAi6zuECToquGGsEdYwtGlwoB+4ol+9o45iFotx+YCIo8XUstLRRr5c7mEaNBtXQhzTquE
49kOBLL//dt9NhblJpicHCZcYRw9yIwMRw5hNcd0WCQ0sDS5FL1V7LUS2+K/GIqpjKSQ4hzv2scH
6bDbgZDnyDI1Rr+F5cDsSLi5Nbir/sVIzEXaxLw/rn206/VTOkZjxz3KHnVrQ+d+bnQaTrTJuZzG
Jwb7bNl1YS0z+ZU+L40fv1agEBRnHgsSVJ8YWpdNShOX5Ne/f6VPRsGXPQebOBR3rOOLjuGT0WeA
msflZqRXcRXneIdqCEH/Yhi+B6wLXbnCnV+G3/YQFyJeTSOVoiBljV0WmNYe9vvXghTmcgbXKDkf
SlwuuvqvcILfRmEhowKmW7xSTd3dDK45rvzSNU+8uPPCc7R8mlynbVztXEGpCX78LuQq56JJNHxP
AY0pwD8/PaO9poO8h7YoTzy4T94jViFr3nnx0FvHYu9owtQywBhbsMFYT4g7nY2r0x+tAvPrlS1K
qVzedW4aNuEtR1vwYGuOjHr8W0r3nX09DQ4ij7o7cd395OlZhI5wQeMsN79JR08P7HIOLZIaS6Kr
raNV7W5IB/uubBzYkVZvniiW/lppjn4uKmgSBoI+fz/9aB8ZUHchYOZKoReZB0kpA64vDGIaNQrS
N1NhTD/CeDLu8LOCYOz8ttv2fL6zv78An31ta36/mJeAq46vppMlB8/jiLcowbBvywj/n4pwuuBv
iZaj1/Tbr483wx8ck9eB0J+j9TflHQFoxrf2Kz3bVY4pNy5K3ftm8qYFC7Z28/fxPpmndER0HAk6
tRlDHi3CVTdQDP9VJ8ZNuHFaF6Jr56PyUPLpX4xE9cykVKIERemPEyiMUDcp4pUXjR4g0RAG5n1S
MC+Stuu/XLpQVNtIyQHA+2sd/jgU6bIazHne6VK3r2srUw+aX04H6QynujRzZeJokrJxua5Bb4lj
9vFiLwIAn+Zsf0M1El+zK9w5ShvhNmEDXwSKJAiEWXLbIzo8scB8sgFQ4qLGNVf5FTXtj98Ro3gf
01wRiy4YnHv2Ig9bZTCdmB6fTH+QWmxZVEu4kzpHbz0lDdcBFcgyhrh84aAYVSWnX98I3muv//oC
Tf2CxZICgsNR/+iiXVoTFzOTNVP6EXEDjYtxIIhRg0R6vy6oppyYJp89QjotcyeRlhftvI+PMEHs
N1/pxCKuyuF29qSe9W1w6o3+bBTF5qWz0lNNO97cOGwlJL8y75MpuI892a776OTd4NNBTJ0WDGdE
FsujE07qeXldetxDc1QDB1m04rLCFLX++itM1Z/qKt8GS9TRnCNevjTIISBsg9vsmQ0c+HwAd7bC
u6P9i+lNLURYtD/p6M4cnN8PHrgDJGczDvRIDSOuyoO7j1pNnCgXzx/4+PXlFE9th24cNdaj1baq
HMJ/W2YAHMVw68Oyw5ar8k1nTdOuL3NEzlqxr/RfkiR5skLyyeic3jgesG+xfhx9Rz80UFvqHa9w
GusPSVH738PWNa8y8pC+fIVwOPZYVK9Y6hVY8o+PU49wQIy14LgILX9Za2F3F+RtQhQwmIO/T5I/
l0SGov1uUIWb19+jHaUvzWAKxUTFGqZZgERdgPIuS/EdhL4iHmIulpMTO7cMN18emXsLB2IWECap
cfQ+IzWapObUIN6Iojoj8DW6i3Ph3HMHxUsW5Fa45rQXrqaRNNAT8/XPfZQLIQcw2jR00ekRfXzA
LrjXMeV2sWhCBIXzxWzboP/ajbmaTgz157tOJCaHEYsboZL818ehPM+pBI4nizJrq67jrG928Ny/
vr9wuaDlRKcUFiqMkY+jUGQF1Y2qjDsTxgYxCnzBrnFKdPDJdzH5zTBGzusKDdqPoziI+lmYOY6b
MJq3soQqZzWp/uV1y2Xqs4rQd+faftxEETJPLaNwrIWXTvraamCRuiNKzrq2p93f5+C8IX5cURjK
tKmq26R2/FE2GgOzT6Gp8oXSOvzmEyx8S0pX+x3Ck37DGh2su8A0vryRMShNSTYzGjUszh+foucr
uFDVQJHT9/wXAmZCDIua//r3r/bJb8UxA0kKaYqOwaH84yjEhdghie3MCK7Rm3oCZUdTaFz9m1FY
krk+cec7HqXICWCKGkapsgjyl1EgYUiT6cQon7yuLFDz1WzurNKb+fhdah5PEDcmUvy+m9aULacl
uYvT0nCs/sTS+0nZjtWQi6DiSMMJ2z1ae3u6ZkilmeOlyks4H7BM1pqKW9hXHCx3AzvAc9jbcl0b
GgmLvZn+4KrquniB7OqMsGY4pZXobyNAJatejPaX68Tzau1K9j+K9O6cZPH7VlvJfLQHzsuIQdt0
a+cggWojPLVq/XmSZBTeBwo+tEt5mB9H8SvPC6GvgozGdPhoKZWdxzUJEstED1LgMXZ44if+ZLoC
waRSOg/KtnD0E49O4/pFyU9c+FI/9Ik1bQIRjScaKp+NwmFoLihwa4M++/FrmVhW2imUFvgzEMt8
jCciIk69eZ8Uo+eFWLizyoYalnF0DB+YMqNo5i5GXtikeDhyJ7Ee39VVg41RhX72mMakx1dphrEY
s+APaP0ttJEOWgveifTEKvfJ60OlYVaKUXuixHs0ZUZIYTEIbX5MLpe3NkiFs1yWzZ3dTOaJTf2T
odh8qN3Ny8Fs4f/4gO1E+XoF4HURpQ0MpqhO9nJMaojLXnXiRfhsKMpQc9CLDbFbPxrKwmD3Twuu
zJ3y1ZFZfTZGHs4xwBDRiU38k9dBzOd0ioEcyihzfPxaLeBgDyEM1Q3DA/E6DdElmBvwFp3UNvUY
nmrQfjJP6ZlSaGXNm6+FR7+Ya3MDcYzUpirviXWE23or9bE6sdYdP0GemeDCTVQNxQvqrEffqm9E
2Sj4OrjBaASVODBXcAPDb1GifVVDaOmGPqsTKPfzU5nHU1COtP3qOKHhTdduqcV6tB7qpjjxM/0C
Xf6+n8/DUArWOWYZdJzV0eKdAWrvkL/PMkzE/Cms1DZagMdeTYMFbVqtJxdkWlxEC7g3G9f27meE
0+RXq9TMv/x0+Sxs8VTlwW7axxUUMxk74mlo3kKex1Pi2ybbPI653LWaLy6es0aO50sVBVWGZPn8
OD17id0kDVFkOGkRnbsyqC9qE+3/1/b6eRR6DTRaf3XY7aMThZUA1w959RdlLYcXuOj1Ywk5/cuD
MCWljdSUMyYz8+NXGcs2KNpatwkshc2Ala7GTobD7IujzPOD6WFw+6bwJI+2N7zoTQY1G1eC5ZRr
ybn2QmQ4HU6MYh+vG5QEsTay0ZioLbjizO/5b6Vykwzonqa2tZCInd9yFI0vXaqSFyANJKJMpip+
NoU73MeF5363eqP8DjMuoi/WR+TpweTBT+uRAwoxM1fjNQuegKyNYQrk26Crb0jkiTWRYLurM9za
2s6f8sLfqrBornF7q2GJI8oqdpyBsz2YTwjIcuistzEBar0O/VHbZljtjJU2jVa7zHhVaopj/4+9
M1mOnLnS7KuU9R5mmIdlRyBGMhgckmSSGxiZTGIGHHCHY3j6PpC0KKXUf5l63WZalKmUDAYIwN3v
/e45pi13Uw21J+5tuOmZN+LX7PxMvTk9QopdXU0McIhRI1ljDQmPVS+ND8n8KbF9CEDudrIZPdg3
ZlWmGTYNBgaOYWKYPli6wGbyIgKND7ljftGu1Q5b5bXeNePBZZa2xD+yr+p+gUdqzkt/Mt2qY5Kk
revXVg3ZU8hA2sxw0pJf6r5zfpihsj7EaMPbCqoOaL+srLo+4EJMk13oTQpkpl++j6HqJhBxk2vt
e7xbjDsWCe+9LLfb4sS4SWVve3Z26SFBRi32TjhFBuAwe1mh86KpcTL6TRgL4Ej6ADfBSJ8zximY
IffXmd400tUNbO6pgAeb1y3vbowLzPIYvYAm0I0fwhTWC+LCTm9LMIwd+KIm+uF6IAFPTMMtvzKH
gZ6NjPCpbHm99Q9eVpX3LoxyRqiTqf7JtoXJiLHo2wTUhodhXpUi6LYe3g2wUGHVXWzDcRnIaIBw
Tp5fvpj839znSvtHaZR2T1Y87Ib9ogpItjpKeP1Dr5IYJ+sFLymIM/5iDVxsNMOm6IyV2+9/MsZk
v+gESMUxHcC5b3TQTtBQA6/7alJs0ReSVQsQbsdwfqRmaU47uy6S16CDVH4MLJE9Bpq5NZGUDu6w
IYLp4vZnc9YwaYjNbUbmCN5nI/FfKOFLhqz9APiG4aix3yaLU9ACyrux2zqFNtoNsbR6OkgqG18w
esqcoepx4mYP4ZzwEuyNT9a28mdpJqsZYOiqYRsS+ZiwJmXjY+/pRcSdYMcJUaFb51YAm8xg49fy
GKfflfWQ6uBFy7ZgEId/zwjpVNUHNDLTbQOyTm46FRXHyhRVsuHWA3oFyt2KNqhopy/kncEn7DaP
tXsyGeZ3RJG9ThQbmjgZ/fYetbeLoddseyZkLOb9YYA1wjU2cyGGbEe7Yrntw7yeruQo/I+sz5mJ
BdridXtVoszZtcon4eB2TejfFmAjxqsne8f5gWiLYVQ/nFMehq5S6bZxixoyrB8B/TVg+jRo70dw
a2uL6sDoBMYcAgg6eSscaWLXWDImqrTRw6Z0V+NXOnXeAgIon18rOXctdJ2yLcL3bjGWvQVPBGKQ
X4OIEyQPG7p1Ur/1jOIAmg7miveDapBflZ7I5EYi/v45mJN+ZGa0xRjBtTg1ThHmhPpkmJ+FN9hL
rCzmwDe1qFzIty7bZ/I60Ho2JsMeOJj7NA83dtMrQhQLWtdbLzNr61jkQ3Pbdn3db0Ag8cdbKve9
rn3zife/fBcKwQMI1M47ku8Ta3xJiDehZ4b4HeavAPRnNgh4Z+wZVEujUV2LuWA0dmLocnVycK5g
ereaXjIcxfd69nO1mZW9wJCjRV1R9159qsbYe4Dh2n3qBtWHlbvpfZl0TOmBG2nRpU0V1yQ1C4BM
M8cDoB9J5kKxWMI2Zfhs6pKdSnPnqurOtoEULVinotlGk7bkczTGirBveqzBUs/pblJisE/URau0
YK6wGX/MwFYeUgzDDJ1kfei+dFBNwk3hKes9sVzrvR94FZwHC8bPh+8jEDBPOnFodQrsaJeZ53fc
jk1vvxmW1qDs7By2IolPgBDotst76mncm53Ty3xfeuhPN9oK62TTRZV8yMHNAgVhJhKnqOR0szpT
mN3DIzrf9dHClKyn2Y6uGNBu2uGSdmF9JOJHvgQmAAZCNN4ZFYz+TYRrAZGQOyPGuIm0xuvQ4F07
Ia1yn+s6FqL3z4Pp1N+MRQt4v5m3nMtSQwpoooRxjbXRZO94NKBuDpznoWgBsXM2EXOa+Zb58PLs
ZCvSomvs8OQpw7TixuzMd8YXOzcujDn8NDKS+3y/qfotUFSoVc8ENVVS7AZqWrske/NWzx9Y/bJn
5jNVvRmdEHxrygNFLbyqmGdcFjiC3D4VOBOix8HjktM1DwZGt2Mi+cnZMcwSTI+JzXjjpsUc7Tzf
R6k9Yhw8hGRxmhgAKGePpR7yEyyTMYP+UkuKsxCWKc1Gi4Vy0YjqaTNOCZrpscwflJXDd2EJYyZS
hcx+66iLnkKzrFP+kP6EmIH+E8PETNtbO5dX3oOYcgs6SDkId8umwODZj4KF8UrTMm7KSWiI6gs4
oaNXZNHDkujJ3ZplxzhjNfV3gwpcGKnZAlSHHDzu4Fb6QBGbZdo2AEraX5aTgYlyqeLruxmzonOR
U9km1yWxcNHBWUuCbzgbDNcOkwjNq0UstthJRkzc96kC8Hrgtg7U1RzcnHeHxV16sf0MW5lY/Mx/
hFbJuy/30UTtszxx/Z/SLqcZ5bAxdAe7r8hU5YxEY1mq7Nl6jKLRsw9GmWT2iSNPOzBByADj3srw
gOxhOqYjoPFq/OiFGgdctIPzKJYECdJmqjOXcd9qAmGYAI1hXaLI3bxhgXW+/3oT+S+HNGs9opEV
oInPce3PtpdTlpLX+cwcwzzCw7ThGJVuWl4Df0zv//qj1tPRP52e1o+y1soSgbC18/DPu1XDsciN
OIu7CUiZsi75fuz3Dve6q6Jp32PlOueptE9SzMtOyqHZ/fXn/9uvSmiBAt8ahPwzQzBi/CqzWnKM
yZdo3ynPecaACQSp6rv/oe2xbrz//Kp04znSY8xGw/DHMSMrmxaGKbHkNqEBbFjufOiEmv7DEgXb
/5Bqk8nwD+0Vwm5/XFDfbJJgZOWyJV68ImD3NQyuIjQFzuOvr92/+duR51zrBcSY6Db8UQ1ZMPks
aiG+WwEBoJyNxAoICQPMYeY7d7zI8n2xiOwCs0uc8bmEv/768//dBf1bM4fIg00B6I/Px9oVNGzh
iJSHSXeAe4zc2aON+tef8u/uEMZeqFowOkQE6Y/zvRiwXnnR6G6MHtKeOxly5wZsLOYxif7jO4Ti
PM0MOhBEqf7liNgrdyj7JiTakWMFXegKXHzphb//+gv962VbP4W5BlY2qkvWHyd3K7DYwVBx2oBO
aDe2Bmg1ToX6Hy7bv9ZFkIOYEWF4/sMI7Dq6+9/PoXkekj5I+RhDVuOV83ewK7xab0lACyPupQjv
JjnBp571dOeDW9q1c1kaG4+wySmUGv54m+a0V6Pmf2iGrI/APz+IdPJ9ik9ssdc46B+PSD130m3Z
QDNH75sfqfaMPXgudz8kbNFDZtQQWA7w5f/zy24RD1qjQlRq3T/O/0k0Dy1L6vqmQ10scbGxdKLc
+H/4FGbuaMnR68cs/M9XfSqHUfHmBJTX1OFe1uOraYLV+OsP+dcSA7OpFGaYoWbqiK/zzx/CgpaH
qc/6QH4fZ7myhp9NC9DNkmXwANtq+vuX+v9S8v+1Ru7/7xPw29+N6j+q//rf333+66P5r8ffYvgE
Bf3fR+LXn/APvm2A4oepjcilX0Vtbh0G/PtIvIX8hxf0GrmmOMQCxL/5hzPIsladkE0b16ZvQJWN
h+EfI/GozYkBkB/16BqGLCr+fzITz93xx3O35r15EZBjYNFg5OnPguwgi4C9dHWAilKnesPsunSM
owJfvzMM3z26vfnuS1RepoiGd5e0atyNvrpyTGhfrUBP1x4HXI1kCFNfmljRS+mCxuzaPokXoWWM
WNA/8KKxsDiOOZCV3vR+B04xn70aCc3ffuLU5XhkBnRmpW3Fs1RZv+mDsH2FhaPy0+w2lK4GMb2k
nlC3neeUjy7nq1ufFGGxCVvBvy4Mjj5dX1wJzfvPSZbNL5NGuqEG+eXOFj+ReYrsBOg8OAqlncvo
gyEkLz3F5jw1uyipmksFtV8mlUJoXgMm9YavAvf6HQjrKfaxU58KYZpHp5JfdZoYr3lTqyvb/YB5
lqB9NaYhuMu8FEhjZuhTPecB22Ehv3Mj/9Q1zJb1XxojP9Ek5/DDGMavDjzKjRZRdZsydvsyjnz4
hA3xuzPy4JiDmjmGS/EZpFxAjNjlFWLLAmRu/RqIPfyjyLhOf/stQyh+V9PugrtxFl9oMT6DcpFx
Kqjr5XIlb1MIOjYUzePUUN63W5jtazS4/bKl/62uA67iI7NG5dWLkuxkW9kUq4CfMAXeN39VsKIW
FJSTaRgcOohnWAfAjuWzY3KZKSmaEGux7uQ1Xztdf3E6tSWayD7ZDd1cXmmWcnxtuePuFt/mmxj8
+l4gzJuBSi8iXL+CY9BnlXnUWQXN0OIfbKwOnQEqJfurHviZWIaStYxqUB392x+vmxXc4zYoD+vF
LXC+weyqMQYKWjXfRVB9dk3FJzrjV90XnxQo7a3dee1pvayNoxiDdvnKiAWtmOPU55KaGFcMPjSg
BfmNlKf/9tw0PzmULI/VnAVHKiRfWAL8O45L8x08QfcdMgpXMdR3pfLG+2Y2IYBJcD78T1/MxLy3
qgQqo+5a+4Re3kAjP3bVU0/fBRnUGFwN5N03lkryQ4AjBA4KDN8XE8Mb9OaeSSY1hzshnfC2Ztx0
lzJbpTeRM7Z7UiAGeuDRu+uYHNyZAs8cUQPnUjZQcwN76N/yksXGd6f8RAk627I/1XCf1QSaRgbp
1wJVFylXMyWxZ7cU6YbQ+XLMFu0NRQbgv/2gWkD6vRc77SLxCAsB5ixUvwmgVttAR6tKEGsHRzqj
QgQYyuvIDR+2kJJnCqwCxo3jHQK39B86c3RexRDSF3eDdtendoZ80JmBCWkeBKJA/U1YedYxNefx
EZJgccddP7z2mWHtmsldS6ZDp+O2M9M76VviHCyjubdALG182Up6m5bf7Vp7tO9wMCWPURtk3Foq
uh/MvPw7v9uHF3MpIe7fpWItOSZA69xSU8DNTRP2rC6ybY8rfpsivD9mpjkystSk4YEpOLRMY+Hf
KR8eHbv68clsk2zfhYO5XbwgPTPHXEGSDyf/Aj7H+az52P08Vd5pqNtfQ+BLFGkBGlR2WN4ZGi2A
zSa683PHiJs0MbdWJ39YZMnG3QgleeeYCVqtRHT8hg0FRM0jQYPGiynIuCfD5iTNrmI8a8N9abuo
vc8Gy7orwGE9U/Xsz/BC3U8pBdoceNTUpXwzswDzq/JcS9sXO4ZOnZMlrGdp+vlrVAXe6yD8s7Oe
IRY1Zj+CvGl3zEyH3HBGFy9WPR/zZQQ4OTaZOruNTF48GzxWXqr5iEqblgO1m2NfI2oju+OBknVK
kHJ4RW4QHxoXvw+SR7Ncoq2ZCN1te07yG8+n7bGRBdVEQW8e9GSYV19CJL971bYrEu/oZFYQz9T7
n/DARcfBELO5DXn2IadjsN6bEyhaO+v9V0mZGk1MA2u1n1bZThbs5GD2d1x/QI0uROBtVRdXBrGb
fdiF3XM6dgs9Ecs7Z+gY7tN0MgDgqTCmuj69TU6Q31DSwDFLd2MnS+DZwK1NiHo2/GQb7OLQw3oy
W7unAxCkH8vAXtbrM3z3NqxzczF+loTBHXzxrcGjMrUl4qSlvizYZWK7t20whiv6K6d61DcNeNvR
gk7c1ajkvSE7pq7g8SYy9ku7w6UvwmnTKr5vaHg31TS5cSQrfTL9OTqKpKIbEbZee1PVtbMDUNhf
yq7lz2Hl6WRuBHWvm4ya0M1sZzV7xN7mhrK87jEzRXZkUzIytD5ht46S8dSb2n/ttVnvjDEcfxlz
GrIHwPCkm/zE+at+liJaXuCnhDfzlJrrI+HcBRng0o1wZ/usrIZ2Bj5bnBdMO3sPeS7nowff9YSy
rblN5nY5Ms+udzYx+pgtdBMPRhLsVi7AXdJgimA0ojvAG/Gxyoe8W82WB4K0+qnXwVkunYOLI4mu
NvN7u6lLqVCtKxXrXXGyM7d4MNL0ETnFfJd6Y3QDK7z8GlYJYpt4Myri5kdS433Qlj1uhWPXiHHn
5uJTh93IWaw1fbfd91js7hmQfKpTkOSb1k+CfV0m42+nT2u4+tNcMNjqSHmkm4KKtfGNBxOlKI4t
AweSzwduUqm7a4Se4otydnAjURG+2P70ZszSvaEL4mEXhEqHsy+vHyrpt+Cxean5bbdyP5eR2zFv
H9csW7rtLQRZNnLbq2q7h4ny3MHmZE8VoqMCC+CyS5gO2PTKPnr8/L1nQNU3poa0QqOfmlHWQBmN
8ZBkNSpaD2lNMN0beFfwmemKtlUKRzgKNi4LrrtAu+ZZnbdE8p2NDN3zGPRyWwtRX4O+u5cOC0Be
2z+ygjplvXyyg50RXucZQ73ee5RY3KYqdHaiNw0eWggFVjUjMsdL4uQBrTio9JCWwR0CQmGmqAiM
rRkpiaYgC2540zQ7a3SsfUvVb9OIUn8uemrfy2KED4Tlpb8unjVBVUzcq2wMuNzuFD3mIopAdY8D
qa1s+e6j/kyHTD9ZnkyuHZr0O68J9c7t7HSvU2eO6451zh9D51B0YbvzclS+dotNWxuVs8tGZ94X
s+/sxTi4v5w8BDWeBXO3mx2KHKCwn30WN7I+E53SBM/OybUHVE9Na9gjTw18FSTsXTzPjfkMX9D/
Rdun2jdsfLdeILOdjHwRz8kgD8OsOqQ4wbR3WqQzoQ6DrTlAjdflBLSYoajNwCN9djx1yZbR2YK8
I43GvMO5KJr60LY1NPoInH/vq0OkZXMHFd6Nw1z6z8Q1XwuaujtwKN2Okq1x8mslDh6VbSjXc70L
Kx+XIJ6Bba0hOfrG+ICPudg7UQ6wlZfilu5MGRurd44px+XYNsa8X7A7bYEyutuw6XnQMp3f6A6l
ceeOwzG0yD2IGWSb4Xbm15yV/gEk5bwx0Qrs+E5JnObDcuPZ1XI/sSloKCv/gnZf0wLo32Xk0Oty
Z+aI2K8cHI7Ut6Tg2A3r8E542dVY2LtZUwZ6Tzbm02xaV+VntDHxI25b3EkHFgYFKCWw9U5HhvwV
TYv7VrG6/UqyOTo1QnN3tcRoT00zhtbeTOY1uVEazkWViQEczyM+HTt6GG+isO1PgVs59zyxWMkW
17uEonfGTWep/KcZyPIW60d7l+hE0aedvemHVkb3wUwSQF67zY7RwitlkJa1tRjgvNTVuNyEYQ3w
Fd86GGZO9TCktdU9euD2H9C5Gm+Uz3u8dZ6fHEZH6nbHqoL22LWb+V6nnfE48IhC+W+d5NNry+TI
nlC+eIlJFMYn/3mCaOk+523jXfPIVxS4ve5AvArcEYAvNW3AGYaw84V5DHAsjKxGqnuAVMIwjOMn
E/7lRg+npQ7Ep+PXAZ3XeYFGqTV9Kj/N7n1tLwfVcudlVjgcqm4MXihmjdAgMSBvTN1alzSq6lOD
Cu4+d8DsUvGS5tq3dYpLVnoXIpU42QK5AE7rsozjDqm1oLCzeOKo9GhYKrYUGyt/cGEmifqjLAQT
5VLq1YCd74JM9duJXidII9x4c+r9RBU/I/axnmsKNNsm0F89/xW6ecLSaQuicmCdvh1QeqLv4HRS
L/QGuyD8UAKzRdfrgUmDTN+6qVnd6lR9lEMN+B2f237S7MZTg816wk37pZVbbtNaPwaLODCqwBlG
mS/zHPRbeyzP6eCPOz3U0TbMOgCiNaD+SXuXqZA53fNlBN7bk4qAI/ltRcJ6GNM0v43sIo+Hhkm+
ZQaWPDlmfWT78xA08/tsFZgucp1eJp7XeCmGEWVn4p8ZnkjPTaeMXQkrJs6H7naqGQs1OZTGfeq2
sIiz5U7QDDzOgbZeEg84uh/MPsLSBlCzrW4BBHzx7kR72GQhDUd33/ZZuTOjel8Z0UvS1z9orjzV
yqv3ypfltsjnH03bxGZP9QmrzPNUM9WOvcx9E2O23LR1EdxjEWmecVQw/hQ4L8ug3wh5N/cDqUfO
gVYCWXpcLkIQD+uGr1x47a6src+ppu88DZGOh5AIJUNaw3asiwrR2dI/m0Zb3xZ8txN5yxRtY/FE
iQFp91Bu3HIsfxII3OpiWq5UEJx4yvtPInufzbqXyskr9BOrZJSUMc677FzUZbfFT/JukETZKst7
Skbje2q4BxGftub01o6t3vvTeF97UJ+bQM4rF944+ypM9otPt91BxrYgqt/Khm7RYBmvFgjqDTvA
23EImZDRZcDrpit2kURvjnpP77rFbc9lym5SmcI7G1Rs6amL6hCmxR3bUmuDcnHF+0502DJz3qE3
FqfFrlZ5x3BLy7H9NZESAo3BmAotX2uJIxa5mBLk9MNIg/AmXHT0ToxZxjpkeEZX6DNMm9N+5Pwy
WbnOI+Y60D/7sCKYSn7uGnWNPhTshbeUgYACBMNpnB1on0ZB07UlP5okEffx0NwUfvTeuvpp6V1q
tpF9yfPoRuf6e/SGX07q7xscHZTBEVuwp8iVF922TXKTA+q4UMmhR5EcKspAhlPcFN3Em82sa1KC
YbsHYfnSVMaNERXPMhfjxcUB9sioUbi17PbbL4v90NtfnrGc0iiEN41mnUxReTcMYoyzgZjSLDO9
U5b12pnRK530ZKvs7qgb70aULHOMUqIBDOW5SgbyQ0RPcobpnzSLZMkNgZPJeCvDSdBtLV2YEePP
0USrYlghFCQYCf6arihSjtZDe0jc4NoaHozUMANnWNQDSsmqjkN7pN8c5ooj/fLNDU6wqICmaLXm
IamnF5F69QNBTTDyUXMGGyQoAFTPpgWDn0jmDlVbzLL9YqjoVtB0Pdvm8Jv6HAZRMb9VjSsNmH7O
D9tIXmnkLw+iMN9a2fO6GuVPZsEeWs/6Xbv1axdFn+OcfhdueEsgbZM6YGad6DutrFMo2HfbFbGQ
tFYV3tfscRnUR9Z24824LNxtAnyrX8lTqvz+J/kmtSG1X14V+Vn2imZyG9RtgajWwfGYZiUbTeJF
ZeXbtG266MiKB7GSWYSDW2Wwo8KN2SHPoPN70KLGWO4ccASd64YMi234xy5dvugiY0FQpNMYAbsh
5vvGxXxSTXZs6/auCTNsz5XeD07Fsjqc8rQHU5gZVATKvjoyy9ftq6b1r81gbBkdxN0zWk+RDf3I
6kAs5QKNkmkKvEbRNg3EY8nePCWoQM2TY1MV3KsqIblZY6L0T8QRNj6nCvIrBOoiH6l0lr9UBNaM
mWZUPaQffuGwiJgOu77xQLEpeQ7UWBFlpLHMyAApuUAc2cc/GItx4Xk48FMe/aW42nkvd8vi3blJ
cVJTP27nsHotUvmoBQtl0t54JhvpqBtQFSzPYiG3NGe5Eacl1QzpZg9EQBdQ1fOLPWVns0qu7oD0
InXMQ1VmehuV0SlL0fiG+XAkaJD+cJpo1dQOb34ibzgPQ3lsaheytpUdBa+yw2SnAPMlncxtllES
boWZbBZQwR99TyqiLBFIK3Q4kmCvLR4hxj1TJLQOEnjlOUsrc6tgFB7KRnbVLmkK+YLBgeTTkLUU
MCLkEWzkC8wEAW/FDF/nBSxJeBpatPAaRCMFB5x9NlXkaeNQGtpBjLTOfqmi3xUts1MSrFiZTGJi
bsnVrOG7sxtJfWGn2nzNyLpflyjtT9Ja8rMKqAxTI5h8rEpT3TwFfZb9SmRtvVFic49VM9j3TKHK
514Ww6bocUzYqjA5lqvkXKG1OaetGw8MvK+/UvvCziTYBi3HH2tV3ko2qvHcqt+LZVQ3PLYepMWG
C4zvaJ+E/nQfDjDUeU/IR8m0CEUj5XOUy6x+H5Jn2lm4la8lg5SXGTrCzkZweZ+hxjy6wop+lsPg
b3PTZyhKZ91LoLPmhyQl+JHOZXeYwhYuesWqhCHGPpv9iAshhwXNZR0AJlsDqTHCaPKtILMX+2rC
NdDbYctW2q4IRHMMMwc1Hqo+0Lec1ik4yJ7sJw9cg4ZyE8JTQhxHwDH2ci95CmwRxdHYWdugnqCd
eF2111ngMXtf45udl99zWiQXvlJyWrHY+6QlUuObKQdeKzXzEyx5dWZFkTfwcLpDGww2IxK9Y/2E
kqAvHDqaXcbiC4CdEgGGI8okTlo+Ik+fGYps01NAzu1rGFTwmHnyp0OISMbBYFxqDoNxk7ONT9gY
n0VjP/h9gmNlmNvYt1Ie7o6KRs8v9AHtan4SnkSmpep6Q6lrOrCNGd4W6gY3fssUJlqm/uh2vbEd
YCiwfbHkTZ8a1XPXAfapLd7YovGz26ytMDyx/t1K33BjF6DEGWI2VtiCys3gyVPYwGopSW2Bx3KN
a2YW76Pbs1v186eFjMwGMP1VVWZ6S2CURkbY/MhdZT9qhtepNTctJidVr7laDgx7Mv4qTtDdbjwX
1jzSTdKQ5VLeMilU8ppTFbCWjuQbQfUaOy8mZH5s+2sp9XCDYWDmxIB9ZkjXPyxTXP0ZKLumr8J1
4M7cpXC1LqMUyzbCuZ7WjtoNhdmxmk/Ip+faOzVBXSCVKdpdKucqHlIg8MwtjUTehiZ2J52eIc9b
H5PFGVHZfYFFjbeKrXxxgfqNE8OlUG2FabBDKF3sk2ZQhzyy+3PosNykk+ddCdP/GMQ8PyoHrVab
mtOpnRvNbhlOOw7eBzV74d6bEaDXc7kAIVRtXERtvSvykVNoO7MlX4urBdU2JMp1hj4nyx+5c9VX
U8EGJaGbbqqCngkNmyDO7d7aB9XwlAxCPynm3HYLzZttlY3NaxkVw873pwD9HX8NStZtXAboqbBs
4S5x7O5ArYW2iW94dxbsKTRTRfdglIYP8t1L9vw+l1aWqJ5K37kUjVPf2mH57qJ526vZrU5DoruD
MAMKKJy5ao9gtaBvSHAvt++1RRxJl5hFbKFwNXhYnBSmtb2XDm+DL+R2LP3wFjxdc8yR2B3yefrU
vZnELYlMZtrsJb1RxmTCfS/1V1pIePk1hNTzrLE+Z67Zn1uz7y60ooo9G9Q9Na6d1p3a2+5gsd9u
ltiuGuATNS4dpIXerhlFu/WTxDxMVCFuKFqaOytzSZ145W+d186NKrLp5ExiRCpfWJ/m1IAc9oj3
ZCk29Maz+m3vU58VZgYSZemmsxYN4fZxCclBht1+wt+IXqLjvZ4N4YUaTPCsHdiFKarCeMyk3Al6
QduUWjuJaTJ1dS9/lOB8dpHqEAD7iO2IrvbneXaigsdnqE6FV33QbKwO0FvHi+Z/vXXMytiRZ7GP
Ep0s2UQRrgHUZN/63m1Wu2zt8QUu27TEmahTsHSJX/OkB4bkS2qoc1GPRZH1yX9gypuI5Doszg5a
zfmTLiGttbU3biDt54eMsIXcENpvHgJmtOJ1fOvZ0nTNLBktR2OJ1C9TDQJB0TL+NobVgmHoINpM
FU2xhI7hZSaUd5Ckk/eKmsr9gipgA6HWoPKb8wxYjXPy2wWqzbKWV2VVv4Serqm7uhVZ61kSQ6b+
zK8Z3c85XS6GzKtzzexEvERaP+tOf+V5nd7Vkr0MdX1/fCEKON2JHJ+7uUgwfX/r4vJDBr8xYnsI
zDxufe3+XHjE701cHrzurP6ni/P0Hn1YbW8T0xsSPOJFzdbcKc3XDpdnPHW+fqtHEvJb0Y5kbweX
WX5hFm2EMoLfLc3C74lNEfVWBuTjsG6mWFpCnXXTTC9FrxBqsyF8n7LCeBVaqWMTpuo8+KF+M6eo
frBUgEqOJAyKKhF+j41HUtagF/9Wh5a8BJF2r4GwzDMOLeiEoudiMvrK+y2gzNHThbz0qWpfNUMJ
LzTnvqOeji/T8QnHTRqc7sQVSIlv0wIz6Oos42R9ATX1ac1MgFm9tPjswmh86LDInJp5pvxluOah
s2c6yo4pY8Al0X2J9OSU5hkOkjrvh+80U7KI61n7cTdFbK8CG28MVHb0pQsVjYxbxw7punvBUCVb
YXGw7sm3yS2OwCmesrmITZi09MGa9Fhmqrsn/GpfNSNQJyugnjrwTj45Zu/+7Oy+3PHkcWUXR0wc
ffi+6MXa18VCo4lXftUzVuvv1lYYpqZwokNMmJqehl1zTJ69pa42uq8+tRqLmJ5QsiGlVW9Fpb+8
lpslqit+/VKjCqfNjllsNMxt4TJTkjKXeeWlGt03Hr+LGSSklOy+bz9nTzjqa/DrThgPfIy6sb2e
dzkKovDFcrj7WprWyFicJVCH9ao0fNf7RPLuYjyA/z/ZTCq7AMuXe3cM6ck5nx2Dlz3nvigaDnNp
4i5FxukeqfUxa+x0ImNwLLRWJSC3ulN9EhC3nCXunGn8SijtbiEJNDO1HNKob7TZe++RoYl0uvR4
nwTbdfd7rvVAGHZWWXdbKhj9cVJlfGhizWN/F02i+L00qkZwVEiBVguZXTyGbfB/2DuT5biRbNv+
yrWaI80BOACH2as3CETDvqcoaQKjJAp93+Pr3wKz7ruMII1hyvG1ykGmZaU8ADgc7ufsvbZ+TmLI
LDekT1rhnUFG0nXpC7NRK6TK+hqhQtFvmjy1Gr4mc8p5mXUBetkMZ+6LTxXFv6+HuO/Wmgru4kgZ
Dt/NStgkYA4aXyRjqn8Bsy4XpzJiCI7w2YyKl/AkHbliU38VGXF6S+U7/TJz6uFr2szaE5G+g/OU
27gKtgm6hIG9bp+cp4XBbmPKSpuJ6LY2vhcndr8OFo6TS9o0jx1izPU8kCr7nAVNPl/JXrfUbixU
d6aiouX71vpC/4KfQCP+hxjJ6hTOVDCthzQmOIbH8jgXLLsrYkqsjVN28VdhNdZzb/XtlTb0mnmS
RYFR0o5NKvR0fpASNtUXIXWIKr9VQSA8ek26Tws2YCE9cZhR5wEynTWx9vTilKLtuV5qelvSGU+a
SjufBZlfQyrmeht2nItoQZJBFpI5uJvSTN1Q3GaNwAiXcZYZiO2d2GeoMynLMX0acOwkO4mqNfPc
JozjDflSUdrtKH3kNESLtiKKvqopVsb2kp1LvktT07nTZboO+zgysTo0GmlvWZiRNpZ3/WXIz2jZ
/8rcv6BWolqQO7b94vdpQ/mevAKi1Kj9Bp6AMfAjtXI5kW1oVL9CiA7mtZEUQe7ZBmlY1hzo11ol
pI9RoI/v3MnmjGw680wnLI+rO8FGSZzjHZmSc7qnpU2lp4yuSykDuekGze3PUOTTD2v9KvFy0bJx
jX1YBhI1/K3sDYc0aab7CqMuwTNZYGrppjFYmAWhOsCCemd2kPcQFzmcZpWboTfPkxkecF5qrrtt
Rlodv8fCJc8Tg9XGIZJszfvnuQiw1xquuFNzJgXKxVV2TUWk2WlFm1/gJou3LWIcj+LAjkSY9oFd
sslNa+MXjid5sxobUohcZ9qwtbND9hbpF/ZolzN1g9pMKBtH9nQqdYJyNYCjXjHbvVfgVbjlbpIl
1UxfNYJh144/3TpFL7wopYTOFqT1tM78ST+S7W/RPlV8iS8kDfFwCuU2trXvJPbgCmj125YCxq+6
Y7EoWTpbV2Y7fWgQLsScTKhen48UQdb9YPsXpW3eZ3WdeZFUp8QDGevE4oRk5Tl1iYKQHWfywpmq
B9G2Y0HCJlvjdVi13kQprcZ52AUNObRJtZ3Lzv02OURgp7pwvVlyuub5mQ+zxUc2s9XDHMgKrQoV
9SJQVEZZxuhPbZyxbwnKzdWTMs089yqdEyG+JpLWSG8qi8nYNHUyzUxUVsQ8ogpUF3N+FUV19EQ0
BPfDKDGCl1VePWCMyC7DKXjMKjaHzlR+canQDr7nWgOpVjLh/q7KeLKyK+U7Kg2pR9olFSKfxHH6
1eUqadzAm0HFbEhJGm8oGvRnc0Erku1PtGtbaxMG/riy9PTc6YZba3GLxNaNnEsi69JTTYhig89L
eo3QbiiO1d5QsL/IsvqWrDTWgcQR2cptx8KLumkg2Mq9gxfj0/wcti3UK9I7nQuhyJbSQv26E9Rz
SfYtt4mcsVvNBuU2mfyY48bZ5uOY34ueULCyHMGo+ZOxo90nPCrB590okl0eI6KD/Tz3K7tl61g1
gU2DYF4SrBDprwMYJTzDIL6pXEqeYd3uAlHGt1lqnweVHpIdOJ0GerrRqA6eFlH8JAkGH9oqOKEM
SEXLX2LXXUKGO1bO4gu90uHZiAqKaG1ZU6GMnshySc5zM/mOjTW8G1Pj21jkGLcaS9u4A2Ha0yCa
nV0HG9PttyWQ9NNJWTYxU3ydhH9XY9/YiAoLWCP7eVfGZvfiOv4vPQmpSOUwR6qMxmC6JGrTQD4d
kFFfoUqkCDeHKQmJibY0HMu12QSnqWaOW/wBxtqw6DBCjJh/sTKRrY5m6dmuiLYiCFhsU8ovNUWe
VYBBbkNI71efD1U3hsWF1FIqHcEz56ivftPGHqHeLJRyeLQskn/DNsXyPeFmaYSjrmVEw7mV07Ma
OTSb0ArxGMoX08gM0uuK/FrpM41rFRZbHqu98TGtnPQjocCzip/hoMZLO5ael9Gh0LGwgGEFHjxH
yXvaRr/IUmNTMUJ5FFFM0OA0X4ZGrk7LyXkkIWzkg4+MEA0OrQh8xN+KxHB2ktSwCs8O1Q8yZ0b5
Pe6bcBfVGseH3wREX9S5+1N1SFXsxZ3asEqvsiCvH+KOphKevhMXCbdek9MqWqre2tmU2TeGy1Nv
DJWCOTKNqwmicGb0P+L4vrBjovzYHFWuXFNmOxcivpJmS0JlrN0YQamdZOSvrzoz++HU6Xoqg8um
KfyvZV88JW1GRCTZe9VAu70SzrqBHvKzjzvyBImfri2DfuR0VytFWUs5JM7UV6ExF5ucrDbQKt85
CK9VGf4WbUzcrUPZBrLGZqgpv6lE20b+cDalJgDC3HR3wC7ZodvFdTxa8RZ1ynSmZ0FBORO3bxOr
r6Msv2LFJLDGTFB4i1hmKyHHi7EW/Mbe3dqLZ7fBhkz2rGFdWhxKsm4crrEsX9tW+qgCdRrGEE60
kohkClIcQ3rOWv0PNy6p92ahuym0+MpKMbsZTv1YtOFZWxMcn5TPJpu/pNKaVdvkPxtL3/VB2hJk
OPb0e/Lw2m8NLzXiL4FT7cyAVE+tvXVFcd7o+bUTDSezgioRpydm1BImXtrnjWjAaSAxYefTk0Id
6+mayN4zmSHUK3La/4hl105NCSMvisdQtTszl/5tnRI9W0zadm7kWdslL3FvXCVFdc4RR18lKo8x
udk9HGpmfRpS/1cEMRfx+EMfE3YNlLPJ3Sms72aCcqgPw8jz0TSsUCClXhwXDsdrw176dca21nBd
U2wd7twuME/7Qac2rrfIHYm9RjTUO5jYKkNe2F2rXyH4N5BrGbPvBQQCDpOnt5YVRuuhJvdn66Ah
nWnoVHpRnJPlyJQIJVoYMblyo6KcTHn/ukZkcz2kCSceBCJuwg9L4bSvSz4xc2/dpVbyRbHd90K0
uieKE4iWSz7lHOdsVk85Vxd1hc2NM8fyVUk1Tw9JYHdynxpq2J3Sv+yvZW1KD8uCdtMtmdsN2eup
CbfF6azqAkm/ukjjirzUZLiNpL+baYVzlkjqtUg6uaOEo866Jk92QzOet2Z9FenWFz5t5yK3nJVR
s1eKUrHA/XX7JClaJsEgs9vWHMybqsfnxe3vPZX4F4T0bKouOuFwQmuSylDil7uwqofVWP6gOE2v
IW51TxSKIHulrSOrPm2d4UJra6pAwaWYzdOiTb/wJUKvNq7NrHgscQGvxw57KTGaegAk0Fe/pKoW
/pvdGt0GqYz1MkgzuoRXHl/QnXQvSTJEKBdVZrzq2ROu/d6Sv2yTfVxUZb8Tl88lypNsneWwBdZO
o24XTIQ3TMStoMt113x01BWcG/siU0X2txXif60J/2Jf+5k34f5l+hm+pOlL89aN8Pof/W1HsOy/
gPzhG4B8BFsD+8F/2xEk/2bxTUM/1uGjSwMn3H/sCJr5FxhdUEwCCSCWBdph/9+PoOmC/0462Nok
Ky6drD8K6cPz8MYFpDipWBxayTRyHAOYj35gg8on2re+ayDGSKW2nQpFSq8/mLidR/eIX2bfcfWf
oUCLkDHHX6SS7PtlcjlkmTQULV9/CteO5pYcVTkqvrn/N38bmP4r77Kbgl5H8+9/vR/FMYVjEu6y
MMvgr+2PUhVwD6Iq1QgaMDNclI3c5BpK4j8exVL84dhCFtDMIe6GrScZqyloPO7TfJL5pu6Bcoi2
n4/yCg/8+xJPf/37X8stg8UCu5YkBwA+unlwMRKU9TCnOUG4zvSr6i4qeCRYt1ddTM41ctdgds6W
pjHV5QvKeusuE2srKNbUkNm4k89c3BiluHTm8P7zX7ZvYll+mIvvSWc7CDhsiRPbv8tt2FgZoO0A
FwLSkarN7ovAamk+hMOamYQOsUG09vmYB166vwddWIsYrhDZG4fJizTchhYISsB2JFanlCuK0xZg
Cvpxp9lZEHjWA7CPjUKheNq7nA9rQhTy0B53tpmHp6FNcnOw5O19/ruM9+/QK1r+FVDKRvYQklcP
xoRsMidgCkHetC5I1ZXsCrS1E3cgt8HBUKxA36rfUS26t0ejACmAmUfhdffgFw0XKvbr3YyAl3as
E7xoURDQwTeDiBNIWQTfKbxo5+BE57ve6NGTan7PQZDIezbFmkH4vBnR2v78st6/SFwV3gGWBcyY
QI72H/Fg0zdvRoE6yMFIbgKo2VWBHNafj7Jvont9pqTjGQasHp04skNU7pyYk21FZuhplpg3aWGP
6znIEOLB0PVIhnaOLEIfPSsmpoKszf/cZdF968eUMqpKZ7R4o8LU8QDCYMfPJht56HCMifXRDcQO
DJmXZZ/Fwtwfqk6pa5bLQdGBQcdJU+95b41j1u1X5+3+GuHaEmIywEmotaD89ofRuxLEuuAOztLl
6D+I8dpRbb1JIiV3bekIbJ2Rue06JItpqpxrP9YNxFI052i7+Juwd4bTMrnHAkY2OPvAmxAVNvgi
zTqpjPg7fFWaChTutlL3542hjAZk0yg2tOx6ujBVyVYU0B4Ui/TI+rfYNA8vzV4+SyY4UiQAyx1+
A3Fi01TQpRxRFLH78yIHnYMxJ+maEhtHA0jcpB91l/j0oyOz5INHR7UH4Ba+HeD6h3w2ozaJWqhQ
xoWTiWa0AhChURs/Mvc/WET57FqUUXDew3pc/v2byxtGh56gQWO8h83I94rWN7Q04vF6l0rEMIUo
VlAuf/7CfXRPHTYdAv8jJshXe+KbQUurFT2fRyK+Q0k0yhgnFwj8k/sUxdVJHenRU2cSSK8crAaf
j/zBTeW7zBbDARyoqDHvX27COzIPSw7f1E2dp+UaUn+n6o6sxh+84O6S8PD6kWATdfCCq1amLjET
LMaWcLzEMMgDrgSNiFgLjkzP183R2/nJ/g3oG3Q9UzJHlLMsbm/upYE1DYE1OgeabN9LYHdhh2uR
nIDdUBs5HoLmPnDaZqupMrqZ6vwhRG9MoJYydnmk0l1ZmaRDoDPxCk6Ff3i7//5xVDvw7Osmq8P+
j3N9WeGQ5sfNnRXeoh/LLv0G+87nD9U4fKqHwxw81QIwgj23HKZyhCEbfer0JfPe8uCazT8wRC0G
UL+5EOBaHipEaYsSI0MYG3a30ThZ67b2f45g9VdRJM3T2tW7rTZliMwMtXHUENwivhg47MfZxgSv
ss2QR2z0zn05ch2HHyL21OyDjWWt5tUnx27/drEw06FHCQqzRW0oMVa/0Cm5X3hxYUxGTvej9Tla
setKlsO6E1NbavRJrLqJfVaJEOhbybFb9yQvL64T3Qk2SULkJQoIU7/H5kr1fUIFWHmd26LlTyKK
Np5OeluwSKZTuQaj5q8s5CCBR3fsGEjz9XOzP1nlkirqLrs11uxD8nY1+9ngQBJaVR0ViyIqhm9c
VrrBMOKesesoFkEgKjVX1BsOOMNdZHFMpr66AW/nIWKWR1aiD+64g6SVnCGb2UlW2f4db4wqQNI5
Oex5ivFLapm/tcoCxFXNwcaW6THy4CvW/OAGQGJFxSkUvX++yvvjZW0i8ShgrxmQ08GPuUhsxMzd
SBG067J6l7ChXM2Nb3u1qhL0iwDacDwceS2NZd+0/zN4JVj02b+y+mI63/8ZE2WK5UQB78rIQHVg
EnhoOfd7bLe7i47cwfWoz9alkTbFuTajAx3cippwVuBHHel3Yf4GumdkLB9llpxFWFpXqSbdBxQl
1bq1lgqqe4Tee7iocgyFKStxs+OpX2xl+78ZZJgJf6fVVnY9EbSSaz/TAJkRLJdj5MYPRwILwcFW
WBx7DnYzbVWVdV8N2krT8t9ZlqHFsfLBc0OhHZl+y33eew5wSpejIiICQg2A5O1fEy6TSbewQHlR
pVsn309HkMLbIhvoREZ6fmQz/W6uo/sgrIPpt+ykcYvuDwYarquo6LOTaWZjBz0q9NxUoufE9YNH
7/O17P2VKc5khMtxrgcqdBjz7JYV4sKBxcq3acCtVF/UG73wK8BTVn2bwKs518PkWJL6QRARCzJL
KIUJzsMO+B1K5vvXSICXaFsN4dCIp1+J7qHPxssC0k+MLwkx2FniyB3e6wv2dUdeqnezhtfJQKDD
uZSChmMfnFXSyepAtMGgMsP+1bzre3GjEnbew7En+e7mMpTNxnDBQRiUTg6ALrGP8MsxljThAMx4
jyp9FY4lAroSRUYSW6DASuRanz/RA7D1cm+XSCk4MgJiEqmBB2tXb9Qkdnf0uSMOZTtQYNSQ9RwT
wTAEOzoX3py7nhOjWy+DVl7AOGiheAF7rIPk8chvWa5w78VZfssCGxLUiwglO5jLKuqreeQZemM7
IjpymhFCe9WJFX5LWpy+U+5KvxfXNK5RgoaeQDzciu7yyM9YPg97P0MB+mY5gquDyJ0nsj/dxCCl
QFNVehq76xuWkvLSNkpMoxy31qYb/Eqs2t+F9dK8jkf92vbLZtcO+kS3VrN+jpm5e/1F/1sE/RcJ
h28ezvq5ff4vmCx4P66es5d//+vy+ddz8Nz8fK7fFkFf/6P/FEHFXxQsDTb+nPJhSC3T+28mizT/
osZlsv7qC6uFUMr/KYLq+l/8f2k4Ia8kk8JcWEH/gbJohvUXtkogX1Qo2GBarHH/9//s5U03B//8
Sc2QCeRSLOQnsPOmEnH4eVOl3yk9hFqwUDBOAUIW8ADb/M8+ODp/PhfDdFU2VSyueX/CgsIV+ogd
0uut6jwU1WPf9U+dNW4KN8XeIptjCaMHW3MGNDnEQnji3lKXOjyejGY2+TEUUa9F2obzvvR3rsOn
9c2zvvn7jfvs5klDxzGmyEXD/6Ajw9q/rDgJ0A3GINIrETbrSTR83xpT3nw+yvLxePO2Q9ECGs1H
Bd2HTYDAYTElxpSV6nXeeAlhet5c14AdAxr/0UWkmgeUrz+7Ma2PXNrBV5tB2ZyiJ2dusOhyyNu/
tIkIaJZbDRA2EuW1zi5t6+B/wmBjTBeFcMojM2RZsvYvEhIZmkTTZJlHF3awpDnTJPApICHBwPPV
8QsHIspUeEAH2yMjvZsahilJQjEVewSKK4dRqf5UFwZ+thb1bzieTTP+SQNj0z8YBUMIY6G6B7l0
sCNYNL12pLrWC6sQC1oMHoSOP26G8chABx9lHhQILt5hkHE63+fDmR5Ltw/mcNFgpR1R0UOSYL8u
cH77VL5KrTB+N22bnXw+JT94WkQFGGwLITkBiDx4Wigk7ZlsKBjaML45seSQGiVNlBy+8ZGJePi4
6Gbwgi1FE3Y476OM2E/yba1M04uHIMZnDkDEJ2X9yCgHd5ENFCsUc539KVFifFT3p3ttJWGheljS
yeTfWVYrd37QX5QDEpBcnGJfCo48toP3axkQPpaLyJfT2HIm3R/QwjxejiMoXtFN5yZudJ6aC2Ed
p/ZpBRb8yAP7aDj4XrTheGyQ7pe7/KZcU9HkVRx+U48NntVshMppSuPlSc/7tEf72BGicWy7ePDk
uEQ6XUwP2iTUEZ1XTv2bMRdVCxvRiK3oYGunpXTvk8pq/vjCDG4gOdzcRLJnDx9cqAdVQ0gGg4wD
5kCRydMubeNN6Ff6ZhxwKH8+8z+6qGV54vxkMlkOn5tUy6Kfgf/ipY+2nVOmm9QNtH9wVdTpbVJ1
MYjr1sFRMDfTaCpJHyY2Ag+yn2vpuqgNBBJt1niiTY6l9n1wVXzHmIo8L7bYh1cFkaGbeaUTj0oJ
UiQlk02KPvdIwez9KDwiNhn8tewG1MGcd6ci7a3JxiOx8AbavgE41TXHIt4O1iamHXONDQcZ8OTL
OYdwx9Z2m0jNUwr3g6aSwd9umgBpfGv+YWQeFTOGImuHLjesVeb6wQW1CL4gQjn4VefU9sJOjveN
jrSWdOL4+fN599FVcecoqvI2me/6AQREdWk5uykH2+Ch7PwRlzP6k3IajlWRP3hKDiX5pYnMQZaM
sv2lAj10G3UByvncgrmB5AL3KtmHzj+4INZ2ABbsdJfL2h8mRKE7kACQeXasNZezBgbjyugqP7gS
uVseYeJ+dE0E2wjohsSH8mLtDwYjvlI1bH9PpHACeLv6S4Hc9MhR/INRFFEoZJWz0BLBcfDWZpoY
LEyYCweqrDeIp77JKXW2n0+EDwcxEY2b7JVQQRx8qaIem7mvM4gGnHwT5bW8DtpqOHLE/GC6wQ79
n1EOno5RBgkapkUBDBHnROHIRUNMwyI1Buf+8wt6PxTH+4XfKxYmMnuz/WeDAnekjkyTyxrocJE/
YsFEMKz4KVWdduQJfTAWpOkFNM3pGQzmwRNykyQxBgn+T1mxPE9IGLtohyB65iwh/3ixQ/KyfJuo
O7N1OYQ9w3lDsF0wVMG6urHqiVgPQ2+OjPL+uy5tizYrgF2UGIgD9m9eHjvQE3Lam2FQBv2l0RXF
1zRIVHveq8AsaQJpqToyA9+PySGE2hrbCTwp75QZA4crYygCUgRo7K38RKBZTyxrjR2ADbuJ8//z
CfLaCH9zNmCZpRe51PMcHJycRw5mSMHT0SEBpB5VHb/xHLN0g53t4m9Dxj6pL9pgu8nOZj1ENty3
zbQh0UJ8M5qy+drq2Eg8H9G4gcXA8BsoEWGHPR3tP1bJZEx3EvIN+Hep2eczItjvn//691OOWi6b
5eXoC+3yUEuAlTkIdNqK3jBnGP7xCDUlh4LZ/6ER4GAdmQ8fjUZLwYXJy3LHLdufD02dAhks2ecN
sdNOEMMs47GWFYCaWrm0/j+/tg9mAnBncn7hzCvcHQefCsOPyL8gWoinnmBxkMhMNnlP/I6HBH2i
Q14W9e3nQy5/5MFcINoKVRCLBS0Ux9y/QBHYc6glduo1rthGnf0yzVhdgLivUTdAXsEu/PmAH10j
b69jGGxYCKM6GLATsmkW7pQXDeQXoDR9csfoskoj30tS2kSfj/bB8+NmUimieQlU3VxW/7d75rQ3
HRCfGTwIKSK80E35AFoyOUUabB5JNv5orOVzuGST0/s7HEuVVo3rMc09SzWQLOxCO8/6IIYT2cyb
zy/rg6eG0mU5CYNpZ7N+sO7mYR7Yym9y8kJKQnCqxHkkJEPgccPoxhEy3qTTFBz5hr1/cpirKYiz
eqBU493bv5fgHBa0o+BdsJvmspkzf2OJQT91o0XxrUu5/dOLRBm2bNqXgzHtjoNlSjNIkA8VW7Ru
GIcdrYcIlT5Gygvs2+Is9hOAd8Bg15+P+v4pLvR92mZoKfgb6+AdbOQk4Rcwao1cbjcjpveqpMo8
4C/HJqd69+4tcYRU4tniGAZNuf0basauk/YAtOgE4wvDziAzDCK1wIKQzzkskiS9T5oKs0o04Qk4
sti8n0OUG5ivKENfq0QHF5pi8ZFRmeSeU9ftZQHN1KsklcuVOw/xlYYw/sGHHnQsFvvdfmvpOyxd
S8Q4HDHVwVOlsQg+r0CmXWK4PB1VkF64ZqiOvPcfjcIaKskYMA3hHC5rhNQYk6gizueZVa6dpK49
WKndkRn6bq5Q+OJFWO4gwXB8S/cfYAvaBQMke0e9nsLNsiFb6XhEYfAN8z8ZipoKZ0XEvND294dK
564mvajLuKDBPjGAfqylgPQnYm3cff4GfHDv2GBZfIUkGlq6U/tDZTrcwsgYM28sNWeVYXgg8KpO
iz+sKb+WDV+7UUx/al6H25DBaLo4y2cORs1QBiv0Hel3W2ndsW79u4m+PCVKJ6+KDKJCDm5doI11
YwUWBk6YkYSFKb/HC1S6NWZNGI+0cIxm2xownP7BfWTdA81O/jtKkP37mJixFdv5hKTScquzGp/8
s5WYRJX/k2HoBnPok8TVLpP0zScuqOeYPtWQeRxAOosyL35ZT6McdmRavJZ+9rYK3EcTncGSt7CI
iQ+vx0mKokP740mE3WrCrxU8pGFdrCBbnBbCPEG2tEnzwVgB5e12jpsfC6b9aGa++QXOwdpBblfj
dLbOgbDD9eIpUAVPnZytuz+/o2+HOViX7QY1UcPL5fXmOF5mrnrEa9EfKUl9fC3L8oGIZtn97z82
o+9nbfCXvdYUJAs1KKD9mGmuOPLYPpr9FB/QBSJ9RNJ5cDF5HfVAtxH2WnFlrwZip+8aaSyEDHZ8
ROc4lX+hh/mxQ8aHl0fuNIsiuz0qzvuXN3VWgSOKYSUO2g53azw/pUFn3n7+qD5agWnWczCiVK+/
y2e1+0mjYsn+DhYF7CmAotvJaSmzyMEE2vf5YO+viZeZ9rC7VNA5WB9sXY0IC9lgcU1aObQI4sMy
8kzSFP/8jWYcNpEc4lGM8p3cv3eWWeqdLFiwzBkB+qrpibO0xjo6sp97f++W7r+OaYSmJwqZg2HI
fpQlKOKemYAtMJ6baQ31CRay/t+mnr0u6dvG3jKZ95cOtlQGs48OIlVEeXDnUrDsms1R0guHzN/G
hYYWp56y69DWi5Mkz5oj9al3AhIMXYxlkx7M4YYS38FaFVulNRlaN2JyQ/l9jX3WKp5TTsY1Zyu3
bm9DqxRPudO6sCmxjhhfHAItnVP2DFp5//m0eXefMV2wT6ehSamEZsjBfUaXG4dl0aPTc0CGRhiT
d4Jixm0Il/zYDH1dhN/eacXrtki4KaSyrZSHm2a/ynPM2pHjwcXWWCmnXOvda2eSsvmam1BYgPip
oers1Sw16YNscsikuK77xXMo+XTEOBv14KFKxiR6jqemBjmNNZPcR8gNVyknrTuCp2zrDEchao26
HEinmWrH/CpjYDnnY5XBkqyQPY8wP8B5P2p8n167I1DCqH/ObPfMjdHKvg1WciwM2IGZnQsejTsa
3XAVFZT77nwAwdh+2270/S+ZSN2TBpkxuQdBjL3/h3RTMCIbvlIKtb2YnUjhMi8mE7ZDpDul+cM3
JjSTAEnZZNxCK9YcMMKAXsEP6qrOqMC5tdNk55AWmARdq9uAWIc0MIm0i2J/EfDZTdhtKnPSnIus
T4BRbFy3zsYILifRhoGn4rmLf42W5o9nuASAtkCBmsafpgqyiAofybLWKs7HPlrg4cMYkU44Z/GT
OZqhrFZjNPn2ndMXLuIav86tm6IbXGdbwahuTpHf2QamIIx9GxuFGdmKICPMcA0hIq52coJPdpXM
C4d7aPqxvPCTqpquh7lOtUctIKr73O/bun9QOIXJCIwA4vRBmFsrbZzn/KUy/OklBhtmXJjdkOXY
GCLbOascM50vbZnE9alR50N3GgSFX29AwErnqwsnwkKYOtjKI5k3+CXZVJH8OQdLYllMlHRwbg5j
EAVrioEhvnQZ+kAoWZQLog5lPf3MJ5Oe/srU/TD+ztuGq5Bszdy/9320/2e6VSpn4VWNxjd8o1G8
AVdQ289jHYo0pwQSZSFcHsCfqGJzcEYr6C+juIOusyBqtLoBEJkYmHeyGR8zsqbc/V0jZ32pId2Q
RerYWXBidiJM2RCWTrgZEseX26AQ2nXDgRSISTNE44PZ1b7upY1EY2wAd69fqsgX30wzbJxVai+e
1tkoWz4EVZRX2zrJkaNNpKiuKOeJ+QmmEHJKp45ILxf+4CDLzNi8rPQ6ib4a2FVB1DWFJVeImrtq
3VFk7LwRLkmwSWUOsN+ZYbOsQzGaP/U+yyD6uiAXUdUGGlRsd4yXSNAivsYdr//EvESCLsro2dwN
iTY+uH6u6lNLdENDxoEDoBkDbiG9pMkte52lZUW0cymMlyA223itAsPpdzMHcbKL9XkcMAwk7Te0
0qa8DCbFwNNs22j9mbNqlQfaRAJIUugP5YAGcV3gLB3OnNLizAViuEzOsLUJ3EtDHvwcCo4pG8z4
Zu7lut1+d2bCTB8jNsOdB38PZZ2Z2OyCKABX901eiOnSSQJgHNWAZ4Pa69y6pMv0lZNclYXwmy3M
pwX+n6lQrHutz/zLsPSV6QXEPjRncdXB6gqiGDAGIdnh0xwRrw6EOoZ4m0VwprZ4beUjC3/4RHY3
iRb0y5NN3th2/KjlZc5yoyoxnwysmb9rIdtv8Lbq8ZyiQfwNHnuUnZMTA5vYb6rFaBSzv1+LLsle
hOHrj2FPo3pFB6sdwEUZvbajiF4FHtmehf0dPE0kbgnD1punrJzEnag1RHYEJuRQrl05n7MO5dc9
hDJYF1npFieWXyezRy2oui8BvqUenA71u8eOW5xO7Ug2Jjg7I7ooQ11800JhBTtY7Sk01q4PXsxB
18tVpxoXTItbWd26zeMS0Cw7RrXFkBzHF0E+uPqZHIT1ZIeisbGpSONrjMWD7FnyjbSKl30k33cK
hDrXpymbAdiGeb5uoNVoGwT25kKPW6KHXWyZ9rAayHS5yXwIG+ukajJ86sks1SZT6NV/+LTzq0ti
2xy4Lt0itmQtcYCTOYAbvUaL59t0pqT2vRaN+K5sH/khkqdEPwdYRbjVJEOW/CqwzMZzOx1LPom5
GsmpVt4b20w1JeyHyZ9BFgVaNFleY45Z8DXFGf+j7CvjyU4LUM9S1zLEEGaKCFlEfAPqDYZqgGmr
2QyqO19Lm+whTczafQqSMgp2gAo71u6Co8gqg8FwZxqzkJ4R+zI+130XsDKnIpBoQgx+vHYqgkTW
NXG6uHFqCKPXAcnF6ZOdE0m1S9xUzRdOgGzsMWzLJcKuLPlKAnmFNZzQJlRMRJhoyJbhCq7aHvTO
rp6Y5d+0tAthfbd9dya1YBxOJWk6JNKoSDQbZDmJT24CEYAneQb0+ndNt3/izNRnz4QyOC8VIuP6
55gMOgIo6CbWJtIKuFHw7Ss2CWVmW19YNoCSrzo/Fe4tqxXxGEUGHQFKJgc+L5qA4FCUG1uoDEaQ
1v6TUdlVdK+pDrLMMCp7WkdiVPVu6fP3d4kuy/A+gycjT/VCB3HpZaqTBBaAV80eQKcW5Cc1oeqY
JXMcFZd1OIBdb8raTU+CAF+6189KQnyPOM/UT7nWxkhZ3XbO3H6VzKbef29duvrPVhs0wV0EjLj5
aYI34xWKCBgmaSlQL7Lwez72RFRYZxGyDUIpYh0Q/mT3WrQBqGkhWLFboLiA6BV32MuLMaq+sDOq
mMallvcw9uxUlw8yWZIK6oxa4pPdJU1wP3KnIZEhPU+vayAF+pb2ImnzcYADzFNmB1YKLep0N/Um
oDkuP65+0G0l59tNJtmB4zcqQVIXHievyDtnpKoEgNQCgt98LQn8hbCuA91bkTIHAkbMgzrJsZFE
qxGCaYVeuYcSyiIh+pN66kEK6yrSy+tmqoEEDSWoHjzGsuXFXIUgorTvWZaQJaKHVTBsNcEIF9KI
BmfLuTLVLxNyXrA5tCRerKpexKAkk4iYcDBixngTLIn0X3rb1K6quiuci552bvuzdEU/XMkAspjm
LVjE5j400I+ssmYw2m2rOaV+40DOUTvRSvdZa4Vovjj+MORo5ErXWFjxWkf4utlSEcUJVUjNS3x7
wjRDtJESz2UwDf+PvfPYkRxLs/SrNGrPALUABrOgGU26mWu5IVwFtbgUl+KN5jnmxeZjZGRmRFRX
VSd61YMCqhYZGe6ebka79xfnnE95EkAtuUqnYrr/Vrf/W4T7N1v/oYP5Ow3uOk3eqr5LflTgLl/x
mwAXmS1CK+x++NSAfTLF+0OAq33BjseswfXQOmA7YdTwOxRRX1IIUCQuNSv95qK5/K6/JYPA07i3
PA8PLd0oVu1f5Lb/dfktGiIwpBrYYbxUjML+brXpVUrUk0ao+0Iboh1y326dOsVfx8ryU1hIoErQ
2Ez8qlMRKWjjAQ4JyTbmdBERzvWAolT/F80c092f2uZvigRt0Y3y+rAfYKH48yAglzEl0mBPwAA6
U/ex1U7aGqqWS/w0lzlph465FpnbkEGLGm8V1USXrj06q6vas1uNc70v78ppIF2pQN5TYdIF7HQQ
mWpCV4+akXQriswB3UOVABnoQm9eQupGUkUsvd+bqRYmu3ke+63mzCa5uISHTD10HGLK+E9h9wor
og8JQYP8J0jiqxEFGdzdROoRMncdQiopd2ovHWKTktKmlQmpZ01vbt2dOXba1gmNZsmtKZuJioNe
PSSo0QDQNIzHwTGsG4vWLrlUq1F9mEBMZb5rp9m9lMD0gmgsqzPTrC7fdJEAvUQW6YipoQtx9g39
EshFLDGhhg3LAkxGRJ2463RWCb5ZNrB10DSxRieWjCxpdmMYhw8EA0hCnfWQYMM6c7HVJLkXptu+
sBv6vzAp5VGxEuACHdkU1LPlFO0bfZi7i8EqTPOVyQ3wPpvs4vIBNUl9bNLZxA9bOdNVmKgc21oz
YHfOvQm7jqNP0JSaqBSvaR16ry3V6D2Ve/1VFoYNTSzq8peIXO+XRO2td1AMxleTIXD5rHxDltff
8OVayQxu58XkVAFfIiV8RzE5DAGc+Trd1brSEA5odyjQoPNIslOF24qjmo4Nvbc21tka/U2vv3SN
Ypbrit6LUoMWPQpMLR/1rUqnBJYEQ19Kq9d78I7UMR334MRlskFUgz/WiNKOHjXDzfXE/d1pZBpn
Zb0TNcFUJBXK34xk/z6e/7YMdf4xw5aQoNeuahIwtts+KT9ffzqn+dLfzmksD5xOi4YTlS++CJXD
4zejBH4HdiEMGBd1ENlry6D/+zlNWMzytxcLA5oH9vP8q999Enw/2yVJxuPsx6zMUO2vHNTfJM1/
Dqr472GNzOBbXwwT/MxfJZnJ6Jl1W07MUsvMDciFl/aWqPCarokG7UnplfSF7O+KFOFJhW5Bi1OO
26LUuuaU1xGIT1hAjkWy4DCD8nMsKIGhtLOnsnUw8VuEF8DY8pT+PaGzf7WEpeZHE19BTWGvVu16
1i2lD3jg3Tu1pKldeepgdps0iZvL0Mw8fSmvet8Jy7kPFOSbeOhN0q/N2tDLi56EM+Ertdn0+x/e
zavfXoIfZ6U/b4V5YZgxGxitl6E9Pslf12KROY9ML13fAd93UJOqf9K0vtiP8C+IqlK0LSH0VkyG
cxU9/vOf/Ot1s/zkZRqMa5klz9+JXWKmzga/F9GqxBf2dt2dp1Gr/8XU2f15HMr3RayKsn6RruKw
Y+7886VGLvTU9IhW2f5p0cpwxEDI/JxZ16oCEdjYE6HLEet0lsiuFanK61RhkMRpovR9FrQDlNGE
zKs6qwp/YvxYMZmMGgIDwUr6GWH2ra8wxSPNFa5EvSkms3N8rXR66NoDVe/KtIRzryHq7/2u6UTu
z8qIEcQcLUnwfTd0FpeJ0a8dOZm3WV2ZH1Odi2qtxhiPh5tsdvIbcIDjc0OswzmLY/1rU402if2R
Os1AK3T11VAdNNQxc6PG17UpXAts+aU/TaJ+4+7LP2uaQOKI8TGJAx2Vma6VaQQP0+Szmp5GVqbz
2sRCCtShkWVE2KUqnkmjMUXA1dl8ujagNuTMs6sHsCkTQepb60BwjfKwW1UMB9WdKfJ2ug552q+8
CCQVk12wLQFTf+1Jb2UYrkKl11hXR7L6LHp9HndyEOMtUcaquWXsoIsF/RQrayvVEm9NZmWYHSnB
kxH1VS6rteM2GkmfcOV1f1Yjfwwt8WZaUT6tdG/Jcv/nD+ivxvPFYYvNhMUIHm8MYPYvSzNlrhKi
1z8qghwPFhiHazl2FlEjrjYSMUzLLmpBwKFaPQ9xNlJVGOeizNX1ILLaz7U4+m2J9+876G/kiP3w
3vxdj3Dzf/9PX4KZ+/Hu+fYl31161hduGJbEfCLYw2DN+OPysb5gv1qWaN98eERS/XH5KLr6hfUF
iSKeoeMAQ2v+5+2ja18M/FoIF5lIkatg/CWX3rc8lD9vH/wTbNi+HXes8bCcfau8f1ia0zcTb92G
zRqtZ6ycHVpi0idxGytrOWIN2jD0J0/PLIo0XHIYZOezT1CGo9ZQ1hKcZc8Csq+XzltFViMFMa5Z
iDSjrgA4FbD4Do7GmpBg6ZgtqytI/WMa4+YEa9JX1D5DIf2qbBzC33vofLlvahPYIa1wmg9OA89Y
FaI3bjrYeM3abGpgzXBvCX9Phr7dmdFg9Kyn66e2t6t35lvOm8l06ePbe/qXHu/L+rO87ZrPz+70
Wv+v5Uvfq3pqEubp//vnf6RP+/6dl8flp38Ivlk8r/vPZrr5bDGM/N7iLX/zv/ovvxtF76Yao+h7
1QN75LtFvzyFLg/UPy6e7uLP/9i+Fm/JT1XT8jW/PbiKRgm0bCn5n0qCB2l2vz+5imZ/WUSz/DmK
QvrexZX+e39r8LyTNKBitcN7xD36x5PLN2SlQDQFzgmszuhp/krZ9GtPyBKfaCbc8agZcX9auEx/
vj7rdtQgUufX+piw+CJt2n1BWG5dG+hGE19YaVjWl6aWdN6dI702XI2t8O7Uxho+5jqfyNol6/gA
DgMORJu7+aMxqe5ITGrq7cmJMB5lmOjq1hAqVOI4mW8WvTVC/9oc4gNHrqNciCUwdzdMfXLfd6p4
ITvYZXegj0O3wSjdilPCBFoFPZaD7mxIv+v8kovczsJ+4UMI98VLXBi3BJZAiUjY1nXA2yoJHU/O
NpqBZMCXYxNbTlyLHNAlZ3FoBrZHjh82FKUxCP6RyAEn5IFhAFKkIUMclwpJ1sJgWtQIlw8di4L3
FsIVPno9Y7E9p2YcBVFJgMGafGPPR+zMh5xF40TCzsRkb9PaXYgnJBr6BHBoC98a9CsQgE7KtAyU
bJR3NeOqc9fTDvtCzBYIwF6aSxS3F3d+Y5E+Tksl4BVo8ErSvWHGU6CoLpnCRucVjxnjCS6rwhSP
Q53lBmEdgpmjjcJXruomTbRgruGyrA1DisjnhnXOiTIbOWn4tcuqE9HICPAxxak/DbGVriL6/3Gn
5BU3fCjpzaQ5w9ED3BIBg6pHmvakmYjNNaos9mFApHDS60FpA4g0+uC7heqQE5P1pA65ozLfdXhw
SfEn550lJoWW5KsI5O92HH468wFbIvgcCHy5yAeMnxv4DkiUe0ysRZAXYrxhuxEdClTvOVySJTWX
tN3ZDdqq0+NVlkJ+IW55YDz/14+rU/LeVG31tfv5bPp23vx5cP1PO9SQo/6zU83v2RmWr/+xeW2r
H2/kb1/228Gmf0FuSRaRS+Yhl6in/nmuWV9wv6NDctndL3lWi3Xo93PN+oJIE+M39+2S9LWMAb/3
gx7tJUoDEkjc5dxbLuvfD/XvTc4/m9thO+CI/EEjsvQ9i02K/3uGgWDiV9khXLtCQ6i0coYqX2kd
yRBno/CMTybFPH95yygHiqlvl569ZRuvP5dRuhEy3ilY0pFFjnRsYtJwKoIKctIQzhjPmYeg0Ndq
zzmC8pz8KM+CRkclZE9eAhgP1m41RSQ1hY26Bs9SrUrzHj3sgTaFAAo+AQE5d2LXg3Y+Vm16Gyvz
dhhbSWxuFF4m1Uiejmdv1AYpxBRGpxpJcuBC5Lh0pdmvKqC/vqYkbK4RcN4wBIqWDN1rmDGPYSlJ
b4YNJkCRx+GwAZ0aPXpJCAYZI82kxexps5nqdbb1J+Za8bbG87DSCd1fz2yz8K6xpgrV9r6QqXUJ
LM7Y57BlfVbcXwvQREEohvZKtdP5q6UkL7oL2WvBsq8xeMJWT4w2KPihl6nXm8fSHbJrTFjavojR
YlDOyPsECOTA+mfUDlYYkapIOIB1Y0akOLF4u64BoUy1/eLJXPsY05xNXpuOxbAutVq9njjRorVo
zfDC1cda46ea80l0s3GiuC+rAAOyvYmK0P0qYo3E/9igwbM6jjzfI4r0GZTnEt8+6u0VYETnMRch
WpE+macr3CvF2eBTAe6MDSo7VscgHQxly1U7j+UpaZyvHoptuHG8hLDpu2HaTzQV23EqbQgQbcfl
trWhSALfTkuXhrflRllB9LFXBq2pXA+A4Z906JrjW9tG4VppBUkkhdGaXAeIZO6EGqln2TjX5Fib
7KuWYGc7z7MOIqjNkgLeK6+dyC6qZG6CKjVYQTf5CB1Tz22wPbwbcZbUQdQl82XY1EwyVViUwijH
M62L4SuCYPQ5ch6codTJZ0LZv600cwdzJ/HdOZw2BMe8FAA4KzIPV904J49JqEfruQKhmBpch6q1
5ZIygMs5S6zifDk1doxLX+ce9BgBX9eqyUq8L8/hYF6YmXqRZg4XM+zZbnpyRHqK5iKI3OQIUhFe
hgtMjku0LzK5SiJQjqUCGwOUDThQhBurOeYK9ImlODlOdmlIZ5sD/yH/eg28+M5JIyaHer4dVb2B
HTSekYqsOnvfGTeyumVVuq0lmHr9PTPmYJwmXk/1SWUkcNNn/SUsbgbdYstx1G8awORqqB/zhnz4
KTxFRkkcSz7i4WyAT+hBVxYy4N7ZJch5djk5fnMjeFcV7+jCCt3zVm1kPh6x+KCddfStzCyc2+PE
5tI29gyC2oM0rfnKivm5cUpDqRTw7YST17d8bC609Gqi8XXVlyRz72Pw5cZsbSc3WQnicoxiRkpf
sp0HCEqIeZ05q6mZj6iuAf98NTlVnFEj085IxvsBvRTFf+ezC9xiQDBXDpqbMHaQKIRQZdrC4pxr
X0Kk4RdxOkla/+RrledXeVrDHkuhNPeqeKrF8KGEXkiWeO7sAb1BISnW5FmcS9G+5kmy1VD/7DpD
e5ugQ0WnnFgnaAEtC8u0DPPripy9daZUkNRZxi6BYVtHnagDXL0+d6Q8VGmVRHvgP42xYWKtrFOZ
xUe0WRjyCig/0X3kSXjfireJYMp0MZh5OMdTm99GWfyZKDCbp4X0HrvZdcGGc5aQqkI5B/CIiFqG
+njDfrf9MObmRlUWNEVBRepHunJOY1kZQZh7Eryp6smTFU7ZWq+VZge5DsEFNQlypVp7YAIF2apo
KzAv1FU6aMYA4B0QkBTAiJ9p82vWtN6JZPQNPJZu5XT6HDQ1OxMXkIKPko8IIPU2Rpa1shL3KWel
Da+NmffgSfYVUr1ocGsdYsxzB2AD/crUUzRYOmKJOPcCOOyrti7utHy4yoVcs9zPVg0ZbBcCeOpl
WLKYUuJ7ZwlVB5H6KIpqY2avSWVAA4punWTSfadSP93E3kV2eCjbaieTbLuYiVcV4rpjBOSFilS8
M6o9IS94R5jWrkKC+VdZlV03mvYulCZfTRFMix6cBIolZTU4OszpLPCQX7LFYd8/zybRYU46BmHk
LDgUQqG9qXRhCVOKG70+rOKwhE0x1++hpmabvCsPo+qlHxKv5Naqyg+vqQ5DBtDDiUA3LpxpeFng
hOIgDYvzVCSXgkQXwrsmZyXLOFh4N6GoQVxKvzQftPFhnp9bC5hnlvgxrza6M3956FqAZZ4cLvKG
W60z0wA54M5SnhOl3BoZBGDQGY+Om21T5Zl87l0vhpNjjndIihq/bATLKWQBwLT8ynK2vVpCVJAb
syKZJ7L5OMA+MB15FXX1pRH1x6SWUHfT8s0BAemTBnPSZ3Xft81+KM31VOYnT5j3oYifQlM5SIQX
GQ9xFVd+1KXH0vZWfamhp43Ul7CJz3ZR780JiYNzgkDxmEzKQYdUjsBHQxfG1MErP2d5K1on3miS
zdaAvsRn6vjVDq0A+8A21F/NHq4GY19fjUhhG61bFLZPU/uVdm8ni+hkdxwzzQLVBfdR5dquDhuw
Lm5ylTLxBLh35SHMXTKKXd+aVD7mOj1A222goZxi44hOGih1/i7guEa1FeDyXKd1veonbeYlHzbe
+JK47srgbSeezDKCSddOEC23olCUvau2+xz+rIIOBAkFpI4cfPVjPKIDnB5pULYu4TrjyKBf13Lo
50N9UPWxWoaONxKQtJzHaxnLxcpWBn3offChXQPA3oY5fR/JKNPeoqfDLqh82HW9jxesFHG6PBqr
KY/3VTFxFbpb9odBKtFg2XeW0ryiFtwaqcKUXzmDqBV8AJtzqPagMrobHSM2MsdVqYj9JGGPFh5c
DLHWhJGsKpQrepqd3JYEjzkvnrP2083tM8OhJ0a5m15MOzOzNlY9r+cYHjRM6rWab4cu3UeOdIH5
oeo348bbNrnB26vaay/r19AxOKrMCwy5F5MK71vVouve6e+rwVDWxfA8gxgvECXtDFk4xxEFFL+o
Nx264oO3cg8aehtWBaPv4sRHCwJWupaZebDb0PI9mZ0bgTKiHJxrG6UafIsB6WRvnWoHwuWcOEEb
6zcIjUbeifZGUGjITl4pIEHmUVtb8bBv5lj1PfCFOsFw2mitbVgwg9HejrilIfMh00uWaPS2BFxt
woTdgSV58jxZ3kkwpYFhtd7RU3j8bEn7X42KdTcZyZNW3XnzeO5q47aqxrWFPKuHmBK74ogE/sJB
Ize0QKfY6DPqag/dpPl2JK7NRr8hIm436snLoLpXXV9sFO9CH5R1PKtbHcpXz2ufm+1FMbh3ODLl
huDAj+VA3xQmahXQXtucdeyq6e5Fqe9VDPFLbbpB8+2hRnPvvTgMGoYFgw1/RdLLTo8miEeGMPmm
TKx+27oHpNRM8JIdcN04UB069MlCfKjWLoPxIlA8/T1q3sp4SraU6nC6kU4Ehd4/gIR91ib3Rc/H
8GA5OWGwOkeAxnmhowIuyyDx7D1pW7xvGXcG54Jc0veQXXBzJBnceSd87Sy56mV+Nlh4UJ3AN8F2
UCDxMgZ0srY/FqfCCJHanMPkpQTL4pqXQFW2slT2ViueW6lzM2NjhKun1OqLEeWbjEVuFxLbHc0B
KbSBVbkIv0rFF2pDciWw1hBAGWfMq7CNbQo51k14QyzlzhlmeM/1qrZBUZvWbmRTEukImGcS+4qa
OOJSCbdEwq7A7wQit+wgq5xw25kQqM3wxhEvaeGCYsZmv5nNG8MtjMASiusPmbsJHQNJ37SSiaXt
U5UQWcchVBpuHaSpBYO7cvPsQchunUzOjiXi2ZqEu1LyN48sAFN7bR3zajKdNy16z9Ulrj8WoLxS
mLuPRqVjwJp5Zoy7pMniTTHDKtMdCMgKA6DRbAUsHmG8kAcRPruR4CIt3VQojI+m7dzQSCY6eW6i
aW5RToQPcYUPnj+LplM71myNkpoawu5gCeBrRuhUZr5uUl8ZkTVzTNhHA6aYYhlPw6KZjqIQWbiy
PJI2FMgoudIn460YHdZbibjVEGdU1TAfvKFFVhffDJbZPKZq9pEud2lI2LYCwlobtkBormFWqYFe
J+ewVz/AHh4acL0ru7QZYzlrmAAfwgRDzyOEhvPEXvacwyVvcxJrvbZyfIBqW27+QEbKRcRVepV6
tHu6pmSnUor0jF3O202tRSJbBUwtCWSe9h4DO3RoZzpdZSNLz9iTl2Xd5h2GOs8t46fOhgwVIsAF
czrn4O/09sLGmrzqamV+UQjaWA1SKgFzWPeEIcrboRKqqpWmIy3xWzLLN10+KxfYK/JhbSioCgG9
Qs0EWjybX2Ud1xJVbzmcMwZ6l5HVKORezK7LB6oS9ozqvo8gNWgNZCKtD4cqaBO91i4q6txBbKGW
9ZW3S8mGd9dhl0UWVgOEHuRZyKjZKiS0nQiISbY8acTlluhJxiSl7pgpwa/qQSIDmThyyaoJk7OX
GAPNt9Ltu4b5oWwB2vpZHmsHF1AQgA8yq4XfzFnSYVWC9sqLpUGulSQmB5LxByMOCovHnnN0GT8i
/VmZuWLvZtKUYVNAUxlX+dymqI69cox9LTKBRMS5aW+GjGJj0Di8KVK7nZ0mtXl2RJ3r/pjayX4G
U+/6bTRFu6lxmqPX595dhUngpjVspaQkq3D2qSLiiSatGHVficTnHHatskpsD6Ug+p5ohz+BGIIm
Lk99xFgYSXFWXzNCyic3GOBcppeuplg2avh2nu8sM0my9YRBgg7SQ9k5eVoCJ5J2bW0q4fQg4KAb
G9vkswR8cCk7o8m3U7Vuj9GscoE5TuggmyZhSdHeXa5lFSZSldZwCh0LMuIunTNVGD5h2GyqFQSV
kbZOXF6ofViyVrlIB2wqVLvaLFdqOmvMMoUzOs05n0h52eezY4+3aW/l2icNXOx8JqXH8TO0pXmI
rdAen4pkHi66zpx3pHgUPTUYoHOEM8kO/Jmt3QgTo8CSiKEdQ83wOJmSUUzbkh1QuLU6cKG47nIG
FYLThPOsLt1TaruMcu1Ox7Apx5FU8oo/oiTwIhAsqWnzXtjAB092KwHdeWjYm5XMMuutIuYSQCEa
1/4QjoirNuoMtxgGd4zwSozS2hYRRgocEixtmU2rzmU9upigkbQpN3abG59l7fVvi/fseiJF8rPq
qFByL1sC1Ot4S9JEe6hVWT3XmoZvZyTzYt4P6qQCSvBCPEtFDi2ytOqy25b6LG7iJK0PEprKdRqG
Ybx2xWyD6BqjZsOqWIeQDNDbEnHyBGWzPcoxn677lmxwUx1INY85BgAnziH9A+qhz84Ovb0lMw+l
u+XeCFYFJ73rEQgglKN3Kwft0LR13wR2YXmP4Imta4HtdGm70wzWo9U2nW+LdmKwwSj7YBdFvbz7
Q8pAJLG8K/ona8W2Pd23GgA5ETuV6VsharrN6KjuI1CP7qtKwof0mbZPq8SIy9sS9eFlCb9vI7JJ
PxZmRL+gXSQqY//WyaghCg3WnE1YPQFWjQpey8oj/TbjuHwiRa4+pFoV3YZdQz1iDq3HKEsybbMo
xs9Fonvs8iZu7yIJU289hWP0WpZ5vJUFvXHattp75uRmjqZPKx7SbLIYM0YKsIc6rs4In5tPDc8A
zxGUs65Ovyqpq/GgDrOstnrXcsXwOtsb203Oaq4yJC05Xyjao7q/SUWB/B10o/lsVKxF8be4wOfh
fNmPyMOoZiKn9afakBqjH432bTb1rubxwnTK0mmcmfl18XDPzHWYfPwvcqd5DXubyqRINi8Nm9WD
lhvmtlaN0EHw3+cbZIYtorUEzccYWVeNhjMbcU4FE/Ylbm6GJkpXeDrUCyafk+OMt440koPgU3gw
7NnAStdVFhEiFeWzoiWfWoYhZzVq4XTQASpdRZFr3g5GSYNgzlD+yoR4TzWm8WUE3W4iAlNPhDya
tK31zYyU86xZIuTDZbhHS9Jf8Xp31wYnDGVHUwYDpqCMCYHOiGGXY3zyza5SVlFskYLTMJLkvVDH
Y4a1KRBuIze5wfZYGCjGCY8GlmuFTFS7cz/Ep8XQNlnplo9Vvlab7AlU5G2jLp6JrTJ6R6wKH6WZ
b9vc9BVKG6fNcW5Mu94zKSpCyo45DNRw7i8Gl6x/sjG0FToMnYezrH3XYeCsVY08mdUQHrBdWTQ/
mfFhF53ymEZGXGzUarAfMnaGg6EFUr8KRZc82W16nFzRvI1zEZ8wYhhfBwoHNm2mKo+i1rMnggCm
z9w08mfN7MxDOClsjeImaMoww+wSTk6zw01Ye/suV9qUmjBDuMXzWcR7SaTJE8mI6YfRWfFlhmD/
3ZxtkXIoswRDJp7fE9+rPduVV5+NVjXQq6et8hqhtUGRo4x7Eir6O9SNZeq78IsvJz2ar3FXhYzd
1c5+SxszO+gJZSx/adujA9upo2l/EOLjXMRUSFrANlC+Np3JeGLoxKVR5tAF0Ydtk1nBeuY487YE
saAY5fU4Mh/qw+M0mbOfdzHLNQxJT1NTaNshLmCHo59fFdVlxBW4hq1sr2wvgr0UJd5eDY1Ny2GK
jwgpQU61lnrLR3JMuk08i5NctpxLlBrUhujIWCvFHRDZgZlr2kpGzHjn3rMfhnkkNRN7va7EH51j
pb5ZtcduTDLgx323q0LbXGczUIURo6LjMbGPLO+2QBBFwGErd+j+E2oFmLcMRPGN6n5ehfdYENIt
AZfpRaUVKOjqDgRrBVfdaavnMWk+UzmuU9RUkS5SmqyyPPSM4le6HKt1pkUH2RUPSq4ggxDGqzP1
DJbiVNnYPWWB6LeRW4b7Gu8KPal9r9k8+I0Mncu+TJm0KEWzYaYVTBgvfcVVYFlkfXNp19atHCKS
h9S5RtnlhG+6Wx5ZRqwHq5u3aqU8i5oJZjWOqDN4jL1aNiuF7VDXG07gyo/UGmguPH1Xly3+105e
h5EtfLPkdcFU4wS9Kx9HPPd8jq0zQ5v0gfIz21aWlAHH+zZMWvTUUQvE2p1uXCNdsxfaIKCqNlJi
FTW1atpVhrT2KPiIv2HYu5vKRj5PePoorRuGFUakXOXWk+VW27ZvDhGj3WBamhvDnq61zOs2JAMd
+8mIdh2gnhklOQxYtemc1cgydZ3lLvWvqV8ajc2YGPmblvFZgqnH9VaubQZ17vCOQcRi4KFuaK/r
PVoCicJMZzWbaTd53AWd6hSBHskxUDRBklT0MrnEeCCGomLqu0czY3QuPIHXT2eXZlrDleKiY8+p
w1adgkhPDVkNo3Xbt2O3y01mj2mcNNfDwBOT5eOZlULHWWenm7xgH1w0WX3rherJ81pt3yvFXatN
F3o0fowjVsxaHN3ZuUjr9MH7NuobulsqeBUfVZFf15ozfkQM7vBLN+dWuspLmmTOpa1id5vHpscA
VPcsrfP86BZlSvHBLzMA5L629eyNlbxAhhOhBlONNRoP1XfbZS/dRueiie9NhvhqWhXM73Uq+35P
XNRqbrNrVoS7wnV28QIPle7I7USahm0Uu6xtglbpL0urC+oxferk7FxPol8ZzVRep62wXqtRujdI
HfOZTROP7ZghM/W6iLJi1M27kU6AJGHZBgN6gcauyg2xOwzc2LJsZZcjGsfZozPEW0l1OLdh2z94
XgZiVmk3lt4lN1o5M3Lr3HHV16Ppazg8yfRzX4VgrbgSgLtPw6Ax1UHQt1cr8NGFBg5dfZlmoe1K
9A1u4ukMAoftYETapuqNu56jZD1GY3Poy6J7G1PIKbidUCX15Y0B7UEt5wukMTdKq73pRrTNORJh
Lq14Rw9GJ32d7NmSrU0EGr4bQEmHyjHKzL1OuC+W+hdiNFeLUH5Qio5CvOnWZl0h3pwZJ9Z1zmid
g504D1SgtfpuyHJd5/w2aSo+NMO4qZvsWBnJJT669ZQmeMtqxcbWak07rInxBjn8w8TwUca6cd8X
3qFnkFdmA4Lf4ttYkA/CGOvtwwhy93EslCATbF1cxL/EOk36RsPidHQa8ZxG8dGsUpYFbLhn6INj
v3EwrQfcywnyzOHJaZ1HTIq3tLP5Pb9OgV8X0Urt7oc69zNg2ZwV9bpPowvDOgxxfUwZIF1hPiDO
drIu0+QDvG6KZxxs9iVEyY1TlquRhvA5kfr41jSjdSmxxn8ghult6MfGuB7HfpmkJ8ILVwofQXI6
FIakPnlO3nWBw58y2B29h4gWRDmyIVcujcktnyEnWq/qMnPL+a+0+UvL58mt8ZeuqNuaNsAILdZ1
oeAuBFPUUcKUeduzTdG2lj4wdQ5bCUTZdReYs3rSbDub143DQsrM1fndiSkxmMcUnxSjEXvEVK46
J+85wHItio645xlFK+GnOkX4iMMg6aphq1OYgey202ec5tNwCk1jYrjZpo3CAnHEZV1139OF/pJ2
7f9PMYiLLPIfK9y2r28/yzKXv/7dEmB+sXSPMDzDAsdI5tgfGhD3i6OSz0GwJplnDuJzxBnfJSD6
FwNROLkVbJDJCTMQonxXgICWJSx8CZtwlzA6EuD/G/jYb7r3JVyOTH6dIEK+28/CNnPRWbQI/eNG
pNdmhUKfaqoOxlY3zj+8IP+Jwv5nBTp2rSVqGqcZElO0qITL/fyTABlOYTGx0tQIcHFEyVKZvDCq
F1au//wn/ayo//6TEAQiqOeFIv7k55/kJrEoWJkAyhYh6BCT/f84/avE+v/k10Fqy3vmkjJFBNQv
gvrIchvRMM62ElbKZFlEi9GT/Y4eV/+K/GW5S1LLD8JZ8n4h1uD9WPIiERMtEt0f06ZCo477yMo4
JyCDoeLqRMhSrKAWFWPuooqxUuY80dzaQR5Joz+SW01IqEhmLE99aJMzMSPa1oF8R8xbXXrSfGUM
zYjmI+uq+dbrE5Ud70TXtEqrUtfPUdxml9lg6M22oyF4F5iso8CyemS3SrVsCGk6SHgcxlI7/z/2
zmQ5biTbtv9y5yhzOPrBmyAQDVuRlCiSmsBESkLfOToHvv4uMMusJKZKtHzjmznKVAMGwttz9l7b
6GZ+USad+yOroQyEvUjR9RHC7fzI1gy5DX+Fnd8uVceDzcwwv9mGzjA6WRKfmDHPjrMr2jLwz+Pc
c+mDSUvN14Lt7n4cJv5uiyZCC++wIigcpZD3QhsPZOeE7T9n+w+I4CtocD7pXkyPaW97+S6g/opQ
BecVOkfgA0M4eFZ1PqVOB2fBE/13Ni9wiqXQyzO6fP2g52qT8GTOVdeQv8RdJB3vtPbJVIeLkFA0
bOx0K91mzqNfNXZLak9jPPcj1obYror7eHCUCkk0N332fjNBWRBU+fjo53kpRWSm1fCID3/8QEQJ
b7qmjvfF9mRNbyyh4oReJr/kUk3w0Wx7uPmGPhgeFYLB55o43mdmzfg1XQIuIzlVMGsXN5RsQ2HJ
/qtnIrrcrSbfjDASnAllUlVJ5FsL90NJ1e2JTcikTuUvxIqvnuU/od2wriVEqlulEhpyk7SAw8hu
Kh40qqUOPIT+sLZz2uxWoos+1qPCm1BTqPxsTnqTWI1L95wFwfCg43L+3BVG7IcZQp8Xhyv7xx6Y
bHmQyzBfqWLWS6gxb3OCXRN96QfaJZGDq0Efpq0W38U85y9T0pRA6QlrcEIxqeRWcg0aMWsjEUfl
6U/FkT6+ed4hT4YkM2TGZSnLWBDGV7fmTgdD3KDydOrbAbEKZ0D0EoQqq0ViRmlAANC0XKv1lspJ
clNT+v1SzF76jCUz8e6oGSaPo5shfOsGCAs79Kw+6bnGOA9hNwLd5P/LZt1PXeHSMSb4kDDn3Gxf
+q63YAiQxvdIMQqHi/Rm66VoBoLPOjfllIr/ssPc55E7yHHYKK6NVRCs1Qxu34Ql1/672vJTYDI2
l10yq+0mtPwe+kjuF8uXKc84W5Ud7thQW05Rhm1cMsvK1/w/ExHTNzPtBYwZ5dBGq0djRu3Sj829
Qtp7X7DsB5ESbvqNhIQ5oFWcek+V1bm3UpHwsGtKj0YyPwx9mloF6nYzl8qLJXYQx8PpL9p9qQXj
X7RuYEftamnw8HblPEGVzV783q1ulnbLV11QsXdh0IP/22W5AOuCV4ELuwWhQgHv0tPjir1m4LYk
+hfNALqzcvnYBNypd8UAh6g39fLdnzJGEhx1CotxWjclvdzY3xcJxnyOSALlftHkoxF1sbY/K5bM
L5BA8Jo6ozV3EQuOqs4CN66/ZtWSGGHvWrRrRbKoHORMnzQ7K7aosqZpmyPIQLsEEKa0lqum6jho
C9uYP/DnqntMtfwGE88mJ1CRoupJktT6gegsedSBptoYNG7f0TqKKQrWJfYbnKsLQvGVGxNQ2GaG
kUPK3mEqxAr/0J0iHK0S62ecoEDsXXuO4Xw0uT5YTua0u5p8Qf849U6ud1MurTl0s4kelmvOTybl
Xw3QJuNnQt9NFxxshWQxK5vixolNwz5JwYk/yFrhR3apkyYUjqrOh7KkS501pmoplCPQ1J0uCFvh
Ov3Di+NosmjJj76y9hMiSCTq1O+D0Fw66oNT1WTc8FT2YjNaN+/sSJ5wmfocZvNitCb4TjPVh3QM
0ic8gtlyToU8+Z6Zi2PvEyefbuyywiGd5OSC7CgX6Y8j8ZANH8HuFi5lYPTAkQUBagrdBBn3eHCe
u8Kc+he0ZyMhvmIkCt4qWxbf3hjMU1AnMgizuUZi0HrKfqARnpQULjw0P4idvo9x09nhQtQ3SAbP
PVk+aJSQQxA3aHsdrJOxyu6ssClZ7Chtppd0VyhqWrF9AUSv/MTlN3gmzVJ9MX0NuwqfW0IxRA3J
Fbnp/fVgidY6BmbSTPuGJu2mH0qzLKpUmd0DWRDPc5PpO9ucN9GD7UJIafohu+EWkYEXX6R6aeFB
PCTphEZ8mBFyoCIHCEPXdFIFPkCvexasbfty9JHYjTJunuu5nG8batyRXSnzhm3Bu4bRIeadoeVB
Gp73MvP3LxCO0kkipxtGdYI75n9YqDkzzhPFJtPlDrXK2av7TzECsrugcvRyUNLyvhV2jDbHbEvo
LZ6SxHhiFHRTXDKtOjcyy8Hs7noiQQJPvXCn5HZBHsxUnQ0MvueOtwEyBbpcGU6Wt56I2aMlUSVY
B6klOR80nY1mn9KFODm1yYyc0qD7mEye9zXrEOTs4nWar1rbVXFoUOrmYjTk1Rl7b3+sMGXUO5FB
NGRsml8bREFGiIiCDSQfl2Kg2DkxnEQNZYnLVz48rUuR0AhbMlaATE39Ar/JJlybAmp12SzOyp5C
xgXCKaoxTw6Drzh4a1PeLty6f6TCaq9HNgrGEbOPm/OUoOYdtvmRY9l0I1MkyiOi0KpRQ5nZF7xN
KQv75Bgnu02cQ2ZVcR/hm5htsieIH+C6O7E7zEjG75NXV6R4dUiWr25JQEdjixRiJAkeYhKfa+Y0
GYTDZrRclDXB/DSsjGZyDzSddzoM7Mr7aViDlJY21f/bGuBecWt2djld9CaEausMxbB9K1/9nkL2
fHfWq0XQebULssJ3z1ORkD+6InbyX42FxIBgMsR/sBkOcbgXF/Vkze6ZSlm3GDiNae2HOZtu8kTK
5ggSwTIu9BIAMdYzfdid3yXrHII0VZ/ajHNnmPNH0EEV7XAzwDwD2lv5ikqh1MUevElPk8PJaX6q
EcUgo63Qz7UxS0LdfQlz2ugoVWMtrLKdXYyp9cHKmXFsJIa8lb0ckgMGS+SnvfZyeTNIlzNR323G
LrFK/1K1wpsOGRdhN8oT8BLXKYE3Cx3SnoPdqE23vK7ASX1VeUN3wWFfhMRDglcawUmZvinUBJwg
00H7tB4sbu8Eb9PlI9KYn3lcEr9jYE1IUJJ1mM6B6/XfxnVC7uxQeUJwm2xIQFwcbDhJr/p5p6C0
oArpXbff6YE1WDSLOJvL0lBIkjz6iEbqtN3tqunVXA0TzOo9piIrOBQOPZ5yqjYIU2q0UxHh4Kbm
ZuKgevZms/f2clWFvck1ZY9rxKGy8SEbSsQ/gUFHsVqmgomRuuxAa4am0ApybRA2P4qhOmRxTKW+
HOVkn+jADzGyoySAJOpZCJKjhjOF+5UUA68J45hLCPuySGr3uW89C+N3Cs9/ooZeBPYVXiCq+WZc
to8mIXaod0Sfi8+IAXT7FW1w0N0UaD+8G2iYSPlEm7AHc65zi++vt8H/K0n8j+lxT/zvNYnrLPmu
fjamvP7+fxclnH9hL3GpO9D72eiV3JH/4hSIf5nuZlkBt0qW4qsz5T9VCQvTimcS5+gD26fs9R9j
CuADd8umAY7vsQX4GFn/gTHFw5/3840Xvzp4Agr5FAsE+eew73+98WaqY9nuGtSx+MkvKq477Dfc
AeHgd8r5Br4yzzGzx8I7oRfBMdb03SDOQQbHBjuBZa67tJiW4iamXVWexy7Wl2+pv2TdzewDTRJ5
unKZyFvimu25ix/KlgNVqF1dvzh6SJ97SH9XwVBzk+NA0KY7jnnW+ShUkzzP0myTS6SVKxqTgUav
cONDWceTB56uFuUhprej5yiolLc6+0AU2Pw4Y7bqaoEN2QPF6od7BWCRUz23CARFNKRWPOYscjsn
qdP1x7K2i3eJ35yFBiJWe/Jz18v3LRz9ZK+JG5rXKC9TG20p9gBFO9iZxPe6o0NaM9fLCSx6PTY+
U3Wd2fdO1eINLNx5rOMv/iAX7h3OYlnXLrVpk8PHiGAFJGiKtm2dFD4Iz3DibxDwxwda7/SXuyWu
O8x/tTiM04Q0BhzldLfg5aBj0S12ApNmTm+KsadXYo1Gi97HzlSkZdfhDRhZXCJwU2PLtbU3I5W3
kprzUuH7T+yL2BVI7oelfFxM1l5Kr0F+PSyGL3YWfMcXcoi5DAy6Tj8GPZ2Uiku/CGclp6iynfwL
dv6WXaKkkhGZTVbRdmiVOos77By7IpApKMZFuFuDNrav0QehuM3oSJuRnY9P5kyME22I9QP+u3lf
APdDTSetA4Zh9w5VT/tiy4AOlepm2kKFWT8uHHxOCFmCOkI9tn5GtOp8A5AYmLs6nd1mn/nCKA8I
R0xi4lGOoRxI5cfKGuk5UElo1viEG2/rK82IoHAeOknzqZwGq40gE3njl6RTurgEAzv7l7XNWQuY
oOMuVnxER91bXwmEqhCDUXTr1+t2TQuOccPQJjuV4Sy7ZrknQoV5UTQHgUD908oue2F3Koicwr3E
QH21BsOPsSHQJWjHBmwfzfS0RJE8gRJAUJiFCjFmRLNq2GufCIh+FiHHgPo5d9SnRUHt85NERGOL
hCbUnv8yq7aL8A6hnunyhr7J5JyKefUPytHHRLaKK1c5nQg1XXec5j/TMvnMqdM6NvbQH1ZyH2mD
teVRdOOlboPInLPiMPCZT0vZHmXvfY6pUzV1Bp/PM0IM7dAnFkpAhlAaJAMqPF0/rov7zCZ+wW6y
X6kzHGyCA7+vpf3N4C6e+/GNgRfnY60A6NgzIoWMcg8YhWoft1JG1kJPeMnhLpWz9w0dM0KDBdVg
KuckcrWICjbnoz+aH9ZO5+j0jX7XaHTTK8ei54nv+0LHwRHi6WVAaYAzkyMfasAhQ5OcAxL9Ynfe
xxlb7G7Oyi+BMwCqsFF/TsZ43WLWeWrT6lZK/4w6P1orM6f9SDsTAgaW2Nb4kKTxKY/LhzQx8g0H
V0fUkuddL0V8X5iVe9e37b3Tzk80TiDTEgfZD2CHkvLkNOMVLMzqnmJzB5VwaH64uWkcGpKQdjJz
WCy0p5fzuXXv8nndHBcTB/ZEu6FKujkknXPaqdKWnDIqDfO3RoQxiY075U4rIi2uHaots4PvNiKs
5die8nL4Aq57OuSO+42+dHHVrQJjTKBuqMfMlIAsCkmxG1yC3OCNeCDoFqf3CVBDEdiOzp3qzYdy
FgCsLYTSqV3cosM65bnE29s4Z71Aw6vjJ6iaz3VAeRFPtaBzrh8Gzbmt0io+IGtz9q7Vp1c1SY5d
MRCi4uKmTqaJaiZGrZFi7rnTYjLDn3dlZYG6SDqJgNUzitBDwLB3i+nCp6jljf1Na+QsIW2WRhiS
qXX5d5XpdOfuVKrj7M2PJbW3j6rBK1jOGvOTKKlJDFKezHg4SWpn1z4i9Qjjx+YVE1FmdZeDtveD
rJBKFkb+lM3WUdnJczWP9qdpRlpc9WjBCcZChlLt884MThWeDQT2U3tyZnXf6/Fb5TZXRYFpDAgp
y/X4GVLmU+8b/o7FxrjWAx1HhlxJl7m9pcypkdHqezCS+oDK61zM61WzLfRzefTGGLQnicZr4dId
YEaFFImOmW0fixF8uJuS3tBM0862Gpr4QVQuBqOzM26mcfrWiApgaXdtmd1Zvwp6hrV9y/pWXVPV
JO/Kp5WW4wMJHaf9ttT63hH1D9kjGkMeAq0lwVPWXE7ZgprfXMoDGulbuIoYswPFXNcGckb7HLXq
8JxOM0amSiMHAbNoErlGz6xEG7p2L02z3FQlLrCkHV7o5y00I7P6wlaZEWJaxCzYS0TZyR2KDyvy
epyfU/ANq9aHYSjt2yZ3zt0ZGwkZlisNvZj+94mtvaC6GsuS5a4WztD9EBC4Pg0NgxEVddlAnsgn
wTcQzJZNDXzFnNF4wmiod+nBZkvxNnhqOqzmZzutlgMOoMEcwtSUjKkDfu1Ov3iWWim2IOolNHm/
mhXiSwu75dhGmOvg6obY/2nefPLHokApWXVYSymPGw5KqtHJKO1RoUZkIACtjs0PaY5eU3EbNHIs
V8hQU+y7cZ9P5i5Lk5k0en7YnpOT7Gd5kcHxW78Avxk0fCd8Lr551IIquzxiPZxRUMXounV97Elj
MY5p0tenQNmTvOfLA3dzTfFMnIslDW6IxdO3fZ+JZ8xIEvcRewV6HjaGVH9UnlM0zskzUhcJXjVZ
h051a+I8FHNNFqWVkBVCPdNmDN2Wknlo7BvDmsUAI6/ZOhnsvMhcEW1WeYvjjWt39Rgv0hIRGeD3
wqzm0viALCnbhBF+IZ50Xc7o2NN88HcrG58j63Wgbjnadqcv83z2cV8B9kntO+JgYqplTqXDoiAV
KT+2ZeEg6LG4ux8lFJIi5TZtlmNUgtNbriopxo6mtlk6VReRbO/5vF5rrelFxWnrmXu/sWpKd0Vl
AcYFS8K6UKxsNNc0wVR/08dCscgigfRplSz4tqy+q456oHS2SwK/z55qU32h9dtm92aCgvyjNvMh
OfMlnf7nzGag7jlC3aCaz9lPVhl76hBvVau0N6wmqgI1oZueEdemILMh5Kf1dOynocOBJctkcKn/
Asb+Ps3YD2/wBujhcWgqXZ3Fk9BxlHYcy9BS8dLtV5mxgfdz/eRTZHAP06sUef1Ll5wpBVF82JTL
dTbF6ZFeC9fl3Jty/VBvEui4wj/Mjdg10ZS+aqaziaLOdTppLoRUUbP5WOtStOTj5UN/bm2i7Dgo
O++YxiIXTG/U3CjToA4a9Fn8aDUDSuZTDK8WScDY4GvJqipqrcCA7muQOJfQFKv7oauQiTZmunxQ
S4IjgkSQojwzqUjYn9N5Q5rXs2oKWvZrH+w1/XdMmdmE4yqx1g61YFayvq7DsFOGqx6py2eh1BDS
e78oz6tNiT/iDTgq3a4Pkvbd0/iXcN/6S8avN0n/XEANCWODwmKrcSFZqR7Ogrx3dtwOjEsdeM0Z
QgD7spjG+bSCVDwzeq+7IzQKoiBtCdps/RwNaODO3RWFz6p9iXrSSc+Fz7LFpzT2FHvwDysXJXQT
98XJ7WL2McDxF35JrpGH3+tgZW7zqS+p3PTCJ3G2aW1E3W35dcAXep6nRv45R6F7aYyJ+lEvtPBC
jzP+dxov7g/VrsQDCE8az+AxK4AZzPJrGj353qykg/QXKQPySG4NZuOPnHsyeUi9ipYaSsPnBXQ5
FlaWkRP4Cy4g3XAd0CvY9pXnFjlsCNgGOUbT+TcUagsU1EG6byF3h/To8pPWTWrvevbKMwXz+OCk
y7PRONiqimo5OSrIqScb2ACIpcj3WcLCaCSFe4ZIVRyWDujkKOtHth3i/xbdPtrLlOxRfs8oKOP0
cysqHfnlgHK/H6hAbwaeouV6siXiHIKR9SakOjY9UJ5RkVoyL0q5Qu38hZq27obvPcWwQ++kze2M
S76qp+oSTL/HnczydoXPXk6YQE5Nn5yfsKwCiQ0Mt6POxnus4SluHBvId+Ue7MSDEZlMOMFbYZ6b
SbCEeZdlLxXWhiP47uYKTF9BT87MoyLH+NslhFjK2QbEYk/tA5+EI+oSjNOR3uPCTTJ3z7zYXK8R
RLZnY6w8PviEaFTSLOeTDMXh/yoxw3L27f/9jylo///3Sszxb8TI1z/wb/iR9y/SsW0ysk3bYQny
t+7/X7UYw3ReMUZgCU0sUWKLX/23QMSU/3Lh7UqSTTadiCP/Q+3y/gXWl//LP6gt+JV/BO0yecZP
2oNN28RfRC2GrZ/8T1qvv1Zi8kEndF/SK0PN6qsmOi/Z4UydvucD2MhIZJV945iEpkZYkeNxj5hk
ai4yHN/Pjj9Wy1kx9HMd/fT6fqMl2VQp/9FD/PUzbWmPEtGKROfxRktCLEMnpC6v1mVpP1al4Ty1
81IGEZ6W4gs3rPk+oBLwiFoBTe+fH7391X97NNUv3sXmfPDevI5ylgZ1nvyqblHdUht1LtEQIBVA
/HyDhTJ9/uePk8L0gMBIh7j2jd/yEzLNqjSJ52V+5dtlzjkcxP0Ls77+EvtNF01e5f0FH/uvmUG/
1t3+erM/P28bDT8/L2c/Y6+6MuVKmb4Q7RmWDgFInv/88yf7VaXz7ydJXqAPWssBUPnrkxC0Ehy1
FldGWQ9XtMSrszxdpnfSQX83ULYQOKpir5mdbx6CEj4YaVpesfM0wOFz84fqMroprI9nkgr289i5
c6RKV77z6TaN0dthQmF1Uyp4Jr3YN++xpxRR10l6lVCptMjsta2DVczJnb9irqn1OF1ogAq7qnCN
u5i+gxf+f7xdgi4Zojba8k109vP3GHhqoVfA84tGsF1ylAL6pf75XCBglCXG93gKm/GvDykcnxyA
Jr0CFe28jGIxjqZY81tdFOkVtZ7h5s+faUPkvn2ppo1mzXR53MYx/fV5Uvu4opzkCoJyc8HZynhs
MpndEIoQ3/rS0E8BXbPj4tKWF2Mh+gP5tFwFxVwvf21l/2SaMB23f5mW1t++3qmeWDUBDw1jaVKT
Ke0oHnuaQUEzvfOOfzMhLTgoYKAsQca82KbRTxNyxFtZVzF8f/pcjxY+yDMVrDgP6RWf3nm922R4
M2ahTkGCMS0bRRuo4V8eVXWsZF5uYa7KzE8Dr/KLB4v7uQ2KdTyfvcQlKADizG7k7vAViGmgqZK1
8ztR07+ZOTb7DZ/UtyECWm9mjkYFUbeueSnbcSlDp8f2hPrNvmoRgMFTX9erBfvY53UpqzMM1v3F
n9/Cb9Z3W7DcmuwrztZ8ePMS1pQrimVdNknhn+SCZ4BaMV7eYuEmZdbJ2Z8f9yYz7XUZhOxv4QME
BSbYZn99Hs4i7v2BvAQFjiUFKT8JdCN2EjssMN88zqQhXiqiOR4ywzdPBkyQB5UP4zvLxe9e+s8/
xZtRxkIfe+jTL5UGyiFJMb5GPWftKBa4t8LpxW2N9fa44A86DjSQ3xl5v9kKuJoKB74uoYX0dH99
B25dpNm8mtTAqvW8GKRzMqdEvhfT9puZBMrJpH1FYAIogTdb6TCrWLR4B41YDPsYHsJxSCux6816
eC8I73ePskhp2FDbwuE49usH8pJ1MpzJvAwQQ7qYl3BnUUVMh4NhTb5HMSChEyT6+SyTi4yobxSX
AOQ7SqaV02H2b5prx+6sa42GnYA1R/nvpSpuc/nNXLdtBP+w32Baibepin7dp4bt6EuUHcvlrHp7
b9ZBeUP+iHtcklTfrZ5KvseN17434LcB/euTTXrsFkRPNkYiLd4MeOpextQZ7oWxZMWHuMxyQIn2
uHcntz8Kp4RgQG4e4CfPwKWVQVJuvOqsdmVz8FzcbiHSpvmdU8JvJqEpfJPvyUJszZHyzcpn6XFu
AO5dTKSVHaAbjVdEyQUfM8gKuH7S5A4t/ngKzGWixjCbRLY70+d3FoK/b24mdQJpk/FKerK19XZ/
XujztFuDpvYukHj0V43JfV4mcXyNrdaIlOPVd4bd2kdN3ftc27ivqtqqb9wGV8Q7P8jfB+/rmyCI
iJeB1PzNbMxHjeEUNF1c9fm32MXEnDj6zESLG40TbZjdUunhmAyqO1nwa34QPmE92iqgy5Va61kK
QJo7sa2u/Xmx35tZvxk9kg1quylJjo1vZ5aZyYoXaF04ElXPLhhTJxqxCZ7JUY9XXfU1FivAj5Wu
GqSUGNGB8HdYCZuLuBnAAGAgW76+8762DenNgJbCMtGa82Ntze9fv7jEpgRKHNGFNWYUjiyvam/W
rFdRO3D2SDDe3C1Br3bj2H9NNwYPnISAclqz3KYKMeE7J5PfjWV+HIebIV8j5883WvF27mGoedZF
gvrpqLzYNUOlTTsctRr2azO0n2x7ae7IBgVx3NbX1AXtd3aTvy8uJsue45tky7AC2m+m00iIoreV
kcU0eIcsK1HPmKMooqGziqdxcSE7mf0Txm/79M538dvhwTM34Cb037e7aVbboyg98yKv++5kG0N2
RFLsHTynpICsAvOLqX31PahSFuRCZPGZDsozL/dhNvF6oqoKhnfWlr+/C4dDBIIKzBUcW98uLWVt
6JiwaHqRzfpVKJOhui7oMt0isfudRW8T7g1HvJMbqzH68+v4+75KBgjKH6ACHC7Y+X4dmbjC7QJ9
zwWWi/yO9Cb4CEi4nv/8EKKC3o5/ngKX2WQN5b2/PTE52dDKbk0vVm9prhfYCWeqAggyqQlizoC7
v2Q4HOEyZFFcaAz7TgtJ2EtxXJWjtT41g23nYU2hbP/nn+w3r56tRpCPEjhs+sGbFbWMETJCV7rg
7ciTbszqurKD7BDTnt7BwdHh0kD9ZNK+s5Rvr/XXBQFRDedXZB9bcscrBv2nI3uBkz2tK+Pcdwu/
pJPlEyQHtQTwUEqzHe3sHCMqpJmM6fHPn/j1Wvf20YQ/c9vFsUdp6M1HHugc2CvZjTRWmkurQ4FV
zdlACjVg4QZ45OBiSa2Af8Gxcy/mWUHUMpb+YGzSU4h+xY3CVoLbNR4+enb3IcAIebuajrqqOpp9
3ZS8KDF+gnJlnS+k0O1rtJM7ehc0YfjPd84Kfz+Le0Qx4H3ZTgsc2LaR99OL9FRWsqZ657Lb5kdJ
RwGsAWIB5XQ4gkkATG7//P7+PpS3B/oMGS4gWyDHrw9kuFRytd1z7WE5SUa/OxRFV+/+/JDffCpm
pZAOqqbthvPmIUhYCfujtYjRI76ZPBupSgdVd7eYZrmE85oaH//8wL9v6B4HPdRZTNBtPd5+/afX
iMtFcepQEL66LAp6Pe2h47gHw6nlOx+No8qbsU+NiiMv5UK+Nz4ggQG/PKurS+rspYs+oCDWBfGp
JEsjEfUD7fyFtNtsckCwxBVtkZaVK1wZdHKPXWICDdrH7pWcTY68jtFbJzHjYMRHL1WKE7kjFXh0
l/yDOZMDGm302GPpkSJ6VvVL8w1DcvXd0KLvPi421sedPbZxu+u70vo8q7K4nKwheEGOsaSRZ6bt
V1PbHpYgXMDz3vZTZ97PsV++qHb0KvwV6TiHEOdhMPF1jdx58eIcJNpcgJK6QtRlr0aCuqYsXwYM
oZfQx+c+qn36tshJegElDTYyxG6ahjeeIFM8dFtrfGHyqx9duUKsaLxp4vfCcAzHcix/EOulaU0i
d/qOTyS/44YqfvS1lrdWRjQpPhnlzWBaTfO5HswyiQzs6y1Qw9L9mjeuhBEEufOLXcGqh6lVIjGI
ZwEisUAzMZZlT7yNZxufKALIFNJf2bZ04eteX8BoBx2mbEleQi9hCYdJHOASQJbOy2vAVQy0085g
T9VQ+jrju+Lycz/ghgLRqt2AEdwuJpiDuiRcDA8IiGFsxA9yHMEtB+Ywd4c8TbqORJU4XUOJohXX
PP2lDLePojlV4Tj5YaVCnYupdEFRFgPoKTZKPxxQDEMe6tfARv+9LE5oDglKIsO35ovGQMYajVR7
+90gSkQo5RR3MCvcFhuOgxIrTGu0ySFYMCuIesufT31fEVQzdCkZKxieqwZMjhN/qNQE3BYEC6aC
wsjkjR1XRnrEQjOfD7nCckz8KlgkF1W7Hxat4ufpRF8me6SyToPesGhpQMW576HogOkRjn1aH1Oj
8F+cXGY2qWUDY2tDz05hUNbTZyYDiddaOJtawFH9sLeUvZxZvVU9caySLZ3nLn4enXT7Yoj/Jfw0
W4qzUXrqM0uj1rsEWsgnOj8prrdOI+TtNcCRmt02dNLOvkNoIj0oW00G53BdcGExONetXoVWjTEK
AGWmx/TkpxaPH4u0y6HMlfNF6YORO04Zt+ZQAQYvUMuAIDvP0gBDSFrkWJmMfgSgEA+eAcvMK5YX
+HR05buqrCXsi8Y8ZnNBf6/1VghL0GG2PJtmbcXOhHhK/5IhNF7YRI5mxyT3OKAHsunqIyJhCz2a
crC4II/kuFTNQV7tWqSOoB+rahyjbhlon5IUFJQEIxfTs5tPnsC746UkHTuEG5gLDbsDLe/k0p7F
esRyRlRag97qKQ6qAgAIppEPLUfCdIes3nS3wF370ioDPEQzHpaOuFTHOmm1wAqMHZH5+3UxqioU
ulYXDUGq6E75kiFY+IJ0dDfJ271VCL+IEkXKdDTTgkXx07TDU+z7+fDBG5L5ztFSlrsuzsg3sXiR
CWUBnwy8tsjwixWbc2WYN84h6AeWm3geuyJSHbIEKJc+KvSs9UUVDdk0Fpy1RGOFU+8CnWDDDF5a
UgTsPYRhn35e61X+ZbG0mJOWbtP25KXJkR9h2UY9a/3npCNdC37FlL+sXiHPK9H5n6ycJK7QZETC
k0T7UB3NeJXAZjoX2WeBH8Mj9rftP7q45VRUKsoE4YD4wKJYVrNOl6QCcqxtt2N2lsnxPhsLp9iZ
c1ODpilyziWjWS/XSPjXe4xuLD7JJKtTkjerz61uNn54me3AmbBd5Jauow0oV5rrFQR5rKL5wvIb
FrKfrsbFkDXLT9PcIvACueLpYH4Q5jQ/OVLB6BWVI0M39fN7voDpLsH5+VHSdLZ2yHnAXldJDYqx
wc6Z70FqBGh7LN0HoQ7MtD7IJPM+Btxpadk29BJ2PX61S9TE61MA5Qt3BlkYY2jBlCIT3TFX+Beq
FUnUZHPnhhOS0ipabHaW3TzH1jdg6dmVlde5s1v4hGi34PR9lLbVPvTZKp8nIhdftEdm+d5NMaBt
OqwbO1fBZ9KX5+vEAs1ExEdtuMRmC3fEipIgv8uqaYh3JYatFiDiLG6JzcJvMpQB30zgacfdqdYO
+DYScsZBVXnGTYN2mQ1wKOcTQtj8AZCJ+Z2CbHxT0kyDCCe0e9fELGi7DnkB3TVO2oSh8c0hrIBt
euRw3/rhhFAQl5oPqz5aheh+zIIzIg4fuNHhjPBoUy2X7ogErgdeNzEom6gdiTE/7x1nfoS06Dp7
4OdeeSaoBz12OX3oiHk1DtDjTVcBR0qNT4vhOXujG630WM4V3tpyDfIAwFRdInuEERPi93Y/iP9l
7zyW7FayLPsrbTlHGpQD8EFPcHFlaEGGmMAYjCC0hjvE19dCZFVmZbZ1t+W8pu+RQfIKx/F99l6b
IuUS7sK2ms9nc7SoNPEhRVcBIbTQhbB7zeiCbJ8bc9vvpsXg7AYT24twNOj7Drfuyq+ZxQ0M6obn
LhXsLjwRvxdSn9u5qC9rzjhhceDdZROrlS/haXWyeOIoGlfMWl3m0bEpIsscivQA1wQ0Em+WEULQ
HOkOBoJ316iKLmIkAvfd1YR02dl7+q3AqXGebLrYwg6oA8gKDT8OVBKlJIttF58B27KFwvoZFntQ
un4Q9q4FCQ/oqXrkzr3mEX94aWzOyer34Gk65V0fz/nNtGD3Piel9E64xAFqsV+FmIqOLn6na5zc
jqvX/p5gdIL5rlXx4Fa+8dE4MtEIKrVbRYOBoxrij0QDslwoXbsl7ToOHJk/Od4431ac8uy0mNp5
KKhxS1/HCcndtStxg3EnWS9x7E/GS9WIuTiacSrVOZ5abOV1TYUNRtnYcG8szh8mQ/zFw73rWhoH
OD0rpJRMnCFTNPOJ0rshp8p7T6TItEO74aMZgmBsMOkq1PN9Klf102tiJgvdZe0GwymKfemJ/nXo
MGPjvfQpsuh9L33BHuZ9evGUUSuqGX6IKWf2p6v86UGwLIQsbkPZCF3Rew+glMCCFRWl5CHWdTOA
pMErCDCNaToU68TjPFiX1gzBS1qMRQHc6NTI0usl8YKndU2WpwXh9dmhKEac6byXPEX5wPthZQKy
2gcjMEHgZrq9Gs2ckJdPSPvFXYrli1b2sY1IA4lnWinmZxkkm+3IJhcXbk4vmJxUxd2lbG8AvlRq
jB870ScUsAoxbnOWiAF/OputMBkC2Hy1DxnrsI3XNwazAhA3Ugg8eyCYPfjTkr5XRjdGo1zdm8AW
wx6Y15gemeg5U6aJgvTQdUz71pCTXg9xJwty2PyXd3Ct/RylMw1H+5zj90aQF3hehVl1m59loJ10
WqoHsmr+kUMmq4/50rrrPgGpleOsTN0a2JYbf8WpWT22pY/hx4V+HI5JUEwRNlWekw7HJ57nzKjA
deYLBjZaPVp5WGGtpQe3nCxrb5uwzhh0lfxjDR1s+JnEYxFVjebtW2Q1gtQuXDs5tNJNPOL4o4uj
Qa0QZJc1Fk91qcsfbcrvwiU61+5OG8P4puFt9aGLFau6CuIE1Hg/ZtQXII6Kz3xp8l9jNlcZwjHv
SUQr6PDBuCtNuAFTUh/GZUT40a3DewLAs1GRHF3/tTEyRAEDBuWz2VWAjhvNxL4XGjl6T74keaH3
w7phfby+U6xe/HTH2rlg4sIr1drTQo6zB3TZaEoFvLnwCeC1a8f4s+jl6CGbxidHD8+6yeXRMSCp
7TJSEc3R6TFV1oxezs3Mi/Og/DyjvDYTwTXPWxf8TWZi2iVOjq0UN7quQKCy3Gge27XXz7VLoi7k
Or0OEVUm40flNjC5ynp5xIuKhb6WI7Y/Y1ZNHRFNGb0TxyvRz2GBar/DG9tdsYaJjVAiN/PuLy2u
pXx258++hD1P1m4gp5Dwj9m3w6DfHKhtFBZYif05L0nBJ3p22kNLOIUX2BnjJ2MRVNkkw1LcspEu
//gr+PMIzpD72thCp3sjs3J7l1hNTQ19Dlc0IkE0T6feLwKL61U34JUjJQGPtu1g5Rsl5VknV86j
Fznt3Lt4yQQlwWlqLteuuaHiKx2L4hDXGwhrLeMqEl2efCFp+VRGCM8bo3I05levByl+9Ccz/lNa
2j4LZyF3X3MevW1Lidt0JKx65l2Y9pzv9E+mtj3/lD1f7aEcqrsgAZy466mEnq6dwCifSEf58uR3
oAAjhwjiDdREibE1DkgZajI5XEpU8pH2W/ATiyiRSoy/3QY5SwQeZLyrEM1Aw4WeXRn3yiYbjYeZ
W03EJWf6sxY4SQ89iZxyhyFkmlEqpP8G9d26WaZueASUat2XMS8Nbn/AEGEHRvR1UBwSh3YYfdDa
M5Qx4gEp7TWUGBuv+JVABKQdC+/DRG/On8KvjecuD+CErsqnDmsB6cJPEiXVogBloGFIkRCHd5wS
xIWfM6vtq2lS+mCAeriIng3toReKiZmsOmVrFVPpNvO5jNlDnQp9Q5VfPgHam1e5G6n+e3ftvh72
aC8b9E4aoAR7IC4b8gG4Vm727S0eydagADfjTglUfXkbe4ecd0kMtDlMTR4891SDAzxM7eTHt2Dz
P5HFvyBZ/Dft6v8ouHxq1Jj+ryf1+eufOi6/f9ff3HIOwUXSh7T9SUKDgZBIeH8zy9nOX12X0GLg
cwkkOWgjPf3DLMculvotto3YtvjC/R2nxG8CzISbC0kuYDPFVvjfyS3+k/rlOxvdiZItl8pmGw/F
vyq/CbFcKMflG3qr+SyKxNljYC4vDcyviBQx1JBMd+7/T3T7Xtb+Q/Xd/li0AJvIJm1j7KG8fxH4
QO27zlLqn03P/Yo7fJDMR/Lt8avbZoSoclNPNHsM0P6k9qdxV6XKf7aJyH9AdF2OTOKOOCPyZ+XJ
8GCaHltWOPZPUoZAt21vmD+JYmQX34sH88Bwxo/ILTgC+0HhDjww99rtccA8eJM0Sr/GIxjAnbFw
f7+hUcgBrwbF5C5JeBmQjzwxHA1fTezBS6QREAyyuKEqjTKdjAdbs6t6/i70rRhtK4zQ04JTfMzM
gVNSxQ7jKRZiM4DOyqtNMqcrwBQ2+7rOfIjbvMV4u4IZY/ZrSgNEhg4BGxECOLhUkUdtAL/it2yM
eIqa1W7rB5uq6o8J2fGtSWkoOs7obOIxyBrnxp2CKfnJ/6JoOJwDuRoH/GPkeiZlwU5yrVw8NZaa
fxoBrWXcJYaV8yTVPJEIKvUebnOFKGFwY0tUcqzSfmae6ePg0JhDsJd4Pgcc7Mo8QcrzhsiXDOJE
+THBHNVstOgnTWXc8JTaNEKbJx1Id5HYkTk03l0z9VMFcLVvrdOcGKnEum0oJ+QuJOW+8iHW+aGw
iXbvhkG500ObBWP6jPn6w+4nalLlxHWUFOTE5F2t3jvtztx/8jwxNDBT1XCFFwifO8Z0/OnWOoLH
LIy5RJNASmrCgnwPmK22Kl5Tl9vL6I/UL3HDWoKIWb2oI3RKem5MQ3EXIJaRUW4y03PCCb3W5pVJ
/O/gdVP7g4CY9xaTzzVC7fG6HZu6GaniUltTdBOXwDt6OVQdxQfZepYJGOjVBSZmp37+pQBj0qRM
RTSqWhonuxTD9ddgLtqlPRmgjp/UddSlfBd3a9Pap7ZxEmCCFU56xk03UTuByNTviFZNWGCKcYG8
K+AZlIE3c1HK4uwT+/Rs7xBh+le1piQ6nGFqP5Mh6fvIM7P2UldL94OW5647AKy03RCRQNB8wpPK
p8lmqo/kVCXt0VuA0487Pi9rkMc8CrkuJPuyiCs3csF8Pcq8HT4rKbPHiVINKAYztP8sEM1P19Qe
VdTGMF0bfc63KSiK/rER1jTsymIaL37WJdVRU3uE3orBZNe0s3+0SIDwB1fzeo3utQJFWxltw9Jp
QNsH/lbqIlf+vFDSbkFWBYHYCys70wXhSnIQIRPJQJRu0njc2NsVisYPwazTNqp/hpvUPuSweRgV
jZ6uubnSb7MYxHuTyPXFkehMYDlzhU84yJ5gxtTfwk8SLf0k/2h0FfS9eQbJaSXlRmWduu7VjTGO
kuf1/FurnJfnZZn5Ent6lI9u6S0/C7WWv1wNdWIPisBC/Ngm6DDQJRofeGfa6tzKXnaBZGbft8Zc
GAgGVu6FwTy4IDDtDVpvbmBq5iCYlvs4FwUdJWx9Gob3UhTBrgSsZtKnYdpZ+wcH5PREAMjvvyDU
EANJ/HW8kd5ijTsnaGzyAaKqqRzLawAUEyqZDdGCjzujU4CSFthDBaKJ2012wLicWXS3CcaWQ1Hz
T71JmFHEZ4XBQFwGpPIhi8hwOshr6xpTBWIm8xaPtXsJKmFnzombJQdwVu1Eb0Kn/fmg1WD85E0m
nsZoHri7wnNSj7GZqBrNDCNRaajtVuGf/GYhBXMwWp/X5WBwl/M+PIUSdfQ8hidGWWIbE2nnNqg5
ikgpG4LV24q34KZB+qmjgcvouiPqZQ2ntObKhuTi9ApWDBj+Glpl60DKuC3coMj4yGt0u2NbVUSg
eTVg3LaRY6fxAVsPFXqTRDs+xcY4Nz3BuMZzL9sjytoNBcY5/9TlakvyBpXkjEOgZj6jv4YQ080y
SKdEWIHU7j0nleVitiVtapnbqVr7x5YAjV9TWWRX+jmmM81+6822mvd9nzvFVhbbxy9WNg1/FtHF
P2GOCCtUBkl64m0tEH0T22zol9hJ8TpO6OFx6vKsE6n5ymkX/1mHKb0eueX+ySFUnfNx5MqcGAbF
PEMedASeGoEqPbexugmWgsb5tCcfvU+munlk05C+tEkyXgx49r9UNXq0GPoFbe4LrbW7nLuWZI6n
P2Ifry07gAScPqUCDc9xGiwEQfIOtfEHhwc7ssXWzS0nFpFVPrzUlSxGOpx732L05SFko+vojhwz
CQTnio0B0boSe7kdZn7t/+rmGKiJ8MHv8G0EoHAQU7P+HmKe/dwXlOLrXVTmJ8vt/lnV9FvuHB50
tBzBIXpMKAHExLXYIzcF2tkqmqVK83fvuA1NWW2ZPMk+swGc85kOFw82Ec8JuG/jrjN0z0OXIob0
0JZpKuhPIX9Pe20+P4gpCH6uRTeOe5PySQGdstYwTkx/6Y9zs+EKeyJyaVTmyTTsy5obIskajqwm
X6jeKAf0I8hpXRVvoCIflqwoNOrIAORSGoU1RjIbgWzpxqeYcANxvdF/jMSM7sUNk6+1gLWn0l8J
vRFU6ro16UU41u0cmqVSeSRlTn0AnBt+O0xb/9ZFISwiE0YskepgMzzMhsM1kiM443LlNOaVRL6L
d6rPmEE4kLXilpy13k2l+5KnUJsjdNsGxxcjzuoxrxnbn917Zuudc01XCVzG2qdyZbHpJO1Z+tL7
4LLZd+eq6U5BkjboorLgRPf6pRwJ8dopwmPpUZCMK4uijDXjYDqAa4O2vuD1i9xhIAI3THAW9hhz
faoJV6HW3egk2cGvat+74AvuTjizDR3BXZRmmMXI1GYScOL2k4fdI6WK4rrmF5PKHw3L4jofawpx
KKbmJRZ+LE5A0lnVDeucv0xTm3H42ojX4VxZUHNg6lqH2Vo1xUDYVRDnWSjS/VPN7n1u6eBBwx08
IbJbA406gvMj6RZzZ3qGuB2oi3jH2TPdwCnj7M7LYr3lozm/C0uk9gE/GPdXFzz+JdDav0PdNsdQ
LEn21Y7rfD+twhgPc1sYL/zL0fu5kOpnwzALhVjhi5E4NKUZbCAC9xcEnJpHFEW5AFNavp0gH/Md
tcyYJ+a0Su7mOjfegzzof8OcY7mfNgr1vat7uHFMC/dxTB3BhEjxwrulzq0WGfpd0FlsLU2r/VNn
K1KuzRrymUSs5RBqnn04c+XcT6DEIEPHHdfsSAkDG7ZugvxtogG+Ckn1WfNRT0ES8/03uLwmcUMY
n/g0bBGWa6KKTGP0n1BLx+TYpFDydoz40P3GYi5fkAMmyIIFRwwdIbnHPMiozwkGtHPTghy285yN
VCwki1bUJbb0LIUOG9SCXfbsXU901DyKMs2p5LJcXYXOKrdmoiYr7rNgMP4IOzEuq2ZgpIDM8l9r
PvD3Q5m7D3Icg7P2K6ACQV641i5NE4o1Zlqzh3Mn/UnsEJRBSS39SnzZdeL0loZs+VVXiQMBBOlp
h6/VMw4menUaCUZw4vvG4tYHWVSddebOVlyj+WyPnmCElAKtkWIfma1oZ27B4RCOujazfQ6zaVsj
L0yh3dhsPQeV1z9aWYllOIuTWu6nUWy/vFPwbCUD3XhUllL3dWdU2Z5Jhs9gJpv+bvCI47FTzaju
hBfKX4gCmTt/suRr1Y7a3a1gWlnqLHV3bka4EIecUGxzoB3E+Kr9OKmwTSSquoYhMqTRwJ/H7iso
84klrpd6T+wenXofMCbO+GarFXa7R9FcjPOOZo++S0wKgiEKXmceHUKU5nRgtPu8uy+TxYAt4QB6
Cuk0K7xdYZO85h0T8hN0UwasNE9+zE4nUXyXYZZsctnF7Fojrj6SwJ+haQ+83IHVOB/BakNJ13Db
hojvt/lep5K5td26vjgB3B+9bcV09hhxc6/ZQKKjNw1/nwLB8aNwTf4SNtndR6spkAMHujyfQV76
foR9wz+6g8aJWqKw87GgKIcRxFJdFw322gPrF3VPXjyX9LiVdMX7vC/Gep0wI1d76aiJiDDHKv1K
Bp3SO1aSzolWSDCDaNx6a+NI4dLwTfR/4KgFy9XN2zGV1Q1PwxSSVXLhsOf1lXKxq4iHsaz2ZpUY
r6oKFnaTTCF7vlGF3o9kKnmRpxaOKDOV4JqFa2U55OVQZru6clq6hib6srlcbfqrpXkizj7FYzv0
fNYNq6lBkpCJn18HriL13zxi/yMu/YWM5P9LXLrOPr76DHfvV82T9m+5ze13/D2G6XhQuCnBZpBH
StlQ2P8Vw7RQiQhqsTi3cdfIzYj2n9JS8FeBGkm8DAs9AYpg83cCTxnT//0X969c8LBCkeoQQrhb
CuDfkJYc919thR7rZH6exDRG9tH//v//zcZFjbirLIbufmDAOeBw4QNKY4Vn0OqabXRj2wTiY08M
SAyRFFKDerSLeylkK0I37UbvgGOmP1ReHFeHWPE5C8c6ceDTrAg7kAhYdUQ+EvI1yTXQrV7jq8fU
rjhDuS6kCXnnZDV2GNR75uAmSw8DsPAYeCBPi0gHuvdgTAbG18yWT7KBTKqrJu2bzd60TuBF1GyG
TkewmP9gGTiXBs0GtrLphp7Q815Kh56cCmOOdYLkkD8HcVl9eXVDibYBKBH8oYnw25L6drgS7mXt
BjtvHNlOLG2cPzHZ189T1rJxDKxgehuL0r6w6qGx0ssV6/CGhcz7ljZADJ9x+VM6gv0d7HXd12E7
NPJPPDj6xwz5Slw13eQe1NRzpjU0a3FoNPbQh/02MYQj8s0TlS3cOJEVYjuCstE/LoXp/KoH2Z45
ZHLzIpal+VXMtkEbLTaY63pacCWluEdfZpyN9TEbNjoJV8GgxzieuH6ockeDnumDLhqVrd5yO5mu
iq6vvZ1BefPK/s/HX46rrA6bap0UKGeVH/PWn4JdC1bLycX0GCPV0OXmj2+d5bTdLteBBR41wIsR
xsEIsBA0OAwRpxX2DTqlddvJzAdiusilDd2l7O88B5WD+6IzXjkQgF+hVPdlJEoYxhfNP+4JiCZm
om4kG7yN8mzbrbTcuNduO8yRnob5ruRHcN8Wg/vlzfJXvTjcMJIiH2uomWLiHITycTdxlmINpifh
eZPYPrW5zA+xClx1ZE8sq6sMfAvwJ3b+e4+CyJ1DntGihyYrncdYZPVXvRkAU2Oc4rPm2Xek2DrF
H7OZBQ2vSdS+//YQDrk726eyKJ1TXJfMMf5mOHTWVtEX/u1DVGWCJ5H5f3mR307FoM1wLZpWVb8s
QYKX0e4Mak5hHCQ/hm/5PyFI9lx9LwVaMfdkPbddgbU2zM7m9wqh2LYJcM5ZLLC54P02a6u5E9+r
h6Tu6BQV6Rq8LyYkox2fc7Y/bGw9Tc5Nb3W538sMVVgsNnSnugCA8Lbw8MG6XervNUjwvRLxO8l6
JG09ViWgYFibZDaA1XDJ15jGme/VSldQzoIm5cfP87Z7gWwM5IwwCisZc9vOjNw76av+Xtp03wsc
1n4scxZjkuzPthVPutTKC01rsvgcsgNqtm1Qv+2FaICF9gnJNy535vfqKI7b+Q/oKGTOai1ZLolt
zzQQG1FhvG2fxu9FVFtTlA7yrbG8CCwOuAZrNIxfeepgmuvsceLHfS+2ROndBN/rrjh2hDy1uJO4
3qelD3vHVSd2VPhtetdrWmSNlQpc0qBiv7B0BiDSW/kfb+jjuzwIPHdXdXG8QNuGMfIo7ST9FcQ2
pw9rfAGVOw3M1Wd9a/msr3SRDY96RE6GehS06p5SKve2WzinH7B5Z8gW/UK/qs+5Euy1O8SHceU6
GBb0nTB+pWVe77pg6F+BsvcXb5gWvjtNDWZadeZtBgsQlhrUT1b5Msg+YoVlTM9y4Puq2GXxrjVT
VHh05IXKm8zfgcYOsweqLrvHDGNIH6H3rT8pvTFfq7zkcIWcLJunzio6rp15XbT53TSNznLHbbJc
DuXUlRkdsliNInyYXPeHcq1YkeMZugOm7eNQcpqkHfY1nVLZg2M02PDkMkC9WgcfIE05QF29XqkB
APw69O1NO9QeaRu+ZO9AjChfNsZcNBffMNuf7ZLW3S7Bn0QtgOFgjsTnFsB2dvSIuWJZexiptjAq
WuXon9oYxiBHzsAFlXto+pKR0l/G4kwYtXnrMWQ9xABizKs6o3+A5TRp8g3QZD8vufYq6GDOeAPo
Plnv6zWY+iPB3OKYzAkN6zAfeeZBfOmTA+Lm/OjNcFZx7mD+2I5zbMBX8FRtSMHjGJtnkyYootrk
e9s7sa79dICA50K9Awd2b/BGljtkST6FbY6xJM0GpY60DevT/ywF/zaF2R6ruv87PeP9V/Xxz2Pb
92/4z32gQ4kK0bzAZU0kt63bf01ttv1Xk6EMJzopXj/AJ/b3oc0I/mqzQCRTsP0CbujiH1Mb7Qob
c8NmarMt6SP4ef/O2GaRGf6npaDwsPgginAS2K61DYn/kg8bqbNVBi6BsC/YjEUp9IrsIu2KigZ7
yEDZ81zfxHSr95I/Q2/NL90YV2zAIU0mtG5nIOU+Qc3DE8qDOukusjJN6ntGnQVfolZuxnKkSqr0
tiSYzeLN85vmZyYxAcAxTuQMRzD3rHdbzkV5X6FysLSG+mdyrVzMhzUunOQsjRqNKo7XtL5JMgPZ
2WWvpvaVml5JiRGgXw21BAcsCBVem6UCr7Pr7dzq4TuNs+NFSSvN/souK3rxWhYSGKkq7pfdAznC
modOZtCcjIrnJcEejp3i0pb6dXH0WCWEltMl76zjMrQFT95ko06fIVLrq1SYw9PcByP2hWx+7Yay
vSyyDviLDeqpZ98GtLh5c9sKxVDVnzC1isherOkKFx1zGmTtSBl+9wsLPvg4Ya5nvL/lKes4FMTc
5Demqe6MDMtRaasl9Gkt3Vkbxr9IZ/cEoVBdoYzVEcrH24Lldhe3ZnBVc0jdA5OPqQ83P2oPBhg7
RnWqZzyKS+q84DfRV6Qr9QVEa/0nncV4iTuY8UWPn60FDRd1A117DRcPzBD++ApXnnDriL09b2I2
IDsMdi31Laiw7ng3ll4B/zwf2w6Rx8BqW/yYvVYvh8IHNqHCvjWb/sGgAFi+TSlH05XkWY81rK5z
mAlsIshKSCqMK8IgO3t0cH3QqJbou1xnQBDz5MoFQoINBqGkpOC7QckAcYAnliDFvvYKunAbRXed
kJQkY8xwBUZ+ns7eD5u4REhX3XPheRzD7JtDM6D8ajbcLd3W06Ra0UQa99ThSd3xOEqIAVCC5dJC
TWVnIB+ZTEtqUg2pboYcgZGZenpYqT/0d4sOOucJ9Im9oXiVftMsUN2T045ZjBUzdfIb9iVNduEN
L/xrGic/UjM13bPhxKqA6miifbJIecdDo54arxb+Adf8RMFagsX+xC6TYtGARTBaCXjTdvxaxSjO
BdlY4KTcxXPCDfdQ3Mh0LIDuHK9td7K2qqtqYyvaOBuHSIB2A/o2ZctBJWj4VKrO9fCbrThUK6dI
6RGkj/5oTX6+7iif3jBi5dJvRc2FJ88Bxif73kvbYAwzC7WX78F67erk0bHb245l19HNxy9noEJB
QxHA89g5LwY/rnkdgrVrrtoBS35k4Kq6sHqPa6zdNPpx03LbKSJSXXoRyrTorkqfGSjK/NKYse6L
rXalLAq5Y0K8BUtLdK+fNDNfqNRU79xap92OZOP7kgv6vJvF/81N6Fzoob3mgLJwLq6wl5mXOo9L
X9Jlw5kSKPGCGH2hxQaRbWIF/aGX2sGvPOke+uK4OPMnZ0Hr08wN8DwKRkhsuNPdwDsk1ZzR+62Z
+PcGDUbDJZMZbZj48NYoneq0/9CkPGilAEbY7bWOczuSVLqLkOucaCKeGLE8IeykOYseg71Hq9ww
kZ64BuhsPfDlnfdiAZnFtk0d6ayg1jAp17fFBeF1HL3J2PmaKzGG3U83p1tIOfSTDJ1rnlNDEWXA
8/yDJeOd0fTQY50WHmDBCLWo8qtGIiMbsBgHmynqCtO5czVWqXtxu8z4HagMW3ufEKEYhNeZZwtH
cnegKRtCDFVc4uBL9UVvAezbIlveu7F+Gdj0HLLKXy5l16ALDtK/sgDLL2vDv7tAma4d8TnNRnZD
uSEC0lR3dE9O7stk0slcL9l6AQDX76dK41oA/Jtw9XN1cU0Cbo3g/Q2nsja/ZNakj5y38bUM1paA
wmw1yJJeteuBNxx9r/LOompQGlpvfYc72BwMvIHvrre5tpD+8+u8rMsz4e3iIYB3f6E25c4S9p+5
qwr0Lga0ixfEzTVT9nqZZjUesALaj8UaqNeOLPuRkzY4Z4VO0Ojb+AdQeTqnOAa5sKbudOYONN0h
wXr9vp2sxdnVtvhVaCFZ2qDIskqY7rcWjYfF7Y5UYFUHH4fCaS6z+kRjuXHdGqxQgR7K0Jk8XkQK
qgf+Jr53PevxCsHUv/Wn4bkm+SMiZE+4CO4q/mA0eRSids85yiOJoPgaVFGkYs1r0TQnPAW/2o3y
7DEQVlyOBM/LqqsJGgDvpLHooZq7q4TdpO8P82GVy3QFZ3Y9YIUgN+RAs+1Vd4AYmNAhM4/EnMSB
qqEkVLxth95dHpFWVbgUHnebTlGI4iNlr8Oe19/9Kd2JH4U5mF4OVx7TzE+g/AYQc6GcQJ8o44s3
VyOTuZF8uGjUl3Vd7aNYiiJKtd/cWKXFSrgSu0rSegUW/Dcmy+khmFageulzPywuwql9J1p67Ntm
esYUB6Y3M7xpQTRlF+GoP41uHgqsHUhJOHWd9wFjRJKnl6EhxZQqWiDmIJrX9AWQcKSVecea9uLb
dDSOXgCDMIPrUzoWC838MfW7a5lPFwSPfG/2CR4M1fy0J3FKPcz6A6GvEIvlxfOLq7yTy3kuADeH
2VAvRxqafuR0hIeUrlYHlq/33hTwb5lZQcAFFYvHk7fv30iLbAEB7UVi3PDm0LHTfQa8j3PJNR/T
IpbPhewEzWnZ8loaXfKTfW5m7Bx3WNYDBHgqaGqduxu+0e8dOjazMT2vmSaAEJYpV/d+8MpftrPe
tRT3kOeAJeh4vRMFGh7AqFa+hnXep7+JApfnbrQac7yxCkfhGgLGEnL75z5fLcUhk5bFYV2YVzj1
K3Y0wULzwsqGp18rhb/erzLvyDeoPVhL5ZwDPMY80lV1N7C75Gbttupiy2Z962vbPIh+kWUEFNVn
ZSmNB6PmdAkHCwYLC7K88o4B3u1felmCyiDCYTBIrrlF+VfOkgKbZpE5N4lja/9F0/Ir99ao83rP
LiC5NwmV3K2D7Z3oKXXu1HcjFRtsLnksHgvU9Fbn50lS10k7M4jLgVXzvcwX97ZNO4SjwimAdmPs
pUeCCKLiTbcrSxLW8pZoiEswyVNm3rXJaN7gO3CgJuZ9NLla/WyYph+mpXjoqVq9KxIalxaHz+7K
tH/UdrtQME6UeRHqMYMW1cHtegCqykOuIcrh1vO1i75CM15SCFZtY30o2+opGfDHjqPV7sBX/zS9
ucdrK69tE7vEDMB3PzTcBmsASXdMLSicfn07DeZ0l/CF3rF7O5kZbbMyXr8Sz/gFniC9pD6YydTP
TktvnAcvn36JIO8iMRTslcx1PM9NR7P15t0Kp3mqn3lb9RumiOHaSOTv2V1xGXVtcWoG8dIaQ3/L
Fcg5T0o0eMjrJ7x8PMIWf0mJSNCn6zacrjsDJAX11qTK9nxr02t8I4BN2avkp3LWDtnvcn2axFpc
nNRxosUObkpanI7Cm5OzdniWCPKXz7gS6hcrbuPj5PkV7nurjXSbyQOVtgRjtcHDVY6fk3Ie2Ai2
r9VWJexX5rszWgi2k1k9xLHR7q1qTn7L3JbXTbCaryIdIQk3zH5e17yy/zR3BPSCx3Wun8ysrl7H
TH2S8D2XAbtFQNDLmznAFddTdgK47X40xdBchNGqx1HBlCVRkny0o+8TYhHqrk9d94cselKwFpgr
JpXN4U/pCp1GzfikAIdcGUQ/SDVoqf4AWF0O6BH6WFgmhsXR55lmD8bRszv/ncW7uis7dmWJZ06M
8VlHJbdbPtMqxL2qbOYnTJfnMlP20Wxd63dpsmAkqmG8scit34eiS/fNElj7Ylb5nW6R/gbbre7K
YDHfgNbaB5PAe0QN9wsEKOjLjsaJTrF1M6V+qLNk2ROz7s/KhbvSAk1nKbnGu8Zf10tp+s1xHazs
yGprzpD+bDSsUvYxXHpLH9tRVQ9SjVHQk4uyy77q0frN9b6giRznm8ooezKKH/CN9S5LPHHki/qY
tsVwWYBBhYjtD3QpOPTBjFY050DJadETVzODfNRoCvIymoH/g70zWY4bybbtr1yrOWRwB+AArtmd
RB8MMthTzQRGShT6vsfXvwUp8xUZySIta5w1SiulEhEBwP34OXuvjT1qHbVR8SWsdHHdVPkdDcfy
MBg+cB2FK0WhFnI4a+6Mxokv4Tpb66Ii30wzfPfRqgPeN6f96phDcJUKXx2KSchbwZj/nFQJMVtN
gPOEfrXOvfHey90zooj7XZQHxk1EibQBQe0yvB6SlcroDg1JhScR+QHTgswb77ouCkxyb0RNRGY2
mhthcuAb2Wh+RExpmeAK0HJpGdxwTOd0yUijPqq4/B7R0V/Sp6eVbzmBfyiJqjjPPIDXYVnXC44w
6QLPzDwx1QpWEHO6CruxOzAKDM9bUd50uGaWTS84+/iQohdoUo5xmfgX9HGnBRLamP0RoZRngign
VtjdlSMZyrSx/FXIdHUTxYV1k831T0indmHK4rtu0/s2SrHC1cHE2tMFOj5ez33fs6fKAieIUdVw
fEuMfYHPObTpC87eRU6yghmyEYWDu7QG87n0sy8Rqsn7Kajws9FVJe5iHJ64X9aZ1vw6KIdfag79
X3ic917uE+c60ZCOUlNtNYj6uHgnle7NIkrWKY0CepPu6A8cBz0i7Qk/gguCgBV/8pCsXW8wzsyY
NEPi250FsqJzv3OcLb7DCwgbN1JG/jLStfDYBs59HnYrocPPKVznwkCAsBxK2q4I4/ilMvfa9SwX
ayrkn6kMH+mTEFWfJ81WIb06oPLbtVmEU6ic9rqffOtSsweU39T1ZafjsExCSYJmYF/iX0kOHsLF
cSkmJ+mT7wFywV1gNai4avLkJM2Cbx4t+CVO0nwFt2yrje4BV2Nxq6mIFIh5d26MYd1qRXxb++M5
SsbinJi0eMOcJ70r7fiOxlH9ULduf9myDwAh74wfnA8enUI75iL7ztAte+zprZ4nY0yomhH1+o6e
LBltOu5pTYtrZHSTc2YXxZp5oPYZA324nXODHyOhrC9DTz4Mwq/zpCP/hEXGhM88kQJeAizf9U3H
oC0zvxlomBet2XxR2G54RDxeCyO/LGqpbQcQAufMwc9t0/DXQO6jjQUc/6fpmf2doqmzcJkuLdtZ
kZaPPiGPLUY+P4yHXaMZ37s0KYeFk6JmlKVurTLRpfdDFzes20F1FdVFs+fIBlqqdDRcoRFJMYW0
cE36zhnu1WmtuSPyVAZPG5VaYqnnuoawo7TYx3DNF64o78uO1gjYfhN1dD9dS9NMzopYcgLWf07Q
uzfAgggJ03kfVmBb69tinH5EnoTpj5gHY71eXWRayl7plNj/cpmtK80aFijvUSLrZbVyxm44yMnV
t345HYVyzvvRZiRE8TWaaX0s8iLdN0llnieOkS+BL4z9An2g/Y2IQsQnRfBzGNnL57jlVd2pDM3g
UKxtz7XPc74cViMUnoH1gH65XLRQaxawx4ECtDgDLYLktjEgiEfoCsOxLvM5yUOkqzKdECOX08YY
W/s8hILPpaX5rPmettRTzbxO2nLg7SEElTDa9IIALzxMHH/PGJHL2xDn84bYkIaWwnyuMyb0wK3D
mbBkHLYtQ8fkXM0aTwvfBpJhX5dFH6yIIET3I510N3pTuS9xI+9FQ+4NCr+fdKCQ3VnRbQ2EY5H0
FqOnUnrg77LhuosrsaK7+VN2kTvHyqldKm0c8gKFUYlSZQ2h/kpJULftKBGGqtBiD6zTs5766eiS
WzQbGSLCAhTtjn1Po3GFII0TU9+UOPBmrv6QtdeaIvQGnDZCDDgNtEcZICQDEmoWRddbTcZorzpI
KEvIUPds0PlSIxJm/Usxjy8ea5TK9GUVaIzlYN3LotcPju3ne1/2xiaNrMsxS/cFrvKD8IdiW+XB
SPeURGLc7DZn+8aJ8DH1yHJiJ9xFA52l2byxNUqGozHsk3WDgGuN1Ok+94cHZsrdkvai/OYn1VOC
uB/DHmFwk9U/MJKr52er3oPnaLc0wS+HqWJer8xnnV12CYI1XvdInTaFZqOrTMZhWam+PINwG557
Bu7qIovsqxgmewtCfFsjJd6TwjsuOxxnG0JnH4GlecYZZ/bGO8iRxBdmjXWQb2OFPvFcNmq4RUBv
WeijUV5fedijITlFnp6t7E76BtgQYY2XtTFF56Gh88sqz9BHxD1l7dE3c7vgobQBs8Ye9EPMl2Tn
fRkQHXGC1gdjwCGWOl/I4sExjeMz+ZyIvrgL0caQxpsh394Tgcm7U/lozheRO3AmdAKhM7ipjZrg
GC/RfM6VqBu7jZ0WLHm1nnBK6cfottBrXzxrDe26a1v1vXYWVbnU2PQMA8MCl2/kdYP1ng5UabTT
SpBHW1wglpDyrBRY1VYUtCI4FKNldGtL4JhZsWiS/6VFapZV+4zMz8yed2kxBSodzlOl48SYNE9e
Ml0bf3ZK6QnNL73MVkPd0P0MaS1f0fnHv1eH405l/l06tdGmGxVlWnrhoUVK4C4s64QGnN8n1U3m
W2elKZ48mY2LOBHNukvj2R9g/2CKNj3wIPT39G+j2VY7IgrFRPRZ1GBU44hWR4pUcFMPkzTXEqnb
osic4oLAASL8ljmGjLksd5Ava0RmPwxeWTXXsm4znodqsHdEK2Cb1L0uuwlpIEVrv8OXTohSXxwQ
pk6kDNG2rCs//YyGHtsxSo32oi8QYQYIOqQmSsR5MKgSBOBrts78Yei6z0me3qWl7T1WTmzetKFm
3RSCmbsMxvNBUiKqUmVfcYJSWzTW7eADDyEAqYTio8l0i/ouu0qboNjHLqm/i5aW+cNUe/beKBxr
U0Zh9QXn4vjTILxsSyBpNKJ6ULO13/uSRM249hsMrQapTbAGAgsynRf9dKtWG5cBK4bDzIC0sgtn
qIp6YQ29+DFIJVlCpsIaH1M1pnKXhl0i15TipbUzWjPwtzz0bvQQhrWbLsKGcKh9GKSiQuVXlJVx
wA1hhWu05jiyzbCsOEBIBj8ckRUS4lVmSj7uonMjonxZEBbZ0NX5BmAQuRU5iWzZXYwdHaPKgiwa
3RrXY5yCcgGwN04TcfRBmtWURb7d9+dO2T8yCvIImePeMJZ2oZ1MHmlz7fSZpI0rWtNn/qiPmGnm
YIMxr1DY0qlN9cjZZ3NOSFCQGDv1o37GjCJEARA6VJ1W1m9VpqyN4dPGtljtEB8BXmp9gvM6PToy
78AnTtQ0HplLJvTgcrohRchh+nBCarWDdaFd4oAAB0FTkrhjB9E6q7tAAy66cu8VhVMjzEnlIdOn
4tsEt++Ljwf/vBQmGsvJ6L8FpROcDbRIkQkz/L/HMUiXN53yjd+6zs4pB6R7AXSETV80VcH9CcnF
hOOEqTzwYw0GHTi6uDIN+CmBLokfz3R08F58Yzvut8n3xC2DAfhOYo8nvmg31hDgjK2qAV8NZbmO
i21JCZ6tO6mwodQNQbZQejALkfl62Vm8uovJ0cxFQadqY3fIzVe2OYb08Gn5fCZhBCSWr9HGHShv
v2LPfa7zX7icRp0XKOyXPE3RiirFp2Eo84tmmJqnrnAum54DV9SGMIrF6OKtH4YzJwxQOvmpvA5y
46jcSttWzbh1uvCI+GNXFco9EGzT4l7TIwBvTudfmEwHln3tgoCKXezXiU+YOk5yxj4NMaYaW/Qd
irIj0w42RQ7T16XNU8nAPLkxzOhClSGeJ9zUjPMq0PmzFCj7WhLaQfPZfrQwHq9MkylT4Eb+jRgD
taMLEFwneHnXLopRHOuS7m3Ah3Yhu41o15+KKdrXbveYYZBgv6BDicWzX9AN8Br/Oi304Tvrbfq5
A4rF21ii6NXHS4KaLeAODTE+s0NqVRkxXSQDtcquxdYHp8I1xUL3UuKSemHsjGjoV2Do5R1d2ede
+fepRTwZp0T/3ErHYYcCYSKHFumKm7pH5dn+lV9wDxG/ozJNrLbaIzZy9uXArKmaU0CSsgF/0aVY
+BuSJlthVSshivQwaGW/Jr+Ml5hEJe0W7Vd523XxTQg8jBOs2W0cZpuLQMRipRWktfqJVS0E2R77
rLU/ZxEBaProEB2L4+2C+FsOgV61TaRZk2FPFrBo/aM9/6iVIM2DA1y00lNjXOHLwn2jfakgAu8Q
hlC+RfkDyTkoCB3S8yLRkyZIZqajUbmvxiByFool5ABjNr3wG4IeACR8z2zEb1TF+l3msBfgarhQ
VsBZS6TT3vA9MII97WiF5YlW2THTY3rH2bhWKLi/2WYGCIpF6wzCRboS7ZRiyouD4K4z2cUOcd91
1XGsKZP8hYUy65DS7fe+VRXm+nWTDEN7IHF2xMQiTPZdMrS8HobiVhuMg95jisJnQrVbmr06gzAn
w3sGH0FE+CMH4R0RljmATwxf5RMIIHWoPOUpOq2yLn5Dav9R2KKwRSjxn5UaKGxneu5LfS3//m+h
hrQ+CVPx8gtc2ti3lfhTqOF+4v/U7Vm9ofgjOYsx/lDXGgZptJipXd2BaSskxuY/xLXCRZI7h9Qi
rf39p39HpfGaWmhLQzpIak2Qmc4v2uTMhXwhra1HzkQBOTqLoaMf4zb10K6dTAuvbOFXt8QnDVcv
fper397s/8na9IqWc1P/379mR/bv/3eOi0FVos+EXDJu+Qokzxqnju0a+JrqAoaSQxKtKmFqCNm1
p46e5eb9KxFL8PpahoBB4ZIcgDrZJKPXPuVNmk4SOQ2JeyTKSoKYk0IBVrktXHRYmB+NEjIp0O1Z
+bxGLaIT9bFy6NlWidiklZo6esZh0MQhKbEiYgKkAJwubSQeP4zaHJY4lCef+jXXbZochKbbVL3I
/Hs/XAFBi2/bxrG0TeIMBrVlqxLj3B3CpNwHgNYYcIiidYl1S0X+fSDsDoReTi99y2hScUekTit8
l4W15W+ySDCJSGN0NCsmxSMjWahO5hF2fVpf5QrMyboB5hFfRIU/fMcoUR+qcCrsxzQacig2k29f
+VboXZCtG35PSLNBkW+REocusQYCsqLJN5nYIHBgNHQY3DjJL5NI9y5yRhKGi1Mupn8coDkuxhXE
XguQIIPI3GGzYAZEpreRkGmJBwXwINGjJT8Mj/d33+9E8jXTgoYY415LIxqhDIsx9Ojge+lveGMq
Dk5QDsVIlZk7tb4wmSjjfvEx4FvjSo88cwLXJJzMHLZUzWQCL5oQe2W0ogjO+y9lEPXlheVrWXbn
9PnYw+TILaujCVrqnf5g90NMoGMhjaGmHx/ONt+101v91GxcejBAbfAOZnT5R09jALDhLNa7MJb0
GuTIWQQMsbAvMTiqtL6Gu0MNsMKyqqOm1nsvxa2bmuZYMPIILHu6sptSYIQLmwgk9iVkj1a/8Wr0
rp/9iOy8ej0WqGhXxYT99BFMcl66vHnOODKOytCv0qnB4IQ9JDXrqlxaRYDDEOBigIFsMR82yxvb
aOv0Kg018xIhg1Zv6Hl36YrpSPWZkRMPUdnVDAGLSuYUehHxvysjbF0kNmEVwOZBQRyvJpLh0x2t
iRH1o8Bvs+nttPo+4cKe1g0tqW476bicHtoqzSuOTZXUacaPXdP6l8wjQn+JHY7gOY3fOl/JLKLP
XIIci1dt7tqYlrMeExvDV8fdeq4V7oy+RqWql0xZIf47xqU9qyloFyLTXGUqbI0fvbD64qzHMZzT
bqKpRAtvKIm0HbsAUVAB2oZgE3MiRBGpY13vvLKc/1UMndFC8lbIo9JiQl8XVKs0AEzwbJKWQRzr
BK1RbkOCs1XxrOeJGdNNakf/UCuKHcYQonpCw2hxarTCYQ/e2dTPCo0QP+gDltT96awq8ZqR9VTF
6NXQXULb6uAqN5pKN6C9oM01ccfoxCK8yF9x2oVkUGPIz6CHATmFejgWOznWysQLWsQYalBFoL2U
AY75ttAyAuEtknM3KYPiJV4lK9s5wlH6xm8yhGWgkFx9bZDq517FbuHWu6JN+7sYKpB/Qdd2cLZW
KVtx6w8mj+9aSxIzeshzb1BMG4ZiQHdqooWJyIPUtJmW5oquucCDCo9HHyaNwVwdWdqqNYFZ0ZQO
9dldFGjFOcFWerDXpJOU26r3gh+ZYXL4DSYr5cCdoLZFfB34JGDOEa8DY5XbUNB+3Viq0LDrOll5
AFjhkMo29VbHCb61uhXEN2qimP7OcMtT2dvUYFZg3veaHHAtiiahLsNb7bJYf5W2A3JhWxUMUdGs
uOgOb7yARvUq05xhzL8R6ggs7qvQMn8ORETEHxi1v0oxz6IlNoUOMG2dN6gu+h9+mcFKd5ad6RHL
/dRBQqURD16r08yes24AdeH+15b0T330L2G9q2S9eBzzpnl+VSHNf+N3hWRan2C4WIatLOoCdm02
8t8GJP4EOs2MFMdgRESExLX0R4WkzUFwdPD4mwQiOJZh8Wd/1Ejzn1FfoHnChWTyp7r13xdJ84XJ
H3Ol7pImLfimJ3WEVoKsMmLwozABgy0gAeMc+2G8sWLju8eBa/d+4TLXXP8ukebLAfHBeTCD5V3Q
PCclkjmE0ADbAsJmTTkRs06AYEVo//5VTuIS/rgM+lxh4+KiBjy5TJBoU6klDaSp0lVruyv9s9jT
gU3xtQ5j5JOtWNcZY70KcWrVO90xH0y5ev9T/LrK6ZdFQycQ5OAoAI/zugCthlJvh6J3F2lR5U9R
ovvXpDpOINV/5nlu/ajbDkFHntRnqZpxfyJg8M1ePU+54+IKHYz8ZhFyuxCgjeU2gi37XDF7uW4t
IG0tIj/IJ018HtboWBYs+uKAAFioJeJR+qhohTfkQ5gkv3cDFYqWw/wMdDLrIRtgXDCi5jsbAgIZ
gK9cv1f1JvcZgQVZ1n+bqvHKdAvvqAqwmk4S5BvXYTmmQZcB+uUQmnZOOi2F3UMp+Gct+cObqHgI
/vNZ6+IRPgCKh/rVajL/nd+riTI+WboODAvbomELRnt/riaW+gQ4S3KgotkxLzMvVxP9k8EJgcOY
y191pctL/udqIvVPlrRYaZw5qVIH//t3VpOTMLeZV4UI1HYEyxkXQjf/+pGfojLJYuz5yyy2xZlW
2sO9KlFDrbJ2gB7R9O2mrku1ioA/QOsmRvux13v7Z1kG4wc5AxwwXy01fBSBP4BvNZ8CzfmY+fL4
l+Fq0Rw7HOGZ+PXOQnlLczlsdzaTCH+ZmkFzDVPL+15SWS5e3LSrvx4EXx/OHGnStLIdm3qW1DHB
EfT1pTkgUP4aU86cLXhwaOIvvGx4Riq3wTVlfHCx0yWViyHO5sYhKjcNDBCvL1aMlbKgkWOjRphN
hdE+Gggit+9/o7cvQiQeISw8Y87JRQLOsLSttGIl01DsWUnITGKVv33/KvPT8XLBNDlDO9wpd/4q
tAFOnp6i7po8E2hYYmSHlgYCefDLO+bFz76YvmJl3TtdeoXYYP3+dWeD8OmFObCxObFIC5ya85+/
aBVAmq00v4FmDL5UQxhMGCcTtN4pP3sMMJqNJ7G+4xXVHw2PrLpBy927gFhSRBldDhkSF3m08qwS
HLBR9s79OGoupsHUHT6HRkfKuymBwaAJEdpEGrKEYeWqCdJTDee9qR3+a1WAYb2Fm0S7VsXevszG
6TgOli33EqE4PFxZI9/OKxq3i452vLsngMgG+1yZrbXEbak90Et8qPjJ/J1RtRh8RQNvZ21FsxEF
OTMC2VFZzfB3H0BuNDucO/d7pCV+rQkvfzw6wRriXkj0WR1fEFaANTNkwv3+PfrLO2Vj/bPY2g3e
Z1CRJ08g9NU6FQ1ol15vSuiq1LyT7g14fjudPjWb0vvXmwuf188i0RoUbsSZseBapw0WpaUFmDTi
gwREOphlmcEGWcIeK+apNgH3KzGS7ff+Rd/4ksowDVZvy6Eqs04qBtcNcIgrGiF23F7hvot3TQCj
qzfcKwTfyQdf8S8v9byNWIiJBalObB3zp3lx4zi9i64STruyA2wjadWLFfGP1QffScx35tUvCSgW
PzoOd9YnlsPTOycKFNwsXKveirNvmDQlihGnAEaPv8O5QxNOCDk2qdXkM8FcjuheN1kInXshbWy4
auysy7Amr/P31//nxPIvyuwXz91fgJx3mDpfFhi//vXfBYb4ZLsKqCbHAbqnMA5Ygv/gJei0euFp
UkRQRugwMS2avX+yOMUnXkoAjsJiDTeF5I/+qDDUJyHgdGLKI35T5+X9W867X6bAF08Te6rNhi7h
cdIYcPnvne4ROpJuOyJJIEaYhtJTO7ejzBwvWmhi9bKy3Wp6hEU/HhlyuOI8qEmuWfahGxw1KdKf
Nmlt8QxN8q5wpHgPOKX1b0EfF6jQskBfSyAi1NJWaTCy8XVEQ8rtmsccvRXkwl5T40KXgU8/WdC1
opnStZcFiHkm+oQg2svAsTFxeKaZXxkJz/BOlpVerLHMGV9prprjd2SKlfgM7twLtlXdceryyXYb
6FPE4d6dylTHoC9UeZ8JYjDIuPeFujc0Ceq8EJqzARvekxINO31Yd3ZDebXM8kIY5O0Uo7uwc8ws
e/h1XbFFRZ+DXlLAiG9qswBy3PjMxT2ci+pc932mQEUUV5vIJq6LTXd0FJ2lunrSogEtsqMaRNKE
DSPkpN297RHBhFcMakh9WY54+xH64RJMpw2A+W68rFpyeBbzWRghfDl17mpqmSoTUhFb3vkIhtNb
mqXd3iXCAiDnSiihmwnWEwBCSXx9/YO9lPwdQc7LvVUP1jHMhrC1NnUQKvB3hvTb63kz+uH6oYfL
AynOT4jZ/qFLbTQjUWX267Ihl4B5UdwDK+6ElaJTw+/jeS4aSRst9jybxL2lp3ANYGWB/VgAS65u
nZiKcmv5bseAscw98jfC2IuXmnSnYI8GcdK3YxSV5w0Ta1CaXcGkvtRjKMrW6Pk/Ucj5xaKNG54C
+FxetaQuwzlP+kSEWL+cyh9159TBtnctGSEmihi623oAAmPSAd8vajxA9xHCXcw8I3YqJ0rBVEww
0GYfZul9wSZJa1sCVXrE/HoI3SErtryRJm5NTHG31CJ8sZpgoBkJn0ywPC07ObqWpn+WTl7nhzjp
6gBteJ0MxPX09r2CohMvkb1BpGT0GYyzezD9gTyjpn81s39WNWJOaIcOBeC6UYU6giIMn6fQiWw4
zGEOajUNjTVRPvlTgkTk4AcgWtcetW+KLM1qaApzKvgyWLJ54uhtQl4OUvtZdigp9uPkRk++GwVX
I3l54TK0+0gjL8VoETUGmoZholAjQatdi5IiKkwm7HGgUK7HPu7ChU7r7tCHYaAvGMkCMgniTLuU
mWWCYB+iflzRSe330SS7TeJXAVBKnczWRYsqvKfliNy2MBpgrs0c+YJsVCXfDBhyX7WmyRneh7FE
Queb6LeYJ5kAKpwG9m5uy8VoQ1zYAZProBH5AzAPJ5Sutpogy/qLRpPqFqwuBHMEuc1TNTluubZN
4so3k8uA1x06sHh8B9vaOni65HKkRcP802sCGrxNo903pVfCbehC7xn5t1tuYG341TkieiSfmTAa
YkDonF5PrRZcmAkt1lU0JdHzwDz6nkFMwGyW5554ByiNN/5YE//ERETRg5BdsuwqPXls26D8xhMz
6GvA+k6+y1hRcFL5XnFm16kpF8bg4wZ1o5LhR+4MkPktklsXqci0g8kY97lne68h8nbqHM0poEqT
FKrZuBNAO4dpUtU7G2wJxavddfAE3crcZm6QdCujG4JtAv8h3qvcADD3a1v7Z4f/FyGg7+3wWzgz
z48aP3H92L7c6n/9vd9bvSaMuck4szZ1Gvy/jv5/7vVCfSJNmYEmGzf/QL/h31s9rUmc+dQGDv4k
wZnp/2/1Qv/E0YktmuOboGb+O52E1+W3hezD0eWv5Fw6hooj9evaFLny2CHauvR1ttylqhFdLCpE
PFuicuQaHEt1ryeV0D4qVucK+9/F6u/rOhRAHEQpcKhnXl+X8KC8xPZyGfhrMl4uWCoXQdpkNAnP
VZg+m0jCao9jnmvEX17coavf13g5PRZvXFrSClYSrYVOFXZy6RElJPyO6rILjeqQRkXZrUGfTRs3
CoHRsnEGmAmmMN9A3GfB0hWixyX/LlEXH3yS1xX7rx8BSy2ZidIyDIPP8/pH6EXtK3MMLkOQURw8
wWYkqzoxqXd6QhvahVNPAkkMdcVTj1fWXkRQV8qlcJMY3hos0YOMWD8XStVF+cEdeuPBMCV9FbwO
iARc46T+y9xYUwD/jxxZBGF+WLyhGnRVej8ODfgoYeAkOHSyyYrV+7/K/B8+eTJMernoCjgscY6Z
+00vTksWovI0yP1L1l75lKNvexpyV2HnGsKzRKTic5da9pXmlvkDfgf/92Hl+/C//nP+xtMx3/y/
XJ3D0/yN6eWdngxT3ayVVbtH1v/gIVRD80RVHzA5k/7favX8vvkzcp/+nSJDdW4WvvyeRhAMJRLX
oxcY+r1DxMpOpK344CJvfR2LQwaID5tWpnXyene55ee+Zxx9z6RxZfrD/eDr+hrObnP//m17fcj9
/XVgvNHipHvFWZeT0cuvk3SSnBwjvmyFau/KWpWXNlvZ/v2LvPV16B0xxRE2QQSnzYI5B00CArzM
hAtzqbSCdK+bpXkT5c14eP9Sb30fCkS6ISwTaG5O3s2cwDHhEbJOWFe77igVYK35bTt88Ly9eRlb
0cXkRMd3OnnNGpeaEHUIP1Y83UXkbp1jqfyDWvgfH+qTdvGvm8OBkJ4ObzOdS+ekA9EX+F5AT17m
oS61VWkzCN1kXo3bh3irL8RfNbekX1kYMRFzs/JGDjAjfKCCjCFPDH+vlfr746AXsmlxsv2gq3n9
rEyJyq00cY51k1X72J/0Xadxynr/Bs7f6eRNZmll+uWAqzFpvry+SJEmRuWV4ihlR1Jn6zEbz7PP
QRI/DW71QbL6G3dR4T80LVvRlkdk9/padmNBnLeGY+/F/p6cBRQngF0/2i7m/8rJN1IoLIkZRWdF
z/1kxUAZwUk9kUdSicgarEHQpVUREJUEFq00dbib3qxOz1EgLiRA9i+WQixemZFxTuXq7Qnu8+7K
solusYV15IvpFaM6jbBUi2zSD1ae+cOcfljalMqllajT6j35+c0W25yUCClkpV1OeVc8kfM5536Z
zOlGH19vr1s379/yN7YO9o1/X/NkDWoCHT9oYx4jyWfC3gfLLRiG9FA45I8GKNc9CAENsULCSsZz
BXz1+v0P8NZzYBuSVibdSkPJk/esLWo3ZFE52l5D00Cr6oshCMIPHraTRt+v14fXxmHmonTSXdT8
KV7skHUuEAc1+nGedxvrFstVu5KBMOFXTm4HC6cOvmrkPd227ozXn4zMmQHYTrY28QIiZaAto3Ey
I2j8g6JhZnn+5a7z0jkszmouXE9eBEymUeGW5pHn2Fl5GHtuRBMmT3kQyTV5SOFDafTZStQ1CaXs
48OXAQXZOgi7kH9y3asQbMbPJIVZ9/6N+VVPnj6OhFuiduT9oal18mggsCaow9WPLQktZ3aQI1VP
4q47q7va3KG6CW9bQke/qmzID1XVh58N+H1wl0qithYJNfxa+ZXcD0UWE1ahFXfvf743fzeHLBqe
GQDhc1/x5S1VRVsj8NSPWmVlWwYI1SKKnfbi/Yu8sSIiRJx5XqbiHp3unjNGIIz97pgWootxkpnB
PTYFtcDQ0JjoA4f0g+36rX0HDq/kG/Gogned9/MXT2oxdT3Nzvo46G1zEE0slxjPzG/4q+RVj1qR
3EERgDUYddLZzFAMO2an3a03GeK/2HN4JSWvDXIIwoVOWv5xHuVG4FTHxCf9cwrbn7ockg9qhje/
L0IIqrl5fAIS5/X3bTKsJ9CKjmmFC7N36IiSHlZtCYMxbkICO9h6CRqmkAAAu2hHtyHWa2wCdAiV
/sFv/8ZmgcWC8x3iVfq3p9tf1VQE2mrVsQ84K6RSfCWI+7l39CfM3nRKpm1tGx9tUG88xVB2pcEG
CDYOyevrrx8XDmrLHF5nT/YceZekwUbmbEd1GygaAMQzaM3tKM+HZPqszeuk0V7DeVhj5fjmzzXH
+w/8m59nXoh45JkszUfol4/fZDhl5zbZ0Z38as/jTYgeTe0PvvVfLzKrstl3flUAJsfxVxdBJlb1
VV4eU+Re96Ee1neCEI6//U3mEZnkkYLV5wDEe32RXIyQ46z+mLZm9d3oVXw2WXHxwTeZP+nrNZKL
OOipkRdg5HBO6otMI9jJUv2x0Xt5C9a/2TOEzTCQYzlIP9op/roYcSih1UR/A2S0bZ88K6PSo94M
qqMNXmhcmI7pX8N5Cx+Mehgm2JwOHNYiMu5xm7T7gZPL4yhkcMZw+cKvE2jmmt2RA5E0A5nZfQOO
Z42XEVrX+4/QX7oF/NzkFejADNGV8YFP1w0LRKfhyWMeDbSqEVaIiXimLjxAmQV+4tQWMQwMelJj
ofqaqGiFK3Tno93+e2NEyko+CecE3jDmQhJR8etnIIbnhMZ5BKNgQ8e1bMS3eqh/cF9On4H5RCoE
WEeTNYyO1UlpPjqOrzV+e+yRRiG2jvoL3JALc8yi4wc/7LylvXzafl1pPvdSwSjOASdXQg9s9ECA
eW+a6ppUG5CpRLTZZ6hTjU1YgxLRR2UjEw2uKzBqIOR67blxS/essMvp7oNPM79A73wa9+Q2Q33y
idNpjqFZ1xdsItlVKbGY6np/UTLFWaOIDu4TRepoO05nBaSVzegM+KqUDz4EP2w8fvDKz9//vU90
8oIQLBJGlVcdp17TS5pD4ocHBP+6Rz4GzIj8eNLBrHUco5UXRfl3V7X57iAyMLCUSDFrjF4/bG0W
zrC1+mingoikspFLTATpBwvO6Rnh10VYapiBziD408G4B+ypSmIegaKRN3mjvE1fjhcScyCPd7Ua
e6BCH9zn+Vc7/VUNbDFMtOcmgnNynxMNhIXblMe6dggwGXopz1OIVLeOm2Nglig5cM/iZaY8cMIb
rOchVBCdk9/CEDkgpQ8+zlsvAfIpXmmOwvZfMg/RrDeWSGpOLL57mLqUZl5IuEdBzoT2hfWN+HaO
Gntg7fpycBUKmBA0GQeDDLpKUT5+8HFOF+X5hlC3zCNmFAv87/Vdb7rUyZXRHBsAydpKQjz4KgBd
EYpKVRkt28ztL2Ar1eV6oBUEQ9Au1HPhj015psEwypeT6XSwNTwovhEzn4H8V110Z2Zaxs8ffNa3
7iQLM0siiyFlzsn6wa6BAzZPj52d+dPaYEwdLKFOO9yv3kYWk8SNRhPDrzGAu7XeXLWkjz1DaeDk
y51M1Qc7xWkdMP9287EM07mFkuV096wSBmeqK45CK6cQfr+OwRdId/ffPDIuelvBtkTZMcdxvixq
cDNgJQ/n722g9EddQHYO2JqEogr+39KLZ8NjmRMF1yn4FsspiKFdFKWRHIleKdOll5Ey88Fi9ca2
gaSLk5/ELzWfSV9/KACUPigV9wLjtHvuZ2by/9g7s926kS3b/spFvjPBNkgC9xRQ5O4kW5LV2Jb1
QqgzezIY7Pn1NWhnVkrbvla57ut5OUAeWw6xi2atOce8HIwkucM+NF7/+rn/5Db7OLh1h6Ipp6Xj
idpNIjsHV3AGSnM6sctSbMGdaW9MEz/5DqgyIvFELU7v5VgE5bIpx+fpnUnV24comsiYolx8meeS
KEYf6/7h1xf1k10GAmrUICjDKVehRH99/6oFy6sah7M2NdtbkPcdwTakHmIB93qgQW2CLm7XLj52
U4gxhLZZxjg/VQOMijeeJPMOY72aItmT0W9CqcqWY+U8v/5dOD0lEwi9MyvBIRPiLIUsYtFnuJ3U
4t86tHk/krNBNyLJ2X090hYf4SZTV2o/TJSusOnHduKcZWUEy6b0XQLql29h9aUfo8s2jXrRPusa
MUynNKz1U623CJ0AqcW97TG0Az5Zyhjgl+imc2OBAERaavNIP8DuQqS1MIbBpCh61QtBRRt70hKw
EqWrPfRVn18OqSLlFGNc89hBZzgnpnF+dEQb29u6KVB5j4AqD9PszNZJXOZTe9aJYRp3Te+UjyQW
YWjpKIZmGwLSeuQchopCv+CEERhQNPqd7sb9HC5g45/cykQQPg6GdoUMo66wMrUV+F42Lyd5Vo9f
gKXPuLjIsIAtk+dY1tzBsu4MKzZhzGsODa54WbyLNLVAdzC4mYdk+lX96ZT5fR/4k9UfuopulUE4
UULjdsZARqFnMpjS9ph3DLmFZ1gTutip1Esfu1yvprCFiGJvEmWznphA1qudlXtAGWpfeeW+HGpE
YdkwJEBf+Sm3wEnFqRnonWb13oEEANM5izyRwKrGbTiRdwL94oNfDd7eilr+um+rrj+0VmR8rbKU
iHB8+TTjhyWvSCmN4rEJ9HV6DjxJ8gSxGWo5L60mZ3FFSUPwU22Y3kaJYuIB4hN0CDTgJf3YZSM0
6My28xtzcBTagqGF0F1HQIE2EUAmL2gW4TRbq4sBGA0tT2ez+DHw5tJi2TRFYV6KsTCNc6LPUW0O
EUT7EFKMUWwXjFngGXi4XwiVir2ww6DDQRXgQxRmoBdxoREJT3yQnxrPrUYtN1q06a7uzWI5Bfcz
a3vYy+qxFnm7nDekW5QgrlxS+/K4q6/xGdUt4Bovs1c7mmGEIjWcD3Nn5lcxmEkAXXNBVEPfkAwJ
THoi56VWfh1vaIXyVoPMavXQavEfBqODuX5H0iTox1JZA5xrSSk1HKYZR2mPbdLHbxqVapuAKrLe
m0Wf9RtZZ/G93SUdXi+rcuE1z9ONNZs4y+w0w/ZAwwth0kQk7g30F6R+Ss/TBGRqO3wYonG4NFBc
WBAekI5sgZqZTyKfpLFTg29uS/Cc71zHknurgLVWjEMLUAt71Enk8M+EjY8nfBxl9lG4s0E6LMG1
NxCcjPeuZWvvgJcnVeC2BnymkhgIcVJrVXfT9X56MXW4GzHKQhZH69N3nzrdq6zQnBK/2PbLaDOH
xA02LGkPU/99Sf23fOEPej4vFqIfBIrfbRD31euAgG8/9Jd2wf6ToiRrwRru5LFdXo/pf+c6uX+u
3RuKTLQkHA7I7O7/kima7p8Yp9lGIi5HSwO9/x/tgv0nXR/+778FDObvqBeONwMWi7PPxsvx0Vcg
rT3adrBCEE3Rp3cpqbdB4U6wkiYE5C/uyYfvK99LwcDx3ubbIOwYPepaOKlWF//LDRd7DDcmMfZu
9PLkQAq3H7SQ2051OYo39nY/vRxfcDHIvD36369Hih1iP/3Z/0K1J5eBMfrDFRFmdb759QX9OAyN
fYuWsKDazJM7GmZBy5SJxrm1Gvb720ov+xt6RkP0xn37oQJJvYqg+ZUJwkmCnvrrqzFZjjzg87dL
ArMjcyLrc0xkM7OCaWyQTKH2d115yKu5fKPO/bOBHUq97KXWd/CHQgkvYK9s/dYCsbWxjBL3Pksy
h5O8QRWVl+YGbVZ2Pmtpc/HrO3t8Zl9LdLgI2TaxeXJ/OAPUKfpVaOS3jRl32ccJQmIUcl5fnB1r
iKYfCA7A/iYmWGdYfc3O3ZKHM8o3XqMfX1ikIpRhDYorawvoqI4nUIAWizRv+5XRiUnmBiBdHOZ5
afz2QJS4qUsigeFdwqr7+gmPmpbMbmLdYiVu2COwLA/5HIfwxeKTX99YbD38Wy93pXzffIFsjamA
IVQ6rsNVQtNGvUnOl9mKi3C2gSps2JnznXjgA69TNeYG+QO5b4fmPESnrs+xNNBF6SHVnMViBZkY
TAhJ3UhQW1VHGSQTkprZcgrrvhw7lKGx0amKjXdTRRsBs6DeQgWldTjMC/EJJlslJyTNsBDvLPjk
hJxGA9mOUKQROo5RazzSArGnbTYsJEfZUWYh6jPYGgSaHZPlWTWWq+01YVntu8gyljOSS3rIg8s8
7UoH1B3lj17eA2Ww7LNW86PqkgDu5LMlSGcnaXLS6wOdWx/hX5ZBJsgNa7iQjYB+bmOunIJF+DnE
Ic+wr8VQlVRQTbuTWzmjdQzLcVlzCoqyfsKLkTnbQs+K4SSyTXUzs4X3AyGVBuo2LzX3INO4PZGR
TPSQ2lwNGUY5Ejb7UqeHmA2+i4kmmmlyOuRT37h6vljvFiDTGXHn6XCXaFXypOBsegRXpGauB7Sz
RXRvAMOPH3ohoqtlAD14PvTglMJpUuw2QcBD+UF7pmtZ0pxSdLJAbbCdQiFDTLxhaZd1T9c2g0FM
PISP3csl3zX/gLU1p1YJo60o/MINrAjitAYjQSp6/0Q4VK12rhFRq9QXKes0s4irsCWuW32kW3qV
6cro26Ag+ikS1yOR6t2091Wj5rCzUBqn78CP5VBgkWQPJiaf3EmkQ1PV0mLAQ/SzXTLjbsoCS1DS
hRqGGYMdmJvy8EmeA9WqyJYAQmrZG2HGLnanYYB1FqS225NoSTIB+8oTFLiezxkIH2F3Q0bfkmP2
10sFL8vqmyDjKNeQaE29VEbvByuu+vmDA5SNNNfckpaCXAdDeiwDp9TBQHyEypLVcLEjH40Xymhp
yY1NLJWdBiWxcM2JD08xD/uu0cvzxCcl7B1xEELft1aqvo5zPQKKtxRAMoTA8gRopvfZUkMsw84W
xXNW1Gb8VU6ckc/B5LGrU00E5MKMB+2i84o02k/MesknlCfQz2Fv6ObeVeBeP0S1M1yyLDjxxSRj
vFpGU4ETqKH97VHLeuR+dvZCkgynl6n+nJhgTvbJIiA5UCWEgEWRWJGAC3IXIC1Z9JAkq6S5JeaF
WimRGlUK4EwYHOUMvzL32ji58iFO8gkQamxNy2bCp8lftSewX5zo4z6+HaNsULvOh0b8cR67wboh
SzmKLlKA2AVwKWoSt9mcO9bNLBA3P/kEMYjHNm2sAWhnORsGjLu+NOvPDfUlLQON6Gr+WaY3hMOi
+s787ox2FLqUcNCJ2+Mo06oh+5gvKcWjEKiGO97MVg3dJqAYufTMNVB93msEcfEsk5g4NyMTH2BY
FaAxhdYTTD8OxSVZGDlF4FRn1iF7BEixoaG936ZZK2QwQ8N/PxaSs7zESnBpiGT60Ksso/yp2tjf
dAXhQIBAI+LRIOsZX/uGG7rjEJt4IZng4M0s6cKPx9hO7bmkgHZWMrO04Wz0eboHFMMKm5YTWAVz
EtFlbBXTpxZYMjXLavXEpVodgW8tBcsQR1PPDQivIVI+dp2PNRbyCkBWaccbGPsEhA0ZgZE7U4uI
PzQrFLhh5KjkLK7d9Es7j6tAlXTzDwZFBiukZcXJI28h5oTIKAc98IBBXOCDYmo35tT5VI1mfOd1
wIUJdteiL1Dq6seeROebiXSgDLaqmT1T6hiJxm3T9k5oun4mG4coJLQLZC/1facngOW9+UvN41Ob
xslcGUKF0JzANWr/zvErwF+Vrap3y4y/EfT62H5uR3QYs+eUD4k50vgkzqJ56MpamzgXjvWJnKo6
3SfCHM+ryVjKk1yz9X7nTaU3oKZf0geHNOfLoZmLjwZFknsgMqjCB2+u8nDomvTaAAR4l0yG/RGh
6vjIDJVl27pP0V6wzBlpmLmKioIcyIUBQLj0gbYk7tcpnjwMDwxDREAzwreVuiIMMy18KGNzB2sG
zCVlhKFTKg0ke0XUNA5R9YGHKk7bcdEwOEsIP92+4OOAKeISA8GXWJLMU/bmbG/wSDYG8vZ8PNeX
dny3sBedP8yObX7t07x7D3RwvC54AuNGsLCCE805Zp/x6UT02haz2cC7wu5T+aSdM9HiVtt4nkpw
cbBK+kTUe9OjRV4M/MBhSrGwLnn8OGfUZILOT4DducQuwm0UhDJgFIHvUkC2pDpD/ueDGh1qTokx
8Fw6NZf3wlPwv6EgaRpA4MoZAkj1Vbtd1hjKTUwdk/ihQSo6+l475FuqrP176ieDAFfYVtmu0aL8
lk+mMvZjVJlJaEYtmFBVdBg/XFM6V1abTsvu277o30fXP1CqgBXDeY9AlqOdgaTgxZbxh6Psfz7M
z+lLBf5Pf/77qdbkX/p+iOWgiiaEarqpcx7Fo8mu82+rHT48GpOcw2xnleGvvZC/rHYw12CJoPGi
/CwQU7q/dYb9dg76Z2eLjwp1DNQYx+eIvcr7juqtU+xEI+ESd3M1SbG1h0I0KgQFq1PCn3I65yRs
iEqeJCsLWFmzOuXLsonDzuFdeFdt7sRFFLAwF1Ld4T5SdUSNM1fuRhWuPlNd0hPbffz9F+9CPlfX
nXp+7s7u5f9d39nHGht8yh7nP17/Z/v9v5Fgrw/u1X9AwSRP+rJ/VvPVcwv56O+Y5/Vv/k//8C9q
3s0sn//1xyMIV77Zq+c4rauXr4S5Kun+31CI6/RZqfv/8/65rp5/+LG/vRw64Ye0Q6lsGDRIESL/
/SqtNg+iB+hF4ZekLsJ29r/fJR+SDM0K3mV4Degq/nmVBE4OXME+XTe0EBxWf8vMcXzwo9yC/dPh
JIbSjd/v6Dym5q4qo8U76QvfuJ+pEwM67vrugaWyfuNAdlxDYKjVte0RyWjaaIzWX+WFsqul69Q0
zXSiHPYBI+dwvJzdWzbtnw+CsoYiggeQ4+h6TGlCA4WiJQ2gEux0x62Wsbt58ZD/B+Wdb1dCy467
hrGeg+zrK5l6y8MMOp7w97on4RSEBGDZu5zsJnpD8nB8OSuyw0FXYzJz6Iie1iPui3sGFJ3kehb+
DMIISTNxwelA5pSMf31BPx+GqWSdNEmzO7ogAth86bJfh7Fq3WCtj0I6Ct3h14Os/8g/kxbXoYPb
oJBHAYCOH9al19eSAS2bCMw6OOU47/uxA6tmtaIjM5Pf6mS2ZPOG6vXHqxLoBFAmoYECVrbO4S9v
ntn6SvWudeDoWIYdzV8CeZS3/f2r4tNGY4NskaLV0VSMd24E2QXlNbXz0HSaKNBHyMy2pqfkvRAY
8f8zHPuZ19dUlGoZFs04aKXv7AiTdkIMhN1FshDbyzzSXP56OJPp7vihrfQSSjXcQqoox4U/zs59
PVUH8hWqu5oc6QdJjlYWAkvMuhBG5RwFeenlHyYxwAkwI+WLQJt6PGCxF0PytZ1BkSVVuF9kaZAF
5tYYJw9V7rPRWgDvf4R3Vq7Q6aQ99HWuD/d5kTrapZpMk2HbtjHeeGLHU96KVaAERcGU/SMf8HrJ
L74pArcjOyU7NJlbQvb8UXE08dYkmij9zZ7wOtKKCmMqYj6iCPV6pIgdol7M7aGKO32rWbEb9moe
num9OWyUF/kW7uNnV8YwOrW8VfB3/MIXzWy0cHmhdxKQiWoBDLU3jYdCp3fz6/fix0+LK6NQa/HS
u8jWjl7DKWszEffNAVUo9vpqpT1WJCr89iDrDM7ix4rBenD0oPp8LQ5F9cGaqIHZrgZDcSyN3a8H
+ck9A4yCjZEaGgGjx7OSaaWa0bvwKLtahjSuyKuOgelnDcmd/4uRVseOjkOT+Wi9py/eO+zrnqVN
9SHzVPo+I3B9V9eV3BZjYr1RU/7J08E2iqSHmq6DkPDoveMUbU6GRlyICQWdhjWpUm7Sv7Gc/+zG
sd+meYe/GWnJ0eWkDmfH1s0PY8VJbKRbviediiWEgOQPv75xP72cb/ARvAsUyo8uh27wjOe0OGh+
OpPHZaWEMpbuGy/buvq8Xp3WKwGHsfaZVtXg66cj9KW2rS471C5hWLKYzyR1trOxNMVVZQ7zkyEn
effr6/rpkCvVCG29A7nJfD1koscOnfbskC9NEmZ0Ondo2suDUITeznNHtiMJzvUb18lW64crZS9q
UX/3iQIF2HH0Wblu32GaL/atIPNnOwjS7duaIEaSACKO1lFO5zjraEEjsJDdF0tX2QM1ZaciG6sm
246drE4ATzVezMQPEMMiakXgpVC3KJ0y9K1MQTrMXimzYLTbaDcUsDK3Sd765JMoH6ZgQynUvWwT
0z53clf1H7KhHtKdAaGsvUIj6xUBFUbd3RSLwpzuRyaFM2oxQ3LvZEZFSlVqo02gWSTsUBB3c0EP
JfuaOpQnT6OZ271VkVbfaJMm5Q6JhV4S1DUe9KUzodNPiX6mmz0ZO23DzYCtXI6nBDu5TQBzp4y3
bRkNW8PPp/RkKFqPcKgs+iKsGVppCZXxpJry6GtjO629JxSCtMredmEPFDmhc3j042c0g9Umanud
VrwDxHgXx6uBAhbC/N6rkTIEphvh86+rqQchQVxpc4CmTiS4bJSvSNxwWx6ICy0+jBvCkw9NNszj
huRWxyGp2p0zKjXwl8OaymeyJRrLvh30hHievB3Kr0k75+eK6awII6uLrptmhnYAmkPu5jkGQqFR
P3qixRBrAckQwxc9NuSyReI7nbUF6R9B5VfzkzZLZCQEimdZ0CdlhLU5K5p33UzqMeGnhMkGUVN1
4hDPOOU21LpoiVSak5BfWVTzVW+L/os/5t0DNeKl3dR2rMOAX9Rwk81ufZXIiLyZbpxKxzo0kzaj
STFHYItBkzre+8HN0gwybJkTTV3X1tmSjNpWJIZR75U3AT9ccLLtlWxuBLBGiA8za56EM6LvkL4T
eieHlipwNGHgQpw7XyF9w5VpdZV1Sghe/ml2vOWOMEPjzJum+DOInSnf2lqWU8ZpSmcOVF+VN7Eg
WotGRuPelrNXQ2ViRU/Dfu44yUhXaeXOzBCr8kJ27QPEEZdQxcQo0o1FYfK+TzKIkl06G+g14nkJ
7TW+6h0Z3XzipUOIAY3bqfgak7wBuKMoTHeTEWF8v0xxbVDjBxH7kdBJ7vbiiNkLxg7/58YuVHZN
7d6ifcBZkmySznLrsGdKIRBMHwlUIi5PmzG96stZTGZhHDRELJzIuCL4s8elOW1Q5Wh79kMx7N0h
0T7Bjo6NDVk4AlkRAGQziFVH/KqnRfIuGfyUD0nv533CnNaSqGmQskPdXjfItYdwuUk8oT4Lg5zL
g5hqlDbzXHifiqacZFAl82LvfBv0zFYMuf+JhK5JEvtLtyeoY92WaLXivNuQ5Vp+lC4/RV3OQG+T
uT1NsiZJysd8mtPrIl0c2CUjH/q5dN2y2LhonL4Wc10RBN5Wkv+l0kH0DOQ3WH88izigrxdBWLFy
ppLUqaJH0aaxCLE+ppT4uroodlK0SFkKOC5l4Ipk6DZ2bU6PmWd1006m7rBQFjTnNCTqkuJwkzjF
SKqOtB1/I9FIUV0uho64YgwAwGNmPPoiUIZhJGfCbLvvK/C/K3l/4Fp5sZT+ULm77p/uj8o0/P3v
9RbLg7bJvgdLLaAGCoH8yV+VO+NPtikc29FdrtvxF7kHpvkn3Ye1pMdG03SN9Vj135W7VaXLpgMJ
Kdr236zcOfq6qP+zz8DpSSEQ4jAKBwaEZnF0XrS9JscmI25hvPfiJmkGRF5M8VCu1XuvKtEb8+mq
LNl01dJSnbM7mNSkJkVVOXNGSQ0SYZZ6DV+ZfMrMTVl6RFcWtp8s/r61F4p8kbSszjy3aKdU5i5C
lk+XJnEyujIlGtn2kJcE3BNBNbJIaVEn2uysZ2oWxP1OlnmeTangn+61tBrzYK5B6uQ7RIQGPCwU
YOIhjhK6WjsCn6u2240kLuTuwc2VNWyatkC0RixBIrZa3NBaryaoREGK8FCv92jFycXl3Dql8a53
Zrg/IcFo5EkGWp65pzn9nh6YUTSbiuyxpiHHsFifJcBS6TgkhTqeflY7aD5ZyObUAFKc2FW6g5JE
6Zx9BluPpp9IRKkrZZjU/Cs5EF3Ys5FyawWkUPKGkM3tyY7OARq7gAV0bjBGt8R8frXquiRrDLo4
PCIc2W7zkPVL0pyLOK5VFVABIL1hmRU6yGYqhp6wKPQdOehID5ika0+ed9Lhhs+/zrVdwe5N0en3
7/S27POtNoKpCGYTH2lAnaz+HBlrGpantOEkiaqF/hq6IfQBRdF86BuaMMHk2/01j8vpP8L4Itse
b0mezzROeuuMvk+fEuqC/oDmwxS9y/q4FWHTV2hlcMmP/HoIEQeiIlt9IbkG0v+T07l+EUrksMU2
5wWG8tAnOcvwQDHwtNTbuN4mBn8RCkTl4hCv1/iJOUtrGi5W3J9i+NI/e/qAstLOTH4ydQzZ4cBZ
SveyTiKkDWr0SzhIqB5JptM7j5tZIaqtSBxYuGCDLY0M3KFa/M/0gmx3o+GdlYT3WXgBikUzHQQX
sZH0dRhNTeIFZYEQHSqhXQwodaXZexeA7FOH+ChPs4j4K+v0aYysZNy7gpg5/WQwnMm6j8ccPZEO
zaCGzdloktoFkRPrHg4slpXth3yMxg0N8tokyY+UtJDIM5Ju+zVNu/LXcE74UDXosyzmlwLywp6q
hrNEKEIaFSqcS1/Oe7SyjgmhDVoWAUTtk90rlpwlIxk84OAXoT+xpN4H4yzSbgUyxR/4Yul5En/E
gg5njZ7nnLG507yxIzw55582E8ypqG4pqmzrAUbUzu8t+cW3RqIMkQcRCK0NJeDLTHV3FRF41260
2HcL2N5P7COJGYYuXb0vFNuIw6rZHd/3SdITPS6RWgUtQq9xk/RiIrLbznjZCllQu3IUcn3ilzqL
YEqaLOmpi7YypZMn6hPbIWw5IENwuPIIj7zFV4f8Vc4JzVDpEssXVlHOq+Im7Cob8l7Rb6JhHQ9S
t+f6PRywZeeOTuHdsQtn0Q1a24qmiw7zTId9L05oCpojMcABaXBtddrR2e13TFWztclq0+mua8ql
xRk7sLVWPS516Ycxge8a/TeR2WDx8rrMxjZEheQun4ks0JIrrQOHlyI5HyNagyzhC5JQRcHWJled
z9QIWhP0wwbbHoECA1lz8d70W/Y3vKW5rg8be9QNdTJxO8rNONRWul1TpMQ7Ldbs7gToaNOezUTm
au/4bhP3dLTryms2o99MKtTcmkADzdSVt4SdN1QWlyeGOn7EtpAMdxPUMfJ5R/jrwAprQ/uM/z4j
F3JDgyYdaGprlE7hHdmuNB5WQtKSn1SZFpulCGJL6dnBH6nIfARXB5EzLlUbdLFrfxz1wS3exyjZ
rb0pBkUsFaYTJE635rcYGn/Q0JuXhMIsM8IZEbNOePY7syfdOiR6svuctXmuvR96U/ZXVSo44Sd0
lQD28cEk1+D2LMWCVFTEgFjp1ARW7fcpTx+NLlQ3QDhbs8NsfBWXre6Gnh91l56BAzJU8DUAyZUA
Dfc+EdfRpsnG8jwaGmTemJfMe08vErUro34CQqgn5Xnr2KLmxi15xke1vpJ66tRm6LttQ9jhKKri
zGmg1AUZ4jM0VI0FtTQH4HE+IJ5iMW0hzvQBXgTzomuLaN7Doi/HPXDECIVJmkREXdbjfFLbSq9D
XXTNcyuEvBUVkqud72fuGc11eRazNq2vhk5EX1w6JE2mup8dljxaVJAQN6KfpKJl9SSbJTM3bLVj
uaOCJeJd0heiwCErhznZ4RoZ7jV8WU8kAXkgepXZiF3WV3I1QvtgMzHnGwa+HIL9yIlrMZSaka2f
IrXJ1CatWQBgCZYtKbatpbH7bZra99g2lyIN4tFzqEK7sfEutRqS5ahhj3c0lsQUTArM2y6qJHGt
LN/siZOhiHV61TLlbGdG+antxvYUrAmH6IN4XQ85yajjLs6kczcR5odepchd2WzRAHeSND1NLQed
4+NyJQgzFSElPWuP2FbUp7xQWGIafyK7Q6lRXHt6I9NtNqGKEVFBIIbWd/OpWUSVt5EKJuLOkpKA
sr6K1GlsRVdFs+CR9ssRbKKPoiHAnVDdl30rb0atFd52GkSET0CYaWWdNQ65Q4Spk9r9cRaJlmxk
m0baIWpN88IWNkzKtsmM7KJI8oX+ClqEOmTzkVwyk1hfLELB04NtO+mzw1PmhpZI826HzrT7j7Ax
/R5RXoZ9Q2l+Yp56gz3o+8odOMZXnYtqIvfL1RVgN7AqOlEip7ycHGl1T2lFj3gMRefCk0BCt5yt
areHhNzE68ayEclriaE/RlNC0yIt+p7Vpm7KfovA170yB/IJydRVWOtML1E3YjT0JzDTPbiOJHZ5
rvSAH0mlMZhm8WBn2I0LOImJW7n3+UQRigpGYmBJQsX9Tu8cBGNzO2NB0djFjFta3uaJA+qTINDK
TkuSe+zhLIkN4JRKSf2jqjrgXm695k/HWcc+UVukASAbu2u8rfBeMB13Bb88+XbNQ6kIBwwiPenu
faPuToWyks/aUNVXRiJmc+sSFE5IuayHs7QGkhLwKrLNsv1YVNu064hHRe3rn7QEI3wdHCd53xLz
/JUoYf22Z+sn9/NgOXtR6D3m4xShR1B7K3aj0wb9eewHYQQTXZlPejq2XxPHr6PPjcqIIWp0WU4Q
R/PE/DIVZjncIOXI3YraS1+5ezNVhk40K2cF640S3OsC3HoEgO4ML4wi/TeO11Hdzx8aJ9W4qCBp
YKvyJGRRbGtDJ+XJzWHvt82gjN8dE8E9pw7azzSrdCxVr2uNdAwcCKcpeaNGXr6zLentl1ybtnOE
dX5lj25fHMg+fD/QvFTAc8p6fcxhvBUHbNF+45xzPJ6jTeAuedXXjPJLwXobco/7rYGVdotdHPfP
ZIAxxR6KD3MafqsAzh2mzI43GAQxknjE+EeHLFTbIDIMJHRTLfStLzpwoWb19OtLfF0AXweBlYHR
eZX4U3U7lt5nnaxwvRW0uwYizOQsGqLNKTFvYxj59/+bsdAz0wU2MdkflcDJgWtjldYi6Nl0bbpY
Kz83RDK9R5SHCvXXY/2gLlkvzGagVVqCMv1YDK8ZzbgUCEs40zD7iNmt2LeW+nJQOPbCsivGrWTX
vWmmrDl1S8t7IM1BbBOrYcMpY+aF0bM/T1PT3SM7nE8X2q5vteBf9wS+33weMmobkH/4i47K9UMc
W3U+cvOz2qu3/ZAWB8p2f4X5/bvC8gdliBdvxQ8Vlhvc+u1rj8+3n/heYzGMP+E7oj1Bvw9W51vT
7HuNxSWyxFitxpT6CUBcEXh/iaMs/oiaB9xOpgWQZzZPrIXgnPzrDwuFzAqnQH1AZQbk4G+Jo45m
Hoo0CK2woOqsVKvs5ujbz9D3TvpMDBcM0fKuyMbkdLFTf5NE/XA9IvfezGqZPrhIK8jkUe3+xX36
ycR3NCswPGKe1WK+TqnIN446o/ZsIbMsbHDTjTDO62rpH1LKKtcQnNXuN4di/7HWuJyVh7eC+l7P
6aUWsY0Z3SrA3l3cTF0mQiL72Ecbhf/GVf1wU236YrhjDEz+1urzfz2UBXhJqckH6uy0aYBSHgh2
7oPjCpLFAXvKkDeC0CFjR83Tf0bHilX211d7BApzcQYJDgoYxjHO8uKtjPuX/dM27eNRVzmygWjI
6sPoI7wInaronQ3sVRhxRiPVTs1yOW05iH5xYtvUA+q98hO89y7bIQhdngRnZ3NbjUq+xac5mpL4
/ZADssK6pH9SkjrmoKSzR5+LokRQuUt7JrVsOCW0sXxD1PItHOdFAXEdhn0QLy9HIA4qxy9Y06+4
NBBYQa5VaRQID19yYJFOws1Qpv7FneL0ouy1FpVrhYNjrw/Sx3LslvbTWEYquUyVmVw2TTWQdA2Y
XNt6MXLyTV9m+nXW1u4Y9vzTaTjWhbtblhg4le92VuCOHbnGKp9Nazcn1pAFDdTvx18/5qPNEbAx
JPkoCuhNMr2w2L1+ysjhypmPDBVun+c7keveruFzo3BSjtu2S8Y3msvHq906IKo0F87biuAiQef1
gADO+9GrlzVDW99T3SAC1RIbQpsRs+R3XqSuabHB628Dv7a/jLo41b2IlIxuX4nqLF5vIsLkN172
dfl6+ZC//VK076k5M2OChnj9S7lw4SlozGWQKCe9lsxk2zKan5c2995NVK9CTMG/BwtC/EpRnKwl
Pgq+8NWE+XrMZUiqKbZ9cAGwxk8oPeW7qmiHN5x2x1/JOgqxLQxEF5rUkaNRIMR4bQZqMmgKWYXw
fKwwQmT0xv372SisAohg2GrDJjlaBObJFtGwhks2HGpPDKcTNCcB7v/6Xf3JKKxxgGgMRANIBo5e
ncYH6zepmk8xbe6xYI13RqPspzcG+ca9fPUyuGxlSe4SiA0dpCPrr/FCODJhoaiNwXlUfs9kryeE
tRxEuvjyGVoISiKpx59bgo31Q2zbmrkp8H45WxrONPWaURbjed9ZtXnupCmN3V7P3frcWun/B4xR
mO+It6+bk87u8LeDr6GzaU4t9UEwLoVzWX7LQcUlj5OGuE9+1u4pgZwmkSNZemadGHOi67PV2/8t
T1XR+qcAVNkXy7fE1aWQtN8juqCHmPa/v2+qlKLF8C2rdS4d+uIqzqYHsDY52czdCMx2KRWc5gY4
V3whh9g6TLOaCgBw1uyGXe1q7fsiKfvlqreaRSfLPYlNKg2qgwPmG+rRnzQt3ilVLh7l5zVv1v2W
PZt/y6FFCjjaQeOaZbPpalNqGzWsubWrLCHez2ucrS6prG56PYo7KlDSuagalevbWXlefxotclg2
eeXUBlYYqmFntmybZDOaUz1vHCxa7caOjOTGE0uvB52T+MZOmzkQBoY9R2PYZKbX7E3IQe4mqjm+
02poNJZvKmPGdoQBg+tlMKyDbrS62sUI5awTPHrcn7x1lhMvdzV+po31u3oua+JHUruPApk7WrMz
po54h1iud9ApyqLbzsKJL7tpYslLWbPPZw63UxBzS9fchs5r11gLyJ5Ltgz/xd65NLeNZXf8q7Bm
k5mqwEOC70WmSnyIelGWTclu94YFiTABEgRAPEiCqVRlkw+RdVazyC7L7PxN8knyu6Cg5gVpSTZu
xp6uqKq7mpT64OI+zj2v//982iT+3AzWVVzC5nQ2J/LM6O+CVeBc6k6t9r5C9l97izB6C87Hlcai
H8xXi81Ap0Am6dOXY/txrttJebjxZlbUr2zcMnHrZOOeJjVYE871ECV8oRMYX5P4qM6dG20VLoPT
ylwnqV2fWVBxRJVY+6UCz0HS1/wlLcJ9em98alVXi/uxTZyqg01q28OEoAmR5lljM7uGImT5iai0
0+qB3wztMxAiRN6o/FhOgGTG805bt1dn4OucpDddNqDXWIdOeO5tLXfGxNcBr7CXkkp/XNPIqK1a
9JDorpZkYrAhFnSbSgKKCruuvane1z2vpfVpS90udzb0aY5Pream4lz6lfmK4MhsPbtYa/H8fplw
a3U9mNkjMDE1+Ao2zWU07049zUPvuSGXtO01p0bSJFV21ljSl6a/SDT9vrWBZqQblj2C7cFioxHk
Ly+i68Vy4zbPfYB8wcVsvExWN3WnXeekkO7Xu/pcp3XndEltBDk2p1KFO6TdpAAnsRp2f+r6BJ7q
8GETTt36ICkp1qa3tZvE2+ZNvAr1Tw2ybP7NOEym47tKRJT2ggqQMZwnegXQHy1OIKIMV64FJ+dG
b0CXa4EWm4ba5hMBdy3szlebldej3KKyOg3boftr0rbX76qWQ+dp4pbNVkQD7GU9ohPKuD47rYVR
o9H3VxRrd5deMt8OYJ6sBV17vo2cgQ5WxuvZhJ6W8A7DXXTWcmNSZG3QbOdgTefu1bYuAPwNdGa7
22pZYa3jxdMqbv+23Yz7VTdoXS79kHom3Vm0SdvFKxdIDw0zqSDzLAcyr0Vte6O34hY4JX1Zm5Rn
8JMMatQYWKeN2cYiO+V55a4/nvsTuxo1hzqRf69PKod7ON60Z/2K2w61rjtr+ZeUPTRuGdJ4OJ6F
LTJenqsDvwBxRWNih9Cg7QTgp8qzwHVA3bmNES0CaudaKyAN0yg7teHcb7qwWYybdEgHvzGf9mxn
RtFB2fbbF7rleMEQ+AnWEPjWoHqul/3xqNbc8sarRXVK7524cq3VqGM6h5UrWXdpRR+We/j78XYw
d9pbii3q/noJb0e0bZzXG35t2oUkr93oNhr0xeksGuHSCOqt5LK8qNDypebRK7IL64vzobJZtL2+
j7YabIlh1jqOi8N/CnAsjLv12WJBdwG4PAh+Vt5uAVfRXkSrh2saNXOv0VSddstWXKtccDYX1atG
W9Mu3SW8KkxE238HVaU+P/XdgGZC08WaNvVb6lXIBM0goO3NWrOIOoqNrn3mLIS/JHDHGh697QK6
HiwBqjYXFlhgYK4RvWYskn2dZmu8BO25mSZz+s5ouIN+g5RBt9wmYtzZ+M36r21qmPWuZREXO6X9
STTr1EMrcunqtNBukpXmzemzrmmgmXnmQw183vh0WfPsioDEteJuaC+Ccn8989d6P6pWp7/MuJzc
i9oUYuVunf7qQLm8hvZ2Oobpu7eIE280pmKLXHzFttg4TmzfzqNN66698cefF3F7FpKgWurlK7wp
2v5W54ntDraWP/0ctlZW7ZwOuYsPMLPg6ujTsB73rI0LerpBZ/lmZ0m7c5DT4yCg39Y4pG+bKGez
ic/fNPzGGotxvNLvHJKzlBuUF61P22jpv6trjnvnzcNapTsn21gn3aD7NH/3XFJe9XEjSfrU8ldb
75r+zNmcVWL6ew+SdULRkJgQOnk1vfWFFS7bK0p/AmKwdRIwD4tVzWUlGuUlLcXHmk+CCSKFdsen
32G1QycPigYjQUZO0/IWz2yjRvQKiMQzsNNzrqmY7VvtjDWa7UG5I45V2xaruqKf/TUwX9fuAVzf
ANyL7YAkhRMkGu20fJiWbmgJ5G5GGsBrkpGVRjNqXnh8R1YKNuOEfKrbTDhlutOYJk5v09zErfNl
CPmm0wPGMUbLJmH1c2zV4EDbLKcUZfTDud2ASS817P4/uPQH/flWuv1wbUS2a0uIqd866VZ1OtZR
jANOhMJ54E/Ex3fRJQJFzTYFq/hDNeK7BAOewktUBNAXpwXBG81hhC9Tx7F8jC/RdhNyGSrVMZ3Z
c7DgfVOAaUex+JtBThydJjDUvjMGGui1CffIBnl1uqpi7VANOS1PB9yYtxCKrZKuu3K1ZBDUt1tq
SlpNOk+5tU4cz9y3Pujyy/VsOf/FKc/bv26wfh40eJ5J17X1Wa/Zmi/1c4/eNqtYg9ras7lKXZie
1zPrY6th97h57wG4VE8p4rmAx92msK3VX6wC6gTrtzyrPvDc2bmeBKeCHKFHWP1ypse/xAFlJFyI
XfD0FrRn+qavrxa31Zhi0OomqH1YaI1l3yrPOAhT2v6W+2MtWcWQNbUii94S+ngCmyWGiF2LHG+0
sVwHjVmBFaMDBVdr5C0cq193thCvavVpAmFEeXk9dZsLunMF0Y1WX6xwp5PNQh+0oIpC8a7qy+kH
LlE3vq1oIXrehjLB7sOwUVlNasslylkLVxTeCcwg/qHGRUEVw5i2dB2fOjrIsoApDz2rQre3xljj
XWlRtfoY16rQWzWoiR3QFwwL0fenZbevc2mQB/VjqIJr9fXQCskGEzOhGCTwq+txT68mrQVX1Xh6
C3nAMqZqyo0HmCqBBq1aazqsQQb3QYe1o09LmcVw7VQGPPtdXCdT14QfHDO6TP/Rshae6WtvesXW
6a/n3ISJP1vSQjxon2vlWKRtw/HZskVUZU1LgZndm8bWWc1OapiO/ry3XjZrl20afvtzpwMo+zIK
5rd03ZhS4BSM2lrkn9qr7fYd6RuuJc3+CDu9NdQtazago2tb685Eo/JelNTKfneZWEHlI1VF7cWd
VQbdQpsx0SCn15y2o6SnuTV41brfrs2eRXdKWM+h/RCAK/0cyaDPQhjQR8V7FAQKmnTX+kT89oZ+
kdGtd4AUfdUfPS/odahSqhD3YgBPQ0oRrc9JcFCbUTwBsFqlq6coVQS9RCBe/Pyh5Hju9PHXGgqP
XhKkJne/bItWQcBY96boa5Pw/Psd4m0P5Tz3BmYK3T2f/NMf0McF56D9BsOebAHhpN0PAvfmoJki
aLkTsl8TNvm5pkBwnEnY4nQuv2EX6HSWJ8nRAEP8uM7SDOjtNy2a2NAQ9nEKuEh/rhkQEbNCM0Bf
OyKk+DyCbXpv8akCJpZJtkKAUcQPYcaf69UPuAm+dfFbb8pkuWjEl51x9vfeDGiVN0B5KWjOtoZQ
ET/XFLBrCy6/prc45XDf0d5cenusQQiVgau0f7pTj8VY8K0rb6B/IFgoWr7srTh7nnA6/WCwS9Of
n0/nH5T1f+umR6mLDiWkdh8VHu+4NwVa/Q3XAZQIMCrsfnYK5ie696jXK7j8mv6Gd4OrUEjae3m8
I75n/ZvZ5Px0B76Gp1RM378hxkp6kCT77ge9vj8F4Di4DQB54KKJn59v+YXPWmgKNC596psqaM/d
O+a3AY6wcJApstidEXKHr9X7rzgnT0Zy17KdSWpD22a4R8by4h9kFuahgEfLUZiHOmSjlSee1/RP
BVXLTvjOihSf//Kwz9yS2rd7vxQ2/95H6W/Dgz9+fPn9Z+1/Jb3q0XfIvjyDFcYIHqwk/V+Sx7e6
NhYY7l3DNSbGfuRDbIjfBnnARfO0V56TOoBRx3UMUcG2EyWmsM3mLyp4aG7sBy+Tk9rtgqi/qNiR
gQdWuhHsOWaJYZeGEC6YHORMdLoFBHlL0SfduXZkTkqjyIjMMBOXSq+hPYtK7yIgMJzSycIM7Adp
WTG8BKD7q09gMK9a2q4R2Pf3pox3g0CgSpdKtOkL8o9t4Cc38PAAyu7dt//+cTjp/Ao7JzsR+2fq
mTN5cCSf+dsfdH5PPk8t2K/DSF4QBUftZGsG94Y9kwXj0351iV+5g06ChZnj68ZqKiq1Y7hTx5iY
oZXJSlddwUQME8NdGIEkVsWArTi/aAo0gACAyyxyohS16OR2jcW9N5HrL4XtVFTuKLBLV4Y7lzSV
6LtcVDAH3JWFKti4ZwS0SpfiX6OT99kYxS6j9i37eJS/7VWK9dydwNqWK3IFiq1Esrx0UM4Xl3ph
+LJqgLy+uNTLJIBxIK/OYFEsLvraCyKL9QtMaWfQ5r247JGoHD4mW8HGuDS2Bh03c8oizQIVPSZX
hse9v5OSbuQqxnlRoUPjwfAOjogojy0smbPnObm9LIh+Cgs2nIm9kg0yyqWVCDaS/JkWcdaiI742
fcPJxKRLJ2oyi0q9MQLjwXRK56Ew3uWt0VIif35gqlREurLwwHH+bN+3UaCZsPT6F3HWorJHkC4b
PmojE5VKFu2Zi0q+tQw77yWBEVAg2JjZhzMNj5QK0fZa1vsp2KXwVMRUymMW5tUcyfXiY77b3ptH
pkNAPoqO+4NtRqA6M0Hp1lCh6t6GIPxXpfMoDmK/9OdSP4L0NoofT+b+4yhMF+RgRV/k8YGXsWuE
lh3wyOw/7WMPBZClwIYY+YEROckxfVOlDEvB4R3ak4ljlvpGGGVzJNao1nxeOlrkVUbb46yNLHvu
cUEza0//udOh+w8lK9RsqgivDA3HSAwWKLCd//nXfw/n4tMgSIjkMIIz495bGNmqSfqQGABlIgrC
GLf2wgu0KzOMJK0oIr1VEeQsuhtHJk7BPNvu4Z97tuEl+Et26V3sTgwpAgRIHD5jBQ/tefOJxwTe
GnPcSHthZO8hdgwFNoKSOPvq++38S4MSMHueCRKygVTQOlWkhorO242hObb2YNmGFoZxJm/vGQrW
foSnfUSyAh10ZfiRlTNrdlPz4iXw4wJLTfzV32FcyZkSQpROgILteSLsd0moggPV8SIK+GR3XyT2
ip6lDuaIHAB+cRfuanqei4zTiwkFZmejEydThYXTtYzJvsyagqvzvenH9479UPI+lyLLLMFQNZUU
rwDRF53knrnwHjACeMzLz1OwA4lkmQE8ttnIxQLUFGyWLjRcVJDtixUgr6LT8xTQ/yzi+e7THGWS
xfAF+LXwcwzfLH0wg4l0ndcV6PTezL4nOCLteOpdC4+4P038KBMjpkGFV91fxgaGtk0KZUBXHjlQ
JJj7is5zP7DpNiFpQNGPsrDYyILnS1bXKiyiW479gNivLFk0ZSg64gFGqnQIWwr22oBUiDS3oqip
8EgPNgLZruJiu1/+KzJLk384X3m2HFqoqLi8Lk03kaYiLfMpOhdX9n3eKqCmqfhk4Eh4kSVdLhUV
bgrjzc2CYNIsOgtD/KypET7IOSEahaoQnXiR7FPB1qhCrmOsJR0M6kCJ2JxQBad4yEX6kEvyq3C8
dq2C7Vi6pMFfqJgGPHHcf1lNwpulQLS3FfqXaoRMlrjr6A+Qffx+R/TaxsTPxKRSVVwZqdTcRIjS
6qKHbncfa4C8QyPOxKWjFvz7RaW///LX2M31Wkq72xQWjGci19ekBXdFxY7M5MEyHceUNjPsm8Wn
YpfKOkkNzkyamOe0Orb4uF1zKnv4YAayx3z/Xn6+8VVa5F9AOOG0XNaJqj4Fgz5OG11wtLdQx2Zj
S9dNlOUWXrcv/+GVbr3Fl7+m5VE3wZf/dB9sX1JKtGku/qCvEj0VnRXD3eYVNMRlxQd8Nz044Coq
I4gTzClhKJ0aobyatFcrvJqU/tk5m15XkUb9OpCy4Or9euCD0B6n+Dz8ai/ujfu1vIsbCqIMOx16
SAsvePKKHsUOyZlbjDkp+0sBcnHJr2xA+exa/rg47C6lUzQSuz9+cWNQ4Lv/VV+8fFZfLD0r+032
5bNBQMMKqDjNVmxne2Wfvv+e6tL9RLZuVZjNA8pPqFcNbD8bYTpe0Uig6FY+D+RMMsgpBULDwDCl
w1GpKPBKGOsyG1w6AYIWqegEXHjBJDcFuoIpuIzXhi0Fx2ABLD7aK/PegCMkE5TOgoor9O0iNwcq
VPA7gLWydyMwp0UXbGTEE7t0Ehj561OQkhYWTuNZKWZDr8jiUu92FedizKX+wibWnnMaRAPYokP/
SCa4RAmulNak/WRxyZ9MykIyMWLL6Q0FB+/aK7Hp/iEs5ctv0gYpRWdjQJLLLY3i+wn1LATupaMI
n50KtYyhfH+sboJMMvqurWCOTu7j0jAOpR35KF3Btvzn9/1R//2Hfu9fSmLzmAETlt//TR1MGaZN
BWS56GJdeznEduyyfuYKVwgwoHVOs/yqTDA2hMsWewFd4D0Asnjhb34GBNFhpEBkxHMa5fGVX1lV
c+Kiux/ICcp7j/qZgnJzlZj6kaD4t420Hwee7AXTZv0w+fptQneFyscwPCkIrdjUxmikg2gGdUEF
p/YxanSIO0oRwMWW7a04CfLN2Ki2WrQiB1VI96oWKuLwcv+2Ob/BXJh6+aeIkh8oX/mHrq8VWG6f
MyEIxb2qZow9Y+Q2IthpuPcFaSeM1JAEVJ81J177oI7hiLz66ABr1ixTXQdwGVqjOtjNNvDU/ArF
v/Wff+3jhiRxfKrgFvJSocTBv7Z08J/02IYeQxDTf/WGffXDjKkVmPeZJGEYNKuQqwr+U1qt0/0a
QKqKBz3h3UrXJlUQwUFhdKsG9E2Q71d1dgiU4c/ma3bv9+NuqZ16ypzUrsDMPrq5z2Db/h5uIQff
RN54CjyeEzA5QSDdQgoi7CdCB8tjFRy6Xz0Tr9QrHdOZ2rFcivzcCXitWA8yMCMN+56Zwdac0vlW
zrILSnAFgzdywQvBS1FYbOxMAaxKK1hVMNyeKSCBkrejwi05D8y8Q6Ii09cPo/zVhqlaeHK7W1NU
mmaCUh2sYG5P7QPouOiCXnQrnBqBZx7zmJ69j155SE6JZD2Y2SDFTLQUnOiBfY+tlotjqIDLDGL8
rdBM9gcsGIuKzvHADHCrZbEq5gE6AXl22wrUcDfwqDuUtm9FRQL1LAYvFEiTAOdV8ck9B5lFrikT
JDZZ2kmo6KKdR4Yjj7aiYHYvzCC3wdLO7kUHe0FgZWgkckioouIGujKiVW43qEjkXdmRFedNE3g/
s2X8/nD/yPFWxjw/5GpxwVc2ej0y6ZVr5pIUKpKPV/HGBE0eB9NspOlOVgHGGnrOhDmR5NK8p7Ba
G3qukS9IUnBEgPFE8mBVJDW/4qbQqqv4RBCZWBuyrlBxNdPGKK/YVAQwbwB8x7lqEzo6FZ+G9xSE
5JwNXUVNqDjRgA6kPUGMqviAgeygNQPblWsJVHgdIz+XycQLVjDglYFDF0iXHZ1xFAhemxP58tBV
JPJGazuCLyW/jXXRLqjolXc3F8liybgkTqRA7i4xdAm8eeLJbuNhADf+LR70SpP4gwB1sO+6diRp
DP3Z+MgrhaORuaDMaSBvaBVezQjam9wRVFGiDxzUFEiaYS7XWa+oyPjuQsYwL5iQiMijh5lRhT13
CT3ySprtdpsa7cO48bfvlC//Js7NMdesCYGk4AxuVaotMnPV2suP+4GhNZGf+B1G1o4mY+ovk6H9
uJXYcZ0VXYr98f/flQKZjr3N6fbiqr3rwaNQep9LoCkp8XNKI8NZGcRFs2GmcR8FRsoA7JVJpa1k
/hym/L5dv8DbNBE5l/0Bk8jOPn6/B3bNBAfGNJZGTNOH4pJvADLJ+PPKy/GZ/Q3bJ/0lCtX+Nrnv
J/6/v4szdxLE9/KSFV8wUtY2GyENk3eM4J7S7kyoOB8KtgTY6dh25NOhgoRGjJbjLJ8OBd6twA52
DIttLIlWUdLUNRIcsGMGg4ooQje3O1QApXreggYzcj2DCmc/k3scGayCwQoq1zxDrArfHGU/gWA1
losnVEB5zih9tPfPHj0pso/fr+ov2Me59auoKJzDKxeth/L4LhXYceEjhTDaGlH2+mmg7dlc/yvd
rxvyB5EnDAzJI6AZV/ao75/pHRfvpR1FYapNr82VLWsQFXRHu6dcxQ+ys6SrcJVuCbTYE2OSDv/W
u6ewJJuW9C5QEa2+BR+ym58u+9ILjylDmphnzy26HB9s0ltQJAs/TXBB7LTCAd2aCnRtByilHVql
D3YwtY8qeaoCi7/X3ejZJyjYyB2ixjloty7aQjCPhES+f0W62LIwLGaC0i2lArk5MmSrSG8qSN1B
nheV+hQ8EA2SsQm6ClTo7hhjwkTWl7865kKKNNGTPJuk75/t9AWGBk+Qw4ZVmgCqCHSmzOO7W6D0
x10a+U/ZqMXS0ijuZVflx1n+wtX+XUY9jtVJqgjFE6n77DnzR329v9INQoGQqLfpHlSptWg6/zIl
xo9b911ZZ1F375masx/Fpx5MhX6WC5xUEBF2IK7N5ZdVBH47gbGVoYAq4L6iLlAKSqkg4+h6jpen
klFBldl/wJeQw1EqekKc4vg8WIIHKEcqoyKRemo4868GvRVYbYMY0nopAgHHYKZsClyG8FwQmJK2
RkVF/ZQgHiZ8Il3flVa9+IhvzCDOpKTuz8tK9WUSt7sgzg9WV3FCPpDS2tJ3RFo4KouzF/jawv24
a+BYHf7v8FLYwRpAKBkLT1ocFRZmh6K5fLhQheEq1K131IFSwabf9YTX+cdLkwSGO/3TMf9ThTeY
JjYFOEyUL6DSjj1HRYlP1/Mym0wKNtQVREJP7ZmdHWGhg1QwtZ9SxiCgnFkroTS1LJrYHrSQeLYr
zyvjPY93IXU6yaF8BS7to/wURCQWW4QZnkBgokPIRFoUFRcDAUip5uEQQBR/c8nDmUnJyuMOTd9h
+NAjCOBk30kvARIj2xRf0+sv30SXUAnf41pnktIrTgUPS9cKwK4Suz/iqFRUVNBfm+tS13CO1Cuo
KOK4tnOEWSpKOD4YLilK2ZxQESO5NiCFlVZQxZkVE/yrSTo1VzLcqmaP+v5td2NHD8S2jl4uwNcU
PMDwSaaJVzjk4ayoIcp28jRiCo4jl1QIgfXxBhoqUtm7eNeZ6ZCU+cfSSUhQNoS2bBdpFieWtBgk
8N3YtSQ7BVRh8UW59ebYptJO1VWYErcQC8ujVdGS5zamhjA3WAU78yPLa+8i76dxRLeEbF6F6gXk
mH38/sN1YGTqKvgCuqI/isjaZIc2G6gYd50gY7MJjLFOUVcZ1KuKqt5H4okd/JSOiq4XlN7GtHvA
XjxqxjUFxX4ZxH+LKBjA3pcJd3+g43MEGlzU8dl/G7F9nive+NvUdRzDJf9t33JnAqU41f5TScvL
dtHA9MgeSWdTRf+i93GYQ27rKpLLt1/+G7a3xNw/kqDOs49fUyX7++W3yTn27V47XGn5sv/rVb9/
TFylHswRALkk+HH7slDmU7brhd64++P+OXb/MeT67/Atj8Dmf39veQyl/5O95f4BOHIwH2+DBwcn
8y//CwAA//8=</cx:binary>
              </cx:geoCache>
            </cx:geography>
          </cx:layoutPr>
        </cx:series>
      </cx:plotAreaRegion>
    </cx:plotArea>
    <cx:legend pos="r" align="min" overlay="0"/>
  </cx:chart>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Analysis of Order Quantity by Country</cx:v>
        </cx:txData>
      </cx:tx>
      <cx:txPr>
        <a:bodyPr spcFirstLastPara="1" vertOverflow="ellipsis" horzOverflow="overflow" wrap="square" lIns="0" tIns="0" rIns="0" bIns="0" anchor="ctr" anchorCtr="1"/>
        <a:lstStyle/>
        <a:p>
          <a:pPr algn="ctr" rtl="0">
            <a:defRPr/>
          </a:pPr>
          <a:r>
            <a:rPr lang="en-US" sz="1400" b="1" i="0" u="none" strike="noStrike" baseline="0">
              <a:solidFill>
                <a:srgbClr val="000000">
                  <a:lumMod val="65000"/>
                  <a:lumOff val="35000"/>
                </a:srgbClr>
              </a:solidFill>
              <a:latin typeface="Carlito"/>
            </a:rPr>
            <a:t>Analysis of Order Quantity by Country</a:t>
          </a:r>
        </a:p>
      </cx:txPr>
    </cx:title>
    <cx:plotArea>
      <cx:plotAreaRegion>
        <cx:series layoutId="regionMap" uniqueId="{9967FBA8-6B3A-469F-A5B5-1E454CC4F889}">
          <cx:tx>
            <cx:txData>
              <cx:f>_xlchart.v5.2</cx:f>
              <cx:v>Sum of Order_Quantity</cx:v>
            </cx:txData>
          </cx:tx>
          <cx:dataLabels>
            <cx:visibility seriesName="0" categoryName="0" value="1"/>
          </cx:dataLabels>
          <cx:dataId val="0"/>
          <cx:layoutPr>
            <cx:geography cultureLanguage="en-US" cultureRegion="GB" attribution="Powered by Bing">
              <cx:geoCache provider="{E9337A44-BEBE-4D9F-B70C-5C5E7DAFC167}">
                <cx:binary>7Hvbct04suWvOPwyL0MXbgSIjq6OOCC3ZFkX27J8fWHIsgyCJAgSBAiS33X+YH5sUuVL2Sp3VXdM
TVRPxOhB9iY2CCATyFxrJfT3m/VvN/3ttX+w2n6Y/3az/vywCWH8208/zTfNrb2eH1lz493sPoZH
N87+5D5+NDe3P33w18kM+ieCMPvpprn24XZ9+I+/w9v0rTtzN9fBuOF5vPXb5e0c+zD/TtsPmx7c
uDiEu+4a3vTzw+Pmerh++OB2CCZsV9t4+/PD777x8MFP99/zmzEf9DCtED9A3+IRogiRglL56Yc9
fNC7QX9uzvAjVEC7QJ+bpfwy9sW1hf5/OJ1fJnP94YO/necHn//92u27mX99amZXflp06e7mePz4
l0X99L1R//H3ew9gmfeefGP3+zb5o6b7Zv+vj97cXD/45IUvJvhn5v+/N42D3sbwR8N/b6ff8z7h
j3JECEfki3+/8z6RjwrBMJLg/19+yJehPzn/D2fzY+d/7nbP+Z+f3nf+4fivd/4hNMaN5k88dhg9
IhhzLiWY9JvzRotHPIeWgsOpu/vB9yz+L8zknxj9a8/7dv/a8BvTX/31pr8w+tb/mZaXjziYleb8
85ZG+XcOEI/uAp3AxZdmiIefYu2nLf8vzOfH9v/a8Z75vz6/b/2L/4CNf7I4vz0o3fX8JwYdMHEh
BRWIfM4p4jsPZPkjcI5kubxz1N0P/d4F5f/673D74MP/gMkZf/ul7Uex+MeeuN//nkPuN9/3S3ny
15+K09th+zOj0SPGsOQF/U0wYhRTyZn45Clw1Ldn4Q9n8WP7f+52z+yfn9639unhr7f2ufPu5sZ9
WfyPdtq/B7oofoQFKQhGX1DX9ydAPKKUE1Z8aZX3DP8vTOjHpv/a8Z7xvz6/b/7z//rrzf9SXw8f
/tTdnlNK85x+iS+QY79NwQRSM+e5zPMfhp8/ns6Pbf+l3z3Tf3l83/Iv/wPC/2X6cy2fkUdgUoJy
BFn1W5Oju+cQaMSXlPDlrH1Kun88jx+b/Eu/eyb/8vi+yS9f//Wb/YWLoXnwiW18McL/ecDJSAG4
hlOCxPchnuTA7wRmRN7DOf/qPH5s+O973zP/9433nfDuPyDiXF0P+/XwZ6LODIgWYQIDz/oUVO6f
gPyRKETBcv6ZiBVfnP/pBPwrM/qxK37tec8Nvzbcd8HVu7/+HNxHYX+W3vH/wWf4PZnkq1hQXYfr
wy8a0zdKye+3/rL/QPW61/X3pKpPXj358PNDSLm/bLpP2sXdK76Dmi+cve5/PZBfe9wCM/n5YY4f
MQwZvZA5RDkkKZyedHvXwtAd2cBCCESLXDAC4W9wPjQ/P8QYmgoiJGWE55hyAFnzXfT9+SGoXpwT
BOwcQ0rKcV6Ir5reM9dv2g1fTfH584Mh2mfODGGGQR8+GD99626eglIMERZxQNK4KArGYQ7jzfUl
yIbwZfw/uZNpLnBBlGg2/94kOqs2Ituobyzyg2HAYL8d5g44cilkztC9YYhp57reGVG8b+ezrJj1
iU8BVwvS46ERm3jx++MRhr4bscAYeIFgNMeEUAhvd2b/dmF1F/ZU+6xRk3QtClU9b/uKFBosNaqx
WxYyJdAU9aSSHdtWFfPYTE8MF3XRlSxINzXlYHl47tlgiycMr0weMbZsrjjuikYSUgY5dLsvl5DV
2VIa06aQV6aQOpgqYw1FdbWKrR5o2eneJ6nSmMXFHweDW9arbY8ML6WnUQijxJgbkU790m3pBuNx
WWq1AjBJobQIWNBSLoiuC6l66Taxl6mQltO3frCbSdVkENOiXBHKYq3yuZd8UoIJ4XFJpCmsfLwO
vV5b1XQDrd/kWwr7KzHh3tNynTFFj4M38L3ShxnpY8QmTlsVll1Iq4aOutqoJQ3biqpcZGsxlqhu
ua6Vc6Jbd5Xna5+rAiXRnfQ756xCnvKBHJq1F2lQxNh8zRXMRZKyyBitW8UaH1nVdRMpjGJFn/nn
hTeoeWLjkknVd7DwWlnjvD21Oe5fM9tP/ES3sjOHdtyxGyubC6zfzRrZ+SSXxUZaJbwl7uPWBn+F
bRjISdZyY9S07sRX20QbrIYcJ1kOky3IFcPzuCo96CEeWsFN+8HplvuSo0ygY7B5htWKWeGPxnqU
zU3qQLK+HdzOnFGwzfBaknag9jRMFGfVTgkca0UHthTvO4ZJdzSaLTRHjNit86onO2+yctkptheG
JZErL7q6Pl3ZutjLcc8y94SLIfOdsmgZB6wmPWX9GV2HGF+M2iN+3o9xmC63doMBu6zv0EWfUKKn
DmPZlXNustWUfUe6Qe17NtKDLWbKd7WRtDCqbI6MOzKzrPkpD3riT1fdjBGXsx1Gd5q1TpJemTwP
4QRvHfJ5ufTWscOaIh/9gWmz2Kj6loxNq/qpF+5I+3Xe38qFkmxUvmMRXdpu5l0ZfMG688mC255R
NxF54XUYM5W5orMvMkNNvMgLTvEV8zO3XUmKITvJ6t0+3jgqVM5HWTY4dPowLMxop3iq++HCLIU1
54vZNAejb/l4Mq3C6ul80SzFruw9kpMvRTKoPy6KfdxOJgvM60nLw75dbDtrChXFyHGV5rjEUeV6
35u+2qcptfjY+NmIxyMeuX8rp3lOz/WC6p5Wu/TD8sJ3K+sbhbLJtVE1se/euby14TRbuq542eqC
C4g+O65DXUWKphFOPG9JF8smMjvtl2lZ83nf1RxX7ZYXzLLMjy82GaiRFxCznK9Ln4ju4/M6k8Ma
T6dRbL54v4cp5PvJQJraX8XRsWx7MbmVjWoxlK4Vd37kSbWL0O1h4jtqxspJP80H0fI2qVm0SxpV
anjDywWPiVrlIJTKp3mBzULUBptPtiqzUszl3CG9KpvRUR/tfqr9sZiDQE+laLP2yZ4NWXagcyjq
yhd5nT1eg+6nyreZ2cA6KI4nHAIHfpl12ZQfD70RvYqFqNmTLoz+dNDIdVXHwB1KZLity54xshXV
Vu8ha8p9HwfJHjva6kUq6udVC7U7zXz7VmfL5uXpsslF98/lUPhUn+vF1k2mVepFE8vfzyvfp0vI
KgUVgJNBIJQ5BlHqLut8my6JiYEWqFE05tofrI1uUz3fzSf69glB/CBf/nCcAueEQ64kOQMh+Ntx
IO+j0DPcKNeNk1ZjPy4vWuflv5WWPydJwSBN3gnLAt1LkqI1xSRqGCabMslPdrueTmg6mX3uz1jD
FnL0++a7e9+vaOPOfFA1IJhxSXMQmeS98Won9LpzAubb16h2A8BF7blz1SDwXGmrkXJsQ9ddPaY/
8Nydxe4NDZgAogilYD3O73nOoW3hdQd7LOR1f2hT1x+FyaEjhHyqfn+Vv3UeLJIyASpZAQmagEb8
rfMgWed2yWEoHHz9dGtId1bHQv/Bgn5ry7uFECqBunFR5Pe2SNy2fhZ0bxRL+zxBdhthMbXN3zAW
hrJwHrLc1jaPF9rbT278XBr8vD0/ocgbN27e6OZzcfjrx3+cf6k4/1LY/PX5XXn5109Px9vhRfC3
t+H8erz/zbvxvn4Vhvs8/h3A/u7Db7D+P0Hzn6rY/6TxX4P6kB6/8fVvoP6Pmd8dkv6l4yfED0oS
k6wA/MkxwhRAPLzzE+TPoIQGxXgA73AAJICqAoDyF8yPHgk47EDBGYGtA1ThK+ZnjwA5Q8yBrlgi
LgDMflnld84CgvP587eQH1DPd2chF5zkOQFCD5sTyhkkv7dB256udT9tZbS1DldrrWUwZdwdj1d3
kd0atY088285agfzLhrbkctZR7L5E6QnwFRVAozbFh/WKQPkctSMY+4+JEtljOdrXQxv9tq3upTN
NGZnZlj9iyl4MT4eajk8WwgAIz0v/Xs01M3rohF1Xy6MFfIkmrT1Km/T3pR17/WmRryvHyUkF6lg
ys2gZobFWLGuWM1Zx2xaVTHgeLXEvZ2UnXDMqz3ZlSmZXPcc0cafjBrw2q7Rsh0ajxmtwCi4e7qh
saVXDme4e0OwBxSincSPRc7su7yxE69VCNL6sglp+9gMmDyn/R6d2ovYvGNTNjDFkF7OiizVo+Iy
wHzrriNJq67h+XKW9jafKsgjHarW2eT78806k6sw646UIhQRvyLRmPHMjLR1WPUjoc0BO2GLI05W
GkvW6/Q6mpZ1p1vXsPGAAmWv+knwvnJYd7T0o9t1mXQ+JgjgXWpOgGtm4ZwW2RTeWzy34g2lBs9q
nJpsLOG8N7zKXWyCmjikTsUx2+KB0iHfj7j23VzikXabanGubblZVAzVQvH0oRY6mqNI+/HM5nUy
5T5jfSH53AHe7WkvywzTcJUlYm1Jdz515RiQ2y8y1m5Xgq21rep1RexGkFWzkjaLK5TssdanjWw8
L3NL9q6KvjXAXsjUzMdtnIdO7WxoNyVCbMHmOYYXo9DEp+D0ZA+uQ7YugYQkryYUQ68GNmB+aHEc
3vqiJ0Mp9rHgSsxkLNSMOvlqGOpgFMZ1fZK03DOlM6GZiikWdTmBIlAo3wfWHRMMm6LMmxkQBRdZ
8SH1EjZdL3svSjM0cas8i8Df+ibU4pSxbtBHTOzyWa3Tfj2uaZ7LDdUSq+SaOShngGOqfWTruyIj
6yX2SFwDA8mCKrgGnrJ0pNZHKaJ8UBulHWBvvdTXLZa7Vzw28pWZAp3KgqxDXjIN75jGZX7TZnZ4
voheayXd3N22EwEc5mwy7/Vq2IstFSmptPj1cb/MGVN+li0cn5zRY0C6en8M1hk/ptYPsLKcypdZ
09pX8E3xbETGNwexxPCiaww9s7IdAGBi2pA78kOCmqfeDuXKmI7V2MrlbUt5s6kdeyBXMfUAr1Mz
ko94Iu5yoHC4Sz8zkhTq9omrrUvhtQZ8vJf5HPL2qMddD/7Ypv4iW71zKrZhvul2AJ79rLkAIsdI
B7Rk5xdpbXU68lOH0Mls54GVMfOhrL2or+2+ttnBt9FvamKhPSXY9mOZrXMNeNybBL5ASNYl0e12
x7u2tyjN4T1dxWwUxZFd7CwsXg3FDmwCdU2e1DIg+3LH7cjUnA99caK1D2ddlqH3vRwWqlag9FOF
kLPPYVDWAhkZMqdyh8VTglbzmtRFDpsOh+l0HgV/77apHVScoJ8KXbO9mqNsLuapHl9MsmsmBZx/
eAkEJFwCcqanq5t6ojLS4SMn4MKUEraJb4xNxa4GvQ3Tk3Ew03xk5zl/27dBtCf1lNVrqbPaPo+d
zYC1ars5RadiqiE2oOlcSD4CFkN9djFR0blKSxtfgGCypopAwftFHEZfqCYP9hTW7XxlsmYvShhK
9spLnLVl0U7enufCdm+jL4ZXU2ZBgrDzklAlE0fpAFB9Socct+ZsDBCxSt5BLCo1d7RX1AGRV4gS
/T6j/QDoZm6EqESd+ZvO23Y7E1FkSUnf9rerbfJV8b2uLyyaIJbuZgMdJsb0jOqRGxUdzFoR7tpd
rU3T3BCxtotK3RK8asZtiCWPEx7VriMnFZGjEAc61MUxmWsf1JbaySnrSfeRjDy+pW2me1UDa+tK
rYFelo7n9IoBGOQqNDoKlY0LOZ8tnZayL9xGVAtQ4GXoanoJOwVEFFQ39IOsXfIHgobmjdY9vbIr
SmtZMze/6s3WnXRirqMi3YqMarupfm/TREZFZmrfpj7fxDFmbmtVzEfYVqvh8ZUHNy2q3QW3Kmyi
YeDqrrgJczMcN5TPILfUbSEq3XXjemQzlrsSsoLVoKR4ye7+nwPZLsSoy7n1C+yj2aYnbstkcwxk
jjwDkm6mqmYZBbdMef10oMa6cp6aJqs8rNmqLkPpcQC5SFaSQkhX0SKdVEaHMap8hGy45j7uZYAo
OoOEVWymqguaTkcOdFcVewEa0TDvMB+QIppdhbVHQs3B8VTtS8/fiNn7J32s84+Ye9OoAfd1+3hk
NXyZstpNhwKHNB1ZlOxSdUD11+Ni6AM+DnCfbD6PjjW1GuRIX+J2ym7nYW+vEqedUbvsYWWBrBYo
MiMYjj+rh1TiQAd6instBsXg1lRzPAxzdmXtAodh3WwOphp6EAbS2GwQ7DJUv8uIJYsaAMJf1x1Q
WGUDvKByW0fe69GLVBKTeg3hoyDPazbhj4No20scjLj147CGys5197FxCSSj1ollARK4r6cjjv6j
GGm8KdBedKAo8vbZskqCITvhvQa5p/U7mD0sc9XM836mZ9LdFGzPdLnQOT/gSODM1a318kjqtMWS
ctxeBJCfE1izgO2z1EV/w0RG0yESHtKBrExAesLNeA06yNpUiQZ5k/LYnYWpp68g94n2FPZ/nZS2
ezhv9BjG497l0p7KWLB47LthfQ6a5f5BYj9fLaO0pjJDz59SMgJicoOfh1L7eWpLkc/sdpSeceVp
sz7FbJzXKofoV8DWHrVVvB1Ao27wljYVeYtehFjk7kls8CiPXRbCqUFI51W+9f5p7/02KgN7iEKs
0fiiHeCMjmbnEHGtAPJkOd6JAkEJQ05o0jSVzS7CW1KT4tS7dnlpRpGKMhNDezzYPcVygB0DYHQR
4zPfAYCoIOwNIKaIMZ3OkcS3GUTKCaKmTqcEkIUArDVIyN9JFq7EBpLmseaSvLZpg6MRZczO2pVk
e8m2zV17CYt64gc8nqwdotcieH+ph7Um1RJAAwMQMxcvpnzTIGY7MnvgzRmIOSH5bVd6HdlRElme
n4Kv00vsmfwot8EPShpQHA503bp4zFhcdDnUYnmXtxHkKdBbDKSCOpAncAstvdXb5jOAVONwNUG0
eQFy4G6qYmBFmWi/boc+je3jPkMHkQ0igryV8RMUSH8LWlF7Fbs6Q487GrLXa07o6xq0v1M+L6Mv
Q49BJYSMHjuFNE9IhX5PT3RkAywlanuK11YAntRFdtuOHBDCOPWDrLrC5zUUK/qmOdLM+OOGd1tW
rsPc6COZcN5BkhXx0upGdGrI+H5WJK/XatnrGVVNu5BOybijBWSburZHs538EW2mwI/y2Y25GkGi
e+ZJJFrhNCxC5SD6OCUnswbVLZpnpZ0KyBy/EMl/i1P/P8eWBYgOX690/4Ytf70++GspDd/1+EST
MXvEhcC5pHdFMVDVoMb1iSUTaABpDSpcIE1JENqgWvSFJNNHRZFzqFZ94sEEqO3nwhh7BDeB7zQl
qDDdXZGEXv8GSeZ31bdvBCNBAWMQljMO42EkoAL+vYoj+pmwFmop/dKacT3e0NoCPCEOyZO9R1tx
MQo9GLUupmvOYxAhVDT0fj5p9QoVJFBgIR6shPsrEQczV2OXdHoqXd5oleVmIkbpOKHiyRjw0EoF
9UHSO+gB572CkgQoO5NFmTnqiPDtY7GxNi9H1Dp+zoY5oRJKgZD7oV4Sc8gu2YYVEPjQlAucnFZB
1cINCvQwtqq5d11Qce7oOcub7N2eGZ6rKSYEZDsX2zmbpX7XtYa2JbUEMNTA7QjvswwCOkud6VVX
aCDwQCwbq1iX7F62NWlNSVMroarC1zCpphUpqGCaiR7RhTt+4MiMrsymjm+P2cD6N1J05AKkRYcP
IBPrp34P8rrBRf7G6VB8GGsifTlveYS45uelU1uMmL+pCQz5WmPQvVXL0mrPN9JL+yQtXQ9p1pFa
VBGu9hQnrB8294LuIPJX+7gncuiAjM2lGEWxH9DS1I1q81i8cm6m+EXumrif562PZ5LXxQo+zPpx
UGaO+5N+qqf56TzXqD8hbSyCGjnpTgmnEAocJMI3g66LeDTJokmzWtahfuUgxEDwlVljH89146nS
fGrpYTLz9N5vA7D8fSrETcNB/CgR2dirZPPwFpmQQXLuu3Aci2mEDDQOxc1cO0DZbTJpPvZ7l6cS
YajDABnJLVJFof1pm+eAhzGPW37kWy62smNm7hXaOAQvUFgplAUxTOs4nzkgRD/F+XFwWfahWTKT
1JqMOcX13FxmwcwfMWMvg9Fjp5oZI1L2oRhHqPQU5kVMbjBgoG466nu80jLbPeQHvkNsJ27tsOoY
skDTtzy/jGxpiVqgmKxL0/SAgAC9yUzVJM0EYJ1d36yQRFG5TnG4IZB5fFnQgEEQ5iCUTD0HnrVi
bOwRoa4YVD8sgLqpRP62Iba+qZMdngrK8HuD9rY/mrVbE9RzpmGp+FLnHfw26V0BJ39SKCLij2tU
Aw01m6RAJ1e4Z8OyfHy60DxqNU0eqpgdCBIBKpd1LlXRTG5XDdSu3RMSPFTGDQIWVOp8pkBb67Qh
qGrueH/Td7q+sQkzcTxaR4bTvIh6hK1rx/nFoAlrgMDIO2ofILfgNieX9TZ2ZzjboTbU+A59mKaF
7Efa8NUCqmiLN22u+fPAg3zjhOgHtYxYmBPX0+BOmtTbp1PvEFQIe1IzOHKiHUuQyfQtmTekVe6n
AkFj2gng82KzKqcu6RLUl/5lanQDlRTS7PFl63r9NrZ3/pF9a5jaAoj4Fd8ShL7V9IAre766XjW0
mCBIYaivyaK1LxGB0Q61aLdX+5Zo83Sxs+ewD3nsLv3KfF1RlPEO4P2uHzPSTOkYrgfk4aA9X/sD
iHweFMjJMV3RrLdwoCbukRoM642StdWz6qKQQHJlpKD4DdjaalzaBh3B7YUmKu26u9VJkzmotrsF
YFy/mPM5I1B+dZjLTuG9GOuq8LTmR5vIlrcZEu6tZROJKiWgalD4IDpVYTV0V30sgFL1UQcglWLm
IDQM6f1cBH86rnrvlZb5ABhgG9exmjmjl7BhV3zYattLpRlr0sFsEyhzJpcEVSMcuEFRuocE1C7S
odx40aaDEOPYPK0b1Jz4Lna72gEhXprJLkGt9R6PBjJBTJ4YuKDY+swqqGrO9rwGwOpOg+1bq6at
1fHAIAdF1e1Qdzwqahvkgdd2eAdVHdgU0eh1KMMkxeVcQzkV+BfU+6o+QL6Dbb2at8YgE0GGGVBR
SThqV4zxMKu9pu5JbQmeD50u8rbUDDAhSFYglCjIGdGrbSJAFkNmg4ZD2mdT1WtnZuVaYl+ZuamH
SgSUQ+kafm0lWtH4ihgns9LHDjbfYoD6lv1g87dNaDpd9nC/oPIg/zQH4OPNqODeDPuwSoNACES4
fQulRY6GE5bmPKVXNbdwoBUHPfdDCna4iPtuOkXwLk7yubPLcW2AtAOi7i/ylecvSWb2t30k/qbJ
IBaWm3P8A55jVqvNIfRqda3cFJ29+8h03hyvu3CnPd73dwaTeC5rDEJAUzsqAYi23lXT1JuuNJPD
lxvcAXjN81Y3ygrXwTUP6P2mnmhywBfJftmZbP/YZWF5ArdWjCm9YeE49e0OpeBFyKdwMwBqpS3o
/7laPMieCk2NW0BRWPBJHgXsmZg6IGYgd3qj6phAYhrMwq86naGu7DxgeNXXLExHrNVjrNjqE/C4
vEPnDcjmN/MKWoBap5GyMu/7rXiu6Y77cjac0osZ/thQ32HttHVqBWoFYiXroJZ83UnQWaHjHnA8
hVK0XZ/tO1zkACmCg1R6piVeujMOdViQVSCA1sMV703oqlS0DPZAJ9b6cewyj0Cy0Rbhky3Le/Tc
b1OBS8F8byskuByAqdPxvHBT0Z8OoeFeib3FN6LQKX3A26anM9fXfXanQ1mITL2MptoSyCp3Pbe9
7LeGvtd91qaSog3IM4QiVodqiqauq30NqD6Z4xab1xxoDjvM2Ty0V2FbBleBgoDax7VJGjQjDlEe
BKscpNcLGQgoZM0+L/W7yNhMDyj9UoyOrhBOLbJfWAGBq5fTcOTzfEG3UwdhTGXw9wzoGOTMLO3V
AjeigFvnhWXFmTSh3j4GuaLuYoYA4Y8CtYU/N512/rxGXStPGtnhPT9YwBagvO0IFLmjJo1RnOqu
pbpku3b6jCxQHHjvfOZl1YQVuPHa5jaUhtUwUdIAGX+81pFRKN6vmrIPcQ3/m71zW5JbN7P0q/QL
0EGC4OmWh8ysUp1UKqlKumGoJBUIgARIkAABPn2vtD0etyN6JjyXHROOcDj23tpSZZLA+tf61m87
3jLpgnwqsio+GgM5HZ3VumzxbT8HtzRxwLN7GZdoyU9LfMixwWOq06ubz5Nva3wQfmZLASmMBznz
X0snVAmcJtvh2AuyLMV3TGHJm+8jT85TafuP2JZpflZS5AGnhIQlNvVxLGoCv563G0CS7VQurtgu
ajQy3OAzByMRYsfXJjdi2R4FDp7x0yCI/RNBRt+Xvi9+wKmNi1NSBslPcBRWck5LV4VuV1yR5iiS
/mh0lsMEOI6Cl/jQnH6YyzVKu2CTeL5ad4zdRfjBxgZeRxLqElLb12YulnecCdyeMreWeNSTmMNN
S3dXPm6FxWuelGOqOwrZsUCtWZbifieL7XJU5z6WNJZQ8BVX0N8wt9Mut2QhcDgG2bd5UnigNcFt
4xkCgSKyyDzet77KcOrNuDe/UjBS+J8pXV40hZo+2VBsGVCQna7N1Cc+7+aCi+fZhOFDkVyAdXE5
ovTK0/Bpm/tpqVdI6q3VqqCwVsyKAXZd4D3ApJ3y8jYZGD5iU8TDa5TMxdzYnMm42VIjpkbB1oFU
gZs+PKXWMHujMs095G2w+hPdx0XAJOmDbo49EuqCoG0uGqnEQWtnrVT3izc50IWxXMgnCVptxIcH
FK9ztnC8QdC1R20U41vAIJ/LrKP6KIdG4l82trFdhr7ZKGKoWvzVoWX7Gop2FwO8nnit9l8uOkao
6HXQf9jMx6pberWId0ASNJh2YRGGi7Dy+WiPPFn10Szwz0r4XGzLAVVpt1m/gDso5sSdMHZU2dgW
GSMwFpRPo74LId1II6UqiscSZ35/e6hNmAeAZV68Ftnubd8ok4pkbgzEP32B9BRwr5mZp+34f3AG
/mem7RTB839vHzz/me37yH/9h/74j234g6qfYv8oOl0z9+sv/7uXgFydwqa88uv4bwCf/8tLAEkL
2V0ksBhSsBIF/d+Be/oXAC+I2cukAoVHMAn/w0tAzy9GFp9U8CGKkgDd/Xe8BIA0/8VLKFFTrwrU
G0qCf2We5+m/sBokypNcmPmU5wETJtOB3VcEF8ydX45F3TmDWxzm9yrHbq+Owd964s3bQO31CITn
sDTwB0vaQGkH0e69taJlBy7SWjmd69aKEKoGr9r0BXY0ZhcfEFx0cg38GxktUMcRV3foNNmHqU3l
0H8oaANzCsi3XtYi1kVth8Leb+A88V7H6ZFeLJDm9FwgZ3Ad9VuBKKM4IJZ9xfy3hYMLvbFuTcJr
WZgl3CZhi0zrIg0cb+EJvSA5HeE5Q37xZhZI2XHim/4HTrRjbncAcwwv+GQQvhwGAwaIROZqn00w
GAaV8fsqCkhAc2JngxgxIKN1NpLvU0GKH3HuCEbHNIOxK3CLfTu44G+LsSqcmK+2B1mqGeoZ2fKH
3rY+qUNh9N5UVOc3u98hWzXX49Ogk1J36Ux02cCzJLw7aKRDx/Zki2uuORKzDEPECxfeGPxIPNA2
T5eorOkmjy+YnfO4USrrT8cOkKnbDX6YNoEkzuGyclue49maM1fp9mPlgCjrKlfFU97n5kEhc+Lt
sh5Q+N4anPnjuuNcpvFMo5oDlYYPDN9XIxYO9cq3XDdm3F1oi6NI71TqDnuOD+COjU1w6bXJAMHQ
pPCZkxNS5WU6kyVPwAaVObIFb9yWPx/TsvMLd7Fbb4KNihmqSCy8mZCmDh30nD3aoMYk7qbK9Kwm
s1PgQudVgog1UQbc2RE/n7Oc09BlbDuiM+ysGPEnNNl2x6F5ptOQ57MH+WAwWZQkRRy5ShK9ARSN
xDumLLJ2GAiRJtmomiEFknxJIPylGy5MpItoQXCwEoBueuhu3JYEEHSaxvYORBP44ZWnGEYXP4a5
W2bjzSWadh1OhRNwIdzseFLCzcZV8KL1nmcnlsyQMiFEq7g1co9e+bRs/jRw0B41xg7GrwhGUjxz
u6z2azYSMbR+3sL+feJimpthdBt/GaNhF/dS9eut3ws3feJ8I+6BQY7uj2artv1m2f1anuZD2QHP
qwRqvZFK0g/8uSN9rgIvk3bFA5Sd1hAS3haa6PlztjuF9CMOhJ+GJXje+YB4pZ0HsOQ3iSjnqTZX
q6qd8msknpmpKB9HZYCPDspH6W0KTVi1UZ/FyXmoQvZRYFbdAcpwJbsYbtGI7FpAGBo+jfq0uHxI
OhhK03Dx6RaLc5WOg25KMIDmnvUuVs0It2R6AKmBk6tnyUZ+a6Eg/SfYKNtTlfAsbqz3ajhlSyxY
B2GLGHSJ0a5rhnWMtxskMfnQzer6d+HiSH5JKV2mezLuq7jssVn1A0lw8lzgUI3DDcKlcb6Mm+IZ
sIJo6m/N4Fx5Vse8J41Ys4U2hU3gLUieTFGbpcOQtHrFuFOPegTkAMsWuczMqc/a1YfyG60k/jj4
9vGLVLGWt71XbmmHUovvV2f1YwnIEoP0ydyqNehXKHz87hPMwbmNBgdswMd9nOIVmwxtStrDUQBt
j7/rcoLjZsC4g2+CLlcdUo7jiUZ+eyTZlri6OubiYXBH/HtG3LpcAIDPBue3GJBy7AX/k5CleJAB
nyu4cKtfB6C7H1t8xP1lpdR8BB9lH4IkqqolOGNko8lK8bIOo34tk7UkTYa1ML97mE74vrIZL6lS
sV9r289GALPMgBvNR4Aoj5VDVJTHocH7Cz5KeCauTgW4aOTttixviI13Wo88M/zGlKWwp0P1/tse
02G5SyYuX+ZND/K8Z2aPbpzhXkMy6mhuUyAJb1mcyTS6MKKztIAvfaUBJmX1nQVBDssPADPSLYGH
rRniyX2dANv+4TsFHJVXNjw7JHGm7j0C44b1Nn4Zhiy7yXuSLSdY3X11Aanf3ztC09/GjjuiuiSH
YWOSbVX11gsfEE4j8gfLPG53BPpeNUkVJnUa1lI/gO2Bm5VhsHvRqGNwxKFkq2pFgBs36HiYu2nu
uW5sOoXPBvwcRVGjslVdLL3EWRR8WrSwPVP1aemrQdajj8nLgt9e1vmksuF02EA+9cw7BKl5tYKp
YxJmVhxNx8uc8PVzOfr89Zqlg4CtTHHLeg7jq0/d8CZVkuIwM579IDjL8X17M4p63pc8NEW1HAg9
kS+8HLHBwB0vpThFRpjvwJHZ/Y6ZS53SsZcPS1jU67xN+6saI/IWxb5SdQ+H4cnmy8oaNH7gscJ0
7YvO9cwtHeFm+goQRaTAXVD0wFSIULRFeAd/Sgi9RGcaojiiDSxdJAakWKDu3UwC62aYAQkmcEFy
UFNp8Zv0ClCt33MHFEmtL7PIFCYoGIHAp4YZzpUo9/IRImAzl3gdHGmYWnC9zeUhh3qMkz5u4LgU
D9Yjqcfkys3zRnr9LjFGqnbIPYxNnqZAwCq3oLcDx7UXeK4K7+st4ckr3ZX5NarrV0kN5U85zSN5
ZptepwZrG/xzkdL4nbDAv44cU2yrSr6kzez57DoE1CQ9I3/SD/Ba8cmCbkB2QySolH7JzI+Sx9X7
YbPxhTCdfUoGn37T1WglPJdR/wb2DGN+GjlMrln7dMEF6vlyyqtRR/VoMvq64BxekKKy65ecJ8lF
m9hEjS3JOrXkenE0InHrL14U69AQryvexGquAJ2JMqcXWtIldFtORw1rbPOoUIAbbID5CgcjVLin
BdYA7fA8sT8ZvO1wOwY3fFdsx4yITgtxzQwlBSEYQsnbbMtBOtm4hE3kwCcieIno07b7GI8+6mZw
bhDgyNOR+lLUiaNia2I2rqLzIBuAQ+IyutVzFClkCfNRtgmA/i5Z5p5e+rEST3reyH5CS2THHXS9
TtHCymbfwM7cv/NszD9ZQWCpmyrivjFHEOXZ7AsFpVVo4U+w83xfpz18h1NmRiLbNJvH+4gpLU/g
YPZnWqli7IKU/ROs2GHtKnWA5it1vl75S04xsSacvUURSz9MPHi4TrGA1U4igT+OZxFwLhrtjwqy
wNWr3MJ9BVASznoA41KTPkXUF5BrTc3iDoW0YeZ9du2Rsaieza5+8tEu0w1c3n1p3biWO4pnZfFj
7j39JtAQidp4wHxbC3yitvVlWnbVoPTYTmyUe7NuawXkMPHhj9js/jAJixlzzHl41tm4/gJcCes5
aO/eCr3i+qAVkromVBwxN0QzdCoHMbrUfrZCt3CvpyezRhzkBzzWpBTIRlZoBtStcMBCZ7NYzJ3v
ATbWePwp+YR2gfnMpgl+9D4taGdZFB1oM6ZL/pkBwvqOXBAFjCXOh9/xQIuqXYQ7vibxoL8eK9tp
25tMwLoc1jhDPGLm35IXduwgonAJVU7LEb4dK9NaBJu6mpcy/BDTNdwYwBRo3G0877ssU9Mzs7jW
ahbHDoRdAavMV2ku8JsPMEdhLowHnPEJgr5njP6aPXDWmmXavW3LmsLSxWT+awd9b+od2SOrzUb0
0RlccDAOIouUEqkIPIfgZ1CLvQk40cosjl5huPT5M4y54R1WifsRjp09lVuQx+csXydkjce+51cn
GN+ojQE8NzTb1Ge0dnoYiVzNCW43U8UN0sj+zmBvWloTm8e3IH2cPPeAoSN8tIexbZkR9hmbILKs
3pkeRZPsu/iFsDlGwgW6v64qn7N2PJi/2yKQVHgwdw/GOKT7/YZgazyBQlm/wFjjv7hKMJSEfty/
5bOxrx500ztxPopqgdv5m7YwlhvQsfLLCif1aCqFqwL0n5OvAvYGQmmBR6exEKqfqarIQwCH/n2S
uV+RupEkOyPxcd+LFKhmfcUPWQumCK6fWyBcluXwEiFrOrxXGjNDHXGbpQ0LVSbgQ9Pt57Ry/h4N
qXhf12p7Y9IcgGajBFm5LTJxlxjkwTX+snqeSjn/wHgzIogud/uYGbq+VUKMCFVUhVfjzTrONlwD
GN+A400Gjiud5Ffpq/xrrHT0HqOINjcloOu3g5QswgBM8NgHXx4C4Mhgn42WO69RR8ruwz5NH8fu
/at37Hgv/Dr2HSb69Y8dsmU/4cGabgsFKqtegAOAhBK9GWq20kI0+xq7txEt0x9YL5EVgJe2RNQ8
GWx5KpMJ4JaB4w7V7HHddodU+deNpGZ/qFA2nBsxj1V5C14LiEDYIUX3yA+si3mU/OZJmMfmSBkV
n4eDR0VDtMuuB9jkTgPANQT/SPI/jNqRxe2GjMmDH1SYIBg2/UozC7U+J33FujVO2a9VusScQVTK
R4hiQh7s1uMz7i2P0w6NWX18oTumKVj1wLpw+mwGTwgJK9BIHNsKwcWBF3fI5x40uS6QCeBSzbt+
gX9Xg5IBmV8uEIodMG7d31eHWtN6kRstn5OrXMU/5If4uyebgJaKEL+g/8q2cUSd1ZS679LjYOQV
xjJ/YjPKnOhGZnKb7v7qI/1brM3/TEcNOM3/yVL7xy6dfyJyrr/i78UVLFSEf4YuGFrnaGpnKbbP
/L24khR/QdoPMwy1ERS4IH7/weSk2V8qUAHgbq6llfRK+PwdySHxX+CFxdhVgyYUKROS/Ts2Gs3/
a7EK0gmNGhqjopkh/cuya0Pmn4tV5VGxSAX2E63h6PiEYYpMDzOqBfI6ZyzLDeNKUGA120RnZLpp
lmL48VDiEUFpQ2QjP4+cKDg2NkXbNzztfjNzfyfRt1+qBoVlu6DSMZkPmGWHBMqpWLm9iD0FA4sH
PtW0v8kT2B+snlIQb7SGpq6WV0Yk1CJuwCQbPCxowj0yTaGhvteyJZNjtnyhEdMUb081xJu6ryje
AneycPHsFzMIOz4FZm32llK4D91VO+qnvOA9dH+JSuJPPuHkuwW/A8JjVBYhQDV5DeO9wJBx4ujO
xbeMrAg0vdviBQYC5kcUIVdztpQ48yVLYTE9V6B+tsc5n8bvaK5GxU2xAx+8YCCLgX6jgfBTTLtd
mn4nIAKnXIkCKrD0cZ2h1ANwFMdMS7doWdtsVcupjMYARs6WyiG3JqV+LJxGaCvdLIpTRYOMLpuZ
0vGzFqkC44HrIgfzsGXzmWdLhjkXBiwM/2WbaxCkuavlKCO4L2Um31ZohPu0TwCR4Dr3H3Per/YX
OgZSPUBaxcknjFXsJUK5WTeyTPtfcIdXcYb1Nu9fZ9ScKwCNIPtX2fG4PPjPKR5SeptOZiz/LHMY
xBtSk8M8Anuu1k9wxdK8s6uudIdo1qW3E3oGnx1sifKECrh/n9BtgdWhcFzWAoPEc6SzYuhQ5Md2
g2jEqNLxQxVovrDBSxxf+QBptsCzqA+sgfiRIZ76ckwrMiPMeu5lw6smT5Du0NbSsOKpIJCMNUpk
a+hCKX3a4m/BN2Rakw9Hym1rZOzcF1x+IEqOQsGFkZAcj4CKS0xZ3Kp9E10hx3XG3KHGYW56mcLH
GJZFq7PioTwh0Rqr2w2cgallzGHHrShwHPebKiPTHeDs4JgCIcu6gatKPggLA+3kkjF8nW083w/F
1IvbCSr+qFEi5ewRbQnCWlYCdas3dKp/jKUFtXnEyfGBFnuZnuOV4oWJlyhFf52mhLZhi8fnCdZO
eQMaI8vODjc8w3BBAzvnoDtPfOQCKxUGPT5ji0BxAE2OgIQwbiINN53C/vLY2IBiOwh7eMiIVYG0
raBlzxq+7YIway6is52xteECTyT5zk18VSejrujRIPJZ0pvVFMXUZkQ6fG2k6v3aWjjsPcJeF8FY
EiOGOXwpC7/Zge+ZEzXH/hWaeZjOEWjRz8OA8actDw9weMFn4mpq8wmrFopcsRbaHEJjnMbobiQp
Q8xYIiDDtQhop0mAslzhurCWjffz4WuEVWjC05J9ocoijkQIbMqO9P1OXySYn/0MZbWPDxzV6qFl
vZwAkCASQBFnSuL1JKIhG96c8y7BDzBjUwI/EP4jAp+Sn/iU9/3J65x+FtsWe1AwJIq+VItzF/zg
UWeVKn8m+6JnoBYTAGyHNFG2AhV+lIKMmlXHOJppJ6fSvKh3oI0SNn4ij63eV6/MBa6QW0+8AO9+
IpARqEbNaD2S9sCyhfkHmbT6FFNK0ydw36s+IUGYshoBAzyuxUf854Eg/fPkCpzkxOe2OGu4f2kN
sGH5KFZKLg6n/Pw62T0ZAPvzpTxjgMmSO7kpzEgp4md2tpZUb6Hv9QtlMBUfBGgff4cq7XF0eeFc
0UxOwUMxPkMR45hiwMbcCRYJGPQ2DA+7mym5F2NUhKhewf19syiH/CzpKu3rGkHlnVJ8NDMKbYOU
X7IeE0qNHCfllx1ReXZDPWi7U8aySD8or+MvskiXtc4UKvi3A91icEzAYt/dkGZobMm90F1ipEwf
sX5lx3cXzatuTSqnoaWAlwiOpeMgCEi3EAB1Yf3AnyUMdNKY15LDwZhPJMN4kLGqvHp6g1zC0yCo
FUXTQ31jJQKK6r3F+3mEwhPAa5hiSG0GG7nbcizY8InKA5Z2c6A3UdyBKorMe8lYz9Km6o1B6gqe
fgf4l01s/k02gK51iFdNf+VSx1/X0gSh65A5gXm0gn+Lg8UV8DgfESMHlPgBrsGll8sWI9ClcPtF
UCtrcfNJ1QgnJvvkUEEJCEwC7seWGmcFq8cEvlILZSJcaEgqyTNSbLs1M9kP2XkPTrBlkc+OB7EO
ib+hAtIZkQ+17Kwt7rMGm3DIZ1piw4qvJdo5DE3W6EjOWYJ6dj0GsWZ3aVoO9nwwVso3qd2BVSKC
CexDaLByJcWOnMEO2BLTVGIatj+cRUF/WmWcoTOk+9mP6tRnUbn9hIeufFkzvGGqTRynoBfXJRD1
TYzCp6SdjjIfUJnElzvfjGjRxWM391D/vqu2bQj3AP0LTMIDdP4nulq41msU9vx8BYXwxR2DiSlc
wclbDwYsi1fU1/q+pB2mSQJtrmFPw5HiVWxhORRp4jOLiEkl7hxI5AMKqnaMjxs8ugxnEwlVMdyP
UxrlP0DYhvXeAZCwjzDSdqyRSdEKMK+ops7ZHehAQu6JNVH+aYjEJjEcY5Zoq2UHpljnRh/uCehz
FF6wKSJ23ze0Mw9ZR2Y5NnRefOA3gcDJwYXGMbc9Zz2moLVWBZwZbajoPyEEi1RH4fT030FFoNEz
DWXxgr0C1T0+uAKxfkHV+1zYHnHAsaDR9WO/bryp1dCz8KmaZU5vOdSAfAkDAoSfqHtN74vaemQL
GlPlnc/xGt/0McDaTmHH6P4kp9mhaAmRm1+kBarxKbCUTrd9VO7qUkh1bG8TnnQ8hTFn5tVPIvti
JhRMcyTL5Gs+JWLEtArP6AxObuYXJjOA1Ps1bcCRQsa4JW439gbFCh69jOMI32oHDj5FV7+Fm0uJ
jUEjENEhwR9qW/bnIcah3/3/0WcLf925lWFc+O9pAuyq4+//sqXr+iv+Nvpg1yABeZPGYAFi9A6u
W03/NvkAIChwk+GGQg+A0vgKHfy9jBAl+V/wcMTXwajEIlqaY176++jz162GeUUh6VC1z3JK/63Z
5woI/PP2Ckwq+E+OdWFlVWEr4r9MPrhAqyQQmDS5M8nn1SNMTjLd5bL8v63owC6xf/29UMu4li7S
NIf0/tsU9k87ThDCJMFcjZ14RL8NZtlywsiAsH6cfNRA+aKilyHAawCo5g+xG5Hw5X7/Akmofs7o
yj1ApACotsN0U06ZvDgKjxJgKDalDORPFcHDnmf/Chw0vcXhFj1xez3q0YZ6koAYv6eBlV80Epsh
wRYobI2qujVzf4JxuOoUS3/BG0masmdvfXUgI8nnFB8M/B8GELqHqUWjkudN73L3uE7bkyPL9qdP
ezTpkqx4L+F5nnlFwXMDAoTyELejC2mD7qAD+1BMFSBVQ7teWfU7lFOO4AX53+TMnLYh8OWLWQpg
GDPKK0NnQ1+syH82hhUD8gDe4RkyXIK7W6bZhuCLTylDHfnLFFWRTDqsKIrG+Es15FhEVV401lv1
eYt9MnRcbuMqIsd2ch513/228Fgt8IamA6I8BM/wr6q9SLNHU6XVk5OJ/TViGY7FdzQhFBxjlf5c
/ZL4jsWW3sQlFUND9RZylBW26HvVh/zzMfX6t801f05sqNDd7bmjrUtWtzViD9mPDXXs6macJ2Ak
1UDwmSe7rthtNqTFW9AKDL/fxAEndI/9LYrWOTslJu8vR+/Wr6veAXrsJuf5LT2gUtoE2XCoseoL
iDlc0vIa28UoQOtVbLfRKkHRM3DbS82WqagQJMRQnUVZSQxPIwbijk0oNNQVfmMMqCZblnqb0kyf
sBhnuC3sjM5cFASKKtjFpr5luQ7bCT8D5vY4A/FGq7AiMYpt/lF6NHLbY3Qjfrdtl75JyiG9xmMT
6htgh7Hygcbo/dRpiAfWaEi211U45OJIu1GqsZOK/rh+NUjjwcb/LmcZHWcsSapet7TAhgBJYOrX
6TXsbxzYSlfrwVS3x85RO5kKilJv6ni2NiMYNoGgkuhfYkrGRxr3C4oea+mXEwYdEHxm18n1n96W
35Bj2NHjil7qDkW7JW+xvsaalhi6uJMzVdjY5xVbKnAuVHkV5vWPxNKtoQW8u3+nyAFVrdD4vp3J
KA+IhKFasO8O8XUzRGOydCqyarhFndDoS7Ft089cpPINiyLM2I5QDxtAIazPqSeUuVCwlStDPaKX
gHqjnHssfsJmiM9pJspfeCY4vZlRmcGHOzqJU6QQJQoJqAu+myEaaIcOBJxr4MGGdwj1cJrg8Zm+
yyOOvhBRYFTZ4T89HthKwfGKpiPYTYHdbecKlR1R74HtGA84pg/AN9hVgtIVaNJA0w1Bi7VfV6VI
cQPdga4QTrBsRYIQBUQee8YvKscWhlp7eLsqT2aEOpzbTikE0JdtclA7kabZ0qWxI+Ipdn7/XYAK
9w14bEz8g8bgXw9RFD2hjMTfYgC27C1Fx/u3TzL7Kxm38dn0w5S2egcf2qB0wI96jrFlCZbIxOhp
AbSA7QPXDuNBJuznCvn61M/7kWPMsMPSJdnEjwtKkOY5qQhsgRllOFLLamYfMp0YVt+hvT3fYhcX
GBvbCyc7s6G63MUwhOwjpCGcdZhDW1E71ecgy7BibTiZgRvdkX0ZEMD3kOW3lT6uW9OQ+h6dw1qH
5FJt0FttIgR5syPAnWYnlTszcKUxWlzq+iIR7Dy5C0vgoDerPeTdoRBC1gfBZP8CY5v9wii+Y9Mj
8pWyzn3lPkmk3H2nQdC+IWsi4yWRxgFXLo8eCD2JsLECDvxavq7QTFMT52V+l1mNcwBxT2zw8o7u
m0I+gLA4Bmd2P1YYQH5oz7LtT2kSNX0sTh3+XaOSNrUSGHJGMDQku3nGigtafl51Fh1gSlDBDzBC
XJlmXRjneP9SRTvjD0HxxOHZgpXA8KqsBCZ/1g/KIUPIsQoBWMuqo/SMLRJix4Dmk+hmKiONAjpQ
tLmoU/z7+8vAI2k/sSFQ/EhYDze6AoUn1qcfIpLzdNnSHMsOUGd3UQlMoUCR/6SXNMJ+RAxCCmBH
ZJNjaRk2SuJEAsK1ft2rGDArRrJ4Kr8VAZMKDmcmlud5oXvawiQnx0WFTNMzuG/EoDsyHRwlG6p0
qOnLid8yjiV2F9iKtHiKNkDLCJwIVgWiQljatykZpD7H4CDSc28BUIG++GtiuhRxBV5AYMavJ4VA
9lmueDsuShpb3KCzg5S8hgubiN8YupfqNaz5FnfKVFix1c7aLOLX4Tayvcyw9ch9mAoU97JsTrAG
YAKra/BO6mK4myHes3Pv5qn/GktyuLaKMRyeicj0hD/9ao5OgvB63PcAe24oEa/f4/zd9z/bEU+i
dZJN2ecdzck7P+B8/bQfy+7aVQ6YtkqUE9WzrKpoux2GPv81J5SFNtKVsB2acqpoN8DE9smGlLxj
MSSzH+gn9MNP/D8TTPae2nFhdzoXBbmR2B8qsKQsrlC03HGMYjlBUOj8nPGoYBDpZkNNyJqBsoPe
xkf4jWyW1nB20DoWfHrIowhyASplIi1a6ViyN1VHdrHjjF11YlpHih0BXGDIRYWv9wKKo8/YJaP+
BYyF+r7LBfvgsOZrhq0z8o71w/gAzeA/Mo0pMmw4ttDIidYTVfGBN7kM2F/h1aOBj3AiFlskGkw6
OHOjmXbO7csNzfPxjE2joVYgHNDbCfONc/r4BmQfqzItbP223LANlawgXUK2cYWyUxbdq8QjqP9P
9s5sN25lzdKv0uh7HnAKDkBXXySZo6RMzZJ9Q9iyxZkMzsPT90fvU6eslI/Uu/q2gUIBB9t2JMlg
MOL/1/oWFJqVFbuD7zriCBBtVVAn2RnSGC41rRk2fWP/kFPa76K2tTxbZSXBLic3VVeFm6Qdf8yd
0mINA2fSBSnFsKHsnqpkLK7dkcZ4YkfarrbM5LkYouDLmOZIuLlWnEy9U7g85AzL6CqYdT5y+sQm
U8lwDoa2TfEzETs8EvoaPEc7+U1OUcizpGqoq7pDphqYbrZR7Vl5AYT5nWnSXI+mpnhGa2NmqM3u
io7AgCVX0RtWq6xeR0Y3X09lhsFlsuShsiAaaqJVXnB/XToR2AaIWDkHfEM5BYDuPFlV6SGB2niH
Qr/ECmmDh2AVq5Ot00SvXWF2kDKAzaKJMBH1urE4trSIPd3MHlOOwJiJ6OsOGH5vJZRZH8u0va9q
KJhJVOR3FMGnq0BzqqsWhfq+yKhLUc2y/GQK1U2kujhGqaSuWioUh6lhxhiqiSnVytT4Eknf3djS
HcQeiogrjIQXKFT4qoa+XzoWIdrFtvbxmOFP1QvVAyuqX421kK9FOQU3wdTYi09BX8Ewvo7c4kFH
64cNWFEQ8QWv5iTy3eDGPW3d2edfBsbi1GW3tWN1esyCca42kWt+FWxxEUta474ojHBpwWRIF/EN
5sJvFcf61rmBfW2MfNZttxFXFh/OrdSGR3us8y9TT/1sSDvjkI02zoW8Kn9ULiIXA2zIQZ+zbF9E
GTVOjGjRwA/3W3y5qzkfinVigLhETor2w9N168EFrRSvTIm1APu0lawNSLCveqNjvTT1wNc7gcoS
U5JKSSd1l0XeiH1XKi3tfF1FJQOoqv1JqbPzF0jIusKswCdEe05SYXPGyYSvpKnYCxxA4HWNQV3r
7dS9JlUEi+H/n/X/OusvPOx/f9R/E/21lAaWP/7XOd+w/uGwZ9JUAk5I2tCX/J5/QgfAEeDDQgFj
uFCxEV3865xPJArsFCHQ5Kjar77ov475OqBu3APwC2BLMskZ6W9AB95y+Ww+vxaVAho+0DUMtAJn
yAGHgqIG9IRel4N4aTR2eZkdoLatkkquzKzZVPH9bzfmDyzAtx3Vf47oGtrS0QWNuRQwfu+oSipr
HMzskC6ic2Go5TYP4r9mIezGP+MGF4Lib7WL/xzDol/rYLqlift2DIsDbR+48C+ln+yxPGa6b70G
B0Toq9O4+smVgnB5qVcHKqv7jy9Pe1vL+DU2VB+bJyscOscaj/v365syTULeCjA+Y/xsTllgLOoF
aENyFYaKb6pHUNFePr3+3XHJx2GWCdZW27Lpjb8dFwTVFKUq4xYtBsWg3Cq1dixD58Iy1sII12Mi
b/RMbB3rr7yDf3u3lynyX4UiLhiGOzR3JIwWZSvt/Ga37EmhtgBGK81y6QSDfDFsuc76/r40jMHH
Fic+ecDvZi1DLrR6brFO9dc8m0MxBfscOCTYaTl9b8axP3Di46jUKde9aj/AlnJvmzxJP2HX/mFY
lzFdthXC1Kj+vr3F6thXdhlT4QB/mADX0/TvKc2NdTCm+yEdfMM9mDBwXj5+su9eGAfHrqCuR7OB
ILDzB1tpUBXTKQToppjNIgpvs6cpc/LxL8Tqv32O2JLOnyMTaJFhGBo4SuNsKbDCzAKFVCRewD4Q
k/EGLgjbzuKC4+8nN/JtbXGZMngCCJ1TgcharIlnc9UKezQdlZ54hY2kaj6OgMbM+ZNB3t+3ZRC2
7fiw1GUZePu0JF9hSJsowuM63sStHXjNMPZ/Fbf/7U3745UIgA4GhFXqpWeD5BTl664HYlJHZbBR
etRP4yy/GYka+R9Pgz+NRA+WL4mJQ8TRzkYCZY4ZtZuYBhymWbe9tsw8Xr5PLuhPd80UhDywh2Ie
nINaUb86pi5LHPh6dG+L+q7K5CdDLC63s5mGEpG3CBcrj8Y4v2nKoHVSHXkyeLlqD0O1fp0FVbnr
6/KOw5UfFoOb+hjFejgNbrqj2lR7etGpt3rda7o3tjAdRuygn/ywP9xineI6QgDboRStnr3fuaIZ
YRM6iYeHYaVjum2UbGVyZvz4Sb7/PDnonJb6/YIOslAYvZ2ZrSrxD+Dh8IxxQPNpjxvQtveqy05N
TYUCpK/86dql9YWSA4ib0mITi9e3OWB/SS9B88c7ylNiv+iVO7szXtvOQHZKPQbndqf++PjnLhPr
7fou8DGiiGGSq6QmnX3QLFBiGURo7sp0l40/7OCYefrNZDx8PMyvD+O7cWiaW+B0qXBYZ4sCrNHe
RXuSeqK3Dp3sh81Q5eMRjV6iYH1tsIrXDSotEgVG9LAGFqwu1bt1TTFnOykp7B81qz5ZFN8v+ezZ
oDstuzFHt8+XfGgqOq7hho8bMDt6zeE11aVvabvrxB7Hg7IrKk5vH9+JP0xDg6w75iD4BW772Y2w
gKqy3Gsp3Q7avAPlaxQxh6BsDx+P84fXkG8Kq4nDpVnvVhT0Sg0ud1wNKeohGhl5MGzy0glu/94w
qIn5RrNE8uUkPPd8Q5RoCn6rnPkjUa6f3MggmwAB2CcXc/71Oh9ludjfWkhzWgYG+EYuhrwHPzJI
JsnK2brQe6NaZ3ndfTIxzh/S+XjLf/9tPI65cYimI/FEfWVqF3P1qH124/44BBZD1xbs9i3zfB6U
aofBjyHc7NIq5lVOZElp5p+tRstq8/t7x5WYpopyiUakTufwbDXSU4AwSQHTQ4hwuGzoyG8ztAVf
ejvqj7DqGwCMDcqRGaU/MA66gGjAym5uPvkh5+vMr9+Bn9peXjcagWeXi7NSKxrYCh7S/21fCA7u
AeLISBXU79V+nbjlJ3Pm1zfz3aWzEWExpp6tnn9THTEYApMa4Tt2N25NioE3OZSmVWDRFp8R59wF
jSv8KQ1MvzKAPBmKvhnT6DrVQtJokuNcVDvDvtEwk963VXD8+M35wwQAf+PwmeB4Bh3jbI6J2eRs
ZA78PEqzLwA+0k3pNnwKg2C0Prn7n421vF+/zefKMUq0Lqy+E87cSTV+WJO7GePyk0taHuK7O/7b
JZ3tYlQrHyIIUSn0cBeWSyEPaRx4g2We8JXcTnqEa6/svuGczvyPb+b5avdrev06ObNXY+9+NjKs
nlYoBnJSYSkoU2orvcBx99maqr17m/h66a6KWNJeLtM+u498g2lcxzrbmjwaacSSKMOxbykfesCQ
wKWFD1CxUL4Vh76LtliHPlmY3h1A2boTYY7qBiohEEHnbCXEWAQVxzFrbwzDH3ZrHsGk36klWN8u
j05a3d6rne7jZ17pdbD/+Ca/m0VnY5/N2LbsXTVtEIbVxsvQY9xTwBU6zidzdaExvp1FZ8Oc3WTi
Y8pqoIzgVcO0tu1uZyPiaymxrCxdHizUshBn9lXW7WmRgggpisin3bz9+GLfLVjLr7CJKiPsi+7N
+QEjpVWixg2Puk2Ta4pph5hYGuJk7nBFroMS+97fH29ZBxx2YSpVm7ObS37NlBrAjD0IJiuWjC1G
aN9iTuE2H2mafzzaH2+yjXxaMJ3pu7ln8SWR0vdNE/Isq8HdRTI+RKK/gX12wHh8oyXulbQgKdDC
vsSYpq/khFyNbu4na/T5BmyZzbapgsa0bRsg5dnXCcXqgHdKq7w5onB93zZo8bxZaeyTklZm/VhQ
Lpd3iHvLajNmvRS3H9+G8xmNSo/gGO46o7vsls7Gh4c1gbHjLhT5SUHp1ZieFYlP7vUyX39fFZdB
eKSuoG4D/ENbbsJvi29v5gVHjuWQE+/zFH+kusZMtIIc/snW8k8DuTxQnqjJxnaJOf19IEk/LteX
T4g5Vmu47NuEztoxXZK94iD5ZDH4w2AIiCCqqprGofF8Q5+Miqk7WctgPX0BjEe2sWnKesEqfHL/
3q263ECxKJ6IGaH2xtb57XXR8KevqKkIUp/dUxFsrPohyNc0uFZFfZGN8cbB1q2Vn9zNd58UiiQO
dVgKu9RoTPvsZFSAOJvblnNJOg+XvIHhCsTB14/n3x8WGZQn1IZtil2Uis/mX0kHr9RHrgy15xch
Oi+UEQJI99ZSy2fwB/+dS/ptOP3tjRxoX85RmNQelnHiktLqMPbd3ceXdD4vltrS75d0dttGZCIU
okgxZNclVtYAnqBYnOGs1HwvPrmg88GYGaRMMg3ZSFNzPp+Ece1CzQ8oM2RQ6cGTV+oTSOvBKxC2
+0GZKJ9M+vM5sYznLqV0S5gUJs9DICNj0Gsa/rXnpiEJj7MKGMHU1h/fwT8PYiFP47isv3MlCRW3
PIBWkuY0zNNtlQrfiMzpk7fqD7fOhYSnLtUQa9mXv50LHc+oGQxuXeGc8v62GH6Y0W2dPX58Lb8W
t7PFj2Fc06LXAbjq/LOmwo9MZTJWnp4ZG8QAj008fMvsll1hdjCS5Jot4wa9crmCwb+ya2cH1+1S
tzvPHZwHveA2Kw3aZLd0r200gp/8PI4BXOfvPxCzE593nb3cYtMX5z9wUVhHWR4puIArCEDNpGu+
6DSlfu1mi/AgyDuOAp2TYCLE1EF5V1LWInLH6oQBCSOQ8NHxrgvLg3AhTw6kiegpAnOJoyLRCvsA
Bg/oAcZvMd/psz2SrKgpz1Oh2hfGjJT5K06ZIPKt1ixPAyrFYBXLAE3RlGBQXWmN0+3SuqqvUbHn
pGM5sX4K1L5OH1xtDjW2JN18OYzuLbh/Z40yyX6wHTW/GfRocC5x4gzObgIf/AWAXFNuGywSN7UK
gY9mOgosa+7HR3XQe447szOhG8vz/Qhxaq1WevAas2l/xkcrr9B32MfEFnKlpC3g5jR9FeRWmPsG
k+ywkr1GOzSM5hAtRmlFXlubaoomJgwtNOJUuTwMxXqFYRmYByF76bcM9vomdjX9gFTEHta9WDRy
gIP7Z1W6SwRMUFwGuhUuKRJyrg8Qc4zrtCXLRW+ji0EEwWFB/GyyFO2lXtXWk6qg2dsJBIGXqlaY
N+6IcGpK5jvsBO2xItJ2TxQU9lPkbJsGDVNASkqw1xqatoFeRuthKKJ2pwCtAtQqMsRDbVeiOehM
AhSMGN8B+pPrNkhlt85FzpTmifrapMzdXRgU+oNoxwbE9RxLsTjOYFqhKpgvtFSqEFf0nBuXr6El
d/EiYR8hhELFG/LpMCwYBGANwJXUapvL1H62yqzBnNsCGOzrK60JyXgCQhepU3WdjxB8mJmLBX58
JWSB6kGU5tDvowLLHqgmKaaDrg7Kas5M64fMsaZ52IdWaTJnPqBmaw31STYIA0LjWOV6eq3ZinrD
82pPIyRX7QpIyHehYolSeWgYwcKM+2wWVol2rDwYbvFq9CMw1sS5LpeaNXQeL0zAbQ30tmEtqeZT
2mB/NmLrCxlhxSXyDYkMdvmBMU4FUGNyH5f2rHkQP/c6aT40/8kGJXQK+C5OIxnimbRdJBjpA3wZ
/ACy3Du9guSqM2+D6CdaTMwQajgpz3j2T1PJM+bDBid2Mu5noy69YZ7kwZY5vuAJGUFuT8OhXg4T
6KucC8kfFYHs9FPsNqQLleXkzV1UrotR1TZgM05IueFDWZO2G3LKk9nAjqNaQ2y/h2TQwxREjeiJ
cCmp9/2qwij4lT59vGpE3nljUL0YaDOgdWfyCiTufOBYBt6HN+wH1D+QmYgnzUNQf0W+eUHRX4Mp
1hah+2zjvBmC/JS18wMhfDJYD502PAA0VYsbHWlIucbKXmwwnHe7qHFRqyhpkd4NCs3glapV+l2n
vpqzDgIR8QASTd/Joi/IWr5heuWMzIaKfMxG9Xn07X1KHfGiSZrsoQnM2NeqxFrTf4vSQ8vSVvUI
0zql2nSKpb80sWJtCANy93nIqrAOAV+oqXZVowAKM6gS8KQXtvFP6IwXTSYOBVkKxFKs57bhBUpN
FFdwqdc94pJwpaLP8gytzD2nLR/DPpO+pWv6Cl0eSuGkXsc5oBU3c/j7w7w1o2hnOs26mOGaIoVC
fv9VdPpmAj4E9NvL5njTm4UHKfwJ+YavJjHDJX6GlPJHBwW6pACya4jzakk/s8ZuJ7tdAtMU/Tsw
YqgWfeDzIVj1kL7aXS8t46katHGRXzyzjvkuUpf+oE7hgUIaqT/q/Go5rWfGYM1lZj+2+PWOcNNH
P4Thu6rw/coNGD/tu6YORD1Z+klhXhxgycxXkD2tahMnbCzYTlCUwdnbvDRJ9eKE4mZWs2znkIpM
Ag/esJMEJrHulUSr11bh3BkhT7ohGPKUdDPofmeY501XB9XtSIwwz9vAcUtkkHqta1lGEIiZfodd
Guz7KfjhNFAF8rC3HtUizHazEREDEFy2kfJYCPM5KYG6OAitQ8e5toxiXNuNsQunuboWaV/dVopt
LDwJltdCIbktrEZgSyh7XAjDuFPzQz2N5k3u0uPQxoVugLgNGrjN92HOgqcWxr6HFTHJ1nkB4+wQ
UDTZEru6xTUIkgKoxquZy05dJ1M8RfdFW0zXgFDHraLkymVoZYG1nSGQXJAORFzQRNSPFze5iRVU
P/DKhZeOUxIjRC4YckCvjRLMia0D81jTXppufFL7EcUVzUpz3fVD8OLaE7gTPMDzdhbiOjNySTUw
R5mVyiPm2GnLkdlXxtGnFuHjIz5wCkMQLDHvFpztctPrp8jrZDPuYvwf7QrenaCD0RHQYrH3eEqy
okTEB2XNvMWva/ysNZSTlhy6NefjtVpbV4YaXVF+3TZBs54J9UE9GlQkEx/jhq6EdC0P82i5zzKi
jb2Bmi4QRau6rae6O2RRPQBKWfgy2uAkzw660ezQROMEfVmg8ougja7qyR0zXmheUcyqer2vBQkT
Rv2IOk4chK0aqw7tJnFwZBC5F0hi4Z1S/VwxmdXEaxvIkqhDybqDg7SKonkXDeF87/RAO5JMVu3D
XA+EPeUL29RrHKtYu6E97wLCrHy2Pi+hahQvUFT7xis1+cxK9Y0+mqRD0ZqN747udBPqyrCbrbw6
ZoCgbX9Rf8deA6fkSIgXBkUNX2LNEpMOGarHVIdU7JTYAbQAvdaolFejPal+KYzkQUnhNK7yPiGl
zu1sKL35AOFGBUq20yu7a7w6dMNjQojC16qWw3Z0xezySRFj6OtwdxqkACRC+n3sVgImWvlEdLKX
JNZzQ9azb+DoHFaAUS5bXdkLWd2NjlZ+BQTYbjMTQZq0FM3m7g3Duo0HSDxWjo2ywLAG+enJSNrq
CksxaerlgEk9EvnWlqnu8afCkzYSOIbGERyJgZNUwzw7ryDPyA260YdGEFzuV4NUCa9zk6sW6wcO
wzB8hpnGBiWIHdbQvNrJtoiAIor5izlNmEcbJ9lZobGLSF1XjJA0DocDLogmp70M0jF5ySfQWGrB
Fpxy9EieVLDFhX+BMrG6LaMQUjaFQL+NzHSXd1F0CVVl30aqodHGgEky518IyNsPRUbIX5XeAJ6+
x+nbnJDdPeVKDJalMDZoxRu6DiMiwZrGhwIhPH8OZ+4Klj3QNpLvg8eaFhzJg7R38JZPbh7dOako
/Xzq2B/2aa+uJNkit4bW9zH0KzmgglZshfAB83YJLMRQoKgHcyrrC0ePmudsGm/DTLsxgvFJmYzt
YGdtuINgThxouxZGwZFLFqH1LR1Ak6yD2lhSyADGXxsxH5s22Nez2V8T/gQRPBFQ5DBbF/X3ISqq
pzZwaijKpnqqmoIjTjPL+26WF5PS5zUCfnkbxyhM9bbdGmlr+2Up09c5UrddUI/PUto55krc71Bh
zMdIJGRUqfo3u4t/5sQOXkb6GMo1ik4whrBV40QftgCejC3sFWowafxoGGQfkwGQ+6g801XQQ8Dp
huwClJE4hcSrb4VAL272bMdhuR5hPFy2tb52Z40PG8fOu2qOKj+JR1ADirT9pIy/WXXkWWjSX2vb
ohAJ2v2Ud87BAssiHVKOYNRY6GTMrlS2bcJ+IKuM8nLQjGLXl26/sZyo2VmaU/AddmrfVWwcuAPL
AApOkNpW7pWRdT2NUPxR2l/ZmQWjZkqhQosxb7cuXFlvkBkfbsh9en9hiL6MvLEOttZo4aXV2tcR
o0ZFQgmR5IsXI9+mRjuFns2h5KULbUSvYoDJV0XDV8wUri/i8Dt0qx6FMMJ6YjRvXXg7AIxgSqvh
nF9WdT2QO6JOeEyDKN3XndZdVZJNFqrj8URgewhuSY7lJnEt0h06tcceS7A5PX56EeRNRGi3NZjn
oCR3Zsx6ira0rrwFaf9KKKuyr0fprvukSkw+m3bUoh1lVQWSStG7ijFWpACaxhn0AkiK78XEUb0N
4qfUDUjlI3Jjg3OMRTyNernJ6g4+LuAOnyYp8tgyHR8LSJUrs1SgiaavJQ7bGyJsII0Zg5ud4pjP
5K5lGY3INxzYh2otJV7fwqkfkj2mF9/mwXWrA6fmILzAuyyLy7HQp7lkY28U+S4VsXtLjAHyL46Y
BGJ1mtNnXhy0eQrCu8PiYpCdUtnQ3saxvUrz1qbTjq29Rd+a8tsmzU2tW1gJVA7p5vaaH0+EIY2j
kekHKbGIXJsaqTaeEpFPhOsvd8D3JK3iR7alrbtsMqanuKZQQ4TKwA9IFLdZ0Rsm37x17BX2fRdX
sKUaAe4wHD5bwJNDtdUiLalXRmfLb2Ty1hgRIXOzPRJq9jA1BJ6uh3GaHugdpsYWpIf7ExxL3/rY
DuVlnxjRtd1k7Z1rhd2XThcBBIN5isZLmfTDgT+pKV+H0AnzLVRO5zHKZzzmSLxH43scS/eaY0fJ
qkxWsHFiQ2IPj1GnF+sgjAFRBLECY7QHRRecItk3uL7laMeXpNZa4bHERiZ8lifJkpSTgBO77aUs
EbQTz3CLFHneK0UluJb6Z91iR4tgtkJWyjloYbITNfiRtMBYURZ9113Q6soKT5GGu0VC7G5j9mPt
bpzj1qdAiPpdijBd8/EOLGaje5xIHbhC3/Nt0JKLQtFaH046SnZNKVpMNW6fvgx1WD/E2oAHo14w
7XR9WQY7wIuibM3xISYcZ+i3MrhX3Ls4rg+xBbGhQ7nMUgCMhWrUsOHDJ/voWEYIVU188RgkE+AI
B0o5+iVH8/DA17T3Q5NTrLrV1BuRciyGQJeN67w27HwXzb4QXhgPHNiURvODSCfcQ3Sqj/LauQwm
UB6botXWGHfmwudGH7M4uDBisZbqdGHUT6YNqs315lqLN4ExlUcQITBn6lrHmQjUHgTAPDPvjm0k
yhtZ4HOYrxmwfB50TW6GPiH/iu1+OGscta7m4Kl2fIUyuTleTE1HSk8iqPAmNYr1xPxOwUPxIDGj
rCdVDwNLfBlVags/hQ+YsyKUc9NYA7GsWgBoFCAs7sRY3fbjrP5s6Eh2K8Crge1Rv6yhCpMMm/Li
TTS7+/qC+pxxa+ha9Tjo1YO8oCBYE3taZnwtJf96nXhL1rXSmpe60cpMhZze+KRrrFNdO1pVEhYs
54QtbWQwRNomU9PgFMMeh/gAMoQTO05GNnuR8l2He2ctXDNyMuGufEfZ0K2SQnoTFN1W09ZDT4rZ
PJGYG4Puh427fHsgCoCCkMgf9sKdq2wdY+CDEiqXGNgU6zBVSiu6mVSIAsBSyqi9yoVyiHT9qztP
44sN8tAvdbIcVuEAdMFjQnK4sQvrW5EqFF0KwrWAITqiuHRSSKEbZcRlTCxyTJiGjnNKzabmGBKM
SkHHCBATRio/mI1btu4q27xvp/EiJanBWdmFxDSi7u2awKhVbJKogRONGX8kMW1a4VK+rxCwyvVg
mz8bLFBUc59aaA3qLs/byKZkhdXERgpx1HAnEK6L7zrlPblnTxretq7cQLA0iUKKArHXgZkQi6Aa
J4guTb3JlLBygOxBsLw3rdIkIaupiFp1gsFv7Gathu39aBXS+k4kRXCZpI5NBQT+sMGX2dNnoZNl
lDesd0Bs7SJQ9h3GmzRtiP2N6sNQ9scesg+VNxcrrpTHTjXXEFg1f+qcJvVFO/cyhLItyApfleQ0
dUwckV5SOZ9bvw2JDoNVLa4k7HRamb38pgVDMnoTO+2DXeQ69YQUNS/FBMzfUZ+Np75IWRWdeOYc
ZpevWRZlyQ3pyOqdG9Bz9rRmhidKiPBTiYHocoQ4WpzSQoWj4rZjsCferNaDFRGLlbKyA+JgD71o
1EsD+aazBtlCDuhY4zyys3D2054N7ialekEGI/S8+yh1CTqPrOipBCZYXDaRXiqek2aVvg6JZxtO
U9CHyXbWJxsqvQzv2T5NyhqjH4wacxzNVzWd8mENDa/xe0VPfFD0cu+SYv0SmNZw3/DR/5HB2VW2
vaPkNzP1bzamfQDpVqYVpweA08tSkyPIn5HDRWG2dcnifEmHVr1wtSTcBTOBJnCX2tKwVhlivj2N
EWIpHI321SZp7JHEGGrX2KxvZWtHwcimaXb53hF/id2//TLEhsnJSzHHRnKCamzW+JWKbQk56iYK
Zv4JNCFkToMssQIUM5GUFAbgS0XX7KHMB2ri10YzFzt4J8YFmBZxAgHU+VpnKD7f0CE5LOi9e/zN
BNs2QitJF1F7x+R8Bt1iDRyKKvyOAF45YHpNa32ulG8gKhVPgW0Jkgp3rMgIZ6+yafdxof8P3Y5f
okwLbSrST/us3a3p5gxUiZ4KKCdSYokWZQ233PtgvP14oPOONvPcQDBA/oK+YBWWeIjfe7AQU1vX
7Gl/0VVoPTvBHpdryVMaWU8cWgnfiTgYiN78u93KX+MKvCh0pfCbibMeaYTZBAwAnak+z7OtWofp
MZ9K+Um//rxfuYwiEBPS97UF/+/sNmIjbaMo4zZGpkUuAM7OXK82s+1sitzq9y2U9/9Om8pBl0qL
1EZqeNYhjdq8qTrebM6IWr6TBWW1fpLFHiKq5hnojD6ZKOcSpqUJRDoACR+aiYZZnF2hBg8B3Cgn
DgfqmxuCxnOcY1ITb4ehe4AEAAHme5tmzx9Pm/fz00Qt7bCDMTX65gtD8fdpE/OGVqld0z6X+Zan
64/4QUVj3Qat80l78Y9DmQKTA31TF+vB26HGokr1fjlN5JRuUiq36E20mq3wJ3Pl/ZuArAJlKJMR
+gdP7+04BSVpt5GoEZb4BVopfttJekAzXNEIUpu2fMU+mSzvVMYLMZKExkWzI5DuuGdvgTNY5ALZ
vH2dZhqraSSkO1pyQrDkq5X60Gjpl6ZsdiG1RygSG0K6f+ZGe5sk9Bs+fqDvrt60ECsshjAMENY7
LUavaA0ZAMwjEXO1xk1JwCrl/JVRs5XKdsVnppl383YZDzCmjY3EZqk7m7eCWrRalzqVvXV23V7M
q8pH7ffUbj++rHcLAMMs/e9F346N1D57HaHQ9xRZ2I9RsipW2Dzg0wbTrRTKPR+K2HP03v9/G1F/
O43cwnBynUK7Z2U/apjGfaZQ46RQqLSbJP9Ua7Lcp9/awWjhzUX2gSSXRZwO/NkMQqpUtaGDjkWW
3UGzgqMBRF2yj+QIU4Y7fXY3oVQ2kTT/mjB/iyF7X+b83/9a/s5LKac6DqP2l/3vv/7X9mcJeehn
c/6H3vyd5n//+s/46ZYM5Tf/A9JT3E433c96uv3ZdNlf//4//+T/7X/8Hz9//Sv3k/z5H//zpew4
3vGvhbCn8UX++k+LS3JRzHxgqmyjuJRvAUrL3/jLV2na/2D1RZuPohxtB1ai//RVGjoOSSKW+LTq
6EwQSPzLV6mZmDGZmSCX4P9hpmdp+yc+yfjHktWELQUaPdooBCN/x1eJNudsmiAJdPlIoLbSIAvy
G9/OyoQyotpaI8zmVCvtA+U9AX5QVKhcIj2sD5Qpwm7lUPAnZRGMQKTaQAVm5UtT13XDicvU6+cq
qhFywgvDjUOtqtPri9jOki9UaProQBBARJzLWMeWv5CTQOBHnNb2BCtk8aHuSsJ0ojzRzG1CT+cL
nfngmrJ6mnuIvpesETFVPRgNLf/RyiL9SitDw5qcNnW4TUiivIsrdmQ+/EqoDHQOJQpoR7LJzMBL
3hiV0V4HYYYwYsm8G/ko4RFH95qKiA0aHEiIELK+0N02FIdkmu1slYVqLbYViEztoYmTARQIe0wo
TZObAbFPizDc12XrBpRS6jDcjLkapgcIMK56KoiEqLe5sDHxp0GBuhZws0NalV0XQA3Ye+a9jnfd
MNxTUrYzVdnBUaEyNUE1DXJlQUEcaPC0dQM9albxn5O2FiVrUdbSopZXEFztw3ZDwEBqYxrOd3ZS
hs19T3FXzLShoTg533WV0md3QQJOq3Y3PYEJWUCzRIkSl7wP1WqGWx0Hx1wR6BJBAtyP/YgKYoaS
aubVfDuTXJF2JIGoFb23tCnqnnwjIyYxi8y8UMOVjyVok6IfJd1PAwgEErcycJACR2wv4i5Lv2pw
dBMatHZUOdfDFGmo1cdo6lYqZcf+Lsx4X9bkU5DBJ0aiXG7LqjLSKwPkf7q1s34gsTJLasWnRzgj
jWX/BGG8BklA32QuURPFeGH2c0sdCqpVOpC2Vw6VG+8moXf7BhYwwNIWFhYn9zLu/ZqA4WFthvVo
b6wphDk8h71qHPQpUsurEhy/tUYxUNy7kE6WckfaXmOf4G9qBnOOfrxt+rit7GbbhrNzHTXNSGjR
wOcT/UnYX/KEklMs0kLuXFKxIdsY8fhsk1NKs6l0hmXeWkEfbyx1TMZ938BlIZ6go4PpOE01rAc4
jvp2FK0IuTOxEaGK4LDvkywz6l91BRGV78QYECAk9V114Y4IXlawuFCXUFIJZX2jubV96yI+jndj
z9mGxm0QBNOqJ0xDeyAahaqyHsWDwCthZ3KTUmXp9mFGaWkfkNuZUedoCM69gsHSDADbY85+dLeI
ZwiXJn+ir5PWdCCpppzkThMw9IxyeZuZELJCAH8gjYSi4GWkQB577Yjn5TQT/WJcCV7+/hhVeRhQ
mWlF+aIl0Gk8eFXWtQqpxvWMaA44PqcmVA0rr48aWI+jUmmD6Wm95twQC9dlu2yUvUJNuFEuItem
7T6UhiLRYnTS9KoxRkNJf0C90UORLcDQaILUEaYjx2o1RXdNJdC565xJ7GjT1d2q0+JhRuMj/g97
Z7KcN5Jl6VdJy3UhDI7BASxq84+cRYqDKG1gokhiBtwdM16nV73op8gX6w+KyCyJESmZundlFWZh
YRaUiH8A3K/fe8530psEb9eRq1akw9PRQS3gpUMNL6ZqaQYR3p0e7KrPTgOPhOZNUTAX3OVjz6hT
SqmeEFDM0T6LSboF8RuRQGnRzT0Le0x7O7I3hhsJF+19mmcpOWgpD/5mEMRWgCMrBh86h4+qoKLH
WG2CJkyIoR7mzy0HpWIfwlcmgiJrxUQ3PuZZMOTPs5tFFaxi2q1P0yI0mBQqxE+ys+h1aBET/J76
0bRFIlecxbEdZlu8YGRNDDNDItRcJN6sWqXQ2TdR7JCWWwwjszmZ2mdLYuCl8oRUr1RJ5blBC3U/
1OTmntrg0tKGJr4eb4kTYh2hCz68SKo6/yxzKVDBfMbEw4H8uVLC1tNeDrYkLxVbJT1Okc9XJNaw
GTi9zSA0DGUbHlMWOiAwgzQ3i6mIsw3TTpqNcU2LONaN0uWiYM27rouAdEw6njxQq1wF+GQZiY/S
6ibWCa+fb0BxJBZ5lUnsoWhRTh++Y3iVDXpTluSlbMAaIsdaJIkLzVZF9uRPhPK6fAWmaqXCo1d5
7HShHKMPKk8wzMYdi9cmcCycN6ILUyaU0ACnYRWeM+6C45aiGLGkvMnyKOvcA0wLgnsKG9zyKqyz
PxirhLRDMhPTTel0TrgdIxKFCJzwxLNjG+CeELPb+kyV05oX4rjsfgzZ6SN6XRCVtKFc8QxrajFH
xzADBkWiup7QadwpUHen0khASXWMGgjLz2YEtkGID+TcS+YgaUE7THnNsCfCFrs/ZE23vx8jr7+N
ifwEslWW+ppHgPeKsp+Ba2Ss4bQi6S/dQEpoPiDBKSCWTCkSYgEzptjnThL157JfCgZKfqb94rVO
syA85d5QjM7x7xaA5sthfZGzKUg7AQNH+FQgy4egaOcWuknawylPfUtd2Rm086e8tXM+XadpKlCB
MdN60GiLIWkqp0PWZLuqXHL7oNIOgA0xtFO1bXNl0RIHGAvxfhE5naWRttDGVrHp9rRZkfShQZmv
Cz48suGbdXRrxZ2IaWGQWAVEqSg/8+fmh2BAtTznFj4yBzTb3WgPwdXYlvB7olHrRzBIzkIc6hS4
0OvAum+QCUSv5OctyQ6TWn0V2WN2GzFjuAaZrcgATqLlA4pL7xMvdfiYW2b5Gmo8oBLN1E0pU3Pn
DgqFROJORX+oPLZHQsojA0gdqwIyBScbeNVpE0l8KtkIqyHC4rBpXXulu6P8J4wxSpqW5K3KQ/xX
TctF3ALxB6NdJSfsqCStL3IoDjLTDHRS6XVnNW+l3QZFYd5b/sQcIINzcREVDjC0NPSbBzQD5mpI
YBVvGP7m75GFts9j2/rvyROqPOKMlEjo3OWx3kgkGGglU8T6pedH3Xaox/oISmYkdxxVfM83whhx
k4F9qg+2WzbMpTJ1ZjFngdeHnu65W1KUqFDhzSMVWo/wDhfmFxbYia0YvH8BBbvo4DeHsXmXBoqc
dMy4etpyn9BzExGIni1303gCijNjsiHa4mJ2iajai1DZX6ROC6Iys5EmiPEjoIThPAPIq7Ss7xY7
Ib5sqhKo/nkVUvPUddMhIZFGtscoDWnSpmaQH21REMCD20LWFykP6MpuNDmLvdWjDao6gRhrQUQG
+TeKkpBmdofUAcHhwIwNWFPuCs2vrVLys8NFFsXWpoBp0YD0FdoMSyQdbunFejY9iVrMjUgN2WCP
lSVkxZnc7gouNPEKTDnv1+vTrp1AXcFR58Bnb0t64eDtVEyLjR1D9y4TaiuNWONcTaJWMk7VgSmT
fDfFbursOpDlxAvkEwzQtKmsyz5ojDiCCPCzo4wWanNwnpIpStrbaDtor+6INgn3DbmB4aGqLOZ1
sdfibfYpFi1WbI9PbNM5iwv2N+/9l4a3ZN+OU0tqY6mn+qHxxAKUOPa8LDoOoAlg/pEGb78XDh3P
O9N6UbaTTdFexE05WNuq69SN1Ymo4u2N5kOky7p0IZWGSXsg/hSK1yYLGgsupxxVNl3qNaJhRaKu
xPp5xSwzp+yzxT8UoY5uzBKF7xJTc49kaT+9j+XaSG5cJSailojR3diUkWJnMWzFYYkVn4wCxsFU
C9qrhp1XtVF/SAY1P4RJmalzZjMQ14GTw5SWFfkEm7xRyWdUuqSwznOJoicL4/KII7yQOwLtSKlV
lUm6/4ej93/P+BZnPZj++zP47T/+V/M3Og7/+N9/+1w//+3a/OP/1F8y9fLtKf7rr/j9UB78xplb
BCQOMzGkQRrR/fkddiT5iXCBZHBc54CN3fa/DuVgkDghRzTBaDpSH/CjfzKN7d9wbeCt4x+cNnje
OJv/yrn8LXuBznfEU4Xhneaf42Ft+/5YjqZhmmvdk8Xr4R/o1KldLy1FnOee2GVmLot49aCM4GYV
06A+Pg3QFEBnXVL3bMATR3paEVT39pQgc4RBKrYdksdPHKQtUGoh8H+ZdM7vtx9NnL8GGn11+Xzb
c7I9LFSCVgb/tSV4lu9fdUEicmmCj4OP7ouBrRDXaZbAAumKNr9J3AJYbzjUNx65Jem2IkT3XRlK
/co03L10iYk5c1tnerAQPa7CYk7wzAjFObA7sJ3wQsePQ6VqUJqQ2vYVDMF9R/18IfgQWXey0vqC
TnF8sbNBoSGYpoPfu8MTNP2MSLw11TEdUPoZU+cXc+McqEoQ2VFMWfU2WBB4b8JkaV/9Igb+yzH6
AkWcv8ogrZ/NOL5vuoQ2QcxryxGPBvwleuV0fr5tkndORKjA+jkF3Q5j/VXa42ZG3uchn2SDE8L8
8dX8UlPuv+fKICQdtX+/Mlw2y+fqKdP9d2vB17/0R4PO/i10A5r7jCxcOOceX9bva4Fr/+ZgmoN8
4kHUkKwU/1oLLGH/5gU2TqCIzKW11cqL+Odi4IBSY7TEXhW5jBz/PwHnvKgAXx1SBoflh2t9f6/g
GfStxF+T5Wzu8oRQnQtEa/mN5rz0azMqXjLXwhcumaUQTMVe+/21OM9HQ7uKKcJoiIk/M+EgqPfd
FJlrjF6NFB31szWDX/lfS8bXS+JaYgkGs7b6d9+0qRmhVzB1GR1bqEJ2g8s8ujZp9hO72/ejot+v
gv+Mdr/DowfQ5/s3VjIs07E/j+QoRXV6ynxObiVc+x4eeY0Ya/RrTiXf3GfXv7+Hv9V9dd2wj7f/
+ff1IX77ziJajqvBDjDCV5r8N27ZlGg7pLNIamNw4nBB54rYynTJh00XkL7x44v91RvEngbABPKx
G6438bcrSh5T3DlFiCq/rdUVQef+M/Gf+kRbgzrrsRdGP/ne1u/l23fHGJPtE2EV9CqMkm/pL9yQ
NrmVDe6CMT232/lpSmN13vf+Axay6KKqScHQ7f7H7/J7Q2HIDhsQDQpuBvcs6K2VUfjtu0y7GEcW
jTNU0ihU7EpO25Z065/cLH++SkjbPWBx9mgfMnz7/iqDVpXFYZHAIaHQqwcqu9Rt8PTjt/L27nBZ
9+EHSddZtwMG7d9fhN09XNTaXVG+MPfRWHA2dWRz2gKhOfnlSwXMf+Fz0Hv58/tpPaxM+ehTlCaU
wltk56jrM3ceH92R4PSffEfrnfb9jUGrhvXKXj3OLCJvPr0xa3SFUGUhNTNEYBbN8Qf0f/0HmMfJ
ZSXmdG1xT/ZPHra39z8fJ+MSKjAqJrk6rL//OJNOaq3ClIOWkN1NFi/TeR5G9YWrGLjNc03w6o8/
1L+4SQiccPBbknLBEr/+/JunG5k+/qWqoV8eawJrMzc+CfFd/OSx/uur+OvcFWv6nx7rzCcyPavo
pLiOAjmSi2RHmlL86x8eIgOXSTLEL/Y65/v3EpdLkOIAprdo8DU2sL2uYp0FZ04W6NcU1/31jz+7
P68dxHU4FNJsrQRGv0V/zIYM3kbpZeO7ywmf8sBBGO5+0/WPqhLv8tAgwDLiJ2P8v3jiEJWgv/Cg
97ARvHniIKo5lalpyxJaG2BmISihgY95EmN5vP/xG/zT17auUXirmWSDf2SU/f0HqqWy+tKd0UOH
bns5gmE81jUy8F+8Cm5+qmwmvGzaND/f3IKLxeQfDre7KTAWYTsgx2Cnuk7c/uplWKVwPHCXs0NH
0Zs3k+uQg3ZXoELAs8gBOwrZoWkJ/eJVyJaBG0nBxQYtA/vNAwyatgsKj5s8YtRGIFCcbskUCnY/
vsqf7gGe2K9YknUlhBXy5iqzL5whDDHbMTS3zgwp3biRkazlss0PP77Un+6Br5cChElUGVSxryyI
bxYITl7ZPOa1R6sJWMFmrnrbO50Vhqr9jy+0LqjfLbjwOChY/HWtRda0xvB8uxKZIewbui3Bpkd2
LFjT5y44yehRgMrGI7psO2cu5q3UGETwptBhxF+Xhz/jcv75/YLk5MkSPqk/7M5vPlqeVzdPSGbf
5EwSk7M5pql+dPCe/Rr+kCKATKhgPYZzPZ/rvHmOrTivEtp3CKKnBu1npJnL9Ut/ktDpu/vxR/sX
74kLoJen006V47ypquQifI37C2/isKh3MHrqk6ZAlfvLVwHLwSEDuQsEF/nmAZsx6YxuOYebPKyT
fVO4hH71Y/qz20S8vflRu5FLgCqEypbK5q0Czc/yHO3lSPwqao1pT0e7QmeLQ/k5CLvYfLQYdXvF
JtDUp7sO7z5BItrEXnJMyAuob+GuBtUBYaBm+SToo0GpShLmzoGMYF9kxC0+B/QA1RrZUJiXOC7h
c3r0BiuyRFrb3CYupoRDzG5MsGBOJ5CmbULixRlhIUtMnnnqahQBbcRckahywYQqwIKdFl50xSKd
zOEpNNYou8nTyRsOYxsm0t2xn+nhxge0iZ2EH3vkbtS9uAkC2JUbofKeRjs+jWirc0aax9nNTXre
56168NPGPrrklxBez7tT7+DeW8FH7IdzeWnjyVw2Hgd54s/IeLG39tx00UmB07++Xshfm0+hLCzF
jYXRWB9Eiz3kgnp7ripS2/rJJwgoV3Q4a/rxTBCJ6mNPxfQV7LvJyfz3zdq5PaRtF3pbd/Et76ao
cPMR0xHrm1wsgpiKbGFN9FXLSK4AptFs+iJU/qH3W6d+JEAjsc8ahMjuPbAtmAXwV8jf+VwiayR8
Kqxh2CyJi/8AJDNmKlJMdXdivAHTnhZNEwCLGJNV4I/3O2PEXOxI8Mju7TSzltMQfDuRtnPOMNYw
FciugzmV92HqIGttlrAcTwcTuK9LO0z2rnQVMcSbkv4x39pAiAX0roqMVZJgGKv2RQBPOkgrsbZ2
sWuUFb/9hl4VYa1WJZk0u5VP3nVakpnFpLUquyviW2V0VpPOc93TypZ3M47p+bRtvdqP12RzRm97
g6jZIyrRLhNg8/SZke+Huek9l4RwcoavEKlU5pxwOd/dKysfzHNWzcupcecw3mItBiSM9Y6DGQYA
Bk+LkyEGRNQRduZWdbrPnmbGia67rWsb+QHmOtW57UmBkYBk1zZuiAAgG0UnwbBPdEkU1c7RiT08
R25jdxdeqMv2pde5UTW8lS5akoM3u+KK3BLChdo1D3c/GCn0CS+i/VLYYU3oRxRk12Fla0ZLEjFC
1GSddZ6McFhpC7Z11VwzxxUd3LDWdYcvSx7nfKu9IUzrNJoY9jzZY+XUR5zMZbdzItSSGOt9Urvq
JidFIMqRQ2yMvSTh1tTSmk7NkJUBBCtGRDdT6ZJPKrpoiC6RcKr2mCZV8xzyUA1H5mS1/aVq3dSD
8avr83XwP1+UU2yVhzFUQ3jqpoWw98Qn+uOuTP3hqhvdJDmfUEWU78OSnNWDqXLH2aeWRp8u3BTn
1ZIaACMYqMnmwAE7qD0MFS/aowqpGA7ncQUJ3VuDYqZe8TFYc7RQkhAT9o4moXig024Px4Bf6e29
1uK2b4OU6V7o4Qo96ZzMTbada/fN1muVjrdhPiD+j9ugeFm6gDiiMS0d8qwrJhQnfj/W40fG8bo9
TTnxRCcZ2h33XLWEFV33UTLKDw2xStn70Y5qdSrDMlyOTjP2CbdQUvqHqO6iD5pYkMvVFZPsnTJv
XmzRt8llquA6bJbOq4l6ilWDyyLxwvJWm7Dk6GQ3Yv2C+vGzN0SMc6qiSe+aMS8jELNBlG8LHv8r
gihQMPcizOaTIGnAO4sWdiZGag78J0CShL+roZBUGGiMecRP2q6fWVndtL0htKKYSuuqwKB4y8If
YEB0Qys5urBIcXPUCMyRZaniDmW/wnKRhJMh8Cj228PylRAzx46d8v11sj20mfGZprhWGO5RACl0
H/UEmsQTq8aymXITPyZUNRzdG52KCzfqLMQdRGCcNqwXBKAKP88xVzhZ/RHFGXqnul+ijxLkh7d1
QgSxrxpXo73BJ1B35+iZzLCJATQ4O92HGOmltjOzC+uylMxlBboXsih6Uk0WQZAaweK633tO380H
exgE8BHGZJABAIkKRodz02wSGznWWcrTIg7Gyu12G/Y4gM70kBjM2FL51R7zipufattGAZuU+FDv
EWohA54CL4nOABDgJZpGdFVMLNnwNyV8Sn1waxo3eJBU8MSypu1L2QTJoU98T5M5w2zyAJvOL7Zp
0GDXGvJyiLaTVdnF2dwnAJ75Jhv6HWlPUwJMD++EKB4MslgLScTBReov+8h4Cbm+glbazJjJ3sZi
IMF0UViSttY4NtjMJ0cyB2dmiEUtkualsUxs9l42l+OWG0pS40fuiGxozXGDAeBonDGFnxw69oBP
2WzG21xkXofIQPIolqWx3ikrDsTGWT2DSCuCRO3Ioo1IDiwcy+zmyMom1i4P4xugVpi3A0NcD/NK
kL86lWPg0kRo1RGVVfNTqHQ7bHPPHcN9YXTP2g40hxhQG3oQZkuB1syxS3KyMA32HpFbA+fVQeGL
6Z3xawjWgCivJeDwQ4hVvD7NyKXr90TfIpFp6jEmZ6fJ5hu6fnO9ZexHKLbBbhUeGpmX5x3CpXAr
Zes9ICqqcXu0goNpm5R2vkNvRUJPRYTXsgtU092kC3owXk/qg14pcjyvOpCAa4DVRWTQlgsom5Ys
PbAzZO89Omx9PPL1gupm0CZABOhr9zlFF8gGOLq0tdqhbgklYycg1awatLU1C5vBzoQ5vs4Mk89n
YlRRXyi3EXdksiLNbEpHnyHtgvcvrHwsAWrkwT5ISBdC8iuW8EBvYQopkEoyuLVKMHr3jLecvdJB
kR+cWcX6Ooltnbyb01JFTIrCism3yYdhPIe0v7h7i/V9te/XTYrHqpzIENOYocBAVYTDNvAj8isv
x9h+LLwOQMFie9w7zLilOI87PLLnao2CuavziJhrAm69ODuTbp8QEGalLeEjm4agaHs5YKoPvdNG
L02XYOKbM/+LIRtZsb86Okh2qLUguhD5RxeIKHnL9dQnyhYHt/jS4sLP9RjHO8+q+hNQgQj1Bgm9
5CRLSEKEalLFDJU4HKKdrHvMWBID6YTLtFgetUXY8pkpkRxxMSPoCjfBfIOERke7DBxIiQE4zYqD
iWVPWGKIjHhH48eoHUWXOxDJljt8/JqPAFJE7591rdu2R4hL5Y1tEZu8kcZfMGf56E/J7O6JMzPG
e2+qcTjzW6SCIIyc/oJUtFWzNBvZbd0EXtcG55cx+xEl4/DYJ477OHO25XZzol4c7LirsUjaVUE8
Zkbg4X5VPEJY8oj81ol8ptcvCbqcAISvyFx9nXqk7tF8MYrIq5atkZzM2rqyDZg1bvk65uU1My3y
gZ5Csm9Flj/GdsoKYllxNW96lyIR4BNzNiQ+ef/ZsKmPW1xrRGwNTgUynnymkayqkLiEZHRIcVNC
yTs0MmW5r4UAGoWWqEOmQ8onoXsIzYb97IRmOJkJfcw35aLrO99yXGszDxbRTZR9wbW0MUFv3JJw
z62bpfmj42R4PkN/mFwUZGV9gmMQ2KApGc7gYJzC9wJXVsXEnmy3HRqPNXs+1cNL2a2CyWRWPIY4
11uD6brHb524QffQklHypSkMLdMFAbcNKccfX4kwVh9klssTL46ppdB4cFriLIA7LLEQK8yB4Vn1
jTWt+w1ZVZjFaIKicILahECmbD6PVhecL7UHM8hJ8hK1KXqraxR4lSJhyWi5ndKg5Vbq5yLYaQJ2
DiiJbYuIQlnIg10QoL0Nan9EowkrAZWNg4xrV0AGu+nrHEEB4k/vgllpkpyleW3da5kE9r0KHWJA
jSmGd4v23Gu0GAS3ItWw3iNWS629tAd5iNK+v9D24PWbDs01tLJCNU9enTTXqLS6aYVllByGHamX
rdeniEorgRJj3Q7i+Oh4PZrWHHdydUPPY3xJdF2/lmrw/V1lteyeKGMduAliqj9PuBY8tlzPTO22
jvHxxKSf+ahaNsEMZpQ1ztQs09w+Td6eB6w20UdrXipzU9hWghm3S4ueyPQstIt7fPw1iknlzAnR
nZFrnO4d+LCSp9JSdqtRJxrDTwI7Dh4qwMP3Y8DjtS/L2h8OvXLLdjd2vv+YtPlw53EUxDfFKdTd
iaVuQm6lHIBC0yFYPMyWGM6nhaKdqfHCMYSnldi6rd3LdJ72jtelL0bD+sMHHC6fJ932z7mG0Lpt
InYd7lMLWa+ydI/Hv0oKMnJ1UZ/7Mk7TQ4W+AHckJrR4X5qWCnipHPehQZr1AGJBEb0algh4I4b+
Jzm222Kvy8m+qj1wMnwPCttyQKX+nPRxEx2DMC0elb9GLnQrMqFQXuZuCR6KHv0JW+y1U8gx5uQF
J0899RkHuTsYgkn0ic92FsjiRj3v04nSG61hL+9TBfBu12AOlRtLB122g2c/DIfEWxbvvIKUibLA
wXM5UQqihhnoJkQ3RCWnGO0DKwx2Migs5txDax9pyOovYvY91jZE78z4uz72OSgXBKDQbKIgx2sP
wtwArHD2Qzv5J/64lGvmZIZoyBLTcrcgvPqUyKh1gUXY4hFRr7ysZ37JVmcdWwWAuOFhxB3Q8nDY
2t9zx1E70D712Wt7hWsaUisadNrDipg6iEvlUbeKaGZZDvWXKsIFubGY0oLH8PNRbHsAEGcAVsiY
n5EfIzpDmkvQDiLgz9aYmuxi9BuxivfCwBwZf8Yxyku7f29awDZs0+F0VSOgjPZOoy1ClRc9vV+6
TBTHBcw7ws3BsrIjbT8sslS3geI2HOVJEIz+qsKn8bzxkffqqwYMC2V3WMrgYqhE8lgbuIu7TCrV
bQK/cu4sfBs1ayjF7qadkP1tKyT15xkAeQSvi5U/UPLNq5qSPXSLfoKHX49BkWyNVyNr9TsBvaMI
V+LQ0HvmS4CEDFKCGyGKzgNRkJDIXq123Jcsh80UrSjHBFzWrkxycP1Fn5Wf9Mgys2lnjzIbVGR5
b+lweRejq30xuA14yqfMdGejGoZn7svEJYqXo+Yr9JRaH21qY+ssFhmC+h6VIPNpwr4Bipm+q4+Y
V9k5tQh7SDxojO1PVeUh8qzdvNB7Y3fL06RBne/Q3AkSXEAbnBJObD6SFAUQRgyZCaFoLMVsxZeo
qCenusWk4PF8aYJsjqOiJOmvbEWg6K7Q+FB2zcJJ9QuNg7z6ZOdywD5qRNsd20TRptpoYDOA6Cjj
NBvf6EjrsfTsLL1lqBh4+SZW5BbDEYPT0b4He+5H0N4nBi66GDN1GcZyfB0xMEPbqKeCddqJOS0H
BeeVLJDZRbGE8Yuvh+qV4rb/qFCwOh8G4H/laz5RfR8I3nLHjZCNI07nVuXNbZomSh+dMuzSO9kx
rKYLoPMPXdK9r4s5xN03dGjdfW4Nt1YUuzmuOEyX6S5WvnPC5/yprcSFrs070F+vnHeLXaqC57p0
po95BMYOXlJ0lGRzt2vJaSlxJPup2xbIZb0vSejN6fl/KB6luKgj4DPGQiE5AOC7tmTttnuo/j2b
JPpkGA5W232kLeFzlEFFw+tuR//df4QN+DXD8Y8Deg1PMWlye2BQlPfvot4Vt5zMRMYTnVKezmPY
XquomdhjdF/c/7hj+6dOKsB6JiJiRUbbrm+/6QsTrulzZ0qLA0iOTIIW5XZScbRrbWv6xeYwB0Pm
LsyQVosYOTxvfIr+5E7dgs18I6ysuEzYBncemv1fHHlzFYT5NiNvxiKIY94071vpe11DOiVmh8Cc
cQgCL8G48CdX+Sqz+HZUwWUQyNFKZzJGcNNX1ds3M5E2wT/gdC24g9Eq44Mp2HXQiXm1BspXzFfI
v8OrMbA5UxSJtu5DNrxXTAOUPr/+BaJQo+G+Djy94M2QevBj0kwtvkAK5X47dkGEc78loVVbf4wr
/kd59fdVGPHvhVfH9HP9+Vv95frHf5dcid++qiht23FWVQLjlX9Kriz3N5yq1NTIHj18iQgK/6W5
Evy11cuKNoOpJ48df+sPyZX32yo1oKZH04nQwWVG+Qthk7TEvhup4XVg2sm/YAF8XinJQ9+P1Ch7
hzKNPqcUcJwXlA2zWjYQuvAXZNa90Y51gQSYhOMJswSon9bmcEejh6p1hlVwWqUubc9Ow3vfGmW7
H53CyvMTk1aePgMpDigiT2VNM3/WBbPuOGvca7iY/nDWWkuEharK+/WI1WV5DcwUiNnFnBB5wg1a
FMN5PDhlhpm373ZZ2jTRto8Uv82t89w+pRaIhjM38dvtxP/p7ihdxE2Kd6TbtZ394lAcJBfW3PVi
G2tKu2M0dfpDkbu9vfEY03bnDu6N4mRB7u9/Ludltq8W9j3FrH6wKFcTVSkcPC591NwRw2vIwVHv
SXEe7FNI8OA1+5gPZhc0+GI3NPXlyh3z0mMTpeWwC2hVHVUwDP0+XIKuARJHbtZJDvk82fvIpkhp
4ISI/yIZ5MWE3aHd+EPsv9Sits59v5Y0shmvA26IOO5vAnvx70OImc5maYU6awD9RBu60FFz4hd6
svecXvSnRWbVZzt3YHuFoZbHJLaifuMnc/U+gscK94mUE46bsADv2UnyFy+BCksaNvofZYcVAyXV
K/SitldCPPRTc8EpAJRsUs8x7f2Ydk0JXvseX0kKZJj5Wot21zbcN04Z+McUpq+/taPYHC0pCnGo
6XTrvey87onmCQMmAu2CWxB9EzDZzImtXZxMUIaixhkqKJpVEJ8MtNQdzg1ht/O9lvGyl3hwHCoX
O9jC9wLmLbKKj+DNqk9Y29OV5Nshy9fZ7HKenxit1HZKi4MhKrOOmr3sAAFrPCVSe5x3LsjUHv5b
bb1zfAPCBTskTVfBnXU+AjCCQ8hsKD39epDYyKHnpbJd8+mJ1LIcqtWGPBWJgdMimL2u4KmyIV8v
S5Q/uUx62tPEE8ELrStv2eLS7J4k88BH467gPSYXKcA/O42L/ZTqkVb70jxVhP25+67Omhs7C/Ng
awHtfOmlklcwopJyXwgY0lun8qZlNw/0EHaYcqtnjtrpDMk0QKuQldVEjp07BvdB7BUTncqhTbGM
Quo9x2wnPpR+UF41nss8AQvHVAPTrHvq2bgvbpVp/WGDYa9RR7ePzyVUnid3bIp0mxRe/GjnzAJI
ApcQ1MkvzYip7Yz7atttznHPToN+UyxeRto5NuwcuGNOpM5Iu/p5RY3x6iIz0PybyxjqSdF1VNox
pSQFXJ+8Gruw4I+RXg5raKn4QjMOtBdx7C/2MXGjJT0dsyImZFSTLcbDGQ3zDhMPufGNGcwtJGgI
k5ALnfDAVru2jTrZFXuvWDi/F1H2XOZMvzbGK8bmYDoVlkiRvXFvdDOBDCXw4Ex4Y/0KYwpNKGhm
5zkOqK1vszQYX5myjq8Qvtpgg7umGXdoS0nK7euQoxi0y0fGKAMHi0KEDyYzg78f7aD8RMOwuZaN
wVpGsz5/pZnjwCdbnOjzDNyPQywpaT0HMy+6lEw5X9zWUzg1lMPnIrkl6Wm7fnVWabDe+z7B2UkG
uN+eYlpmseEkh39txOTzabF864b+RzQ/JJUXPkJzo2pcmLdtK1gIkF2hwm0BFwLc2nZdlGakHU0T
qK1KSfO+c+mZfyyHmIwJkvCCU1aNGItrEwxy6zeNS+dyaYIPQeyE5ZUb9HZwoLYJX4sWLyKDfDop
G4XN+1IUmTUcoXZFT8IZw/qQ0C/AWWdG806oKMk2JsrrQ5wqWCa8Ps6zHg4dOsZcjPjRBnDDPFvd
dYgpx90G/kKveO2YUGT36Al3NmLa6aQ1gwKhNQXyzqdgbrZDR2c3G2IQqC4F9HvaIjOSCaMZGuTU
O2C5oPDeqLxewZWZ7zjbtFvo/uR+iwCH/gonXAw32Lvi0amqbV6b7i4PgyLaYtosYCG3Irkq/Rh6
Mt97c9HLELum6Sr9zGYQ1LtM+EnFp5VjQfQTU8BqZ6FZDr7w5n6vJIsa3LyA9lUz0+kCiUEoO38m
EzjaRJsHjw5jRlbJwLO6y7kCq36acH+Opxh3GHqPTZW724L2e7lra+096Nhy1L7PR6c4H715+BBg
cwLjNdhleCiESPH42yr/IscM8PcGh1sCERG3kHiYCsaS26lqMrIRSqQ7N8rEOQxeNhi9K7Oh+7Dk
TFiOVdQsY7JB4W9NuBPGWG1cGw848DWWZZfQ+E95ldJXKIVybpJunF+nsKhw+qY4zuLNsOjqE01A
5wS9f9bTEbBE8Tjxsty7UlhLwV2Bjm1X06mZIbOF7otWiApoAshjhgz2Ri7BQkj06PctGGfvovpA
qLKHIQSD0V0bzCwqLrdEdmFYc9UOdkEKR68LmQA0Yple49LlpXs5SQJ82PFUUv5Tr51CDIpLnIMx
JDE7KZ9amLs2AIVPwN7qa9OZQJ3AbjC3caqVdcFZb13y4rB+1NjLAGvOQ8KhfCfith9fc2eZP2I+
858rJsj1cdSevEj8yLU3VR1BZ6SrEIvfj03/U3X/HeHkj8ru85d6/q7s/vrn/7A6iN84RLJkIgcG
LhSshoY/rA4uPyEPBj0mwkVuWURkdWO6FFn7b6ifIB+FHn/PDjj2/qvstta6myBv/r8NJBtIWPQr
dfdb6NFqq4pAQqHNRBQahuvL+1bJFqcwNqpaPPnYDIXziEd8ktnG/b/snUeT3Mh6Rf+KQmtBAZNw
S1WhXHtvuEGw2WzYhEkk7K/XQfMpxOHM48TTWsGYxcQMu6rQqMRn7j0XUO34Auu7ccG06tE4GUOf
E5gwO/6GWcJkYBM0wAb2IliM8IAcsweZW8SAYF9/upQ3PzrVfy7pxyTAG0TczD9M+7zP5uTnN2gn
ft3ERf8+pRAvdg66H041WVag/RAk+Iffv9qv6rO1TSblmlxoPChoc3/pQoYFzq4g9JK8CnS/olvK
p2Yqmtt//VXQdZLIzjOQfviXi56mc8FTpspZhrRcNZl3p7Lyh78JVFzf68+d//pZEBgTzuv7jDF8
erefr1xg1rDTbSSwjSXzPU8o8yqc0v5YeW5yDvY+3AE6+Y6NdP6bj/fHVu7HrAHN78p5wrKH8O2P
L9y2OFpGhkpMhBjrArYcT6ozir01wzD+/ZVchyR/+ozguvDtCYsN6i9XcqkmuDk0dxsXqgVDYqCK
6dJ+HY3lA4KC9TeC2T99MAYwq4iaKSWi3D8lOIUyK63cZGZH6PqzFq2JyqX7zsJ1+ZuPtb7tP3ws
enFeAgsLljUYRusb+WlowwyXcrBNs01sWShzSfraVWIUO1zT49Y1x+qceID5+vfX8k/3/rpXW21P
mAgZf4WcRz+/aIxnL59KlGHFqHx6n7HpP3DN4gH/P7wOmXZk5wn+MX8xBsFMJdAi53UWkdYvbuys
y+kmf/v9q1h/ujX4OGta7PrH5Kb85WWQtsw2vIeUh63umSjQRuXhIA5ZgrxGicuSRrPMxaFTQHpa
deR2QV42nBawNDPGcLh29ZXjLX8jxP+rq7xm3lHTmatp6NcTJnNZ6NN0bfLFrU4ocGgIhvjvbqC/
uFNDe7Xu4A1lL/B57P90A5kLfvpBcI3lqMY10WWdyrodpRuKoxkx1+8v9l9da/bknDf++jj5lWgl
wrgwQBKkGFASYz+K4Is1BOdd4J4BqP1XfVd8JEwFHj5A5MFMZ3+5glTmzKxIvdqMhCMe5WLqWyur
cZkWhmPvYrtt/+5W+vPX0eZbiBqZB6UFwe6XV4xdtFSjxddxAEdxlafBS2cFZ2ENLIkIFsYTB0O/
ZCEyJNKhSPVaIgf1tz+wAy010xuR8G7nKn9KDRb6v7/0f76fbIffNMNkft1rUPMfv7XMlRk1BWw3
+6S3kQ6BCrQdOZ9+/yp/vp94FabHq1sTNf+vLjArzlLMQH7KFtD05vOpWaWDiKbikZnOumf6/cv9
ktrIPYstkdsJIxhuUH7PvxyAzog2pnLpzxqTBd4ZWmC4/vWSFh8QnMWIkIKgihzwT741VJcEuxYd
3bMJDTuIYCvXl79/P391kbEwrgWX6RBAvd7/P32ddF+hz1F8fFmEfXckoqSfjoQnJH9r5+YH/fHg
t2E+/u8L/fI8A92VuiNEHoaOeYnw3Ul3dCp/dzr8qTLg6q4QxnV+i6xW/HLP2Jr9kDdwdatqSK1I
VQ57Vh073tM45X22qjbH+YSqSE0kyNQMBX5/Of/qbnJCPijOhfVw+uW3W1ulP6Os5TnqG8yPOA/3
MsGXHUKYOv7+pSAI/HpJ16cAvzMwvbwm//LH352J2rCCu5/DhBm79liSg0KIhQqRyMuxSsyoz4Lw
wUYf4q2iHxZ+cAAs9KSCQfW7FVvBYybjyoCcPVZs7HiU1AuiytoYgvqN+r6tvqmUgJqrUDX9OqdI
UwePZjOyRScvrY1fdTP31plBCgWgcrMYQYSP9oSIHZqn3PaqnM27dMp48FRju+oAE03Sw8FUDUZX
QpTGwojY2cPIRve8XKXNlIhtj9Qk2BpMLfQ+tPtW74bJ00M0qglueBAaxrbp8+w9MRJSE4gVS7xz
p0YIHQUWLHHegi6KQxc2jiY+B9bgxnZmZ9iaWR2rSJuTlgcVBqo943vufqEgcuRFoUplH6TnEwEK
gtX1Z9T6xAHByCn9dO32QVRBeSHmxR7jS0Qd4NVXwfmswnOzZm6av+ZNZSXI1cu0GJh+pHIIxXFG
oWKk21SpYA4iNLGqP/l1rL8KZqk3jSyzWz9owBN0nayHKFcreLDNRDNHxcojRO/WJgczb0wffADE
wkFL+a6U0Qw05CvSEDET2GbCmsKbYmUeZp/4Q8B64FbQt2GCsNMVkWh94hIR3oJOzD4xiuITqQi/
KXsdDM9UqIkootLtrGeH6SF1oHoxR9GS55aUUBodRMl+FHDZmPENzCq4wClbiHhMKhiPPnGmNwld
OMvnTyBJ+QknQV2dexEGzvIA4h58Sf6JMoEfmXxtCwnghCQd1AH1J/gk/ISgEN8xPwkX5hRhhCsm
pZ9icUzQJ8XIqj5JKtYnVkUVEsRK84lb6QMPSUC+UljSTyCLYc0BDkAoLRKlu7tfftBbRpGAclE/
uC7+J+Ql/0F8Qf+hcFewgwYGE/8gw0gfSkzSr8CY6pMd84mRmde0AKwDwGWohwDNVM4ymXfjJ4BG
On0aHpofZBpQkEP1NKETiSAcAa9hiuKpXWAzKWdbwoYlORMkklTBeTV4hOSdch5V2YmOpvKOEsZe
ucVaW8oDPlHzhjTC/I0pp04v64lhb1QNJVFFzHWDq9TqSlYYNAmIzzC85VtO5LbcdslSNRss6zFb
5rlLv7uMhyFwpt0U7krwtcEaONSZEZYXlIlAkhemOsQxQ6qpkGOhsCXLYRva2sTk3jIpIs6gmlA8
JsH6I4E3j2jIci5d31rYbWxngivZYFUpjsTA2WLNjFoucmMCd9RiC0yjQYSuinB5dNf0cnW4a/yW
6VteM93dtL7FDdExL7pAcbLEG8L/RIN8oEQq0FUOiKpCZnC44rSaSYWaMoS9MtPLVytc3OdyZsjM
1H8oT1mCiz8akCEUkWUazWs6jmP4WrCD6p5FTG4Y1KK4+NaWgcW3YFGeffASUYXntSIp6yxgPuXv
LN+Xaq8YUBIVVkrnyxDr0tq3cLaYKYRTy3bFM/NvaQDz8ECopHm06TqqXZMrslrRxnruhqvEULRT
edvuqQJ8b5syWPEQKkk5b2lKGOAGeSedbQNY66qzavFCOFf+AZASigiBIQtRyBimIHZJS74UIdw8
uGx2A//EqTglnNTp0h0zcjCORRyzpTB0TVgQrif3Lumr0tuWLMBddOxNLkh+y0k8HeYkLc+rUrfz
vWaVZFtbJLutONh2WiHqBG6urH1XIAve9QOug804Ttm1sfhWglSlQkn8NHrQqYojRT9FLLGOvVoj
JLHz9Fp/9/PYVa+Yd1xN6h1im5TBLbS7bt9Ty/c305DYJ9Y+NQExucWiMXarPPJdtpNnae2KihMH
eNqOpQ2Qr63yQh9lhHLk6AFiFJjQxCG0kRO2P2rD/5/7/fu6Cf/n2/Zt+vX952X7+n//GPrZjPY+
sUSA0slTp9H7n6Gf5cAwwZqK9Rs0xs+rdv4OpkeYxaHgv0JJoo75x6oddBL+aYzbJjRwpoVIRf6V
VfsvkhDfDnhb6+SQboE/wIP+WBHVi9eL1vLI6ChaCJ6BFUsmNADLmlMQp9zXhS0Nc4NwSRYPTlin
q7mfdj0Icff0cYtpYiqW8CG0cFMcke43JHpK2srzBfOGeV5XeXtnI9QciWbNw3CfixbNZsljY0XJ
cSQ1+05VtnpMrR5sXWJklo22aAC+GiVN4qJx1rg4Vgdtn7EspPvqupOLw4JNiLNAp50Qz5KMBWkS
Cw37fHSoYsxAHdUV/KNGHSqJ5QhDiHnoMsdh9Wega7UTurVeVHPkARvdWJJR+9UEi8i8WicVq1yX
MLQLjFnFy0L8GEFVGFO8F1SV6deElCESHDWyA3oT+wYiU7fD5BPW6qphMxShv37sq3QGPyhjn/0l
KbGuZTw7/IiISnd27sZeLuqKp3ltvCjlxbA5kzC5y+HLoQfjjTJs5PHZt+WFWfvSZf2TSOcaOkuQ
3pnG3OOUymOrat6nzM2/ty1POWLuQLfSjZmVSO6TNNTunWugJHxtElXPwNpSjkpnGt8txiQOISaq
fktbf/7Q5SwgApQ9Xf1ONaV3LVjUHbu4gYTpObHM9l3n9pcBz5b8mqERu0mjs20C6rLYOC5eaqQR
+T7W/BjU5vgdYQKjUrI1U8WWTI9+gOI6aR7aLCR0zpj9yJwD72hy5N9Wy1gQiWANqB1nquku7yYQ
rnbq3M+j7Ew2Kr6Q0z7L/ASvBh4J5rVbLCUyJFo4DRHQYvEM0Q8RLAbGeZOCYSQYJUkRuJzXDiFi
w9YDks5mRIOqtjZg2xXFYLg0IYBo03AYFkaQ+xqub4JgYtO7ovR3k6jt4FwnZBVFGL+n+ZTQFcOF
rkfPOO8zj4SMKfaCGzvWXn+2TPD/z7wYa9umjXU/RF3akxEUB35fHn3FYurUAf94IhwNu6exTAT3
TVgkNGuDjWzRZOzMxmsucLCSAiRlt9cu4TybPlTyqncS1Ms4dY1Lympf7QemN/ezmkm2rXk4HCer
Hm6TtJmvc893I7uYJ+MKqnF/O9YrqJWBRIW/NCmTJ8RX1RGVicu1wqOa7rp5jUka+gZBQ6zKe7sO
8QikOm1PTWuL28km5CzBXvUac2shzqZZY3ULUxIWIytg8iwrLB5ERIPxAzhZEXcaZAyWWcSFZEVn
XVEYhI8V+tmL3fRhmltxRQAj9h8k9HGnT+SDd7J91P1IaOA7CYV5jIg01iL1JfIJbfBtGrd8L1s9
fONUEA65lDOP9pCd//oUT0D6YW9EbQvsOSztAxRPEjQPjtnqyd+lFumiX+Af0G6dY3kxCV5DbA6Y
DdmJh/YjMdiU7Yi7QbpxKkLo1fVHo0ZnyNek8hgybgRzNRsvzKnK4Tuu8vJBVbsq1CNOFtJonFCe
k3xGOYeHqJ0kQmJr0khHK3TPyWZyRrFvwrGCJAuTu3Y3izaLByzEvM1LZ+zccXyiZQpQigiKKKKL
3SYtzQO8abKnCHATSbv1BhuZQefTrT/WhCTTHFS2N6ZfRZh01VPIfMJ7Jam7Lh4CuxynfW/1tbrE
9wq2zou7JduFBeUJzQOpz/2NSqeeShTjp9roYpRRpfCDbWLlel/71pVIYVjsHmWYiYNehxx1bcov
Kb/cDVhjvGFc/Sh1y+bMIVHhng3lRO5QifcKSy+8Uzq5aLbdivAMftDl4rbqLCi84I6cS0zDw+Lt
VOYo4seDoDcOIZmxR38au1fUIjaQOjtE/O0soDmxIe2zfqDyNrvKOkwyLJ9SLOrXCXbYcWPW5iro
piR3NC2lTH1xqnRpXCNVGbegVYpj7FVkyDdJcDLBcyMUnif3yzAjrdajTCPZYy0zGQagFBsgsXKc
G5upXeYHvCjYDUJipncEEDlRPEi6Btue7INddb7aiNkO98JR+SGzU+vRLeQds0j084nszxrysz1h
WA9+w0wNzABKgkop5xSmTfVUzrknz2eu9SF2/DcN+1p9Ibipd856LGDtO2virr6EiDdhCKDrQoDh
+90T5HHUEwDgnZn+1QsA84JMrbArulLEl5MqRfJeZF3+Fb26bbyQUF0kF6oqKoQoeW7EeLkqO3JG
bhksdjbDDkQQqBRE1lW3kz83B0T75JnWvVddeQW9WiQgJaMLC/xq3q8esgFfexJcltnSVZFVcJa2
ctaH3O7mbauYj0xJiNiuDeV8o91FLDun6s0wmugKwpPXYhYtdsscOHtD1iBUrNTdLiGmQszsAWnc
ixm1o0CzY/LtvJVd61/EeeHdabVABeiKMEE5LqrprTSc8SJziuYreaWLue1hD+xjY1yzwt25uJ+c
wPS2yOL018GDD5wcq5THDIP3rFi+dSlzmqu4SEZ/P1PIB4c4y0jvKz37QjYsL2jmyS2f0XN9zItI
5gPpVSCxOSB7AGWfheP/l9D/bq8wqn9eQ98jhEr/7b8+VPbt68+19Odf+1FMO8F/mgxdCVYhe8v0
xYpK+rFBtz7JoRCN2BgFK/DnH+tzw7b/07JhUKzjxQCk3DoU/0ctbQiPcBAkq+zPTfYH64/7F4pp
61M4+9PIlqoHexA19Br3xMqFsdMfq2m+OWwNBtveZJ4l7SgxSU1z7bLzm43wdf9qTwKD8mBwZgAv
hovbbp2WZ8EmRi4KN85aPEH73rcyUo2a6i3z2tnIiWFIlysh4G/fjq0TJuGGAWAS3xVCqOGiys2y
3TmY3NVxkV5+KFyB/8weG4sqyKqYrGBJEeNwT54FtBDWD0j+t75hc6wmNLHd1xIx7oirVNpEwUdw
BJJb/JkUKC4xst4Xsys0zlQ0DHZyKPKJrmLDMHOerhmzTtQAeOriYTcqTJBYuxrP31I1QL2fgnkp
r/lul+qAlSTI702blL87G66GfOuMzr91k8ozb92e+Lgzr267KXKmGtGSbUHr3suhaetjOYDZeehn
v3a7KGPWWkThAO33TVKJ50cdhOPCwETHPLpx38NMGGqtONyGxffnS4c7Jl8iLdeNBk9qdENXVoCz
J9vy8er51SUrYTkbyVxrvhP7COB4o4e6ywB51EUbhXC023ojFhjX61Co6uxjkbZWcdtYac5p7fpZ
d5V5BiMVh6eNcZKNkwcfQd/p/sjzd2EzXPgWzmHSDTJhbjriGGB7lFThJU4dJHdOy8BzylJS4b2l
Xo55wq/kYzJLOvasWixjH9dWza+tlRgWGNGvmrXrCiJt4G1hqngeHxCxIKK3gDebcSGyMsZyylyx
7K7LfqidqyGswuXFoNHChjZNGSPC01B6VvdFTFYXvyx2OrVPrR7r+obM3d1Yhu2B0EQ6P1ecF6NT
PCVNoU9gMEaqBf9FzF7zTvpIPG2NYXgxA/zncQKvZL1xb9OiAPXgkX9OZB4EFRAdBq7MJEG1Ok1T
eZMnte88O4mI+9fWLsrx3LWV3kAeJJAVfIlJVjkWMdEHkd8PKLEoOUP5sJKH8k0uclKTh2W5jQ3d
7PmlGtgNUxP7p2+wu4vIK2AiBkECe4iVYakKs9x7bWPHyk+hm6mw2spwzExADoxqbkaUhQRjJIGH
cd70smzNM2tQyF1kc5ZRhhn2tLyxXIh1vHOnwrWveIrVy3Vpw9tFgRj0r0U527uWPNket+IsHSTX
5bDnGxbj0qntQ970Dg0t7mzscQl/LsMyVd6ZydYy3JqmGvQdYdaf9iQN54UnX13wxdVFLYyXbCBW
+G2WYTi+ozYIqWOIN3WPRlOO2WU7N7WNXtUs6r1l9Bk5t2Ob57vUnPue5BenL/U1U/haHxejk3cC
42Sx1XOL+itVLUanZe4gBvWdMndQ9+FyCX+QxbafjfrVGNKWDq9wGiT5PUfHVQO57QzhCcLaJeSi
bsYAZx3a1yI4+lhI/T2iBmMnauR22xChebgjEMtFIN1jhVe9kRMmYTIcg+heOOfxAqj9qBnhEYYU
12hQTSo1e2ejLnwZqM26DQ12cW44arip6VdKXFK5h4S8ESU6RcetXnpbLt9j9r/nlpctGOay8Z0W
DiwMHdudZFm7gCG9iztXOKeMD01CTBqzpba74iALw9vF5jIgP2w5P3kjLHoW36xPfptZh6Uexl3m
Zbwz7LTd6xROjCgzHPPfkng0nisxJNeanxkVXpft1lTpO7cKykOD2eHQgiG9qOxSPiS5HG87MqHt
s9jvPjzTg/QRZ5XYt8bSvDLfrR9zfwywtGrL/hhsq2ygmEGHwB0HMWjJ/HGHAN16SJyFbAu3GnDp
aMd/8Uub1ejU4zLM5onCWuO7Pus95W/jLHCfhIc88LAAqWAcSsYFGQ92caEHsEARbUV7jRjB3+FI
XTOiTBXD5emc6XuvhketvAFV8DhUL6Iy2wdOABvRuTAAWEhpFISnBuI9gJxxlUG8jAjNSVCz2/Ml
Ntr4y5imi3VR1nrEDFCCDgnsMb/229y/5TJPJ0+GxZeu6dHTWDUbjCHgQ7GlM4WKaDtJ+J1Mh0SC
1rKaY2N76pnQpoCWb7K99uAPQtyVRuBxKvrpS2X6w2VCQirORUs8eGmnXpU59nuENt5+JAb7jvax
+3TuHgffOJsD9vmp0zyYxdRejSIc4+sZldJR5TPhkA2AABoIdz7XrNj5d33MkJPQcsSqPfaweM6c
0XQfiXh+E21TnVlTclGkhBkSuuDqJ6shFQfGuLj0RX+N3a98aJaFZSeTXTZ+RCtNdY2XPIsvdG0j
a2ZocNuXfX0eLmspAFhNvmZgcs5svIx3I4GAkKTq+tqMi5Q+30hew2xQh1YyQGhN1/goF9ukX2nz
vsTpXNO/m3VbnJoZYCwIJ4+0K0bIeyZG2UW59B9Jll/DOzpVLRtKtH83/lh094KZ0i4nGP25JcUb
x39zBcPuUlltf8rTJjM2Ri3ND0BByNdheuHbNrck4KRPhmGCy0y6CMaYOIXJQLnQdWdtyCiRJFcO
FkeY9badFEMs3B/xwxTW7p4n3ztC2IxpjQ9wpZH9ISzy+rwZq31VsQWIwCO7zamxVVFu2sYciOnQ
1xWpt+cUOcGRAzW8kEtuHMjqcZ8ogwzvS4sOP3mfvBmel1lW7V1Bq44DvGwX+BFGhSY3j/UzqTCO
c6Z0PT24AWpjsiDivsFFk6iQht6lWDvKhKLkzlrM0X8l8GZ4SwPprevEdD5meU9OlPbMCEHuR5P0
2bznkJPfCx75V0HvPZe1kb9KbB97C8AGXlJGmD1Og/bcaYbsGOvQYnLHcmAzkSH2OvW5DcjMbC/L
ySiwqDIq9UOtN9OMH0k2c/DCN8OYdzlS/ANvftV8pGUCVlP3T1M5ZMapbNZTu2fHSvdjZb3e+2qe
v02pgagpHLJaXwsRtweChtpv6D4JIcrUyqgZSxY2uSy32vQGNjVDyO/YoMnNOwZg+UzKRtw013ae
ByRlBX6MrLpOIqMt53mjLCEvYp3xfpIc3/64XKBOJ5ANfHx1MaOh2axW/AO+mrrZeoZv7bHADDuU
Q3hYqJzLdrOaa4YNdLRxP2ES3HUDHZ4TMxolYYIxFcG04zv5TtV9VcAsYpZUvMzGIF5guuk7nB7s
10mcb/cDg8bnQHX6OJAct5/6+n2RvomCWpURFungsiGk5bL2xm7vB0v5LkfbOfSFMEk1HTGAh73i
oHTktRrMNHJxj0Rd0mV3wygq8r0Na0+At3zEWLecubZrPad+81hmoG0WGLWHGurfd9ttAbGV/ndk
HMVhCEusSbgjNk0K9IIgrzvKhI6HKdxIBGgh66aOzDYbCfiJUL7kkqw3btmAXT/+7fiyqLvvWenS
WnP/h5ErRHun+G06Zx1s16ijK30WjjSiujLLw1CX6dtIJXlM54AvXMds9rFzq/IAG7C6Yg4kvjAi
LOGDYOJBGtYgRTeIxz7oqaE8pdtPr8WoyJCx8gJAmA/xjtE0W7GC5q2iNiNebOvm9keVuf1pHe53
uN1Nfzf6MIa2RcbiC5qF5uFfjCUQoWb0ToQkUTSQUk/NYNgCHpxUYKdkgOugTRS+lyDAA7eNp6A/
dDq2HyUCxJCbE0wA2Vx9zDTUFi+GrdwP15vLN7vtx8ss1FSLi1BfZpv5xiIBxG1Vbnr5RgPn/oqk
S55Z1QqfWUin3tLQm7vEiZuoNRQkQ4l4IY1G8uQo6bqb0h7F1SBhb1mMFXeylPqO0Zx7pTGKIUGo
ZkhXZb1GlGFt3/R2/zlGr+Dr2Iup8Dko7kRH+Xg5Js0E9BJMTY8uQXaolnH6b0l5WmNbCESMhF2W
EaPG5YIdhG9e1tzbZcS+VvGRZst2WDc4dILcseMVSIDiYSLTPY6MeaV/T27uH9M2cO7YBczHti5E
fjaozI8j5sjd44iT0mSDOVnbuRMz2Qq+hcGlAxU3PffdfAmio16dzkWJJKQ00+PMdHhHCePeOPFg
HNpEeN9cezQdUsrq/ibgGD6JucgvJrkkbz65NBjMTGZJuwKs2G4ULgvaAkeR3hQZWblZSNDNpsa7
sGD7cvEYrhSbfej3xSuoForA0lMPSA34KhI/RZkChfxDsHzaQTjJTwanHMICN3sb8Jrvap0PLwoY
33UvOJ8sTzGccjz4j0jrGfwBA7ge9WDGWygT5VMMeXIz8IDBFQrL7Eog4NqlOQuPHO5gQPHgmFcM
kVDvoCv7alFS7ubWE9+GuoYbUeWuyeYqJ/2o5FA8KWQWF6iRq4cK1PWrHySU043QAJamRjd3DQTW
fQsQjYhzTSJckXS7Ko+9k6mRokBwIsxdNLqNLBmP94Gjxtul6sMMl1E3wtVK8wBPkbYOhZd9IyEt
eSoG3Pkz+JJLzSQC/qeM82hune7OEtVyhKTQI7RGxHDRZkEA/6geD40xCybilXvWesEyR64pnlPL
ik9KD6wPYiP/7mn0EmAo+vMWssimN3X8zU3WECG3S688FAl3FociD56MUXFItwTAKyy5wabuax02
ITtBM96zqu+IogxOrmf2F+hdkjM4+Cy1Az4+7MayvQ+EjL9o3cpLu1E03GOfXaQQiNa+Df+5y11s
2O6xjKuYAySDybXNpOt8geAhzz2jay5yB75F69T3HTqCfDNZVr0PnTzz9pzfM6SYfM4OI5SJMyvp
MdH0mauoaFX5JJYOh1my8ID2q7KOfElPyPktrdswsbvnqvU7UglIoaSA7zEWsmxIFv4Gm/rbJMF8
yIO2gfPrVCnNNdMTimoYVAyuTe+oqZpI87NdEUa+moavLdrEFwIwx8fGWqS7FZPr2uAp8eFZ1SIG
bqcpPOnebcJzkHJZ/oaNLQyBXlDjg9UsnJMQuGf3uLFld6BUfi/Bt0ax2Y03QyVcsgba4MOEofja
ZaXZwcQJ+vwakB/zpIBC32RxOiN0VsVb56ppesgHKNLAw/D8FO2YPIfx7B27SXT3DD7iQ5tNnrEd
7cR0Tw5SAn9rqoSs8km5Ati/m5EEte44IjuZvV1ANFp1ZriiZuHShuNF1VdmvluYwBUHtTjOPoyB
xoGjd9+9xGwPcVHn465Mqca3rEiL7Yj4KUKEY373lpkhCBjP3RT6EhaeNRTFnvZ0wQYpqeFPjTcO
OpoCe75gsKPZyCQtEcg8Lgm5cgdUZrNpgeI0m/ZxUiILNpWumHoRyoaVMZPfem25Z7AYMXH63n0W
s5xT/Wh8MzuZ0vc6jAIWZ7onF1JcUKA6EfMpVmbSNq+MPMtvrXKpDvbowLlSlX/ZG2K693VVXPFJ
acQMWcBKRJ8aNYDDtuhUAdEJ4vCu5sAgmkotzY7nak7mGdS4dSY9X7a6xVgYMmYkjRMN/N6tVX4H
TTPdMoEvwx3RjTZh3wQ+3njQJ1aZR+2al5ZPDANgD7kSLM3J8c/6JV3MO1UC7qV60HN5zrSD7LOC
ZUS+zaae+DcKCMO5V01XJzcGrBL6Nu6skT2NXaTC+y4kC/u3HkIXKV2uanUZaZakuCI9YHBPGZbt
4NgXRZrDr46LKX7Rbo/znLvQi42DLYe0D6OGvj05lDnxkDcdzbg4xX5e6C10QhoZHY5hfJ6SGr/s
yNzlVVPt+hfu1AQfY67z8MsUdDFLQVNzOO3qblWMDbH0b+gcRP5YhKOn2bXgcT8J2ADBHn9fHFwC
bJniW9wDcb0v6RrG04LpNd8vmtV+lLHRfa/olSGQBXmO944n8yZjRwk8BLu98qA6QrANo9m1Y2sX
+z7/fYA74tymMm/KY24NUAx5bQ3aZQmtXdIP+lyMqc72o+Qxc9eO/rDsM8QS8cHk2+ReDl2gl3NV
FLPABU/W25H5kPTPy1pY/cGZSHgltK5frPjOCFxevDNMA7UjHzQ5MCmch1PCKkrfYDmF+Ub2Szof
cH0CI4PKW8mj7mzDuMmzJpQHGMOr93ju7PoYismLL0q2lBTJtFHmI7N0j2OXMDi4osB4R7S2dIk3
4cJ6Jlr0wqD2P/ArBq05AabLWMJfGONSUR2Lr2GKpb8zQdptgS0lSxTEXX2BQGJatrih52Dv2fRW
IC6RreCHld5NN8nxIu49RswxgN605etJd1IeFxEfvJH8xU2pydMj8kkeHExLBFSF1B1Sem9ZB0Bv
UGb8yBhDsjNU/qlneniSqKzOvXlRp7iPiyi26eJJbDV2qa2+edomMr7vYZzCFFCZ3V4yf/UfUEOq
66GkvNgMsb8SMmndriddvbfx9Dgh2uK1Vk+ynFgFhWdZ053ZGjXegCiE/eZQ76i6wGilVbhpTahz
JG3m+HOZaKVl+qyw8W5YELMggjiG7dxQey0WuWvTJD2kU2cc/YEwKS0owaDRklc7HrDkejsdtHLb
uMu4j6UJbZcl3I7BuHXjdoBxB9Qp4NqGJo1PbjewPM7YnjJUWWMAMArugsrKvnZOGuzdiVO2KDpr
DrcQPh3zclFLfkxL/9wYuuSYI/3cCRJ4961d3mHD+Jp5hBRuJEf8LVpE6zAQnn3yRgFmdwbhrguv
+UCbkV51NGVqpRqUN+US8OxaARsBefaXVt+3r8K09Nbs7PJEjU+OY8PLfRmJVD+mbuVEku/UeZK1
00dQhZAO3I4vtpcVwyFuLO8tzYcLLHblUzno5HloDC+i2/C/OVAj30yZMbLkwr74HXUHrIDsnixZ
gMiTNVxZVjnvFCsiFM9NtZPOwKhpgNm6SoX3JjjMvdmkz14dgo/SFmDajQKXuWVHm9wZrIOPnZd9
F0XlnbJ2vnYYKOK78R+t/2bvTHYkR64s+itC71ngaCSBVi+c9DHmOSI3RIycSeNoJL++D0sqKTMl
VUnLBnojqFCVGeHudLM33HtulUD6yjWO6gYqoj2MSESm6MseVXY0ktJ7qx0vC0qG441ZfszSEsyY
EVmif3gahEW6OK6MMFFU6yRFR2ej28prt5xeKem1oCow4q/jGVibeXydruJmYTCODV13uKEGeyv5
0hIdiXUXKcl1wfoGwF+qdsaSVM8LRMRqW9hGv5WpbO5Y6MN1XG1at0s935DqC5F7GvTtoikQKEOs
EcpboU2PCCKei9QIoNXdZQlqiqjxoYOzHqW2TDr5SnT57dJbt4iYH+Yc/WllsO3o62dkJvVZVopD
yp730OQ8V5mlXirAbxfpMJ+iaVy25PVFxO9Ke48aqT8bp7a+KCtvOhlA0jaKuhZsvEbfI9kPG6mD
hHep4stU9bs1X+6zIQL4riNbaR0BgwITjUDvbbXvIMmY8jDkOrmN2wTeVB9qUjYDs/eLnd5Qb2W2
v6dtJBQ8j+cQ1KgKzE48c4aS9inVyQYccExzstOtAU7YdmgwdWzcrDv0fn2aC1MLnUQWTBdRgzKE
NRwV9OZoXXmuCyU3sXoYByP6qROdW0W0Md8XtUfVlJ5ZUQQAQ/DYyiWdDgjiYZKOxZPUM+5UHNUP
emEg+dbmMmS9VJ1Ar1OllC2B4E710MbiOW55MvMUsGNhVRzfrvFUmosd8GGtHVuGxCotZqZhaeel
WzrYJ6Mw3muRNGFeClo0W5R7aoFyi27WOberQfvwIzQZhlmngVQA35ekfpA5H+k0sO4CfUftBw3d
PIkx85ixNPHTkhfUftPQ7VIX+92SZw2xnKJ8GdkfbpFqTWE8lkTyZSzbaBwz58bqOrXvwXETjBPL
9SKY4w8aUWoNs2Dpn3M2cg5KnuM6lifF7HeDPf18yKPm0WihWbvEt6Nem/hSeg2CDxzs3BGIVLd6
7IgD/qU93Qw0MczHdsiCcFbbSqXnQ4nOiuEgZzgOg6kqups5y5wzPsPq04bBzoCB8AbwLcmDPQzd
Oczu/D5BBWvDrJkqXlpWsl9gOPyl9ZTTNaL/B5SwKfbl3GNowuqIgOOEuF7dGni9hqbsi1byyBI5
7nybmCEfNV/W5JzbRAdsJ9fNNoQqk2vTDuadYHkYlsb0lpiav4QDhOdsG40KNeOQa0jZzApF1165
pnXCSdY/RUxSz+qZyzL1EnnDdrsKci0lW3odpeHAUD4W7FR7ZYBBEa0Rjm7UxoVp9cXDEmXzjhRu
Htom/YC8GKOSsW+Myr/ptdzjOIomEQDjW8IMpXho2DqD7Nwm1yBL+nHTqryiBoEKDV3vPc16FOGs
I6JtlwrEOQv9vdw0dgHcwZQQDds5ZiAskCISZiGoakvzCpSMYgBkd8BvB6ZCE8zPvha4HeZWqt28
mJxBUBbGnZzneQc5RD9UtscmD6Lv57BUp8ydCibv+nyWdoZ2xXmNSAcZBjLETgtbL9LvhY0xhTCV
8Q+8XD+ajxwBdM1eHbzgq3TbsN2fbK5NGSvNqmbsgiYSUuwOpJsDk54BdHynZLj+i2vre+f6z6Yx
z8L7jHOAFB+0iebP6SyRQrDqRmWGBrvC/VGK1JzOcPEYevj7P+gnOxcvg0Qi17Ady9AdTN8/2xM9
Qm/A86Vbi22qu61Ht89QYvnRy1hTO6L5AepDmeYn9wZg5nH/+z/+J4aAt/781RSNY8914LuJ9Y34
zh2nGs+PauGn2xR7S7GJGMNiNk0RLiDks6qdp7m+fEY/kY0X+lAY1/oimTSsouCQhbqWnMe+1P0L
ox865y9O6v9IWXNf0xaW/73+mfdazog+k/5Xzcff/+nfy+ncf9aXr+Vn9/Nf9cPf3P3Pr/+a+Nbw
tX/94R+2VU8hfTN8tvPtZ8fq9Tflyfpf/rv/8k+fv/4t97P8/PN/vddD1a9/G0OH6kcBDZ/Cv9bd
3Coye39S3PAH/qq4IZ7TZzW1Uth8nt/VzvsXxY3pEbNpgkUABoezDT7F30U3xi+A5ahDeRL4E4yf
EcL8JroxyfvkbyMpTgg6D0f8R6IbtOo8UX+3STpwSIWNxcpzIGfoqxv4xyeuHuEg977LijxxVpYT
hGQdyPqxkap9NM3e3na+KC4TFHIojWfvQhnO9KZXDKNHchtD7uU8jAeru2QiNiHRYRg3w2cH32PJ
HWvn+QgULXtcZuOedPDlASEpgoKki2+iYljO7F53aNW1CXPZGM87QYnHnA+VhDXYbuCOfXEOLNs7
lX00rjMZUjB2mdYOeihNJ6JV6MdncrEZ02UJTE/UHq7zzeEOQZxjL+wDMaB0V+S/eGdZ47Q4EyNs
sGJQPurZRvRg8KQE+lniyC4CvfCJErcVRyendYrCWpdgsh2LhZrDnXxDpSOSI7ak4bGD8UsQjT3b
NyXn055fpbsoI9sJYFkZ1xjqUEbaRGHUM1s3LEOas8mr3mipyrAyAbwOe2mcuEIrtIvpJaE3+llG
CVzqcrpW7jMzxWsYepsZGxN1XfPVMMtLNHUTK3WiQ35r8/ncqrot472lTk8MeR7cUg+cfGB6PLkb
FBF38Mg+NNDrp6ZVz7KOyuMgR/OqtZEqunmyaa2OwJdMvLHz9M67Hhx/7V0B176b/EZu7XE1YKl5
O0dJ/EaxUEBO9RhjZ22AcGd61cv+Q+BTCmTpGy+T071AnD8qUzvhyMuxL0bFrTJoJZxmqj8qXdyJ
qv1CDPQAIuIucvTDPKLMbNtdx+I8qDT+X2N2NmZSixUWorA8WKK63WXSk/DVI5Oqyr4VsrxvS6M5
z0z16li0N2QZHhroYb0cyNGBib8fS+AMZ9SurATrlP2MIkPVMhnObgzFuCxSrf6Fohy1lbbhmmMA
rUGLNiEnk3LQ5PXegb6ejsMR52T2qOxoPkGmChAAb4rxeUR/OXwgVrlrY5c9+0vjMJAM+hF4docl
CxyU16FnkYlHHoZNzkaUtDjZHIfs+Y2jWbBgQW8PzHk1k1AYXKDjuQHO/VXT3eq6G2PmhNYQH52E
ldOGwm/ON/2Ehh+uIujErnxkjsfMHpOHk5Q9a5/hksgB/sn1r92s8TdqxmJtd0+maW+p9G+JV0PC
bt4xGqSQnW2saPJmwAC5NsI6LXvenQ3WZAWFnb7oc8Z0guGXVyflBlfNqaP23Q5yOCeXJTlIxs/W
AO6LUc0cQCc7z4UJYJ1h1Q6VA9FQTndZog06LYCcWHaBicDJ7GwYk2M2cBmxTjYTYTsHPlOa3RU3
WGciGY7OK32yg64szrWVQ1JWBG10WjluXY2xZFIOa0R9fFcmqXes5glOdOnEN2CAWFXkvJWW8GbW
IvhiN0wGPoo0firT9qgVX/2cG/eYSpstshrtsRL07UbjHxLZPMnKJlZ7bQ0mC4BF6YaDYHemJt4P
PVPOtsvkFIyiVSGz2WVDRA/0sV4nt6FjQU1ck00VFHk71ksI5zvbfWMG7u6GBAFEKxfzZZ782ziv
DpGmVwhv6AcR38ZlflMnyt5QO4bI5LOk7u86oGIBqLCRyazH8o9VxX6w4wC41XvEW4eY3mVaGjnv
yZgf4XASU5SgLuveUVzlb3kFkbK1G2rUVY4zBFFppyHpeQHv/1Vqr7wu51ZjJRDo2kh9Ci+aQfyz
3vJ11CFPpoAtapPPIFUTZsyICURbHKoqci4zt5DXvJw2mOolvWTBMGwBTkYHzR7UtvasE4rymI2T
OpDc7h7sJH3UkdcR82eitDAVn7ibRPd9tcSnrjTAxqcmNgTBMmDso/ihiIqnDDtgrydWaAlWQx6u
Q0ggFdoVokq3HLZsYbg/ry1LWg9SDZzqXvxmpGhHBXq1uaQoLZqsgW7njnvcTQ7g8NF+V2MTcvSA
MjF7RztKv6BvYp1/ZumjPrwS6lCeMWDs3+qJoehmMh3nvTK1yg4BLyqYYCnsiI2X63QpS+PuUyMd
wZi3uXdh1rXxQExYE0x2piGh0J3LghCky3LEdLQRbURwQcvMp4cCHXJy+zssH+0RZUx2xkBwYPsC
dQ0XbFdctpVKdgqwIcRCVfDFXK2yGhOcCRP0xnDS9LDkzryfcCM+yRgNQVle2lF/aMlmluWhnsbi
YJhZdbAWguKZBYGD7+LxONbqgDD7S/NrdBOTrocxhuAVro5sKEV6d/B6le1qPY92Lq+FNDvGsGVj
XJMPFxD1x1vAa8Af/9hPCp/YlMrbpXN0cqhexyWDgjhK90Eb5mg3uWWH+71n3Rx36pDZXbSNGIQ/
xmjsXjWrWO5jMOnbCT/AhcV45FFLQeMBTcdMY6XxCbdocsohgl5qRTvfADKXL+ksYg3bzbrz6ElA
O+Z2aXJh96usXavOWYdVj8jgqrfEEMsdtvMINSLuayS2+s4rveja9/QiFJUeEVc8L++/Fn//UZX8
75XAV/Kzuuvbz8/+4lX+H6iD1wr1X5fB4WdZv7evffr+p9tPObwV/J/660+kRfwpwDZRf19Rr3/T
X+tj4xc0wyB9IXUAoNGpZn9TpCM8B0uDM5t5LmnTKzr8b0w3FOzoOwTWAWG4xooW+608Xl2hGEVB
waEkN3QLzPJvncFf+0yaCroXeop/0neuRKof6mOy14VHh7vW7gayBN34qT5elXSaNvkJNvZJYfqI
Zy68DnWSrL9qvRvQg8yyqDYoXJDdzL4yeN5aTjrJwhUFLBKceFNyEPyqy82jMGqpH0dGWt2m9BF2
h1G5LOkey6p7bTPwfRXDEN9BI9V0utAURaGKpmFhEVkgs2sZR1psV6R+dEhtchl7iJWWYCQ1F1BN
qxHyJU3PSc3G+zz6AzrAgRvyifRPmJxtXRQPHWlrJHWieLcDgdy4DaxxWjSiQZY2OQ5Ukaz5EmZp
fN8X8Z4k0fTCm957Z3Uucjw9VV18RBD9Seyp6+RiQAcXo2cW63W7QGAny21BczmLpQhaT9U4qeeO
LbVqm+ghtdLq3bGdZTiMjrdWt2h3DUxJPQqaegUGaDYNb0AJXn0b7GUW+F0Mc6/3Jo6gaZbVrp16
TEO+06s7LZ9IIe/pYBrEXqp5Qt/fShrErIH72+kcTEZvQWZmw6xmNH1MJ/Y1pKOCOegk17QIXz2r
yiQvw0aav4Y5k/jg2TVJj6PZ8nNcLo4vzN7LVUkULRPm3I5vp0Jb7EOf+vLLRbeOLi9Px4muacEa
qEXI0HY+RLqKORiZgRsb3gJznL51zF3agTDdViQG3DGwZqalC02/BxfgfEvdEbEqzY/36IxJN5LH
lxGfEnXEKqI77De6iyl4aYvs02rj8XHEVMkgsI2WDu+xII+ytu0PdxhR5qZprFNU+syqkL+ORh8O
0ppZMY/sSTfmALsCbzz8nJukj0ClbHAnadGxVJ4jyb1IVdpf5MhYjI0NUcYPy7rRve0YefpO0KBY
VNeO9g1z4HxJiIS7RHtDkll2EC073E0R9dmptWKfBBMkZHp/4dFO1XxzlhitTzFELH3MeERR4pJu
wqijYhNzg0oTpjefBJ6/86Zk1ZRTvpRORHeJ0XE76uCqtp7fzOlj1fqttStGJ1dHYaYoztbh/+wg
XGLHufVtBKXk0fIwni1Yp8dz0M/RcozwpREYYjbawG9MusLWL6p63fwSIXKSHmsf9q3C8liradRY
JB/l+oWGUMl8ZvqEMZgINEjYxGjR6XWtt8BujDAaPqz9AKrpykyib4Xpp+Xj0AhTXeoEickz5peZ
81zVtNhnFfkYC5zwoZH+G/naMrtlqTQmu4mkc/tWL80JP4Mi2ox1KNfspZSDO55J6MVNSASyS+8a
gaXhJBg8ZW3pspWO4BQPYYCmkNUoSpn2KuND5McYLvAavKCW81KwmIy3A/c5FyJjyrfSLmUS6kxB
xQttAL1PRgrboyIhRwWaj6ViE2tOGyxtOXvnzFkxO6JfI0lOFUZ/RAjWf9ok0DIXcHMMtnisbRsC
cz1pV8hVPSbXHDM9qWOJNbxCJ1/uoiwFPsO5m6XhVICLvzAwZURbMTZld6tXIldBwRbqxlW1lxOR
HI03YjIJJ8M1z6FEBgRpq1HvYFljda2+YnPpdyZ1x8DAP8PLmFp8pFT+qh4YoWnmHfdTVt45qARu
WWeYsDyoPfFMk06H2mCMR4TTGOyinW4azk3ezd37QmrKs50n8j11MyAkypnUWx57Oqu6HqcONoQM
uwm+C6vrCYDpyuxA0oPZhUx1WpRsKN0V1u0CDX+rUibtfpW2a3DblAMEYBYVYR5IebO0AZ/TLgb4
WfIdZKPGM9AB16PcR/0Fi+YCudCchppIFjeokIdVIR6A+qpfxSKsNGXjz18wOcp8j8WJ2TBm/skL
Rq8oi11XUzXtR9DBp1xmJLrwftrRJXOI/EGYoOu3k4DVvvEjXVwXOcuBTVVMaySNr1l6ECdp+tw3
o/UCaIqsoYqV24stmGJv1VzJeFOLomtuG/iX584iejRDRikmPkAm9ShDFsxTJOtUjzRZcICNkegU
VH4pW7AYWrzWE1zMoigz5gtDxvllKsvoC+sQpsHKi5f7Ou5ZloBYoIAU1kgOYuQlMQWxMZR4f90K
3Ps0TC1jDDbQa+DK5Aa2MUpA8dZY760Gtw4rq/VXzYnKTYMk65EW204M1zyqfB4llEWEayGeKkbS
TMln27KwmREvFPNL03FQbxPyEYuQRZvFw2VregxMO0oECjKCWIPYYuoRJMngPgA5GkA/z+4IpQVf
fAIpxrQOtcYQLVgmzrNNZA2qRDc3o8oDYqcjRdYZQtkZ5qKgMlNUVOSht+KQq0k2YYpMu6LZUJoR
2GOHXBprqrufAKK6Yc9M5N7EP8R7qmb/lpwetu8Fipu3gpu5CtSScZyV0VKjJzGiKJgJgXgY5QL4
m8aiu+KZ0L8xF+tgMMsUAnzHu/FGReNg63D76aWADfCGZ9BNuJFNtimz1fjrY2xp90lnJ88Iu/2P
AmEq+i3KA7jkVswv4TTETQeuX+pcm4mHr6zl98kLRtXneku+8AZnNe0tpFo2Sr6nFp77CSFBZ/om
W+nU0Jw7hIGpCvXKSEiVjSUTlI5AsvLcxS5fBox/tE9kgaLeSZoWexf3mjySvIMVD5lILAJPGf4z
cZ711YDhqATH0aWc7nAmroi4ZSaRcV2nW9zyw3XkRk2/n8imZJ/ZU1yxYIsrPNHQ9wmbjTmbULeT
eGAlNUoQ0FFlE+Kq0tMtqzr+8yhdPHRp9TpuShtJnZJPUxLtYvZ55wrrI4vzfKBAU4I3GtEJYLLL
JdXmF2jp5bh3xnH5QukKF9juUm9ija6i8pzOTCDx7evlXLSW/HCYIz7lKEPu4zmWguGL8t/Iz4Bk
zhk5f5akIw7hwoP5wjLTL3dq0azzFi8bm6XZbtnkQV89jFO3vFrt4DlkGWpYXuhPNZ5RT4f63826
fBwMdx0/mCRx0kLKASUUh0mgMGUAAW3bjP6x6ZlvpU100p2xsbZNO/ZMiZf0Q8WlNDZL2pV3XVs0
3/xxyj7ifiJ+TSe+e6SRtdJvyOhUAUaprR4GuEqfrBzkdaZSYi69RffvW9fPTw06x1fK14jPD0XF
O7dye1NLMQEMqw2CwUimzh5TJzW+zHZe7uhsl4PCEc1vTKbjt1HXytuBwCYMN3VBGAo5oem73fU1
dVkX+29NMcZPs1s4r+4ATAwHUFe9Md9oi2CgTT/vQZd2myiJEsYnfuu9lDwpF5M7GHaAzBSXGVv9
foV1FUu7mXSzQC+2SO9cuXO5bOY4mzBB1poqA7105RuTXIKPZ6Ze1qZvB4n+bVKHMiEnBc/O5F23
ts0QS5ntgJB/Wfy7uSocAky7ZT4aHPkxJvhcPXGmEY1B/97OnMskmyHosFBET1aH8iazC7Sbcn1a
zHxk4tGItMi3YKWgUsNIcdSunWX/Kc2u/WZrGSm0QtWsW1XSABy2zV57ipAivZMdo98To+pJlDu9
xvSRIv9hznKsht2SDShIcZ4cloUZ9qrl9km3jDstCqIeZdPWcVgUb3IJS4bRO3LuA7oddqimmmMw
HkabA4HQyBU/AElESLg08CjwjVFPozvPScx0altmQYTzBkFAIbX7qAOkzTbelif+SPSI/FMrEDux
RiBCuZpXT5xHCttqzrUvJvSwMAn8BbtZoxWK8lKQsCsMu0NZDguDPflIxU7UQEl4S+5VXO5jSdj1
NI3CZ0pMvRuaXmtTss4+N4uGWOWVDVsFK8eauHwkKulvk6boAMdEdis/tQRa4yH1Z/Ov80O3zNGs
Zz5neU2SgvPSEqMYB8PQqktN84vnqDfxn6CO671tb3vJI3KHxtu5i5YsMFiwAId0YKSOVCT4fi56
FmHY9Qw0A7Jr+njH12U4kJk4OGBbCwVKpHIwFqNGJT+kpdWrQ29iEkeJjAGXYRiLciZkhUh29qQQ
X4xRQ2OJ6LDjMerxZB48HbNNUDtMcDYiJ/5wYw+cNTuESAzWzDTGKeokMYCKwjFKue9mxlsbw+i9
XZbZgGgc0U90HfHsk1Roa6QCF1im20sCUTsYBcjzLtwpG81dFnvGamfSGDOWQH3xZ2FWJuZkxHi6
GyqbetMdjaLb5iIChwJfJxV3hcVePLS0mJbUVQtQgtqquaZAyqBwVTUajX255GAk8YdBLRytUlTH
npzzKoiJjcu22ThzoZO/U1CLL5E/hA43iwUSdaqqPcVMd6+JvM5PkdC9guRWzLv0JmTBhoWUnLJj
7DiX2JstLwSJqd1OJaUtGOQBW+Yshty/GPBHT4GBUqzmwvX9j2zlKAaIpemHDd2U0Y7saWyHiSO6
+QT2vUkPhd2PD02RA/SQgtS5dSZomkAVdT9+0P2m19Ew5apBskiIddAmYJ02c2GkXcj3JfE3C1ru
JnSR8uZQKbiGNh3koHrfFDxaUOXwNvHmehllp1Xw/JLUAaOnK4xCC2kJmygkY4zpQIuGywjGpBi8
fQnqLzpBigEy0ZVFLg8FCVHJ0SSw0z3EXMz1ZaSKNjuQLSyRqJdQIA7c/2nM97sXyRb4wNwfpV7U
GH+i2cVviLiM1nyaqmQHDY+P2XRIz7umzFZoPYTfkNZiuVLupEC0eRmz0auYWMdFczklgA42UD+X
bJ85AEgOchSJseUXxMGbt3FrIRQuafRZyvTtNu+gMYUxDeJXpqvF2Lvr9R72teZbp4Rfbdn0Cwo1
zBB2XVxqLnC/cFoawm9RdLYpnueZcKEY6klKovRM4AtMgKoKcJiW8qYbTVQweZFHzk6S82OEmq9H
9d7Wo8gdQr+iGESG2JAqP1pDp44Km766muWsj5dwaIbyDK3aVNz4tWzT+8htChn0ZNaol9EhR4lV
kbEs7i283Cg594ldJLkEm+G0G2eO+FmObXZSPNWwG02gGzvLT6Ponl1faiDnRtvOdTw0kEcaWtyW
Np3JyZYHii3RlPH6USEly3Ce9w3z3RKfTL0tJjv2Anp4IhWbUvTJwcxsVE1m0WNj9osFKRXaQqPb
ClH52Rt5u9qz55Zlc5J1t3ghM7+a3F3e4nLnpcAsz9k2zj03ajpre7YE1rxdcB3JvbBKukwPDRLT
KDlWRmAars9Oz051fasUiKnQXMwM1lLfyTQQzSQk2rRy6I5c8JB2gTu24raxCMW5HdwKk67lLLLc
u7nVGDtH4dYPRiPF02QsI9DXGroBSmJ/ss7xXQ/sDdNe1IEUcQpjwrTa20wU2StcWySHspPFEMxD
S+nbdotWrlgXMw0FKZqXnqjcawwmJaKdsRi+4S1u98vUjd4e8zGuaKBIbR1W/Mb1tq4cSkLwRUjT
K3u+QxrIMjBasskG9FM0fDKLJ+8FkQMTIwCj15ElYvfDPaFRara5W3lBWhtevbXTpbhmPNCzHyom
cWT0VqtgrjMRr0Kz8sWbJgxJGoiaSwJ4ynmn0eg+ExjqP5J/OsvNInhqg2io3W9GaudvM/NwaFGZ
B80oIqiKK2JMRwKUjLRF5MP7zGnJDJHrnIwi8uMG9ic20F0ZmtjqvxUa/J3NYgiqFXRWBVdJhhVv
FVJ3H3z5IQP4btvMp3Fk9P6Et8ovj7MfT4/DUOJSloLMiIAKfqIUzUciaZmGxfmQXfBlwurG+zv1
6rJg8zgU+7RuOwqpGiEtCEsEhrEIhUaywLTRpKBv20eDMbWHnqdEkTEMUf2+RHjt5tetIeA5oND1
MT8QrcoKcpf75I/tdDE4zGo1J+7kHZa1BTopAyWxdUDnqPfBW8wVUGUDY2/DpGV7tneiFH0sYUmT
Xt0bdek0rG0nMYSNyNm6EX1T4T0lG0gnsqqzhwZbSZeY0tZ2tmDvEyRjMqY7rGbawA3g4zQsXCsq
wrGphTzRCyITtVmNMqWwBqbie5vtndfus95djNexmP3xtoj10mPXFjk2Hzax2SSj6vP02Y12RIXa
FgNd5ZlKXafeMxjQaWHgSTjcPDTICcdFLpU3vCd+MqoLXbZ0dq3l6qOxcWtkWQlzOhbH1kYp04RJ
irF6bt6irJ2RxpsiH+7zCGic3KQ6Avd0M9TYpejB664Hy+/iZLKfKaiT7t5Bu5gFi0mewIeZaioh
qZ7aV9y50qf49okukgXyWTaFzDDtMbuKeTTqWy6kCOAaJkdcxVyT/dZeiuaEo2l+aBNjyvajZ2Fp
g3jhrmHw6yTMNZleavYCfLBrRMian/08H1x5jEA3NqdBg6kT9gk6XEhcSfGpz1HzKevUYIWUMelJ
VaNXW6sheIxmQiSSw5WMtH3c51kS+liRtKONgbYKW613z13Zt8apkP4Es1Qi9Q+UYacwUywEvXuP
RCgCXWNJnWysYYyB0OR812keMhLVNao/QeoqWhxfuIE3RpN7VEVNZZT4GshEoy0zOjOQPtMkxkN6
8+wbMvnQYEr7zJJy7U4mNVrxzJCluZ2ZMC2Bn/PFPlZTnVyPJn8TIVhkUDEmihW+I6Xxv3WfQjp1
Jue6MmsTP23fs3Fu8URM4B1U8VF71fTYLb7SwrTwYDKOqCQGzpVOLny1o/TLYArKS0CmnfMBOagm
mWAC8Gd7EeODg/T2joLCBhlmWshpvKg3DFzQqn2uK0vygovRvM1UP42h0c+IdIFvoact8tu8mhLw
Y16ibZZeNNARM9DTw+K4ZOf2ZkfvYK67FQOROX4/6cU7hdkVf7ry6MZZ5DdTsOA7+1ZPCmWEG5vt
5+gOgqhsfcxvZlfHMeEtLo/ZiJgOMM2obqPKJRMYYux4a9Og1CFNXvIJSdy/ZRzCuzP2rbrr/RnD
IIdahD+ChPhrLY0l0SnLRGK2lvFNDqgeWInK1kOxIKqUAJCClLmn0tEFPYa0lwu4AfAzyXSnwNRk
RCW6jBldo0oY/YVs7fV8m+YF4448a71XLfVBEde6LL9WfN3naMWEmDMkwsjIQXGuRQ7Xd4rtix6d
QTRXWTpXCFNLL39ByhrNYcM2tt0obVb3JHf6ydEvtBhJQ5lOHtigJlOBrbnqYvI14Ik9nJhP+qjU
4d2tvfMyz5S2rSLdCbMRhVvQVlKbjmZqe0Q0+EX65aDxSYMMwwZSF+kwX7GtjDo5w+KCklbqLmdK
gbk2xMLU2FtSHSnbWk6/5MT6uqZEXj0kNRRCGkxcI7SunI06fnAgcHFcIAPD8KXDascwG22wH1qk
1WukJyCSggyyTmhYBwmvpeWUrcbgg6ZX3EXK0h+9Hi/ODrdacmPBFeQpyhZcTQWTpo+cw51xiPJ6
yRxnpB1njGHrp1Zi74e5POFxmGp8cpHRXcqhNJvAFbV2U2CmTJmL1/OwibuerddQmNF9C+tmYGBr
gY22Wo1mvvFZglxSEno3cqoHG3LFmhIT9Z3fbGLmvu5hEWiIQxAvybPfTDGmwdEShwX1gdx5HpPh
QCeWg1GOQB2C1ojcaXJWkE7TubmnKKZE3nZ25kyhHuHB48liL4dEKCNZJxPVAoCjsdrsBfpx/5U1
AGo2OtKIDxffTX5L9CWGeJRgHE6MYVgEeV493MJr9bUz4VbWZe87CMsaEg2e4XfqN4r+q9/b0iY3
vuP3O4dS5WPBHKLl0WbtJPGIwvpi3lPJLxve/xDoyqTKwLDVkvCGh/p2LLv6VaymyXDWm+6x8WsC
snVZ1P+/nEcFe/z483+ZFovrf72dv3+tltcq/VGmuv6Rv6zhbR0uMsoVnTwO3yUAhWSHv8pU/V8s
KMdEGiO//pUP97c1vKaDfxMGzDgfAhjWHH3NSP7bIt74xRUERXCxmybBQSS9/LR4/71F/Lpl/7tK
lU0+WmwTPbRv6FDS6Pd/VKmOWAMZ7lLHDHGUTdsM19chbarpjwJxflS0rz8H+IBAW+Ci2RWOi+jg
e/317Iu54ejk4mcnxwTYUsM7E7j6CU26Cr/7BP6JuOAfX5OL1twULjFpNopepMHf/6zcZBFJCCSM
KioPalAoXRAVivPf/yn/kCfEK3J10zERDQPKNhBYfP9Tkg7LMdw5XtGsmTfY4yqGk2aaXHHYJRCr
O738g9f1D+/hmjrFA7PCBEkS03/6iblpd14Djh17UUdSLwfctG547FW2GE9/EEryRz/spzex0edF
zRZCC5zh87QvzNp6yGOLVpzDs9n9/nv5D58YAXCAhnzHIW2QnKBVK/KdOj/pdb0anDHfWLLRbvAt
4vFUTvsHP+WfvCT0/6xU0IYjjvHWf//dT8GYLHozwXPpyTk7y1Or39P1LUHnoMf7z18QiktMNy4d
C1jjn35UWliIQxQqXYTIR4cXE/CFVn/gavhnb5tteMDWIUDwqP/05S3KwcGLM68KVhvL3EBErxE5
2en3X8sqpf/xjODTcYTP4hjZkEBT9OOLMTUSpqG30ZzGiSfDtpsEYnZP/i97Z7IcN86u6Xs5e1aQ
IAGCi97kKMmWJ8njhmHZZc7zzKvvB5lZ51hy/VZ40YuO7pWrpBSZBEDgG96hjvtjIUdshP0VbO5t
Pcrma9Ra6fIyG5DEOs4gdNNNsRZte49GHQ6gJecxXrbzQGqeQCC/XUpHU6/rSSg3I+Ip0ZbSppJH
pbJ5AFVSQWQNkTqzAFw60Q8UjYGd9dRQ8q0c0+ArnNHG1GRdZNVKSSspSO2muU4SFMh2SCX7nyOP
luYztBnzxI92TUaEhUrTWjvsneqJBRK7QYTAjgd+fck0iOOFYnrgV/lbvDM569Hu2uT4qB/QmqGl
I4kt/9QHDxlPH89Nz8Z80iywx1PSd6OiZUNvbIacTWDFgW+7k/XMKv6XF4YwwYbAYCwgAZI9vkuE
Xs7o2wB4IOktWzEK+cLtcUm2m0x9+/0i+2U3ZUsDM+TQhDMOAp5Zgz+9m7S9+0TKmPwUNul3f8bv
GmquC9qJ3lxyR20HaZvf3/Jf3h7P5u10AU4YNsiTMbTo4NDC55YO6kFI7s8jSu56eeaYeHoXgRws
XSXfw78U3wT7yV2g87eJ65DItDU+vjs0YrqZ3G4a9e7PHkeA+QBEYZsDCTcH78mW0yLuV8VWWpCl
qvjGQdZ/43vdfPfndzkHDHjMsfTMPP40TxVUxTi2SKw09b3NMFDAdDUFpj++i9A2DDiPu8AYe7Kx
FST3fSmQAltoEb2oKoXVFSreZ0Xj/whCNEP/81ssgDGa40ZS0yESk09GLA2SoYkSH0BLt9ZvE3j+
O2sQy3en+C6GDjReLPa/fy6Ud5/ek5iNYJ2jztwW1P7j8aNUGcnJVO6moqUU19noxyF6WKLjoPFL
Lq/1EKiP3jiG4Q7lw0Js2Wl6OohSoHha1IO3cexc5Fcxx9cAbMuBZt9g3mPRrW0GyPmeO+l9N6U9
Xb6hWB7gM04+rgQCqH+GJc+PtZlyD1KyEaLVFW5XB+VSJd0Ebt+1O9oBUX4jESetEfhDH2PjuCto
ozkV1muB2ggZ3OrT1l4QQr9Dat37EnVM0AHPG9Fs8ijEG2wO3OkK1Sa0IZFFQTkF8gnCHjnOYX8v
Tj2tyDIIxBnCaaIgutCvzbfI1hnUM4emTafJaSY6ann8KdeNWvdOUGOjRyZMuy1vnBbdNZSpAP7F
DvyhRUB9wjHddbIbtJWmANV/zrEv+eyobFuNurYR7J0lKvVrHB+QIG3tW71CI4BKZDXvA6CEtCB7
3KRc/NVKNJ62rVPS6IV8oob1xg6WCrcjieHFRxHHhsiAID/23isFSDQtHVkf0Y2fcAnN5+me7khX
bL0CvOhWjXg1UZacSt3tBCgi/IVqZAl2mDLNpr3jgt4I6tL95rII8p2lR/XQx0U8fUDFMPzqVyNE
DYzokJx1pV5QZFPW9zlzaOMNNATuMT32rAfaOOu9R0iSbOkBaoDqypnuIlSfo+s6RarUUGuLFYZP
0FjvGwpPdFHxNPnUqy7+Yi01sod1IOrPQCvpjWy63se5IJ0Anx08QZN525R+h76NKCYoxihJIrCR
wqfGIrwZGvcmG5cxPXiDNaLogd7NFz8r4LihfBfGB1zGAnkc1tqlVK5yip5NN7rWwULfHcmHbqWc
YqVTKo5e3IxiE9iW/8WqnG7YlAqdOgriEes8yFz3HfpfiUKlSDX9dy+xxPKiK0BYXGvEEUYIYDls
cIrafX7Immx9w7g76UfBIWd/w/0k798vKHN1V0Pj5Jhq1VaJCgE9s0+0gkIFpbxO7wprSVz4LxSS
H3BFaMbrYgmBgaTFGNkHaU9o0jbAleNN2iW1/4M2tiGUdCgDfet8VBFfjZWd+rRyKze5AVTZo3wF
+BigUazG2uhLF0julO2w0iSiubZegVEJ6++NXUOEJ1xs1W6h3IX5F1S4+i3o57jc020HJDApbAs2
o4zlsMsc5Kyoj4PI3MQNZOddsxTNe0dEeNLjfVBgwjuPOtzAE/ejvXQpJm2A5RED0/pPiluoeaK7
BYqWFSXAzpMBU3e2Y+rO5kwojBmrpuDk25RU0ng4nfyccP0u0l1EqtdtIxp8X3B3F9cFrOnhDVtO
3B3EeDKIQr1CApnGe1W2nzsf9nr/N8b2JDLORpxtpmZ1Mp0yVm9YUIHBwI9qNtZU48mlykGyAwj2
xnfSKAr2K8ioCZkpQXW6f0Fdh5oG4tn5V/iHqAf4dTvM+7oWwT0VLFvj3DtQWZmWvvkw6xHREszM
IpQ/KzcvD9WUU4qfPNp24J48q92iHY0iindikXknRllwYpdBArcng3SS4sqiWtNSTDI8tWltlxyk
dzN0L3ojbYQ6beLaxwUp0/DWi4hT93WWoGtXg+aD9rYWDUpYY2p7Vyhb0Xuyxy59Zc0VR7Z0oWTv
0z6C2Jho7DSgPOq62IrJDd5QvF2RA+zxNOKUxwad9hnwy36Wenpnq4g0BoJkMx+VBHgMGtDr2adr
1Lq2qq7tt2hareFNXU4h9HlUjN/QiCtek5FbJdF0mNxxDUSHJvotxoIHguCLKtfszc7S0e/SrpqA
j6c6dq7XDoj1AZUQfcdI4QLigsL5VC0RipsO0MW/eyxQoGJOQpKpUt8F9wiCJLlxKx0+WNpf8NAj
k3A3buoj74WrZv0AWc+n7oua4j1a2P1wmJOxsa+paaNyDt50vLWmsBTHvksipFHo/ZuXBb+Ng8+u
8qH3e7ve2Wkr7ml8k0PWoCJRE2giUomuQCEbT4dVfa05Omv0XgViKrElqi9FBa9lg+pjcx00SQUG
oyMT2vjWwG7tO876wfKJxg+ij6mZJ6qfXvBy0DNJ7bK+9VKfUmM72EbjRKDhvI2xVVGbqtYumKG2
6HjIXkbvhxQM4LYoJyzGbcqd8d9oD44tQmyjrK7bYvRzFpABM68nYHMP4mxAfAD0zLZw6Fvvh3ag
Lz6cgND0i8dh53SNX187HeTfLb6UQKaDE3x6xCNHbsHqi+humD0Z790iAp/ht+hWb+UJet2dYNjJ
CZJdneDZ9QmqrU+wbSTLgHBXJzh3cIJ2ryeY93KCfJcn+Lc+QcHnEyy8OkHE5Rkvnp3A48UJSO6f
QOXDCWAOrA2Y+XQCntdnFLp7gqQHZ3x6cAKry6ip24cQ5kWL/lY49EckYmRxhYB7g3AMGzMsrQ5H
yM2U1TDTjK+zcxXgufS+zaIQhLel4CSsHeCQfQ6GCao/qO4c/O4CoQJXmqXfrEs/0DdBq4T+QNLK
7ibNa04jvxfBtI0HsL5IWNNb2PbETu59YrsDfD6IBbzgObk/chEeqoi9NaLGV0DnFNfpZNNZklDL
xl0TT9NRVy7srqQhG9yDv+YMI0muiGGSKhpvZFCx3SczQdkSW3LdIuc0gaWi/veqTeiLgpdFtmYz
r5xbxwGhOsr/s1/9WNhm9VYncfTed6yWNclOEb7Qrt+qA+8+fUTLrqsAGZEuQHJaiWjbUChqaJvB
o945i0rfx7YD8W51IZPC/sbxbI8FrBnfvLE+FMXKO6LznNYoEF1rPXA2wEzM4VofvbZvXrqRFRb7
IF5Gd1+BwRq2o3SXD6Ahrddd02i1E0GrfmgmDThTgwPTvlcqtGE6iDDBjpKiwfwDboX8DGtTjfcz
OD0jjU38CVtYo9cLCqiFb03o99EF/vENHEtdvsywjEX/3Kbzt8VVd15uML0dxNYD7HasgNoNYJ2S
0ijZOvCeZR6jnjPUXfDeMH3ovAcxKJ0OL9tP6eBbRp5KIskYIPpcHKxyoMMRhpV7B/PPba8jpFfw
oWkdWKt5CzTx4Be5G0HGXTGb6Ds/0NjsDrzpsorlfa7S6sHzwylFlRTdoCOCOrO9rbK19xBrtpS/
p7Iw67d+SV3noKIRFCgmiZh6Odmc790BdyokmURzg3wPrsZAr5x71VfArOM1K7+OPSqRAMmALpiD
uLWg/zZIeRm9RJLMFvQJ9BwNl5lqjPt9aFofteYk98oNUlEGiUbv/xMKKzPOn/mKJlBSZsEC3QkL
HlhVq6SHasccRaT/mb83Dbu3g8si34lxWOytLmMn3eWdQ2dlZE3iBqU670M92BEwa5XmL0ZyGwTA
OgBJm94bZ7KXKlne/j6Vcp9WDEikHIGIoW3kGlCBeJIj2pLg1EGbf4Ok1VLceLwc8RaUdogUIyq9
2P3FvRVgqxR6686n30zvPFuXN6vT00RuYFJkBxhSGO3FZb7Ko54L+qieqvvqTW5Lp3wHKnwEQ0DG
th4g2aTiGvs/8RlgUznu15nd8C2pdpQA8CmTfuOiLvMZPFvs3zur717LHuzoDpuI6ANWQfMHkJ5h
8NooXtlHMJ6ROlphaAUbCkk4OhTtNIyffz9Gvw6RFFpJw/ajrIIu4ONkM27iGigWYBNk2Zz3FrrC
V2GQChyyitR+D2J3uP/9DZ8WjKgTCq1div1oiwrXdDt+rg6MS+rbyOpiB5fb+TcceAs45StxcrX2
zjM1gn+5l0fNiA6JRyHe954UpzLlomDhwXySre3t6ebrAwLP0fUKpPKZtP3XpB1ZEG2KoNKh3Cqe
1HCCMsRAp4iA2er6U5Bky+2ik/aZsfv1JsoW3qlPZLo+vvn9T5UVRAUgzo8zgUmMUWyRivgNZJjp
+vcz9G938QXqxOadQV/oyQyhO0hqQ5IDWyUfr1CaBU8EAPD4+7s4v06OuT4lFfikAsvQJ7eRCoCP
7EAymUmq9nDqcW93LcBBKIi30trqwe6aNyHQO/E+my1rvEtJ5VaQcU4PunZBYvQlJ1OjrpfBWfzr
2IkQfg0RrQt2v/+u/zYiUPg0NUBaao77ZNzdoLY8kmnG3e/fYT5tXXdW5T/TTfnXmwjfQdWJvh41
wceT64zBKHow+HDFSUOIa0Eu7Ja61sszlelfBt6lHs0qpclGwy14Wl8CTTw2bR81QKlRBQUE1BvO
hLa2q4f7zp++ghTopGm1mRaEjfbM46cC1UjhSgLNp4DU7tccqUkArR9aUT0nH/VLqY79y/Mpmdke
PW0K3o/vJLwWNAd+MTDQomHjLQhvcpqlrxPE/ZFZTYJNPwT2n772ZtMUNnh1w6SW8kmtLtLtIDpN
8yAp6nDnJUV1EB6r+bT+/j+v/b/YnX96FY1+1EUXyghU/a//eh/9ou9k/uDCX5c4qrHTUqCne06v
jhbMfzfOpe962EdRV6fTwqxc6OveX+BRsCcmzIXebvuC8+6/u+Z/eZqAAda7g/6Y52KE/Addc15a
FtzPtWNa8hTzHcn3oERN4f3xgpxwR+zoY74jy0WBr016CrCsz3hCl2e2bpeovWvURLHUqvIQHkMt
xS3CTYEFnLyKP1uTT/mQAiFQOCCTSXLsxZCTOS6OD7bTD9DTyVOSuk1XIA0OarLqKjRM1ukTKG+5
XE86RQxOn+obIPrCe8Bl47wXgETQ16PM8HU51UUMsLt5CcyuiUNMxe2ewkkGTjd8G6wrW0i+9aey
cw6uiMu63sKzbL0jjL1aONvqZCQOmwRTcXzgqHmNqjBGDNPCV52oH6mtYcDetV6k2qPdwuLejpOx
LIfRVsV7uLgACaKkb4jMRopkvEm4nU+D5bubCIYXJujCsYixRJj+AGvjfYJL0+B7VZQInIsQqZ8x
icqFmuYg1EasOT43NhL+zYGNAgv2BfiR3LAXRjCv7SmF30bYeRUsRYmeq0qzb9Sj8GJGVQWNj+lk
9T5OtvvFTUXzvh7gZMQ6QgNJr2GDLF0kADZOsGKOue0xHo3u0EFPE8cXx/bkKz8Yi3lSM9zm85Pz
fDJNuNAD4a0/o3maZbgNu/jUL/GIAO1ycq/vC/mRCHH96p/c7a2T0z1WpMCXbA8VnC1GWXW2m2S6
C9GzxzEdN+NwkxVu9rL1HRJUU7h3SAxRS9xq0WBZ1axB93qiqdzuWlZ9jGI5LLJN4S3rS1/3wts1
lLmyKxIkY7wM9jzcELkj5Kq6DnKGT/XE2ijfhYgM3BLVHVaXMxyyIsMLyyotFe5gSLjhRkkPAqjb
LITzGJMimFKUiqwnm6sp2DslJszQd7r4b4fTgD5tRI9g41KzATAfjiqFLGhRyAwi+OTUwSf9qhVw
/xCThwa9myn0xLelm2YP0NydNwb6XBypoSIc2fUQDvGGi5M9BM3xPil88W7qya6Qr8nwYK331Nts
3RFOhC7KyHGeYRS0ZFGQ/4iKBq4lvVG1DtcRnH0AIbGecX5bB6n0tjLQz1sLsuK3SA9o5wxII3XH
mOUGSc4Zl9e5u7pqH61LK28p+HlUi6ph/NRSB7sNkDGoj+Aap+hQOqA84X9ZY78tfa+1DxPObDei
0PN3Em2cVJqhl+JD5CcpIrM+5rlXJdBveY2x2XKky9I/hD1pQ7wiPkvZosjfIlVH64WqVh+g/IPg
xYueclSyXwZrvhI19CMqTvjGbVY5v9IznnCHAsrplZdn7XQESbneT1MHsQrp5OAHtb7sVRBiGXuL
qELT7VpXqDvEqafP9ok4bJ9IxLgexR8mG0XIXSz8wtv6XrMfuqZqt/gJQkGuDRvZWKc376rJxTbQ
PRGWU13Wn6WMoDF3htEckwZ+bArXpi5yojxnJ/ozipnqzXQiRZO4kk7PNcqgHV4M76MTdxpoEDxq
ikY5UmmGXY0Avjsfcu0DXs+Rml+24HJhYzt9v/yoK5dq0Us5IMugDr6LFR0ROjDSd3ZMtLAZ6mz6
Cu6neg0DUYEowb8E3Thqa8lO90MBWNcQwVHMY8tzDT8c8DH5ZHiijUuIJR6FMlzCtiHyyjaXTgho
S2gQ3VvPjhX084QUCs/5sEM2C6hAtwO6C12dKIbrFD0Cv1/mljo81QI9s9UbK5aHQKfw9iF9zN/g
l0+fXEBT6P4VzjtVIpztIg2R76lGrN2bStaoi2w7NCmgOlchmXSeBN/oQJRyV/lrNt3AUqXgsUQd
xPz4RNLHEgXCft7I9QoUfhgAsK8ZjhlZV6ja7ajUPs2G9UuPpUG68QND/UeprMLaEjomRhqB8If9
vEAAOwiIyNEOPUHU0CZUwABZOBY19yFznG2HofqHOuhnlA1lp29cMwSQvtuK0kJATfIc2/6/FCkh
i1n+XfY/a/acMtf/DDD81Xf29AfnKEl6f0l68K4fEI+4/Cdx8zlKsoT8i/iEgIeQSIMHMOCNS5zk
+vyKXDPwQAzwGZ9f/RMnud5fdMRt0k+TENkm7vqDOOlxNoJ/rdS+C7CLy3kepY8nuVUIRWj2E5bd
Mi9+0CJyLGTzkMCIbvodZQ9cXJ9JSR7HZdwRNVBQk+ZPkf4kOHscl/kRhJMRWdJpgeKMoQdOGc2D
NQLtfQimCQVfeNGddfdT3PrmHPb9rKL7y01B/xlsFBgswCsn2aSfU3f4XiPMtumhbV23eUDUobfu
VM5WfRdgo8fxXdBl/fObGqIW8BsCYZuk6MmTqrZIIbn63LTidrFdqewWJUk3uy3xRM9ubVJpbv37
J/1lQtGTQiEKOAuIGfCiT26aaQ9gAO4LwFg0U4h3CvNZdROPHSLt3va739/PXO9/wmyfEwJEoE1Q
j5oqyEfvyQKK+jETcNe2ti785iGFecotztMZoyvC80G/SWzk//k/iBzQTJ9fU48f2ixg3yUYsBlu
voHzFI0CTkMTuAUeYD70Un32YDO1eVuC7zbsHc6nZ1bxk8f2QPMp5UhuyJJywIk8XsW5l6atj0DW
lm25MsL3WKhYxV6207jg+gnknLqNxlKWf2J7VE16oN9M2/GZOs7jha1JoXxASxRHtCfI809olp9q
UrhsBa4qvzgM/NZffYx0Dqw6qPrbNiG+VWhNjuMzS+zJPdmyyBsDCojcknfpaekosmxqP3OaGy3O
0bqDW+yxZcAdX6fNUgWs9QWtPfVcsv8U0mfKyUCFmV6MtwNksR8PeZrGg6KDhewsWnnWXZNjwA6F
eRkXJjksATbcUd9VY785L/ekQ33UB2hik5T94RCA6mbjJYt1wSWwjz15y4gQoyyFx75xa3Y7eJun
MZjZwKw7RCWhlwHUtgBAPPO2mbfpf942A2WUVDltm7IdEbBtP3nbTOuua0CAbmhLKu5ro8TDwwVy
ff6l8sXTEfcFLxPYeKMCZx7zySIvYAhB6lYII8W2YJBnn8ZotM87EFDNIcaf2bor17HnZ1U8QIF/
5VQCd/tjusjKfuvaJURjdGw0qyQ6rRXkWWiP1Jusg7OHqceSddP4sieL4f/scm1YNYBNSq5YWnbD
Pza9JencjCPMMmHIY1M9kbbhRu7Mt4o0mL+XZWDu+s/Na1hY9l4mSqbDR9ARfVJdZTpY0X8UpMT6
dkkXLLRoOWBl4G+HSZVmnSQoEPjHykaoId5ZdR+4OImRTDKJsUjJpNB5dDSDHmBMy+2wWOkzJFSt
1O4s1IICc7E812aPjTu1+ndk4SkyJVhEOOL7tFjOkL6MSfH85H5Be0FrbCyGEQNwnUM7FDtFE5dr
wDHOuFsfwBSnFmA106IAdp1+KGZhljtkodr5pJs5rz/Skq/5eAMKzboLuSCjlkJe42c1lQGWB+5+
Id+7agYz6DMqJEzf+S26PNl5/U5lag4kDAKsCSzbxDaAvt55S78MLrwqVvmutzyd18c81kUBxDiF
iFdAqXXN8kA1JfObQ9YNC6OUibVxRzq34IPaD+f7tF3hVrDkY4wsd6Hn1U27tSRaSdMLS9XxlL0U
64S579YIUvD9uyYWirQsNmfLZelcxkPpZOIrS28oeV7nfKISUDXW3Vp17EvYSUfmEjKnb3hMJ5xv
mKW5G7MWbJFDQeiKXjZO61tMTqccc21K49EIz2xOAzidwM+6D8Ea6OXz5VJ5O5lrgEExx8pYVxUP
PYQ2rOobv2zpqW4vUxIBPWYGLzsVIBAET2EyRkX5d4AcBqMjc16UhwWpQpBBNT1NnuXy8cCtB5bx
jAAGH4RbWnC3in4gY4sZKoBmoFttowEXFj3qGij2ugQVegL+oeFOJkXmHRB8XfHVuHyejJw96XCe
hNzoWPc7VA7MEsF220uX64gDJbuF28nI4UND0AC9BbrcpqdiXbTgttKa3BH8RYP36Pw+U6ie+R8D
0mJtfWv0EszroQJyBIfQa2aKhA9LEE6VvMFLUWTth4q7hPr7gnGSE93BqEUt+j17HbIpN24p22V4
Bw3LvHNu1Y2O+NrGwNaS63P0RA+8YxYvC7lAs8WEOP1g3sqummEN7AHCBBjSFpZA/jGI4ZrWsBlb
iw9eXvTzwsf2lQPj8hsHwZjsdqwFb1BzHuJFeQlby5jlOcMfFVi7tx9oKMZYbs+qo4rztonRq2fl
Bk5hZggleCK7yczsO1rnE8iQSzjiKrs3U5kWM0vlHPHqDv2B7jATFNXixgGKGUVHjd0DntYDZYZh
PUCTqUIADWWt2Zh8NLNZ4pNIHeKsxa6YNeqK5o2Toy94Ptoaydp/9lC1zV+VbeWB9gxcXqxXsNzM
+QCNl2dOe8gp+QEwdAI2JvSJgMtdj9YJtRjjMtNnL5F8DtQXCnd+/kqCGSCywZZWcL05i2DYoVYQ
KgXnPa3529YOzFkUxazDu4r2Y/4KxhtKAXu7gQ4THtIeXf2Z4pgQWAB7bd34xdWQmKh5l/uoU3h4
1NRzsBwbITFluhlzghBElgHC8ud1xrLwXxFqN7DpvJrSSLOpcR9GLEdBl+Mq8KbM01pUgrlKSOmQ
T+o6iodrHXQA1ncqnQZ+FjqZVF/kYpmPk8hL/knsJUmRYvbaaowRBfZGw2E9XQKyAE66qHAODWZx
Tu370ByzQhbBFdIgTo2Zl05bLl9or+fyjRV7DONMvWWqdnZgRb2zK1sPyuMV0l+Yp+6xh/MK6wot
exbpVegslBiO5/FEAMb89ZSkLd7LgayH8U2STBAAKAKcH57Si4UJIVQNCtm8G2aUyxW+8Ksx6swm
n2dTygUjlGIbVEx0GyKErFDqeaBWr8f7CYCNRgYkjNOHDiFMzJwbZ20xCKD2cpXMIICXne/jfLaN
loblfjgvA7QWXPaONLNZTwuKQNwYNRsctGEzq4E5WG1WT7krGzgvrzB0ZePFt6+FpgnXc155WBco
lPpyngJW9mieISsmY1A8UVrklEvIM+YaW8s8Pu2mjlkUXlHGbHpxVJm7JehyM0ir19lD9rJxBWt/
02jBqjuPYmYDyamuZDmV8WsAjpCFcciOFpatBVTVjNHqkBvs5iLsuHywpvaA+HMQ14W3D2C6M5Hm
RTDXPY9wtoRmsUVhj13Qpmx63Xvb0W84YSjDoLuI65+/LiM6FopAZTkWiHDxABk7fuZdu3ZKJebB
zpEL89+CvDQXK8jdetaqXbv1K6C/Fd/IsYdKzx87dE544CWksBBTB07NDy8ToMrCPEmFIyK69RtR
gALl3auxYow30mpJpHep6rW79+qJpX558vO8WYQd3Ob8m44KA5dnd4n66Ha0kAVIriRwb7DkVdeG
FOwRmDdv+3l0y5TwE7BeHkmNjgdM+HYHzFjwgbkk1vrnc1hN9ry1lxU7VRo3rw0iIgU/TDTP9MXv
HPM1OE/YRMq4nflAmg/mlRz61sw8qhIls5tWAob0/fl5LLxdA3GtTztaOo8j4xwC++GvUn8y14BM
aGZkTKSZwiFJBD80JAZGCCCz1V8jDF8ysoDOO6f9ikhWxwczC/l8UKWRZ85uPc6h914V66idb51Y
Sle9iZwk4VvFjjC3UZ6lyn7nRAMR2gZ+OHTer93qA47d9ZNjYynLa2l7HUW/AsXSVwp/pAX9hjws
aonGy3kDqwazoY7zcpr5mpIENhaYNsWfbXwPrWZf56H5FUaSK4O7FvjEskNPqgYfmOnOAcfojnY/
JjdFYTujQuMFuoS4ylXXcHSh95Nz6oB0yTkjphg02XxblgjnJEcOsJJwPQF8MgaHMWD11W8viQuy
PGUJJxtX8izHeyAJjX6vMZZEyQNnCsIE8vuKS+NjBZR/ozVQ1/kW6QhzHK5Is5jjMO1MOC09fMzI
0mi44CrpNrGjo2skUGQZowoqkZS4ZXAXvrWucHRgMjChnSAPWGXIn/NuoFN6BAiOEsqLLoCpABxn
dc1bXCT9hJBYnMaAqbfuRGqYYyWImle/Q8ULvYWXIZVfRVesKNA924iwGAFklpZpa2wvp/dIRMI1
2a7N39mlINK8DFkeOyQuoUU2YURf+Ur9ETiReZ5OLQOmlWjQd9Xyzu1Zr0Sf4dgTnVCAMVG0nJeY
H0bEOYRZ55CqyVGXHW9s30bRa6vKznfa7eXWyO3Bub2xYD3B59L4Y7LdDlQMCPu8JJB8u8t3jR30
MkOsp4FcuzisuGb4olFgUYoferQM+SHMeGfqbQsmFoBs26BsEGxyD+lhf4sUR+80uzAF7pvuKyxJ
wq82QRq2B2jR9vb34hwyO0trHkAA8qAL42QmjGY7w0wLOF1g0ou4ykoWGrFmzzdIzZd8aMCfM/3j
+YuzKZntqa9n8wUSE6c8sP+bS6Gz6ZhpP9ff/FM4FqZsK3eXqWQ/NTM6uZaO5HWA9m9bbTGlNBc8
Z/ioOZvL1t1UsxrZmk1BYEm6IV0P7dgO7VsE2CoTMJ7qX12Ump0gOJXEMnsoM/FSoFyIll5X1+YR
VIq0Zb6pWmUy0OmcKF0yXEI+l1fGbgHCDi9QjzXfvpBAbsXDiuC5F3+e9WLWZ4b0JbNVh75JYJuW
/k1w38/QJaeX6BKHsLk3im5NKFq6bXAsBaI5p2D/sjQR+oeRsPPOS/qSpo7ni4fp2PKwllfhJPnS
ElMzqBca35oCG/JzHj1Gvr+Uh7WA1wAHpZG5npbvAidv3qh/qiLBapvNYcgTxqc/Fwsr6rL8X01J
06y2IGx51yvkrcxHYlQpExSOUNtifvHuJgV42Y+Bhzhlqa1KY/zYYcnK5p0MzGIydlRUUWwhKaGb
HXMND2khtlHwN51AyYk+UREfK6msMWALz82mVRLqcu9LafQ8b965ZNgqXBkY1kWYgkPpRzbfToNu
BdBuRTZQF2C4MzjwLX655hBp5sDJnGuRdpHnHX0vRo/nGiGNAU/EuGI1LHt6uSa7uixaiVoRp8PU
QYeQ26Bgv1cbKOwwmfC8VCPXnHrgoMMLa0CdlZk+Z/tOGIAX2172hpiwNYv3YqhtTaMbGgWbo5sv
in8uS+oSMdMINJmkcYKp0msPqKlq9udnviz+8RTtX977QsH25DUOSAF75Nx6eEcg3q0R30XE3kbm
c0HHhsHhVDavDgSVGlCAS+8fo9PzhdXipzzHQPLNRbpTPdy37JzpGSjWV/Hb8+emUzKEzZRJMC7b
kA1onD9yl8QUuPCWwgVyn8nQZOCXquN4XkljnZtSjjDdBDI0sZpP4jRghndc224ejtUqWqMZzr7D
7y5rTnmtCPkKCGGHAw44VBKGF6hXZQPCSj1JIHaYiT+T3N7G9aRweIS8Rpfy8zrOBIZHSXTPMF++
Ly1vF+6LL/O1E7cg6jXycXUVqxZ8uNXr4LoeZDHEh9wFsRDdybLQVvatXKaqC6+jTvhj+0bPuCi7
xoQOKP0rGAnmH1W3Pd/s8piXJQwc39RXOoRNmFW7EzYR7VAT/n+vysRa+11Z+KYWeSlhXN5v2Akm
cA84ZxirywwG6JHNBbSdIJRvcf9i3/x93f5xyRykDXkYZWPDcgSe6Z/gMz8VjgsVVEoUiJHSaDXp
c3guIV52wIW4gEf5/S2dEx35p/Kl4C2gWk4BBeQpcLETYvinm+a2sMYpZHAuVYfKtiTDOJ1XiwlV
mcPk3DaYO5Q417vhXA2AJLxG8ZXuGmE81TEPdX+QTytloe2fzSMGD7Wbocu6U/3SscC70OtYgRrs
PP9ngXI0Swg2FzQGJBKhSBAT1jLs7CMS8K7+3oajo1BoyYD/YR5wLoUBPTT1VerdDhdzz0fhuStW
kTFxO6j30mfaRoUbISHtqeUgV/ygk+OQxibajBxt1v2lNuRmWGJzJJ5XyaVCYEdLH9WH0PJzBLHc
OTOHf4jCO5Ngokf+71w2WOGOskrQgHPUcbJqc6CtPwctUJfMEXb+WeZTuGAQhrEtf3g43VKxnpAt
5XtfYjdiPlpuJLSDYzAsCu2+3aWovHi1uVW0YNijXlcrjHZ7f/lOZV9TG8qR0GQXLGFPs/1dQss5
cc0xnJxP/hEuKKfOpRVUud3Ml8MrTAM7Kj2KwNlxCQHJ4KiWQEagSHLewi8RQ+Hl5g9G5FsRdqXA
gLP7TdDNddPt5/P3Y+7NBnLZUonMbb60blAIRK//fBJfrjmBy+J3qSzN1/UQ+DfvIpRcaBidE+W5
t4+HwezrA2IKyNlbeZnGHKBzaUpkaHqenjZqzcK6nACXp11WVFKagziHfpWQeRZQc6SgmH4qSzYC
ii9En9aXy1t+erH+D7Td/y/ynjRCN/+56b6tigoW6M9tevMHF00fmu4urUnaM2CbfXro/zTdPfcv
gdENqEUFiYOiAKjAS8/dcjDkoadntFsCyeYUsGX+03R3xF+eQPkEwR/2Lggl8k+a7qcm7E/7IG0c
GjkwFAAK8P1orjxuZbUNZ0OSwb2uo6FVG3bB5ap39PpuWBObdCKSh3AapLP3nGb8Zpc2EuvoTt6J
spP9Pm3tlbCs/Jzj0g1tOGoNt9ob4t1ol3G1jVeiy800FtUb8uMi3gI+829LNPBBVmmUiTeyi4b7
ScrwQ+5MCRA+Sv5fSMkLoENtRYrkYUUzFO0KJMebb0Fl40ic1mF9iyHI+mnhLLwb0DHz0fyqdkkR
v28iu/pogTiiJ5XXErHMhg3KRrEo2lbQ3TM9hR8TWZXfZl7z52QwhBmwxwMqkSEA1oWoBgn9U/x/
HBTOkheL3CQyd+7XamhvJB2KdNtkk35bLZ3znfZJvlert6JM2E8wfpoQ9wZqt9nHJQsmSPc5St5U
eJxNESKXjPw4uElRUFmvSo8ORpxLF2cC8H0/LdxnsQmnnh5waQ4N0OcOFr/mpP75UAR6lzdLKTeA
per9FMjwWIpl3itMv/YNam/P9BCdp1Bt1t6jGz5p67mhHcf+lEvQrZpCJy4FRbhx/jd7Z7IcuZF2
2Vdp+/eQuWPGshGIgRGcpyS5gZHMJObJMePp/wOpVJVMqTKtFr1os9pIViapIgMBwN3vd++5WBON
3ryZzWynHKv2zck9gsrc4YU8J7p7mef6UYXzF9pGiPYjzmbj4ecX4m+Gm6aNIQVXCFYN1zA+Xwgm
h9PIDU9ydqUILmFRHek4Cn/R3Py3nyIJWDAOIS7irFfnu8tda23TOk7NrYJ8ea6UVNvG6Idf/KjG
31xkAAarNYIMh4A/9fljDBbBhGILmwIOF2ZuUpna4NeUIp5glIePcc/hYoUiz1+ErcSj4hRU0pwi
0ldlLM1HLCh4TfiEdfsOVx72wYIkXBTZN6nn5FXNJSQs20/ApXtwH8HKzRwOwsvpzDIuei/qr6Ux
FZC+86i+G/K2fIL1Yx9nq1DtGi/dRokO2gEo1tj6CzjJFudYfsZ0UAe4kk7LmYH0Ff+xB/x/sFT9
f9cR993N/hcn/f/NIxLzr98vV9yXf6xWrDvkvwyWKnqsrHUG8udqpbm/8UJzTFr5YDuR41gpQv+y
iOHWIsJPYOUP/9g/Vyvp/kYHHAETqo0JQ9mYQv4Th5j7+YnBYYKhwMN6sZqKTBcDwudbmSJsiCFZ
cqxGrYmyeyVa07wYxGRl5PKnWQcDQINKKMGKCCMsm3QfeUtGZeL6dYnP1eBTO+OSyYx4LuYxAovC
qwdrd+AMrRERSo8ISzrQDRIYiL6Aa1uoV+weUtw4HPMJuBb9nIz6izV5zVA+x4qEKGQlTQdB4C+x
FZsPDpszDKsMcac7owU0FYzAtwYw5qM1QDn1UELQEptTh5WdnaHM6ZyaK7Hc4UHIcCt7cXRpZx2A
bWlmBTUquCI4njIS+hoZbt7swa+K+AylXqvPCQQI9FaT5kt/aVNLCyQ1cskBS1CYwrqUQwc4S9Ny
bWOapdWkzyaVa1PMkEwt9sHRezt9NIlui3abD84o78DhTu6+zUwjumBLOt7nSCztwdS6zLtu2JSK
LZQZlnt+dRv/ctfb5aGAm0Jf2dBlOx08Z+UjWbL2MjHEzt10RV4EfcW8yTfjuT5MNeFtEsPFQpMb
Dn25l7PpRgFwF7z4ptHa9kabOGxALHcnux92ncoQ2Jm/92s8usCWGC1H5qeQMHgh1fBBKeeYzlyb
IaOvdKneskwSwG9oaC22nNLjXmBkYCwZM3bO7WjOA2wQUrVHUAgpAH9E93K6A27iRNeF4p/twkgj
wUD7yVTiFltwbgfuUDbFJfITfuYOo8S4KzRv5h3YZ+yKcLL3QjsU4YCxhGMridBC5xwA53UtniFR
20BnsEFi7TKb/titV6VDRiC78YYAf3czHglwtJeN5bakm8niZ8iXQzEdxs623BtZeMu8zQlaD0EY
DQ3NoIOrE68gIy830PPLB9ue7ZvIqtLnOvPovYhtV3+wFzHpmzRz6utFA5LjF1HVQalV6mKOkVp8
JwHwD9qIyja/t2qo2XR2cyKXOaVRnTvE5hlu7ujDie203JM7wcbLWMYU5ww4M5JcKZDzQMQt1Gxa
f7m2cQiKPGgrW7uytYqVdEzHRG40jrvl0aqB9UBwHvVtlxRKbIFOuv1GmQj35OjHlg6wYqJuD/lX
bhYGQtk609WuJXIYvRF6BBwSN5XH1BqdVN90zD9fpAeHnoKVyBMbjzwNPWiaQcrEdUNQrSs8JGKC
BbLZd4sVy1Ol4N5A/DqaYoYn7deWz3wapkL7yNy0s6FNSLi+GN9ykjrFOOaIILSOwZ53sTsDv0lv
sfbTc525wFvOKwZEz7lqIOt6zUI3Cv3iFCugp3qv2oRiGGRlbDQ7jbGW6VdMVPaWKKEOOEOfP1pV
5kgq0VogAjyty6lkdvKaug0dSX7JVpNbSnF9o3Er4oVdYJYsjdhmpSlJ8M2LyaHPxgvX75fem0KG
TXXnvsbuUHhHrV2KATFZVJK/mTxr43ZUeWvf90PFriusxza/cWfL6kBlOLBj6E+jiKXaKpeSwNdx
GBlFbRg6atBgiNXF8dep4S3Bg0WuZRO3dcmI1bM1b7FoLU8yOPpWroRxiPpIz7602HPKg6fpDcVH
Geiou0kjKbGNQ0giJ2fpq+yFei/XmP16qrvmLovpgQ+Y2K5MgcIcmiIiXV/y9uZ94S6zu508nTqW
CbLDPB6Bomd5FTjowX1MRQ/vbwg4AJSPtYcz6xGp2jb3bidj7zKRZVcERCytbPaTuK7mp2JEb71x
Q5yTvuy8bISrHbpmfTbpSAZfnETv9MP66i3CLZgPCJp+Ojhu9BUTyyLAOC8zxKWZUzXpq1ifjB0D
uLrcJlhgnQ1JBZUFxsjkxxcEK+uzrizdV/xy+vMw6pp2NwzWAlNLsunFzdCP1whu8jVetAwa6QgP
ZtsPE/3sRib1+EkWUrQ7SFFwDEZ9zEnjaIIjV9xbI5PnmqnQHgdOb957jDTcrYkXEVCLOUZ3tt5T
vC0Q9Cgvmlsa0XsmlT6f4KQbBxPXWjAAyx33qhOe5+EEZStPtSIKTFkXLCe1Pg4+8n1N4Vpc1Qx0
zCa7qU09LvaGWsaHobJitYP01SRnGVYralDGgQesd5skRImOUXVgRA00JCnlOEUgQVAYZyGNRVh3
QfnXUJXDWj6HKi/dQzpolraPGp4ebHEUM+wxLZEtmroMUBYFfiF4axs4rD/SWVftekLyOsXElIv7
cVzlt7RMpVZgmYkiBTYi9Yw5SweAKhVFhzI24T86GdQEi4wNrItGI69D8d+KThtq19gbFCR/FG7f
2GBBlHzhPk6o+WwTPUJDjeLoqh8kQ/fEoRz86I1NfTHKfH7Q8glmQM51zC7nwRU0AhF/hsQqkpiq
jjg2udZCJLl3BHm52u+aqtyjKFIjZZU5jPspAuFl3jEastauqVioqxKZWWzI1VEhlIuBHDSKXMfr
35Qfvbsa3xJajgx24ESHt2VfT3CoVORc5yk9M35dEJ/ZgWQd7mcahozALJPyDpu0/RLDSWOAbNlY
3ZhNAN2Ol5LfiKyzDLcR03+Q6LTjxNuMPeAtSjLMxVwvCt5vrpreYNmQqde10LiRU90bR8RmyjEk
uyp7O+DDa0/sqyZ15VEGBDlOXwZpHhvg2slr7jVtm207V4bQp9LULsYHhnQq3WeyCt+XikDjRiRt
dN9JxOhT5CxJedkNiNzvFUbQDzOU/KQDzrwc12O2diH1tjWAaWw6il3ZyHib1GqsQ6I6i4qkddof
1Cm0xU3MUDS/CU24/YeMQm9n54LjahAtbbu6kpFRDLs2HyeHJFzZ7KxOIxAVJoUe8AxDgYImQgET
RcSJ4xdVTmcCLpK+ITBmR6+yYDgdlJlS6hCpSnPOOs/MnmsdnMyVzGunvtWLuVN3ANtaRstIFh9e
3i7N1ix1zp3J2M/iiGyQ5DvKBEoHZVKNpMySCh7eTEV5ekzIdnqvSTl5NOQYs6yul9TI9G2iaYqi
U4Py2Gsi2WlP8Sa7Z+BDADeGbNa2WlGzFYj3savqiimIzUR9bnl2NbgikqdQxGliEdJcIqM9D1Wc
flBCKmY/SoUT7/VZ0nKzDEqnFbCpuktAdYuBZRAbOkd5x+Eg706zYhRY8a+MOUsixUVKN9ihp0l+
QLs0L1hh44WelCbH6IRY9GUhFXnD7ioEFBsZPc2lEWW3ZwZ3lo2xdJ7rzWDr5rOLoZGTv1Xp4SYT
NqBjWu3abNP2tfta03NKPUjVmXgpo0pL2VyRuPNZ4MYLXOjqirEMAI8wlMMru5Z5AgCCqEJVptm8
OPWs7klPZmspSxPdZDnegKCi9IqokiwWEnFptTzzRmw6EoexKLapg6MkpMWErZXBdd0ZSew8JWMu
aJDDH0ZPTztqlo/vK/0gZDnU+xreOgU2qakep8nIug2EUUp347zIdAgiKvmIPXYKu74xWJXIULru
QVq4vYPF0cUbo40R5k4fzs1GEUO8Q6WkFjnHcf/VyQnk+SIaRb1xmA8lFIHi8PMFbUqDH6m8KijK
pC0uglGnGP6bQ77PhCYT1pBMPc3UhlLwpFd262uqBCHTx41J6/gkvqVhmFOFlTi94jyfsk1FTeiJ
kFXUufkeB43/ntPpMPoDF79mJP69sPySFG+vb+O374/q7Lr/PKwbxm9irUWH14K2s8a2/jysE+eC
+EswwiKOgXVKoOP9U1q2frNXEyRHfA7yDpL0Pw/rmr5Ky4QagBVb/GPk5f/ktO4an5MpYBAcSebI
kyxszNncNX3/vb6FqQMXLglqGh9tqz/MVR925R3tHEMbXuAbTLV9rIi5XqRha+8a3n+g0qS6p9qc
kUXYALEk6bNLmrSiPTUZK6wXQp0SRqUBY5+Jakkhb2fH/YJicHJafdrTSkVRLXWaHv2bgGfdJt0U
mmI3HUfDYaQqBauU9U7LNrvFur13UIR3fT89CjE6tG+KWLtx06gCiOc0EzKZOZfvhujzs9kU8qBs
imVNlsazlD/+oeZfuas5uPZb9Gb3pFeavddDU/ps63VKJ6zKtwkTs1jLOKjM+smU3VtvxSfDLm74
SYVPdbTyczejaqOviwO+QRqmzfmapjC6y8sbR7mXjQHPlDdKf3KosXQCKN4lpnjUg4SXiaDwed2I
ZIx7Q7mn4lycISa03VGJzD5Pemm9NgPKWjrBG5sEW4oGcMk4ZyNuiwho7Oh627Io812cA/QnMVRw
COydnZJ4N4iNtcFoEN3R9CTZTcvwXpAjvan1ub5qZggboki9S9sc7cDNln4r3JLG5DZ8oF153th1
ndLSzFza16o43FA+dE26gT2wZkxnwAfaK9mwo8IGX500zbI3lMQ2G8nk4SzVOuqbykjeg6UsKxxV
ZfcO2nshM93KJ8405mm2Y+MlV56G9V8Vh5jrd7YGdvkBExr67ETHWFh3ZR10bK0pWDZ1TnTWOSWK
cG2ygn33GKodWgGxVzGO86H2RE0RdVqbapPBBt1Y9UBAmnPqxmXod4RbZN0UbqwdgEdSnm3Q9ljH
dXZiQy180VnmPsp7riGnMeTNNnfeMU1WT25aFIQ/5mKz1JN+Zk5Ges8pYqIGBYpgRrYBh1ZWHeNI
VycvtOWZQQ0TW+6hvHRJaJBxMsHMjcRBihUApu0Qbs3zkcn1yU6J0AZF1I62n8+W3LN7rl7ncRz2
s6WJfdNTGAYSYbQPRuOKYWPQWkWofo1Ke2F0bqhuOdPjZuS+dgE5trOFpypZ/NAcqLtiNPseD9qb
nL29U+JAhWU6ao9eLssA++dExVflveKJbR40MzbvuHEW7hQnCzBsTTemrKwdwAHhx07XvkeLqR0F
/qpblS3axlLJl7IwMeiVCEbVmtAX8YTbahni8xFbJzWFhbGrtUVSXmionUXh6paVnwYwIdq48DMj
dj6asWn2nleaJyedb6IiihCfyuSmtKb9QA+66mNvr4rq0GpWcTkp+1h3hTonqX/oxqa8cxa9ZsMZ
XyLX3yFSvK75IXA46oC5Iw04z60XbHiZdU+7WKro1hzMN/QJFnXW8H1Mn1i18YzsTmoe9d1Y2y5d
JZ+cybQfic2lOwOExQFixoEU4CvVwQKhrJKXU54bm1Rb3imnGd7GIb+isui+qqp9Pa+dU7YZuGF0
FS/LQ+G12EyzGyTI11GPnvAbPYSFCtpSQyfrmNs4ldq2Nk2AjthbABFB8kSnSlhPaIzvjh7CkaXO
eDvl0VuoN1euWOIXWr4JcS25g/Q+xd9Cu771YueyrYrmBFqB2JLcQfCExw/GorWTUzElZ3gPnzBQ
ONe6qc3bJGm+DJQU2gkVQFQ/bqo6vsY3fDRqR9uVpTgyo65hA8tz27X2oNKgCBr1jqqmdNsgn2XM
QTZNW5t3NnVS+5xQwUpwXZL7qbGsj9ps8h0tVneGSYPnaM8nl1PcLgbwSaDEu4w6poRzCTzOWSy6
fp3RYl452fgBvInRhLt1i68m5Wo7o0ko/bXjC3fuwYRiHjzOdqUfC1O/9KLY8WuNMwjG6eWgcuvc
0SDfUSX0nnrTt2TR9hbgKVy38YWXNsckpaV5MjUKraz4PerS49JE90iEB1vgAuGIhwIQXhhVQ0kd
Rh6/U863MLQ5OZX2TTyO90XunSaeDN8ZdP2ppx456JP0Crpne6CPSQc3qN+MurEV3niNz8L7oFYB
iSzr7F2MUIE/ULtMaSvfpXYWbRz+D3ZLU6ysw2rvJJ4AzNfJLZW1TNGsFXkMSIXDl3NaXct0li4P
axmyT50bippRghAvu/YubhQ9i8by0rdy2Iapm39zqW2/5WjAJVT8txu9QsBtOX3upV40767yJj9R
nDfxNqmvODSWoOKb7j1dQ68GJOGASx7j9DTiGPNueiqb9vWydHAyaJkbd0j/4WU1Q8rzQ1zTcoNB
NX/rsRTfsc0eEqIdJeWPbtwP44E+13SHgf+mj5HPtJ50VLQiTHsPoRF3YHlkMBVuvLYZtsWQbhIU
h/Oi44zGrEoLMuShjW1RLsGPTSWW2+x1jQdOK9GyMHFnO5tE+Bb23/TaiMJOgrQzxFYohTwatU0N
F2Wu9elIPsihqzVph+m+sFkGj5xcsmarF3aH+G5PvVZfT+g8/pAt26JuaK4DqrlLS6PfJmGCVRY5
ra9erT7GnRlBwaQhONY2Tp1hvW4TPx442c6Z+QVhrzvjwlwLvNZOQ5dpBREH59x2TLJt2EeXoZkF
Xk4HbQw+WG7qaRC4deVJ5PNbPcznpODxv03ipk5nJvO1fY0JbtxUgpW1C6ORs1zDdwR9WIVZ8eGK
WW6cCp+lTd8WAAmN0f+4eFPQz+MUNHn+mtqz6fchfBQS7T6boW06KciJpX6v4AZzlQyNt0pFwmfU
3uZqSq/sioNu4RlPFQ2Nfk/yiLLZEooR8hiJXfshaeaLOA+7g9cYlV85lHzkmiLwKIp6C1sCLgbE
Fliu8xKE1jycob0ahyLBILthUDkHmRmNF5kWxSfpjtkh9xQa+jyvLrjymeg2WApnhKQMuz2BYjp2
4XlluuElBZo5kEwtfURNX054+ru7wbFenLghoYit9Hweuo+mQEBp+KMIbkmtGIcztmH2S9pKhkag
OphfqrHdV7G3k6rat2j8VDEHpj19IbnR7PIxwyAUwThK5u5Et9uTZRbtFtNVel8UPPCK1Ce3QEVR
iG2yCFpN8tY3YXKE1Y2WbTstoKFMDa9NqoLOwRVad122ZWEjtbK1Yx3pCw6SXnu+5fCjah2NYvuh
oin1QCWP5qwVpgRmGJWtFeYlRqzmRqKTMM8xcrLDgWnSun6qusmw8VfKSQ20FjX5vMm6OWkWH3bK
5O4oaqTKFCH+iRTP3G+RMAwVFDET5gtXK0lnDHAmojOHQdqNSMFhb9A/kRcKsST5Nd5wQ74QeZjO
GtLNLVpvMhfVI7yUVGyMrsjiS1mjj+FsN2fnW02z8yQ3RmyE9dHLnbHbNwR2v1Zd5AxaYOt5SuZe
MFX6IpQdfUxINwyepkRpmLZifKm0Deg5SOmepE2wwtqwWoc2W0INh86pFCJu3lDM+zGYNMuQB8ID
MaaNSluSh5rN7ZGpCDFQjfeZP5EeSA5harSbRbQmZoR89vt8mvpTq4bQ2pZzO4YvNh9wSoQ70VWY
j8gOl6NZZO1JZXF8DwweJRQGyLY1SZicZrKF07FPyEjOCk3toEP5rc4gVhd8495MWParktP1wke8
us6cNQMwUQQK36bidDyXS5227JGLUL+07Bl1sNYJ4RD5CYt7L7OsNy8tIsHqJynmqRc77bfGjD8Y
5PbcUkjVmwsltquYql+nA2oR6QjYAsE41S5rV1y2L+Ws2cBkiLpqmxRp0DzMfVLrT2PUorWXysY1
PJZ60gfg1ShLhe2VqvoQTWrSbjMGjuOG4KHb3paJ3XhfpNPywjacORE7kXtat+cZEx0Ngv0IZRe8
dpevgiBaIxSjRAvKQTXavqywHLEF6CL7wpFFYhwndHFsBDLp8kDXMlLpOW8O9RWv5cjqQ8LNYWGa
rPPMCBfWvdCLHmkNka+dy+sXSnSoHlDZZuYeZlKMh1CFt6IDJ4tw5CSYpa2lPSRTtcivrjG47V5M
sxjoH5KSIwvBm34+LUNaXWodi+CeR8wej1UXOr6YXC3dm7Fyh0dKtWGOp8zKymvRYGvekKDieGyk
EGFpc26xAmpAdfAIWSj+4VNVuPYt3ZPFWZIXFtkF1hxGHAWnWWpUFN2IgV2m3jZFsT20xnq803Vy
hoshrp1GZNe6UMMGqyC/q6pDigg77LvP3hjKayR68zmM4wfOTdyfDC4JLcZEDDc6D9+mZ5r2NELk
upLJwExFrFGBuVTdEGDmRZ2L50m80i9hzgHmclDBtdN5h4a9+BdOfN0a9Zic9ojG6IggXub+hHnR
9iO9bXZeOHX6xm4kNrAsVJ13HDy3zIPaHrJ7e4peu0y3L5LKU7smlN6md83LRR/6LXG5r2XUX+jE
rJDE0xv89GvusU6PhdNPDOgQ369UlH7MTcpQP6K/cjfXcbQZDVsCfmWeO+Bkr+DTu/2rZpr9H26b
/7pK/sfC8fHvxarNa/3t/zx+U18/yVXrf/OHtWQVl1YHyUoXNqTtEoP9U65a8UMGohSGDhIMMCX+
ZS2Rzm8S7cjBO4lZWxgeJsl/GCEl8CGyWihMuEFwUVr/EaQRpOP3tj0s4JYLdYKqVJs0ID70H5wl
mJP10TJblgwskGcZizLycOvZz1ZdmUe2b8ZLPZNu2uTK0DnvN/S7rhUjuzJyi9dKpsc47Hn7aVpl
BxBJWp2Qnciv7LozX0230k+9yxbGBxLgYqFcdFZSvZzdp9CT2lXaZyO99XNVfCH+RNxgCtdWUof9
OqyVg5Ke9qWn3IHUUTXv49603miE0F5N8gAUdshxa4ps2Vg2CnyeD/MZ7KMxANCYPHz3o/6NQ1Bf
r8O/7I1cJ3TmlY5penjmJWzMz5peRbV9k5XGB1QQ/QGsBop73kzj3upViIWCaCXD6gKSgVWyk4zt
/t2aPQ8FDDAzc4Eomu6YnxIjTh19eBR2VsyUjEyKI3B8UeVVnbNBEYPgrKRQOyQu6G2Zmcsvmrb+
9nusiB7Cx2uZoP2j83BoI4eE6QdOtPi2CMNvsZHN+7xOkbLxkGw8KnAV87ONQ3XsPhpi+9YrJuCS
c8tR06nTDRkB+Rbm4XAMrc70KXg8H9KRVCjGmlNWDua1UcbpWSSr5Bcle5+pN7//Bp40gSXjMhUm
xqrPv4EyRG6wc/4ocYeel3izzunCo7yjG/RzmRlV8PPfXH62tK6fh468uq54MFZr6Apn+c6nuIx5
MmNk/tYb+ZOWWQ8xr+GtBYnw0FVlfqKYiREY7QRgPivu/anY/fwPYPzl4eQP4CAhA14mtQGm/PMf
oEjbSQFi5wSOkMpwySpGzg5p8xXKnf6x5GHDqKYdzmyN+Ni2GcT8xoGeGeqSWEglkuz0tlCFe55P
+pVVOkLze2rLX4ZwyLdLNjtxYApWV59oeHLCUmOX20o62mOVaFuyBpm1wyrG8DZSxi0lvFp/KHIV
fSnLMrrFKYD22tPJffr51/6dv/zpWfN4K7mWRZ+i9Ki7/OFrm8ZY4bTo3o1BDQ2cHXs+zpozPqmp
GdkHiqTa0RkkcGhO+gAvcDLXd0HYXuZubt9hcYkhFvYtlywbq/my70p4r2qu+y+cf7rLeN3qgX1w
b2yyKY9UKozIuPQ2xEx7fF5D1VlZx+pCWhU6jEsNAfGds59/x7/cyh7ttLjPeQjJrZi/x3S+u7V4
OOi2UNYbHIa1dyMH6s381peRRNlJQ/MPz+e/bXH7Pdbz+ZICupYweIE3rbfzeqd993kNo0udTS/C
gjc9WWFkbecsyYIy74r0rC88/dXIPOcwaAvEjLDm0BO2tzoMCeVD8Qh93YmG84o66yJwvNI+tLLM
IkwQprbPC88504TbGBsmIl2/6TOKbJZZb2/gnw330AF0DStcNN4zIufsZncnGQrnRFGYoXy0bU5/
pIMMnwj40TOS/oOnX15ZpP2AnSgMvD+/9j+MZ9bJDI5O0BZMg0CHuSy7318LWs3NaSqW99ELhyCL
FO3lXDGIESo+1f7st6wuv/hI1vjPq8f6kbZgKadWVYgffdV0RzlM4Kd3kSv3zMs6eiLYqAcWkuev
Xlp/eWfwzPCS5GdeQxRg5T9/O5ZqwCuqfWcC9WQroogclNv8WZbhBvIChjKcVMshw1ZHQsh18pdE
pdnFbNqIGz+/zvq6Jn6+6X6/4RiqCf5A7o8FnBkpSTfWvbfKnMQzwkXR+b1nqmuoN+XoT0OdDZsY
6OFDGo7spDUz0p44bY1POkcfZNexuWLKUOUBUIaFu3Qqv8E9sFwfyyOMMWcI+8PQ1MjVDgCQE2Mh
o/Zzg/E9QfPQ5iMLR/3il1y3az98KVBRPLVr8bTncO9+vr4iWdwm1+zXPNPx1dn5ZH8VrVo2ikf9
apg7yPwlJteF5dSV25qn59ukXOZ6iWm67Mx1DtdKkk2qk2y8XKqp28okTtzAApH7OtK+8zHbA28F
XVvADseLfme2eXtJdMx8WiZjeKS+Sr/iXUwHXCoPWdgkN1lM4YbvzLje8Lm7XACBQCDxKlblQeeU
9pzXmm5ua0xXebY4R22hp5RC9P5c5k5RYPoBxwXELLWp55Mm+T7b6Frc7gPNGL+4Lf56hxoSbhtm
HFfCq/+RoMbZtB3ptHuFpCueTdI3JeRck0EdRG60i7ZEhAykNxUnu7KnMyee6G9Z0vyYFpxwAtzR
HNnGnJlakX9x9M66Rdxub9uM5qlNjQ7f+VNk97S6YcKj+aStbn7/Bv896/yPyRbnZ2ed4ptCY/h+
ML/+F/8w0du/QfV0eNGxYXKIV/Hm+YOz6v6Gfx4DO/4Ug00MVMx/zuUlw3xiJjxPQjjgT1cA3p8H
nd94B+G7F2skZ+Xc/2ce+k+P7QrJJOdlGA6vxTUR8nsZx3cLYAVtJDTqnHxWz5gibJdTY4wDe+5l
/sWu7fPS/ucn8UFcDdZc84cXcCehf4Uc6rHx6fEmbizqZk2yZrvCEW8E0aiW+e5HuP7jhfo9WfXz
evbHB1IGvGZdaH9g1/r5jbT04RibXhrEcZbs2S/KbpN2E68Rd3UxtokiwDroJgwlxsWPP//sz2/D
f3w2nCoSEp7B5V3/+XeXNRxlUsUMCkqRiDxgkKWABcm2KwNRZVH+i0v7d5/G+skNRMOFBQTz86cR
Je1KXlpBLd1S/4KPG2c6U/yajrO6b4brn3+3v7uuLnzP1TBCXmv1mXz/3RIJPYSTWaCctNib+qIF
XeY8mVlqnYWVU2ywcxnXmc5ffv656w3yr2Xz92tq8mOa7H/JQvK/P3/uYFtZnblVMNg0PC6Y3dex
1ya1jXem2+1mXkHxP//Ev/mmHDCgh1GLYhFz+eG66tSugqnCk2qsjPtEOt4BRnx9QfF7G8Blk+dS
LOxZorH/RRSMXdeP35azNNRYsoP8FTjYD3eQY1hsD7B+Ad9pSxjIamEgZ2Lv9XteJ19HprcXcaWF
3sEJdQtwUBfbZ2gO4l6bsHptsGk0ZKhQfm9nTc9FQFm68U12y/BgpQZztjpRw8L5NRM688e+ojKn
jbJNJvvybVREQ32Meua15tkomJPeyuIBQDxDGABibey37RRVW8ttLMDiEwkHSkfL+coc0+GWVbeb
AuA75U3PbcFpkOFpuCXuVR/pTEyMACtwKPG+OrQJ5OZizdsJWDqkLqgK+kZLqrrdDA2ngZMbwU5J
d5Oau2LHombFSeAUXsY0CvEhxdBQmwDaY6PAxgCnnAla2pf2wDZoLL52uZqeUqUl9j6hsOjWAs5l
3wxebe1GUzXUPMZ2ZjKNXVBymtJrAijMJf7q0NFbNM1kUIcaoCNPMoLko6tRj7fTcmd5wdhMZxj7
aWrRxrQ2niuKOKtdHGrEF6GeZC+RbfOiUQQLocA1pXwYEcjLvde2hBszYiD5jklqY2xbfbC4o0XU
XVrzRBFn3roELBa7+xa3QzdjhfXSr3S5QWoiGpouW1xb9hGw1RAe0grjwaNB9QBRjSnKyjNsARhW
FnDy83NKeRoT8nmw5JNnxK0u8d60TnGJhxjwvBo1OVeM6doyfoRgWEFDZr2gP3rq6qi+YVaEmwTt
NLcmag3blDhmNphZw7k/Gp0dQ9Y4prAWoy/1vmVPpvWynDqzucp02DI49WEYMZkuEovaQncR9HtO
1CvuzZL4TTCLzs1uBT7b+FiIcTYv4ngAAI90TZCCxGymseFrBHOKcwmgim1wwfUoUdEpboNZT0y0
IoRDh/L8zEAgn89dR+k5NhGjxc2UDkPztalAIIE6njIiQr6yu8Gg1Ezxu1xKmPrRu+hpC74z3Sk0
dm6eJCahg0ZzcIkXHIGfltX46OMCUk2gW8oMn3m+FMb4XuD5nh2SSDC6K+ejz1dMWNplmbeZJd6a
sxjDfYRU7rChj+xxuF/xKAtOTHBzOEKYUePzMeenePDG+3marHTTYlsfmfcuMQafsIRO647jU20k
zW0PVrDeyKVl4q+8ocZ2nmfhRe4o+xlIZbgvFok/F1AbXVEEEDC0TqDcLkXd9gJD5kT0muM8kYmC
DWR8HuFC4ulLZ4k2ILGTQIJ51+QkX5mR5s8Gb5H3Rvem3v9f9s5jSXLl2rL/8uagQTjUsAGEyEhZ
qbMmsJQOh9aA4+t7xb009iWt+cw457iyqiIjAsDxffZeu+M1jTuSIeWdrDPzg8BL+MX+ssV2kroz
uep+Gvcrp1ofD75OzaiGSvnLozeGEm/fdT7h/rg2p48at9mUtR0zbcj7uUFJek7X830nIOcJLHko
ih/6ZNw2LtGH3/2xJNUsXaMZYoGOU/3ulONqJ/bdlLbxi1nU+Zs1LRv/InLEl17hb5D5yTec6U2q
kjBjP0yMpnLftrBrqKKeCkIIlQsEOd5Ws31ukZLxpQGZpAd5yNI6WVRbPReywYbG+oAE69zZ5wpF
Cj0pBMZB0XMmSzczwv7A5iOwCz64sLLx8evUaU5LiGkiClinPxpuvQWAZKm7Ans9u68t/cQm9E9f
ekmfGsQVCHv596OiQprNRYfE0QlR/R5mKGU7s7BUtRd5g63OY2017oCNgOGohrpqLtNcd2xXQ/LI
JMqyKY0gP+lrmow9HdGPJJn9qS2kFG7ILgK/bbNbFXhqgWMMVq1I+Hsl6CtkZ33X9lOvLsirtf1p
rSYc2pvAS38SdJV4h8GGurlfudrSpMENQ1mkgaQS2RBhrx2yF+ljSCXLthemINlXYGiYHyol/kAS
EiLmx3XJ924hVJlANet1bHQelZUqc8W4W0oj4HQykBSW32E7y/BJtizsrjITV+J+y7awPPh+406X
Y17iXbHbtcy+LDHM/VXf4aEjsRYIfWF1XRtiwdNLd1e0Yysuuef6MFpDCnV5Tk8hlrvCGNrPkGrj
K9jArrFLmQdJcYWGadaXWoBavOb32rbXARYIwrNMpeZxgl9mvC9olLVv8QHIYRdgOsSl7/n9fOmd
kTqnzOQ4Br44VBO91oDt5YdX2wR1uBGIgSaPSbvLBeEpNNlpHiqVYE9VDw2+K+fYcuujXXG2n+Sk
hp/sLEQvi1KUt/QKfbMxjC/ijsPRCiqcqFj7s/wARkSAdzqfjHmOqgEgCfkOTaiQ/2rPktcAwY17
/LIJ3ArjrVU1Iho26I8xNLp1OIwpfKHEUsL/nIOu7YiZ4CpjcWq4u7Vyx7dhKcWz8s6LQGPpg89B
41KL6HfuPpaMR/muwFZD4FFakpJdMxgFXoA6fQZ0n2LrwrkfTHuKeNdX0BPrGFmeUVw6+RScP+9l
Ky/OvTDDLVzN7cTTX2GmYQ0frGBR++kqnJphu6abybIenDULnge5hhRgt36w7YYMmG9cEyiyd2ID
K5csLq7ghxmGRnCxwUzEZKRWvAddYfnVCfVgrq6bGjxhNHXuWL1QL7F5r9y8ibEVBoGHyGpTcgQL
4ZQv4DjuKymF8N0dPeOGVWLNJznSr+vUonylKdfTR5eCc9gVvVN7O/IwjbMfZbNw0vZWesu3gtLE
pE4NpeKGB9MWO8Z4digiibVHjBWErSSXzxJtpT6/rUaAl2rwOtQQ2czyt3B9fU0J8cYHOzP8RI6b
Gb/t1rOvh5L2IwY8bGU804umjpzU277EVg1XTZFV9jUBegw9lC5guvPcEWgTya2gf1mMaTT2gyKL
8wEYLqwPvqFTUKSAMYzDOG1UNhne0I2nISjW4rQawLdiBowu3WeFHuTeGM+RIyDgnXvZEdxoHpWb
BdNVD+8ouzTVym0mEiTtnB3NDnTD5hmjRCyF5MJAkuFoFNkLRaYkrJR4Fdyr0ohK5zyMnQJZh8mA
RoIdKcQ0Y1Ab5AnbO8CBERLqBz5A7DvStzUDaaivAZIF/a6nGZj0pq7Y8FqL1llChw634ZzQpQUY
eYIVnLQjS7mvxVPnUnA6f3ocdb4j05/caeb+YHsr1ySJLJW/YEqCXBqFvH3BZ6jopt2VfMWeCY43
HwaKEL+OrWd0YNNHPSRDb7430tTbqR5GH4tYltk/81qqG8Cb69vQ1dU9ianQWe5VpfoGX0JYhTHx
Ts5P4zLiiK0zfdio7MBJnA/ZTa2KHNKxU78gmPc+rjVn8vADzjy1g1mq33pe6WZORZmJSJpOe4Mo
H/x4GKx+hYbVFvuw6fu3zta5oER4YcvhiVFUV5ud69usnxkAuf9K9le0XhVJ0a5c7oOgcsi25g4b
56SL8TD3GHkjRmM8lUBM7fdN5dsLKp5dxwZuiC889bOgy6uz+QxNEjU4pLAuNEUXvGOy7R5C0ZF1
4aPHWms1OV3OZbrdqaqGU5kOvXnczAYxQIWSBqshtYyPDJ/TxYyVc43XxYSTCYzrbHzTRfk+DVN4
JxbbNUTsVHrGAMKzPLtwBsijiX1eeDFydbkTWaqvnjZweN0uZGL0scFOtM2PXkd1G7iT6i41qUKO
iBtgQBur5aXVXf0iyrS4YSLDO8kgSkVkn/dv2p9CPLvKKq5ckDSPYBA35EGxuBrnS19SIQd3kKfp
Ysjf3K5ge4fOnL1irUDehd7qn5ShbM5Nduq9WPk0/BqWbXscZcFDElVwVOwY1xm3x6TtS7eq3Wzf
9hYVnGBEncc2PXMFML669SXkJ+EnXpcWQTyocIKwT9GJOKQ8yH+Vbaoaov08GStbCDueHHuEhCVL
cj+C0elxXCaOAeBlWoLrlN3tz3GMOq6dcrxi5Yb9bwCOo/9Uvf8rDv7PeU/378XB6JvQ5F+VwfOP
/6kMOn9j3wwMA4mIRAyrABYFfyqD5t9QClEGMTOQ2hFnve//SYP235zQ42+EHrsy/AkIbX+XBj1y
PrA4GCa8ANXgHOb5D/AaVGz9swbB81EIVnEuDcYmcmR4XmT8RcWikjGdsSuhImXuqg6z2wfnKnCn
O9uKte3toSUuHUnLDcdZZC0iCGhoX5pvSvvwrRXLsH6KirtxlHEY9ROnBeEUu2uKE2zgqIVUbeRI
gkvdhUzmW2e7uz5gQub8YK1GggBjPVJO4N1kuOGZ6KmRp0iOmKJ92WPZB849TUV9XSxiO28omxZb
58I/edyyFFMr+WdCQ0AWl+ayYWu5wmXo5XThE9fN7vLOKBRboLyoyBBK4n0+1fFtPPhm9mIToJni
IeSEeRoW5oGIfQrWsGXsXcTzdt6vVtuXyWrx4iNWrfpylQNrBtayPBqsXKmfjs6++yl3tbfjnxBD
PHX25MbSWmG6d47oHkVt4VXuRJ8+pRkOwKh3IYMSmnQFD5ahHx7sULRGrOWoCeq3g5FGGFCWd3II
9LZjhuqd3crcWkfdtpVOosRgcX4S/bSbOXs6ictE2h0yg5M4lH9ssLwF0xrc0nHJU4GwddASeKGO
ZI9hi56rwoZGUhfQpSPgeiQ6jXZqn8eOrofDOlkkCEtBJcTO3ebmpqabPIglEC+XRi6WpOfsUM0z
ldlP79i2DfbBDtio7p1zTzIx8NT/nXfTwkhjT98wwezy0u3zbrxVXZMP2NV6TN0+zA59AU/FH4/T
XHG0dLaFaE2dmvTguQz6bHimzNcJwFTHO9TEHn80NGT7sPKOvmo7Hd1fas6q3w0JT4I84ZxzdGvN
zl+flnUoQGHmvnMuTh1zlBe2kBA4FLe9uJrZmZyb56s7d4V8AI41zN/OW1uOACA8MThn80KyYhid
3xy0/fec5mH3sG5OdycsC6eKDZsji/IwOJP5aHCnFigoYBNUavaughnYRWIOszznpYuypxecQzmE
iKLx48GQJcWIk++kt+7kjp9IcuUDFQUmIa0m9/m35wz9bpkeJg4ReNmCQvpRA8u7ivCbBl/5PIiX
fGmWLbZ7P1URS+vsw7Qm46aTcwoJY5KkuclvQQAJZ6t+nTfbeS065hV6/4zAvDba1eFBrdKfRZbZ
JWFQ+UXDoX0/smJ6Rz5JMX7XdfoxGhh/VNn2b/Y0dycUdfHEfrF+Mx09dEcnnyUFH30m9R68oZ3v
evy4J5M6My3xJrlVxwJA6iAZZ7/ki8kFuXD+aNSbT6DZ2NvpikdIsQ9rkwAgI8ZMKNlrZCzof5Fv
5l6LzQOoQBQYMCAi6VExE3PsbjWgm7w9+ODLYpcWIR+0olXeqZ5zKeE1p8rQyr3so4GH8eoEanxa
uLc8ZLRiVgnwTHSclETIt/fHZz1a3XAjq8W+4+NFpBis8aLK2v6jzzlEJPYq+g8j7/ilSC8uFt8N
Bxgu2poRxsHgu99SOyj/Gb2UZMxokxgQ0ZT1e3Sa8ZJ8S1ckGVMv0YdApj4vWPohCTSXgq7Fn6ZH
ZY5VGgNydtKreu1RhoZum8PEwgoLKjQLCElA4xn1bYBLu8LDwX2h3E3sK3E6QgVW6q6mjfhg5E1x
O5iemiK/HDQ84WzoPzgskfgx3HYQidEwlO83KavrcDKEd8V5K0PDbEmGUUZk5feqCxtr72qLzLLX
ZMZ04XQbt0cM55azQ5GwiVhSnFmsOzHUc0d/hwj2PSZLYgnS8p4qq4UaFs+55XVPAekUM/HYh19w
RsrW624gQX04NxBlhyrVvfXCgtbSrO0D+83p4EHs7JLb2zEUornjWF+jxAXVed4cUVPiIiun26z1
tnPmcCaKky4GakgNauRspJjHdylNu95tbocMmC6pjeldIWrt5FK0T8QDzd8yzdNnu/TSO77qXCyp
bVU/i6+xoPuuIuS+zr51ZWeze/PHZPDfGel//tf96f+pZVO+/3VG+sfy1BbsQX2mncBlV2oKjz/5
c0SyrL95AMDYzAiAlQGZ4n9MSIb4GwA9arxDDAmCtuDz4ubvI5IBgsx0GGdM3NpIcO5/Fmr2/nn1
Rnc9HXfnZDSv0WRTE/7LVrPJzNFhiNr7uT2a1DxvIfmCqp3A4B4CpzTvgD+5D8CDoY5ArhsvVs6O
Rmx3of6SBgeSmN7W6p3QG8ClaSjW157ukVvtQmQdFRSvxF6y5aXPfTpThjFfbsToZcEl1YV9FYtw
5olkVb3xOQvguYhYJNOiqapr7BRo2NyGcl3y0C6m8CF316mPfPAPaxyIRs/MCKHrHNIlkOGLqYya
dA7QmcfGLcx+L4os/WEskgh6Eq/jziqnJSQ3U6pnrfOuASqh+B/QbPJHH0yTDynadZukgUhlRms6
TXky9+aaJwDZAgpxHRDgrAc7NjWqtsZnga1jPbUL8uxu4DZVRJ1siCVF/ros8tooemQ/s56bNVl0
0HLgoqQgVySnnLz++ctU/v/ZFv+zKYcPEty0x68Otc7jkfCvs+7StputPe9CUQ13W5j+8pLSJ9b+
aQf/t4azf/26wGn1Axv7ojgP6hTX/fNEHZb1iD/Ful1mvMLcbUVXHZmJh+w4y43b9P/+O/3rFhHi
qMt38+yJtnC2Ii6cPSd/meDpKEObVdMHZw2G1c4pytc6JG+qwnBoyLSQwT6FTW13O3/wONDbHgd2
yHmklnbZqtpLSoy4T25jtryRC2BZjiNFdcM31LXAal4lNQb1oS0teUcLAmXCoxwDE7ISVVqXpIXG
BVAKPI3I9lK+e4h3BCGdjk3DOR24npx+rWF6VCW7CfA57XVooXLfOegEL8x5ykHpGJ0l2YQf7LZN
CosjQ0dD3gQ8r4okDLHgkUpvwrhlL5xqt/kbkWAzaPtEIKNuEfgoEie4tBd98pU3txTo0Xq3d/Nm
+jIrsBya71YRc7bJt6jWBJyPAwi9IxFpyHSdco3g4NKG9j0GmXta3HbJEsjw6Op5AW8uHHfdAMZZ
J3YHq2qe4gbBpY7zzHJve18bKuo3kt9Albbqo2BMR6zpwJxFw0q9QCIcWjUOoVm5d2tdD0QGPcVS
1CGn2SCbFcXHKGdZ773ZU0EMzLkwE9+1UgYbtHnmFBwe7xYz1oLBkM545gSqpaMhM9JqX0IGsO+3
jUNoHJSgVXk7mulmcKrBvfLGaiZbDfb8NGB9DGGNYFG8RKYM7HiD2vuSkTgviB/5bR03Aa/zJFpn
y2OXq/9qW2CTXLBbnR7Z7ioORRJNZQ+wxXnZQPwEUdpPBlJ0Dth3l/GIJtwhquz8WwUFitzQLeNp
NALeCrKI60MrU5s9nWTZFZnTaIpIs3dn92wJhbI3I9PEtHYRDFS9lj6lbIV/RSKoOm9/ndW4yMYi
pyVra1V7yDvakjBrZ6aK86Uza8ahnNMD20CL3c7cfS9SF9+ZCCYakhBEKVakZqg7tbKvLnrb4KCG
ntR6Cbe+7ch2yL8KQoU+s/Um3TObe0OFQF2fWKODZgjooCftu4JjGvTmvjjBxknDCNrzXnPcoawt
3ytsxRfFu2gnviBhywgsVINRAz4PmatqquLWFQLsoj33d15Q6CCG5lXXRKh0buN9B7yXjLYb3I7W
Jj493uOX0jCkexm0Id5SG/9cgEimZ+OwyT4zIrebqItgycmnUdrYGhE36dOJerteHrQ5VNO+daDf
EaLUCnyGrOskNaeFIqpAY80ZFz+4GD2oryU3GJSypl6spBvd/mkLjNXa1Y7dP1pZsX670+LYEbGa
4cJdLUMecEP1LlSiqvzmUyz8JNUSM1uIn7fdBfSwiqTTXvqroVArP+ZbC1kAGpQxsNcviVlLT409
XLYm+Ajsqbw2tF6tS3ojgp/Vcb3bxZTtd7Zhvt0ZnePirCGxaXBtUS9LvK6sN1LPTvHE6q2/ZqG6
/uDnJVq9GlX62lbzWRmozwZDabXcpjZrsVEqh/Zet5of4yJyWIZzItCJVq1/K82CfW8p8Ubsy9E3
6n2gW/lZS9G+OMjiMCL8bQRjhtsiTLbAgfjncuLC8xtUijgWiKs9yL3wPg1A8Ue1r3BeLPM68XKh
iXTn8233lPJ4LIDiifTb21yP1DCFCQTyw9LUsSjn4Gq0nSaYPom3QwkyKNChdp6vKz+zDHjayZ82
v0xA9JgkuxVeQVhW5uScF5eiOTgNALHtkt6LMwxyGs+UUOr1qCSBCwKlkznZSFwctHbE7cEnIY2N
+bIo9XYuNuvbX2A+ljp2uA2Q/CLad7v57tLGHh1J10Sbpb9rQ8q9Cs5rwZGtX/2tPMhle09m+om0
HglLi0CozWGnV0da2nC3OB4bw6SRuR30h3pAyQ71PCFxoo4Dd+u1tg5lIdsKtFnjtWCjmAWSNCsa
mSypwvczZYH5vAyj9d2nXfDlViSoo1HL7NZxbeN1nXOkV8Ee5ifnMAbHwiu76bQUENBijDKs/Ekh
VlxCweROcUVn7A/VBRDgpEEgcB9UAqyfYEXPZ5Xaa7crRTdMpHcUNoR5SzdWxWu35hAyCSxEMyss
Hc1hyN1f6a1+BJZpfMK6FG/hNo63kK38F8R587NO0xR9Ihtaph5nCzTXKUi5pBwsxHCrN2c3aaXZ
aXZeCyBkwFL5S+4biN9eKF2ViHmmdAuOFFt3CIgEwDHUOh+ZV9lASm29MMJpzrMdFv/blNsvvMxy
ZMY6d3GbCM2N+yxRnx9Gvu+UbWi3+NUXZP6oQTLT23UMyyUJWQplkaFWw+KoWi5vrZxdMFDGljUJ
5EEA0KJqq5O7cnVFcO0Ezoi8Lu6WfJh46NB15MYKN+4d7dPMk0ib5WflnG30FmPSTzdP9WuBof4r
KMxyoFhCBq/BPPHhW7Ttemd8KIKJjS7wVWbuwBS5tprWrnCsbSICq/e49aX3PuJsfatGLrqILQx5
ZrNgjbV3Tfi4kS03aHbKMEwHh3fILDMDU32t6pQVYM9de4/EToAfi3LRreVlsSz0mUUwO9nvuKDb
fipLn5mcYrBvVq6y3+iNzqdL+PgMFzRSFCLOnTLJK4cjfVUW/nzVYiXveaYvWX83YOOBJ7qNZBnY
7cB/3SCjiqWbgA7OGdmptQOHvQdVVJS7sAjwZw1p4SNCpUGB1uF2JQjdVm0WSwh4KgfsEQax8W1o
2xctnVTEq6GM+X7N6hDLybLUD67hEABejGHtjj1NL3wjke3WntNGs6VijWc28NYct17vWh91ikqU
Yx6QmpUAeRSgb+SJYcBPBzQiGwfSBJpBnFfw2GleCsVIeercttIpT3SSL9T2ycVd6AebOS5EVdFv
6oPtYEY2WJbOGjdNmrpXJfqLvTDz2X4OOhdpqrrjoL4QsTAYI+zYKbF6ATCD/5aTEmZqNRza05Vt
3Olt2oqrYAqNVAIwGrbsy+7d0thXNY01d0XPIvarRqi1PnCcYujZlZo744UZzCTCI+tsBZribalD
OyYD2Kh9S+FVmzTdym9BTZDmKAO7WPsE9qdOPQ0hm7syoZYsn5433W3NE1zRyt6XA5Upj1NekRAH
O7PRr8coYoP3C4kjTRFE88D+pTLHs/0I8aAnvrtx+JBUTK3M3jjHfJ6iRs2rTdZiKzJsVClQhCfd
j9Ar4iHD5RI50tjgT5hSDNdG1oC9r7t+Xq4Hv/Px1cMoKfw8ylYOvhcptjbzduoEVqDKch3ITO2c
2g/20AbeNU7x0gbloedn7Brc06yC2sPonAi4CoJlq2IrzYXzspA/+MHeMFTUzvTzmQjc2eWR7Nvy
OljtlO4QqufLztMKNYoFNuOJ0/M0xDJpPKIzIdPVORY2sBZVbjHgjba8ysEVmNwoNUawJoQ3BeHA
ceI2WOxXDP1tl6CxC+vYZYLkT9BsbnuBuBzSQrt0Gb0IGYvTHcItxUigPtk5tKM/cGgVeqNBp1qb
6bYbSTrswG3MBe26jOSJqgx61HKnkmpHcbL8aSxO9BHkzjAn6j30ONAqtR314FYYCVKSk7gryvFu
JRS82M1lPldS8Oj2U34RYwaDVLNw4ICdZhUKeyDK+8Vyp087D52vjXOvfDXMTr2ijMpfVIOil7LM
J7TuOUO/wtVYly/bRBG7SxvBDdu1YeNEfMUnza/egLP2LJ7ekCSHb9gAmPksY1XHoN82cLx94HKY
MDXWHT9w+/VizvzpaRXO+MwOnhFXbzgYo3JWHsqwGpZfQdMMWL9WjIiHbHDKAFG/5Q1bALfeWrkP
VdYMpXw0e6962xiX4GLxhDDI7rUOfpaM6tgdLdnbx0ZlAMEZGLEdRZxsT+MZqLG4sN08+KRBVP5K
PUVWlV5IYLpeXxAxL+HV8VDKKx/voGOt45/m5/+KZv9juaz2/v1m8fq9JPfyV9nsj7/w992i+zey
VTD38COww/PPLu0/hTOH4LXPHhfbHZa2P5aE/6ABhgSvMecTvRY2Qx4LwL8IZ2SvmftILPCXkMyt
/yhgTZrvn7UQTNwuOx/s42ejM/LLmTz4V20CPm6ebzbAtXANwA2nYdNtV/ioTDoiU9AfNfi1iN8B
JSIQ/X4tA/ciq6vhjpW3hx/Xri4H9kWP3qiC/VoY/anDjp3UsrWuhtDqIKbgg5bbwOFbzLhZ5Fo2
F2076sQLc8otu8veWy5dJqVvGgDeqpnqzS29H7d6x4treVLNQeItlE6Ya/ssRlPzStZzw7g4wbq9
bCcrHpflFhHDTXRbdxdGyHqA8QpedNGGe3y3lyYXAcgc48ewwxe41nsJE28wMutCW9i1Vo5EUysA
mBkMtu2yTOz7VbOjRlRG8xAkuujTx65712cs1qrc42Tn6x4CL/9/Zz2AiNuHTnMzCkPsN7N6XL3y
AFIxoevv2KbdcczHJOz1saFZNp7MItzB/gOLnmW3NeawnshHkuE5pvT6WhjFU2ogxZHMwBoIk1a9
ZCbF8zy2Cf3uGqzS0mt/p57GzIcOGeWO/W0OQ/ZmSkzY5ujqI7AhI6laa2PdWToXnAgCtMAwXsNg
5y+YxLDoMIDVWXFfkyyE8f7Zm051WYQBEFqksLjumC/6yfx0sBmxP/hCz8dbZ/xqq0eXE75b7edi
ug7HhiFrWd57d5kOriPkfWD1N3BgTu34UhenVIdFkg/4P03HxaABMHIZrVe+UXVMJOzSDsf72q6v
2oVh3YG4dYATfLfV+rv3yY04Q30Rwtk+us36ISEBFmPRJX5anBZq0ON+q77ok/yUwmWe57vUE+Sv
uO/HuTLSGJLHD0mGKs4Flmw3pduePfiA02/fiCk/wnlLEGhZiuG1YB9E0Ad2WZ/f5qakbkXO5Qn0
Ly2gvjjU+AD3i5Pe9165HxDMytxB+UlVccTcezMsLHRE2X2mk/VZc66etL5wiumU+3QNpCEGk97C
A0WDEBKDzO8oJ/gelPvL6rcfG244aN1xJeGsvkXv7EN7jcxNh4AOQzYng3oKxPhU5OzAWvNBGPxE
FeC4HLWV2Dglk2B1dn6aXTRbd8q8+mOY1LbzN+m9z2zGOKC8zoDwmG5z67aHa1CH/WNIPyyLN55s
2OWtjDaCdPySwKtt3+Ci9x6QB+u7TipSD07dMJJO1jGX9ickePuUGX2QwDiGYd0g0eQGM2jhvtuL
s+srTN6TFW1skHEFz+puk5euVBzzhqRmWtHWMSVm2IfWl6fdExC8QzudqJTYLGAgK9z6yaADtAFh
5ak+8qrqgp5fxzfiauuTBrAvYYzflsN3Zgks+i25FpaSOg/HvKrLF2d4AEKd9JUV5aKKbMVr55KP
i+59EYehLDF3v8yB95WVJZTiZvY5t4E12toOXgJHEyyPfvt7wTUGJqGvG4PJEj5EG3l0A0q4Rdhg
sQJpJ9P3gakNfZr7Dc+WQ/ml+0kmQIRqL7jr5AVrL2yxF+BVzOy3mdfeQjpH+0X9iyWsqG99IO7d
W9OqyjpmCjP8CVM2FtGIhEDrH1Ntax1PI1uwS/yJhRcNYAbhZZpnoztCKdOqN0rno2+r4NYMmc4S
yzDmXyNECnYc7pmYj2QUomYSmAQkvmaSVsec3V7WMWWWBQF8PHtmC8e9c7xPaUr0kr7ON1IRuPe5
O+dbNzqMErILz20RwtuVddlRUSzZLyfDrIFXjZNR5vuN542bDDajZ9shJoZRDaaNY7tTQsEmIbbD
bBYcslJwRoSlluqSCz5wY2Cs0CE9Mdd4vYYLTn+Jq8fitdzckvZs66bOy1sR5MZ1M9TOI/3wMm4b
mi6wOOoHx2qJqgt/fKOfnOr2NH1GNgUyt0xfLCnb45mldWuNM5cObq4ea3sQrsfa7k9GlYWnbtvr
BVfkWlyOmOcEVL5QyZgamtibuInOwxHs0k4WM298c7c4w1lYOBQOn7tBgwYcnx13Wn2kAAUzyhin
cl/7YLfmkM0LLuhHpRRGlzl9Gxy1C9PWv2L9AJdt+N5ESTEMxuDFy4Cm+celx+2Pwsjoh/oW+8V+
IjSLV6VBd0fIJE+WnoysTNJ+OTjTDA8tkE5kr2i2+HTGPVrzeuHJ6dmj7q2fOcEKdRq2Fsm844Q4
c0naXXbvqfQ6aOV+m8uHlFNmhKHXeZQ6q65WPPyxfTYryvVX2RjVhSjLy+oMmCegzh7c5aCNaH1u
WD+wcmgj9LrvtCx/goKThtNb6phRF0xUtiiPlBeg1vr+Do16Rf3WaLFcezAsdgHj+90Ctcyaqx+k
6ishx0NKVWbRmzdB9uYIPexxI1xWQ3sHTRPRK4sLZ4q0yg+TvK1L748N2nNmrFcM1Pde2QBcaEEi
9X3FQ8ebQTQVQES2o2/2P6Ye73ynKm/xUtNUIbYDB6xgh9HpananG78f87gvQqriJg/CQijW93S5
TQuO1G5uhIelsvaZquJwu2JQTzhgJzPjEo/SYP5qXNZpea7i1ufmT9gxA+huj/uM8gk/Q0PG2vg0
+utpy+btJjWqo2f28spz9N5V9h3gXw7uxJojY63uKreAESfyxy17r+dxV6mJbtzlwifXiDV3wlTS
ntI1f6s4yGmH8wTlfFHaTeGFNeaXQSP0zucdaH11T5869+OD53NfXs3qOAQNp9/WCy+NIvtB8kJK
Mz7KvqFmnS9Sa+2WFfJTA1olpB0HxbC6mPRUHAqln1u7oxlJJjQvHaVfvcm0v6Y199ilXCCmT+ql
/sZ1Ei9VRXkRs5jgf1VN8eK449HDcj2m9W3BqT3qTRnsA3etLxyAsE7XcPxb8UOEH4QZE6HuhvQq
w67RdmCwNIYXsAB9+IisekVqhPnmaRbpLqWhdFxeOmc40qhbPlOszFPwNtzM8EAm6KJLjeOZ8sDS
F68q9F/fezG797kyPkOKmPv8qkln81sR5rALOxYD8sM6JmUaHiZlYJWgYATCs32o8Tg8twuItMUs
H7gmCaL4POWgZVw3rglh2PvxcrigIyNNFy7cfVHBeVSu7Jf7e5UNnQa+y/LFbV+MDou7S0kbQkd9
IGeYMkPXiUSuNxEgmfjSaDBuKiy0ffjbkzu7uBzgzSl3l5NUI7K/gXRFdr0D8PLiBupmys0igXpz
4KtG82Jmm5SKUkI88sgwm/dVtJew9G7CAtB0p1D91rw/FlidcYyZ6DyYXjv81f2wh+2yvS5qRg7u
f7cl/EvZWRQ0k0mmB1oOPMhnkx24AdvVdoIj2Nr0KV/SY6iObb2+bpX3q7SG9bxbfQu7D1pek8lm
vdrokXSO/8sncpH8X/bOY8dxZe2y79JzXkTQcypSXkrvJ0SaKnoT9OTT92IeNO79f3Sj0fMe1sGp
LKVEhdnf3msLQ7AyYOkSZohOnPUtwNTQIQc4+iBifDPl+cFlRk7qhtHq2hrWBoklGLrVRfMMbg4W
EwyN5bt2KX5m9ZqHi4HKHPRqWmDv6mMgAc9d23Jk7FqbT9CLgKrV1l1VzNP7orfL3yThZyKRCWnE
15RnaNv0d143PqMwrf6xk7OoI7lJMmV64zPb8WeFr3wGz5w7u6G2d+AiAnpjt5aZMwkoHO1+me2O
KUo8vOTx8lTonLC0+ay6sd3CtGM2GeeMgyQZYfuMPexAn8WxQXvKXXBuheNd8BLRBM8s0EtvtNJ9
hS7xXbfpTVzee731RWHEurm8qQkhuHABjfbb1GV7ApptP1mItYfFtogGmPlRi5qD3VVnmS4A2rCC
TQODJXz6ftKXW0Iaj0iAt8Wo8CuVTHgF9wQurhjqGVrUTJc3Lfc7P4LONlrOXe2ChzfNwJu776Go
7AO3hxhLBPxLOzq0berXZkWspebNa0libICpzoRlJrBUUNph5wGE7LInb3Wow8CkzvtojP0zB8FT
T1vCLmzpZVBqPtHTwJngVaEwgp629FvKIb6tRDuNrF+UIX15pUO3YR7ulznZYjVkW3nCa+o3Zj9S
iKJ3G+KFNBtZA/OdsD+Bpn/NDA0ecn+z1JIBaiP/4mj8E01i10fpS+/1lz5G6Stl8ma209UkcVRF
3mHmY7HDQwdus64+QmeXNNwJAMovVWqzvwq89Lr08VJl9ICVr6rqvZd07ruLYboHs3AmwLn9zpTi
dknYkROHSUKdcidEyXu1a+OjzE0ZOF5yk3fap1qSbVMWzzFKqJ8ST5CJ/IGN4+eGck7tcEuYwA+d
5qAQGX1BNI42izvXiZtHZZa7tKEZa9E5ndZOfZ8rsKALypaRMIRYSPP0oQ6GOF6yTaezrgqPFcvr
h62a9E8RZnTvzcZPGNvNhtYgy2+m4kDNJsx5i76ksNvZZTVs8AqBJnWG4iynllMiODWHWV/kudzw
rfkR2uEX7SpPXO+lWcDOHSa0hV3X97sCVlnQZs7OhNc99vXOCvWHMY22g+5srTHdVrRlIAge3HF6
JL3yVnNwz6mfJnPAsBACpXv2cnPXdPlzWF3Ktrh3PEs9hJYTJMNwaEyCP8OyqeMveFL7ZHztCRJf
GwXVslvs9CPLSKqYMpxAn8XqIbKHnpvCXe948KLjBF+MnuTxn8jol2tqpvC5BXGlI0+URmqCXPMr
BhnmetVoHOMh9LbIr/pTK/X6TshFXLKMZ0+FWIVykfSvMPyxW1MIccwdew6amctzuCxXqLUqMGvH
9lurqnac52Nu1DzAtBhJ3HgQa5EBW/YK6vw88UV+kfGmEJE8ZgX8RWWp6YC7Od9DN/3Q9Lh8llqj
caGL9K98ytVr60iqtRvacrzISfZlCIsAzkt7NHGJ3HGFlfehoQHWDG2L3NEQ894Xip6s2DWejbgk
n6bFQjEIjTCeWkuYWvz7FOpsNISmp5Ct7FSXDm1SWmlmGy/SWeZzysNoI7ZmNg07qy5sLZna02uP
w3yVOSCh9FfkVElxUkhJWIn1YCdAB//YHim6ZlbTkRUIyGobz8ehirTTOquxm478TNvQj+ol+m4W
HqUGsQPB11uKo5Xp01tbO1O0wRLNBsDLfLCnafwbcp4KEsbge1yn4UEk43Q7hcX8k1kel15RzNsZ
XhqGc5iBnu+k3IIqfrPqkgFb3cqqXvZdHE3M/CIX76aZfpKhsRmszxnO1RwKYQ4mehnEAXsTgXt2
qumPabn1WzcMlufrmW08jTatC1Nfmhc8EqIG5myGh4Ghx0Eoug8QvvkONbhRrMHIKGynUKZXxZPL
fliAjk5DOrRS61pQROeLSKshgRLd3g7OwIh41RdrlhLbeESECaEH4Iuw9c75mvQifRJrd81sG3qK
waXWdrXOtGQgNniuUJYvGKIZk0lxxkeTEZZj1LHFKM6PGUXV3TtmjRfTivv3GFoOa2rXLffMIbiQ
uLTPf0VJyWEDWjpBAU63B0d1TATS2Tgoc+ISW1iJ9VMK8Idg+40x9sOwy8ALJw3E3TY7ESpOLynH
ozcKmOcjTTnWGRNqhEUu9CiCrnQ9xKDUdZvF7ZS5y6vG4rheKcYjQ7aOXdhkAHYdk6Rk4LAcLc++
Z4ieBmXjPUxgvPWw2asmZM7cRPtYAmXDkuh0HDhatzh2YdcBuW57FIDKqVwXcI81nxkNsowAVOCq
NAFtogWt9PZwIoeAi/zwZGujHjSuwYzT4V5fBnbnWNw9ynCHZg/jm+v03kTANQLmLeFDNZbxXvCu
zOCxg5rvwD6DVZgHfdZz2YlGLdxr/Du7xq1lULQx81fXGT/drnodBk/eaWIyOQeU59wYr7XmlBt8
6x3UdA8c0rI4V810Hiqz2BVueT9T3LHvcC/1h0qpIdo3Y+9cJ6dTRQClo3+Myvojo/Gbb+oY46NO
0pYcF64Ch1RFk5wVeZR822UsqZS2Nft6Mr+ssJtHVCJ3usKRxOA4Q6a+cELGgDJra2eroRMyBH6l
TriLmVHC2t3bMOgJ5tVl/ZPrC5rn4tgRn+jE2KIvm/tRcNTWde5SHEb64T1miInVrc8XVr+wp4Ca
QX8YJFKY4EbK5pl+ZpzlDj/3FEZNuk00J78shEoPqR7R5YVbgrLx/jrqtbs15KA/GeayHj0WdziO
pszRFJ1wPuGIJnGeZnV7nUKz3WHUti76OoNkCZHejhIxTqWWXCSiStcdEWW2CRDeDdCE7RD1+Eyd
of+Sqk8CuNLDJrVtOlUwZHr2sNNiY9+r8VL1+vigdwW3+94Q07eTV2Jj4c7SuDBn1CLYkRv7KZv4
keuV+mMlbbxbXPz0vAqcADlD2+sEAuFMBSlyiY7hWfl1X0Une67uLNeqOfwUUXPPhEf/iLiDEUTr
FVkUbTL5tqXR2ZCs2DjKh1sSni9mr56zqkVY7KJ7OcDjwZZtB4xTfaPiQo/cYfL2puOmknDjHeOx
0/dLE47vXqhVl9xAacud/KSz1nK1ST4MqcWHMW/eYe3fMVl6GkL5l2WEGsRmw7GUe7h2M2Bf42BR
odaYY6BE+4YExv8yh29dKClez90Rk1rKs1QxCKtomiXkhFX21coBRmARLy7Kedcr8xElaa1SgYbo
5cYdLXDE7MdqX1gkN7JKOySj9UJ12epBM7t7dKY7ith2CdpqKp6MRWJXs7KvifVPUoapc0A01aUv
Ia4DiF5PrVqypQuObGrH4YRajL2racyN0eviedxR8KN/kGvCiYEO5lOI4jwnjb1l5OpDo3ia0ec3
ZEBvp5aTg+UV3xApboRZUR4Yln3Qw4s1rXTe1ZaovuEI7mpW5cDo81uRDZQQqpBiDCMYnfERG0u3
pzmhfsCF4QIcmS4q01/LxfhuO4wW6XNLVEFQt5Asg7HPsbPkTCD6KURz6grIy1lNPsf6XDybNzFx
nkfhXecJUqeGANDMUCNgB22UkIgpK6i8o80ebcyKqrsBlW9o68NU11t+1R32S67a87boxI578wts
PPZ1akB9SqFO3lhiCQQziuBqPjiqhINQNk9j39+GHjYgLtCXcTH2CeXyfkJRyDaZ85Ws0qBFOg+D
UOkh45x2QW84VPBmrpnkkOe6BrGlkhAAOYqN9Jo/BvHgwwII7A6B+GHi1L+xB+7K4Wg92pZ1whmV
BCpxvG0nqCZOxgMzHfOtrwZuBfVLbsc77kUkItziz0hSZE+tYxewM1G5mqSl9mxg/TmCX7Qpz7S1
d5SDc1+iVdNc8IIHzl+caTqIob1Xc/VTg8L1l3DkiFYVf9soRd4Sf7HTvroK43VlQCymaQ5aPzah
fePG2Pk89TwmqOYiUveRqLMT8vNy1RKaCAqY7TvgDWtFnEPNUmtcqnn6sPP86EWSdw41bDMW1RNq
vLZpC3Fi1Nvtm8nElz63DI8YZhwt6owqs1UklUKrula9bQReBja9dffCCEUgpOKdC/1qwJDF+2yh
5UxvmI6ozxy8S9Yv+lVrmWJnmjvekzjT/E5wi429eTcvlbnlZjCT5u4yfsPFZc9dLrWispHIyHaK
9CdHVy4l8an+0VvxeBDEh8nrR1Gy8byZwomUPOMAR3dDLo3CwO7HbVrrSLVq+zgvQ/bORj6dqyr+
WrQweTeXyL0J2/BQ9jwuGPa5nqh1PEJsLKrViVsRHIAQl4NLO3e/hrfIH1Pz0lKwgdVxhxskMPPq
EvblHu/iVrreJ8T74QfZQ0OSYjDmGfO1syS+iPGPzrqs8uwtZg5DQaTlw3Q/YB9eVzTSknpF1za9
rlfd5ntaYx1pzexHJ04IOnojOeZtnDHc5dgeVdPZx1xSTyZX72hmbMkj8SGBWdO4x4XGM04oogJx
16JHd3/TVr0tmRdfPCcNsNfKTYFRtOOEsTGiJaWKFHSQmZ5KJY7w6FG1WaJjbriJXIYPS2kN0U9g
9fR+Pi+j8T04yVlL0xP+gkOaZ3sPy69D7hNzyyHGwwvjU10SGhJvRiHpbPQihjk6S7UnwoXYAHmu
mNwIRZ8ei1rKL4l2VdUXqquOGF9zTq29dZDepTSt4mDWeXbKQsywZKQt366zpzksXukU+8sUi193
ucXeXrG0ryeE+M1DYOppaAgMqr0hcojHJE2eJ3irfl3GR1Mtx3kKz2Epr5h29ilDrA1Tv3Nijic2
xhYNGDvxOtfcdZYBxN/kKuIw3UhxAW0S4Z1zSbJIX6zXduXFYMVyN+5kyRPjkCeS//7Qg7hSmoK5
75rB4ITmNeM32eFv1Py6wPjpWpzbjBequ9vxL7mogKkxb4pcaBkCZPyni+yPpps2jWMeqtXSTiM5
gi/tps+VZWDGgxDEvObGGJYnuk0+K9G8i4mxQhHW276d/TG6wW/Gx6pISC1QBHbY7lyaZPiuSG2j
G722CTmecWyIJPgfdsVW3mOcBUDD+5AmI5Xo8LGt0FdCnLvILA71CtxcKCzxswqTa6zR8F6KrSV3
o42dKV0OWMrTTVtXxN1ESANN1t8UUyHhqUkmXXReTGDu9nFhus9Ohr48LnTlaZnT3tI6+90z7Rho
mVxHnIMWg23Vw5jIHk1Jbb184Oq/T9PLSPqsSGsRLLnJBSavnhTvwmXJJAu4tJ9kxuubU7Y8PFBB
RnPYzBvNc4fND8rudzo041fH/HBnUVqmZXfC1py1T8+7cRz3ngiwnznGbVqjA1E0/JLpgI5Mb+HE
PTxqnDUOIA1YcPrPhueLbnJvfKGwb4ODDJG6s+8x2B0WKtf43/Zoqgw1Yrx7Hls7vGwUwQdCenjT
+LIuTfqslggf4mjAdtiVLb/xxlTwe+gwfNObdDfmLpNFPQLXxbBxmuRJRctDyBHEFDFzZ0YkUfE3
og0XRZsyDbGsfHaOrWw1t9R203Ba7g3XClSvYzSeIr9Mw3M0Fmdj7Y5yFvrfnaw4QPU5emupSEYG
6JsNhRQfVsBdqdFwk6CutytLxtMV+gxjPHpGylu+WlmA0/CBu5Bv2wzlwmoxg45u9zUnNODpHJ9Q
gJG7+voQxgyD5Q8H/0MRa9ey5m6fOvlP1I5XO29eTS/kq0d97xDfMRGCYVNvM8mCXLVGEM3qUnIo
LF7zsT9KnKxoRWhqdp+80OpLiHiOgqST4QNmyu/RyB/akW+ZsMXRtDvEx+Ts1RgGZPSWOUzwa1n/
xQnsc8WI9h1biC+hOa51Y4j+VjRDgE6uRSy/+syurnpPYbJszbOIaIDPDbwMQ7z1ynH+sEXRvCZL
N+zBrdGrjSgUcGY8dLP2PpnZtowVEp01BvhARr8hhtI62cksfvI0vOnKwfegmZTD9LTaal0xPlaS
Jna9+4vWyTxTkAUBxfI8umny0Q/l3cxlFZf6RtTDNhs0rkOuOrtdd9br/q5c3iOx+LVb4B2Q+JWd
e2S7vRGb+z5MtqszRudZDI2G4AXiXeXMrM6tuzPy8Zh3rEmEewNi0jQuu5tiGPiD2920NVszZnLs
CreMB441oYipMr4B5rH6Nd21HMQFTC1BZ2Dr7T0BEc6ZWDqo77g1ShhbxguoGDgm2sYDEuZUp24W
pzhejwLmGPrs2dwABZ5zdkSXtjlVMFeWw7l1Rtw/814apFBle0mrcMcuG2Afbo8gi31tOAi34BDJ
s5e4+26Ov2fQJ11FF3RVMWxRHEUBpEXOU4uWDzYs3/emtTNrtnQveyCg+xpTq4ufeBtDTB+sWAVs
kPFfI2KVjeCNTHZ25I6/aQqblBKWpoi6ysaer61M+GZhdFVZ9Cqw2WcSaaW457g57lKmxFRDaJsi
/bSachOZ2lO3tj8N0bYOGe0u3BsM7haNZGygn/vGPJJs7YJFM1Bx4Yq0vMxCh1BZtSLGo5wcSuhY
FArTSL7sQb+fCqpCwwXOSl58Wrn5OjjzLZob4AK0fbs8D406lB6bl6Xie60FVcT8Z562jpjR6dN6
/qNTXcqs3PyLqdjPF94oq34QXva4WCdAZ8Gc649JOdBlxO+zaQke23W7nbyk26ZZhi2i2jNqjLmd
41lfXJ5s6n0oGFXZjUEJ9HPL8ZQFMkZwRU4xI/NkzeXW7XPuoXL5bjk4JU326OXLo9uOh6R3mZMX
3jUFOH1Rok9vsCQtt9UwnSd94agT/vyHq+5/kwyU/xXF+WtUo1Vj1UlXis8vi+M/jWq1h8E/K3k0
wJtat0AxbLUCDLOf0mnyV9ouEFKTcnYu0wC7bIMxo9NhmjHq3f5fXsl/Q0TbUPKAykINIcAKz1ys
lrr/iPMlFHLbRQcLH/teS9sO3AliQa2db0hBZQ+qgBGGbO8+5XCzHl2SczsGl20X0KWd/fl9Mf/f
d/k/1kKL/7PtclPB4f4s/0teef0b//gudSyUDiMIssfEOy3n375L6f1rjQojAjoO4BZymf8OLEvn
X5wbdBPgCtuNsNZGi/8VWNbtf3n4N/m8da5QyCre/wvURVIIzUPyb44ullALrozkCaGwBRj+f69s
Gd0uEk1X1BurIckeNEbTZl8cpZwMExnzZd+kO5KypNAy3FttRhFZCeit2zPuBWvCxFHD+VXJKM2R
fqFKX3FYA1AD3xSFu4E4qkXcT8/7C2mMzDsJOPvr4Xdou2dn8thujYWyDIqIp/Zgo3eEVw/SxCc0
OAb+5RBLaALa4H7CaWBFib3+Lpxc89NJMXbTv5C9JaAAdzaeFZbVOHvHuEP8ywoZzHmQPsHDuwGx
CwaYkZe8hdAQNo7sRGAhVL1qpQXbv83Lran6/K7J6SnB69rRmDMRejFnsNBGk8Z3RNTChPyah9A6
2xrFtK6dsWUQ6dz0sBGe9KlWt01BzjLIVRXdQ191z4WXWPvFXqYbh2EVOcF0rSzrW+z78WDcEOpp
B99VeFCEat895i0+CWf03pFFvoWpSvfnGFLkYeJCncOULRXZbNqTLCuwk0B8OQmr72iitiv3toXw
8SVL1IbQyZ+s9epSxlP05EHazTfM+aODYY/udmZO9JwMgr/XFG0Ktjf8i9z7zhmKqTJZ2g0fbX9q
qeRAGIMuaMSeddRI6ewJ5WbPNguJNlZBXJn4VWnSI8mm5VqA28/aVWGvzh0msj0fmBYsRts+Z52S
t3EoKe3KniF2MvGb3cYL9CmJSFA04Zk8j8lpMxyKn2aA6auRnT9IgzLZjdbm8dUeNcijOlUNTEYc
Ovt4bYQRpF3ftu0wnbCoZZsJTKO5qWovPvZhs54cdO0RETSm65PwFsJNtq1LqkW9OF4wsvfK72dh
ncKcOVnqDvOO7CVOkcTj32tvcBwtiKUxXqYs3UdOLY+tAbfIHYxr2QC6trHnIBPZN5YqjbOIV+01
nzU/bht9zyQWWJg+1k9lCmE3rLr0ZzEXBvJo/AVnp2TYT5j0tozT1Av4X/GwlFSAKs+Nv/HcqqBd
jHRflpUVdKVIb5QteQA1WEe8bXeJwfisJS/jxxpGy3LF6jQFNLesqAlm4Hcmy8qdNILWhGOAwzmC
Xc2HUHCKc3UbFJ5FMaPdIHLHBM6e2GXkA8gVfZ/iK+SCPz/rMNg2zA5sElhVPKPAl6e+sOR5IbQZ
lLr8GA0zPXaFET0g92Jojczc8vFgZsGY19Mtp7N4SytjGnDYsSiTFmjporgFJ1nuuDkaV/Bu3m0b
lcsNuiciimG15yWheJgDjWf+VJFp+CRTx2OrOJCrJHZ20mnfJGjTbaUy/JvOXF45pHe+Y9gvEWD9
6RxFXo7rx0s7nOB89CeOkTjSPDXXxzkyn4g1Qen1YqKbpDOmt27BqbUkKIrM/AhvJWH+4U463oiU
v9YhH/LsTB3KfcR3i3JtUrHWrRujMZJiGxnwrOC9qCRWqzVNesT8oAI7jPLX0e6Nkxqlec4mDQ5U
i0+vkuFWOM2PPmRfiaydO/oB412hWQm433k11JRV+zIV6TIzHVcixN7teJlY8ZEHbeTmUTIy0sb+
q5VZPOxtyYNKViaazg6jAhlEXnnj9SMBexVZ8tANU/WZmfBo8o7gt0IsvobDAAM8zQX151Sbywen
9RBbat7DJuOWANBksSJWH91ozZb7Ih/kPWDeCVnpl0k0yoo7CLeoqr9Oa0a+EjX11fWRhNatxtQE
Yg62ZoJjci8Rp37tWhG5UkpMbf6Ni0gGzIfOF5bIU8rAuXbQGzqh+6QvDyKPbyIdys1Q5Y+dgaox
AXOpEEuFwn6fx3jlBBplyJ+rQ25PjKjmbzN5FCHrnGu9q0WCDhI72Qx7tMWrqzc7bKSk3outUdBh
m7rn9epamPl5KIwzI/h9BaojZMS0xIxAwAXFLc3qjU5rCl6SwdsWEXVuKEfEpbbl2PsekLJ+HrhR
0MQqO0LCNQo1QIz2BPdCbYD+JeiW4YORTiwO+iFjIyKndBmh5WvmfNdpOJ8Itj+xwIH50uQQrs5L
c5OO2LVIq2cTcdTenu8xixsrPMqgOzi+V+CWYHWUt8pAlY3SxwzXf5M3+4YeoACCjg6HNDdv8tyK
f+gzWZZTko0SfzebbYy0SVoitJ+VHjUe9+Xs2XGcGCbCyCJIOx9yEoZ+f2Ax3eHP5qrk5RojuJow
M61oW6vz/uqlKvZD4QlGxBLNLfqubZYUG9DUZogJHg6k8o7eNH7hC+yuYSygefWNccyAQN/aU1UG
yjEaKIPVaXK90p/irt+C5CB1mZonlsV4Y49K3yR1iz+LNB5820OEdlc50IL7ro8DJOEKhkVUb6vQ
oVjUXb/J3fATLtVVJtPRcbP+aymNoKm828JY9ENIpT1fpurREuGjpa0OPKUxvLAj1E06tKycUASw
PZ81dEeoCVCtdiMnsUDVhqKb5uP9wL7oWaXhTyWLST5Fr/iSo2AanFM/t6cobO/heV/UqLNIDvnB
7WngcxtRvCKWr2xy+qk7KvKgsc4OFnDPOuXQ4Pdhh38ViWhKdsYa6xy7Xr7HTBpqm0Ucp27Ub+Hc
cxQaSLyTudMvWNGLraUS5OFeaO8j0j07Ce7+nigblxPP/MMF4WSXQj92Co8Va+Dol5aMmKqZH+Gg
u7gke7raMBFCFHbycj/G7rucIsvXnPBxzD3IaimrH7QbpJd5AJdRNQwSRlgTd7YOAA8ywy412JiS
enkNvWL0IYvcZguul8GCWbO0rIH0V/HZX4ZxSUkxNAis2rvEOuYKRUm122JLVbmftsa9tRT66jS8
FH1ibgpdajgdFlYKXfvb1qN5jZbxYRHZQ295kOqwh2ayPne5vdN6yuViL/ubCrYMbdHsIARFvYmS
BUnNqw7ZQClBzDEV/Ntsc6jrPKROMT+3wOY2uEAJvc5EYDppvLsQniwc3TtVpO5hruuz7dQePlL1
aqcJzL4BtQAIz0C/ddHs0JeNJBhM0h47N27qax1O+WnJccU5y/ik6xyh7ML8DF0yBeBSliMBjylw
GKBqg3yIW/c2TS2DBKGS86WJnfYOj3Kzo6pHrhNAPIOhZu8zuHE/kU60GemJ+LwUnTf6dhNGn1aL
43Zw81VtjorWwOo/X6pp6u4r3jEc5CYGLZogXoCoUf3sjrgBCFsdZ23gz/2oFu1A2xI2CS0yswO2
EzC0a/Jgm/CZcslXA/JLTvTXV0WBsD3HCrtDWlbGPQn9/MPEmXOp9MW9DRnwMsAgs6PGKeQ2Pi13
XZ0v1HDT9zTCa7TLa0sG/UNMI5Q5zrzHzBE9u9E0HMl18qCt7F5OBu5FY+gBngKMy9XRMmNfgAva
cfB2TpOTvqUF1e/QaRe5bwdTnlsZmW+AzDjw5Lm9STqKMKYECcWNyX3EWAhJpH9NI9mRLF1rdkmY
ULlrxY07vMjfKl6QwA6LtkZB79I07bQXa29vM9Pg20upgVWQ/3T7tlXptAC319Lfae3/BfMdT1fZ
SfLpReUiuCZUBXu/tcFmPzXPpDH5wlgdvcKDp+KX/LdsWFt7hxGO1w5ic+gIwf5TTfxbUzxmGh/+
/FtfDIsmNU6iL0hmIa1Rccxa3Wh7lnGYwVoC/gFKBQCUzUxAByzZ8NuVLGZk9X1jm6nY6U6L9az6
LVcuf4uW87jhI4mnhgLm6beM2fynmXn6rWmuGpvSUkiW1Dcvv1XO2W+tc/1b8dxYIbUI/dr8zPTT
pV+sAGUcZL/l0M5vUfTwWxpd/NMgbf7WSSucb/12sdeaaQIg5HjxaFlf5tpDrfS1ktr+radW/1RV
ty7btPNbYV3+1ll7zrx2W4uWnmt6StbO63Dtv45/q7CN31psANxucxjWtmxw0AwRsiGr+zPBrmRr
rPpYwxQXLX1etWnEuaBBtKZouUr+zOUQHY1OZl85RhuqifXhPtQ66+jOpX2HyZWscr8kOz4fSq6d
1vXDwY4nxtgeIuOkxXe0LeZPSeQGuRP7PJZHauOXIIuR3VJmmQFq8nOZa7eYbXd6Ju1jaLQO1cgA
UdO2umXbYOpVcpst8CKlFEdu7V4pDHE8PZnX75yWoWmfJB3j+8q7ycaheKsq9zNsWzye9vBSTgY5
JM1pgt6s5J0eqphUhf2Y497YEM55Xvq42hZhR32hOnlF5PlpP97BF8O/WUukXe0syRnyco2ndvWT
QsFHS81fRruudzMMdQKJSvqiMu/nynhvCu/ELSFkckgAQaurvZ51f7rK3k7V/DKO3s04p69hP+OC
Vf2EJdlKX/io3zsV38U0pwSapj6J5VQ4sqyy+05FdaC14LIshXUY0vbdpk3InTy/oBMQgDmAVsCK
TFyPqapXgpD2opfiQbViFw/ytvcaxlhFeQq98Y/wavo6Iq+60bX2kSQ5FAFR3EXm+JAt6ioV41TQ
gI2/1AMGnPYcOvpdNzE6rET31yNpZal1mDjNWOYI+lUDh/lqwu5DJUykhnsA22/wCD+4nY8HIwuP
tjJmxubckPga2tiv1k2wTA6F+pviomPscceI5hoZxpZs6I7Fd8DiZn/kHbWSTCGhVQ4YM1tzp4Xp
fuG6EeXuVzfzfljz0dWN99nD/TOMyfsct9hZx+Q4L+F77qbfJvSusxTlB/rHkcA7doeiC4o5oiWm
Kl4YiYsts559L5xPLSS5Q+wfoiM1ELtBjCtjqTo07II17TNObWKWHfTlszN5HJMy5XUPUFfK3jz2
ExN7JWy/p1UYwZmXrPOTqO14l4JaoJmL68Z1858m0XZVF9NjzoLu6zI9T7mgmEUjFi7TjQbBp9wU
EqVUGA+jkz6XmXVP2muvLKsB26pz43d5l137iC/5qHO6dfHhLvz3rDadvdvlj7XWHjr6OWqn3Eep
/ig4uospukmz6WVSY/ic9zj4kzBw9OXG8DI84HjfOvcUDyQ0am2fLM2BwdahaQgwQh3Aek5h/NiW
e6GPBBfCQ4NTy+077vbZM6YR32bmLM3oiBD8qLvMVsMxP+FTCuRgJhdPyFNXy70gDW+0GvbgvsQs
lfyZzNbcgv0y9sLsiKSW20j3How5ZAw+8wVnn1cbh4C9kpnFrEr5+dzcuYvm3g62ukVHOSLZvKVt
8hNyMFzYogOXyoCbxDD7ixgHUN5F9d7Es8H4Si8PQid9GLNipEMpwdDPYwCky7sDBlJv4OAyIRet
veUe9cKo0PDppjMZLtIdj8W6uCfnryMX1GdEd2OP05lwKr3VMIQeqQTYkoLDbtZe3SR8sujBXUbP
e+gjqihKjaKFuRb+JBU6BwGYgZoWVJ7TUpsn6YB8BclgZp12QODB8pjr2Iqsxw4T7WzWPntbFDAQ
Py/KNXfwqIo9sgc24f6EuMUtHIXysIAvmYgoJymx3LIo90o4O32klqirrK/FjN9ajeBEVm/Rm/ii
JPBazKy8MVLDb4R3xJ9HNJuukch2Ts4KmWCKlJb1MXW9beTmByo5tavW3NAQeiGaQPBn5k63omRM
6a6eR780w58SprD4n+ydR3PkSLal/8qz3qMMDukwm55F6GAwqPUGRmaS0MoBh/r170OJmcq06nrT
s+5aVWaSjCACcPd77znfQdIMu42AyrjbpOHUP6moJugpem4rmzu23bds2RU1o+86N6zXK6Adm8FN
Nz6ivG3h28bZcrO7EA1BTnrE1N3ltX9UjXw0LRQQc7FMnrZOoI6LgSXHgGagvR6sbIdAR6NBYcTs
V3aAs891qM1nxvGSOwqn3buM5200RQ9qoBRPCC7YiciAR4Itfd2aDXYY67MsMGuI+QsO0xryW7JK
sRfzTIfLCywoP8Smid+fycHABdxwgs69u7iekE2lctui0d7BFGpWeAq+902JynV4A8B2zlGgdGLc
ePn8rGoiVgPwOSF8I4WNOzJRYWhjuME2uC3d7jSVzRlpwNaHYFxXztM4E6mTieQ5LbLrXqi1o9sT
jvArUjD8s4vGdOWGNDFUhrfZD6MtJt7XSTnXmauuygnvMhQDqBMmlhjViSMHiae6kjuz4iiuq1f6
accRgVWokxxjbWQfw3C4NAPwu41Hq9cyKAlHTQpLWG2QN4Iz4sdgvh2ZOGl/BZzpXprFq8ycYJPg
32hBm69EYhZ4A120naXYIf2wIdAV77koEOIRg6JHreVRxMixOIi8OiMmNTyqwy53aHGXCaXg1BO9
Q/gMlyUu4zXtvQ/NR4CCfPD3g9ceOA++Zi0KXxErVItIUzmS1uu+DW6LNH8sQx0MLwFlFEdZQqwA
TQHjA4QG065IqpAYengxfJgHWURGbt4j9S1y4DOyHieNTyJRsFj0wiFCBlpYNapq4D07ZtbhXRvL
yd4lyMark5PCqdnncGIecVsxHCCKCXOtM3jioajzuCCpIofWnmCL+EL02LN1ssIiG+DO+F5hIux3
Wda5X0mJ/K6a++GuMWVG0EEAUg4Bo7toLST4KVAKjqbDWRtzu/UiVb8OdoQPqlaTgZaHjgg7XTFk
V4lXM1sIyM7h5Bw4uCgkHAFriqeX0a8nCseIXLadX+iYqj5mneA9yuTRGheITEv+A1Ine5njEcM0
h4esIa8NXHlKfuMiKFLNvoxnvz2mQeWJFR+7PW511moa+iW+pHGqijcrRXExQGm5FmMWoRsQnHl/
44f+Z+j2D46Lfzt1S9R/PYA7yf/MO/n1e37nnQAK9mGTmIBNCCxYpmR/8E7sX4THf37AoJ29zAIG
XFaqi//5D8v6xeQ/Bqk+dih8CCBIfh+7WeIXfg7/aBPG6wWQhv+tqduPg1ufWAbyzRYmsWkzNRP+
T5hgoswyC0S5zaC7b8VHyNcwSEFvp77C2o4bmvMEorFHijTrEO25kTNiGJx7pN2ExBh9FiEXUK57
9+8Pca/rz/K+U5+f3fm9/l/LrfitYhVPorj73z/+sf3tz9FntXnv3n/4w7bskm661Z9quvtsdc63
/gbFXb7y//Uf/+vz15/yMNWf//zHN05IYNfuPqOk+jFAYxnQ/+v57P1n+Rm9/3CfWMt3/HafGHCj
bYcZawB+wHEhcHDb/QbGMZjCuvC+nAUzjQIUMuD/uVOE94tHPK4Di9rkLvvznSLI4xBkoZLHYQkI
+Ex8//jdfxcXcNn+JSD4p+Es7fYFZ+17luP4sIgFb+HPE/4KXtk4FeGth7nhxVN2/mgH5kICHHXC
Wa2T4wd4iXD/pyv0FxKHH+HH7q+v6pE+zWjWCsjT+en29GU0ATIMbnuiiBHGFsk9NPvk9P/xIiCI
PZ8Bt+Bh/PFXIx6IeWQnb7PIcV4mX7UPWYTPcPX3r8LH9+fp9q+/CtNypBrLHN38+UnTklGPduQt
S32+HGQj55aVvt9GwWAeYDu//f3L/QQx+u3lqG+4ZSzfhjf+4y8FcYA2rPZvBTK0kzna99Eg3EuS
44b/4ff6q4/I/78v9HP6rQesTpuDf4vdAest1umVqRgw/f1v81d3H0shEhPfcYTv/PQReUuCSRx7
t0Uogzu+iBptJKXogsw9YzcFNNkQB0Tx5u9fVfzlZ+ZbNJocF9a7+dPL5imjuDiXt21hc0J24Pet
mg6rL3JAezdDirvXKgi3pY/NwJWtt0PeGn0knOFDQs/gfQAqK06+CpoLoMQiJGO6AIH29+/yL68N
+4otbWxttvnTM6KV0oRK+LeVblrGxtnsrGWKbbAwZfJl2XNwUwO6Ovz9i/7Fp47Ux+LWQncUAPP+
8fZiThg78WDdMlMRF5YaAMviDfr3H0ykTTz8HpR9Jos/QcIVLThKUfMW/EO2tkJJ5a+0/B+0S+5P
aULLIgOJjJdg6fUlrcqffpc6jlKl6uRyxLdCzo/rclolALe6ULJgsAOSE1IWoXa4D0Ck65RIMRyV
SF1JpTxMptl8se2H0WYmu2ZAIulQgMFwTP29mlEDUOXG4aXXzGj/hmo0ILDgPbnLhokS1grs8Abh
dGdAvuqWhlSQ1I++B8dBOYU3AP5p1FeMRIUiKZJmT6lkt3Sc5jET1AS1/Tz2qi9XI4kxD12NJQwm
rDiaDI+6X4cqBK9i6Lc2nuXhqCSdlrrc0uNlZAz2LWUi4cZllWTvLtFA49rx55QAY98Te8lQ7zEc
HAJqJiOw75QNbgvKU21DqRCquE0NHsF9xl9Yq2lQSOlaAJtvMAIXZXFTmuizm7oAXtai6oSenPAl
De7CTycuG6xBojO+Rdoav1SaOkcOzSj83cF1EaKQqnTPdQyO1lgWwVHMzOARurTRyWuqqjhWU9w9
mIgk0l1UduGxNH3YEnWLln6FB7eJtmFWDfGeTMh+cd222ReFXYEuwKAI2ibE3VaX1pDY7YoMSXBS
JAZjxYhaZXyqsZ+yjWJNOAQAgHFSaGdgfg+p/w24YzKuimCcq43TGAgSFgMLA7uuDO7txG1uogLr
QFXwCjjpEL+UqUeuSkUSzCObCr7Dsac7JWtveJWMzqFb5tJmepipm7lviS0Eefgew8JPmXjFpdh7
asxeqMTKdJdkbo832hn1JYUEXQuL2gz19AwpbG+aWJs2sBIGYluCAe1/bDqLHgeN0M6XAJQ2rheV
74noa/h1RtJi4ZqH+qPAMdWv2smtrtCyAHuxsxFBgQ5ieO9z6pd8vNBxv7k9kYWo5mufiMFSTd9M
CLHMAQlI2NpEgj/7tYb/MscpvGHfkcugvBlsBAEIDa6qTFv5uRkGfJqFSxDQRmZyuO+SrLts7Mr+
MrlDp5vMFcPJishrrmCJEbilrcnZEMSA6zSf4OOsCi1yKNVzQAZgicYfOjdhdsYudUG8o7QZYJ0P
ncIF0uOuA2vZaRqyoih5xExcn2vRkw68YRLXg8xBSADSG9v0FwlREGQaEFg7muNUc4woUIs74O3p
oBP2nG7p+YzfErjvjzhNW1hYTXLvDwh+SI1Bfb2Gzm6/D82UPzp+4d4u4NWPYCwkxbITtGpDlZYd
q5G7+QgLY7xqRh69fVI61VEXlTFSGTr1R4JUhwsv3eLDNMPolXfQPpeETnlrr5z9i94qwAXAoQje
sPsxoCLtEfdEHXQF4QKznl7DsiNn2OLaLgjbALWrT4jsOSc94y1x5kGsS1Qdn4S+ossPRdk/CGws
3zw0Aq+yJG4VZLcVvdVolZ5GG70x7f60vKZH15srJLaowfHnEwNkOeyEwGDT8UYaAK3J2vaTV1IP
47PVYr8nVjRkUuUPc+ztENgrdJ/Y6aNNVeJ/3RhM8R/JCe8fzHy5B0dTPzH8MUhUbNHv0b2oYWh3
YzOZ8BKdgdEYYHbEM/h2mqTtEpS4NIj2jKNtAleHPj6bdsL430d6MdEL7p2c0QI29nVPhyHdZW6y
AC5wYEEzVPG4mRgio/5CXdCtYsti9lBH+e1QTROVuGuIS/xzLo33HmLXVrsWlIrRCMgkQKiX4Qcd
+vw2475HpU9joNxiyXdv2qHAr8M0Z35kDlg6F306ZMd+BjV5HlnJ67dCqwpWjWMlobELSvpngL5x
4AQ+wHKgr5cSLku7Qng5o8GrB7cgDUD7arDvF3SvWlcmrOcOrgMDUEzSxYamAzhaAyptSwJrlhr0
/EueXLe2mBf7/H+4XZ6KcUW1ipvAx0SybHaRYtm0hmkDZDfJt73h07W3E/+rhNgBXXVMcR3bQx3B
y2qqljBflGHAQ1AUuAj3TkaZ0toy7ch7BXU8XeKNl+BrZq8vSXj0jO99ZrRPEBACl1S+af41rhs7
QFFgXinz/tOIXfHJ+dsBw0TmKHAm8CkDsjl6t8By2nwEoy+d29qKY2z4FQpW8UTEsfnQLPnvGyBb
UXJo5Bh129lNSMurbWJm4Vgo4j1ivNP5phtzN9qhvLS/u8D+JgCHKhtxueE6XTO/BXE0D1BjDzbo
O2PrSeVf5e0YYYWQOQbcCQ4Tgz4sAsm2r7PcXveF0zyDK/HHDSmWxXMIoKhb9X6qu1MYcPtsjECy
UZakkoA09xqwB01RQ7517JiWVzX21souS+99VMTMbJHn+VjiiIZq1uhVCfxVXhfmJFo0DOdGZ3GA
jx1j5YVJXxtbE6VStHW0ps3VYp5CdxTn4TcU9s6qG3LcJXGoeHaYA8AZ5+iRh1uG2UCzOc0o+t8B
Ta61k7pxyLCUXGrw0gMylKyfQUOC+uvpJlFWgBBMIqIUh4S7futnoQazh2zSWdGji5p1Cg3DhEQR
ts3ZtMah28GHlz0MtIqdCgvzlB6Ii/eMSzOv+vhiZCsI8Eoy9T4W9KOffU5mRy9ui37TGZ56oXuN
FRekaRSuXUhMwNAjAvBwZIdgrgoyjcr6ehaLuqSg74C1SPhvVjMwqgyR1XE+ASW+luCjcXP5SN05
MdF4JuuuQaK+nu0lprsVk3FteTlud9naKQpFG4TLymaAyeUM0U/sIt0JOqcu5701khX66sp3Shww
9oDLGza4GFAoY+seta31wQpbPJajsOTeWhL/bpIJsdWOkj2emciOtXEYRFrce4at5UFNWEzWDbkX
fFMbVFZ/oej5xI/htCAgHXcOij38nwjMHptISa6D0gS682A4m9rs2NValcjkWy+nCjFPTFxYvQXM
2Jp72AaNg8ersaGQkKZQj7DyhOln11OaocTIyos+qoz+OBKbsGjHCoBoQ2TZJbcDyRVEOSJJdJAi
MKDXpQubxxhrxVLv5mJt60lcaqRA6Eg4qWimI3qhzRY1DenZaCjEoGF416lgf10V4Zw/ZnOQBkDA
Zwbb1FpOvCfylhBvGRsPGA89dSq8vu9w5gSgBOc8SV/IEvbz468Vy386lOCYKfn+dd8JHHPy5+bk
r1/+W9PJ+cWi/0jjyEQ76yDkp8L6o+dk/bJ4AYhrJQ/K84WkBflHd9L9tTvpSc+jUWX6ku/6vTsp
zF+E4xNWReodjSeJEeSnHtPf9ZzkkqL2p6YJdBiPd4aSfZF1Uag5S4H+J1+JFAbJCRn+73Y03UOV
pm25yUcz6V7sgXemVgnA1RIIRTDLdRKMPJQGzZvmRMKFDvau19T9nT3Wln8uWKzTI5GVXf8VN1bV
olEN0XMV7N7HlsjL9mil2i53UePl49GREXJl2EVxCJYgL/WTz0ZGDL3N8enQzJxpN/S+4uCl8Rli
IP2YErJrZEM84ncwTV7DUj36sbcxy6Jov5OYlKD9axEQxlU+JN/HloptrTylgmM6cWq9BlMKZiHO
BDsn67sPn38m14PGP4AOihoRPlDlBL/CJaHHT5iyhuBbFQxnXLrFxlbZbegYl8pO7JCDV57WWHXp
zO1JKmX8sDa7DrIHXDj5ZHIQ1EEtouPohLa5tjx2zNn0H50kfnaaLiAzKGiBM7rjzCXF0lTgwtNy
Qptg9xApIr9lh6Vn8uTAW4exaMPW2OVAJqPTEGTNhS+TuH1yDCLi914bt4SZjv3wNDO5Yc0Dj6nK
Y4YR7xo3eXippe+3uyozxiNkTUylJQTYY8sS3a7jRomHtnXI3I7jnjAKUlVleJwrI6jgLDjiziZE
dkGCjZVM18gzx49UjsmIAQDALDMQAkRuWJtCe52Tf/BhtZQjdpjO/q3iYBoV64iEHhIhJuvVavT0
nrUSCktCgh0ZnmdSaD0QTbYhV4lsvLvA6Anv7qzjlAj7kzyUGF0fhQko+3r0YizvI96WbxRpuHEd
pvTp3iWhRZ9r6qJiZXRB/5J4UmLZmNpiTzCkyt+ovZtpj+oO53HaKUyLUzc04V2M7I+sE2GmNvP8
KPM/E806/JnBjBnvM5gcA+KKNlBX+VgQW7vq69xGA0790hXd3p59qnZcqMSb2AeSrgDgswinmXms
AeRb3+hUMXsjL92EMmbqroif686d/Vd8dmZyww4b6k8M+SnERGmj0VrRbajKft/KIKwqD+EiiX0b
K7ejs54tEGw7E52F2k6lFaRbqCpt9RGEg46OlI+Nf1+PnUoeYRy25gAcI8nRyMm5wqDfWU2H3NBE
qHbFsctHY83ZIoeKLJQUW8xNLkmZuHOCnn2IHVga2G3twreOqH2rU5Z6ck+BrPYWcokr2WBmhxZx
hgWA0ibT6cRIP/Lf6qyJTmEqrB3VRw/zx2vZBf3sAw72IorMJCXHQuaDITTA1xqCHXPFEuJbVuzT
IAS3ZtIox+8LMow8NaO2EL6M88lC9sjxeiqzB2ZBlb+Cd8ftm2n9NGmtTqxx6cFjd7woyTvdIAn6
ou8RXY11+EDzVN5V2RxdmLnPda8iRi+ZprUPUpbnQXmBd10QgPsgc8tH7V8qZ2+yEl4MjHDgcofp
sENDOe0iaqRHEwvVbcDR+IIclu5STaqnpFKEhgEzxxBiEzgjyYF/dgoHM27f2AHAhIDFdDfMikME
rZFVR8r8yZQaVElP0so+zWR/mOuperVKJNi9RYCJ7PFZ+5AC+pVDBMqqtkO5EVCRIMyaxcq0WuNo
5Ylx1n17IzoqQjxHnK5KsoHmZoYjEWaetyIzG0UOMJcHuF16g19Cn5ACBtuc4T1FXoHMpZ/AtBjj
h9vDZ0PWru66lvQJwyR+jqYxqtLeGneWk4Xo4A1xchLZXUzxEL9EU+aDgh2I+jI9tfNHHR6TornP
CC3aecRirwbpRfvZHbEE5xg3kwLYWYqD4i4x6uRIYsWEJQn5IkkZhvHQxPWH5aLgTlBwvkTS17dN
R2WlI0ixgvKfKzKgPHPik0l5hJbDDNagbREUpvl7NPdJhTuST5VbXiAkJt1DSpgzrtcmm5EZ/66o
wSA4qsq2dN6CQ2x5VESjb51HwAUvBLx5J0f29bFXSX1BnXDqLdVusPR0y5blbiuly4PTBu2mcclj
0UCpL8beDc9RFYd7m1L9MNaVep/CXm1FazdHr06Z21uFPjCf//D5CLfwd607Tta7ghjEyywivlx4
qHmcOZSvuYnWeGUSwkUepwH91wmRAQaMNG/qMk/Bu1nOq5UkIxZQ2eBTT9zyWPmdfSNiEtCNKIT+
R0tOC3owQ/mEXee2gsuxVoZp3RkOPTGjjZsdqjVqKavIb3vfvO8V9nS7SAFMmEKsC9gDu8Rs8Ypl
trygV2k/BxNS0NRStPrc8ZuRa5aWxFYWP4/wFTDNwdK1I9gMlTWumnszg7liyRH5CKchfdfx5G5j
2plQPisJ81vobRNS6hjIs85dJOkRKWj5mMer7gp4Gru4Y7ooI4w0zDF3zLZ/20Rec2llY/o1zJHd
XmriihKCb0KO//TfkMdoFPEKwHYt8Bugdk9zu3ZWnmTbiV60jLAVEQs9aOqapm1Dz9jGkZE24F0D
ilw1pNgiVJhT4snYJ5hphimQxra5fOAqNu9NS1gUhsdBE3C57jMz1lfSM9rik/mKF75bnp5w8sjI
7d6oK6tjMzc0XBi27ca8QpBZdG95UyAfDAZS8Fo3uQHnFGOZifOHzC1zyH9EBpk7RtgwPoNeQfcu
h7RYa1lUdx1H/E2ZYbRLA1IWlXIX7SNhrTu3a+dDhi+HvOuFiOyTrAT6HSRy3+p43UlbHUWi+6Nh
TMkl+UbFU6kXByQipOobnTsOVm4F92dMMMmHoPYWn8Jj6VIJJw7yYDupwDNTYZ4NP0rf66awHw1d
DzhHOlfvVEa6Yz4w4l7X9UynXgbTc0sRdiiqrNgxVnI/02kixsxKjH00440IQfmbGOtvZZ8HF7Lw
ujtfE0i94gdy26Tax2GSJuQaMqcFp0OPguwh775u6Ry6KaL/lTsZ8huyMXIGu8F/bNziJQyn7h6C
K862JGZ+01q9vaMm7C5Mwu4QPuowp/Ab0CLVUB6DzRgp635wwmIpu/MSQaZd2mfdzDGq5+BeFLG8
qTn97jzywldiitObhh69u8LhGtIZDmvScewSBpOnvOJt7J2CvHsPJgh8q7M9RSTc4+KA/uTnhyru
rcVxJPWDTLzxkrgMJIcGuHqiEdz+SOIUKRdu47FhzB9GwGis6wX9ptIpXzp/StZ+2OOMsFGouis0
kiOhWokgh6NrEyY5DZ7XW2+W5ou2G9CkGEk0Joao954H2Tjf5sJsH9kZaSN145xzAXUG7DdmDR9t
cUy9VDzEk7TOrjFETwXU+49M0c3dRLoaH3tYvQefzitbeTHEC43POhPz1Z5jbzTPC7/6IuNHBGvH
qM3LuZi9B4J/m5Mz2civgjZjyidmzjG1O8UoeER0dtoEhPJsG919LzAndi7ds1U2k26PVbII2zew
qUmzySCyEaoJxfOOd/qsDPABsB+GDKVfnQjrQzZN5wJfbdV0PdF1ip6bjKnEdapFL2kkemR0QhuC
AfxA5kFSnw2jCqHEMQBsN3GkYTdzTOFVAjIXsrS/CIqG/VwjnXfPojfRJEWFTTxKgfNRXDgRLfed
35PbtsJpk0UH6fbAECCP4vSiYB/bBFWpKI7SbtiQqQtwwDTP/F41ylOiWFXNE0W0hRmuOK/Vx8Ie
mktjAOA8aPeDTst4JqUuuG0bJz0VWYtgvMBG1g0DOQza9VeFT54bvFrOFCRwbtw6PcUuPSc/zkGf
x0lx9PzIO7pu8Qo79FZbxLMjQDPX4KtfSUIv6OmRSDpmuQFBMgqOHsrD7zygjLVZupEfDNZrN4zx
o2iCDPCaCPeo/7wzi6nHkdsV884A/fLeek1+GsPefjdR7HYgnqrx29h6/nxwlDHFlErjII79RDm4
ITJRpVec4r03EEDmfIGmFW6vk+ZdQ26CTvPnIpnGz0g4bH1or5BpFsLrmyOtON4ZgxLr0PSD/6aj
pKB36YRBuHOA1ptH087HeDMFjnukt8r1MBJojGu6WcSGmuTzpERjpwaIRFLXmgNqICx30q8STe1F
oNrZZ7yrjxo/rXNhje7QXk8Sz+g7nIrQ2sagXL4lyDTg/jYVdtjWZuth6uQTxKkxfMXviD0dAz+c
9Itbg5S/RyEjvKtBpm2WcxcnwcUcBECTPGGOYNXrBA65M9Y2wy5bR/5tHkIpJMO2rYEmurkfnp1e
1QRd9CHi9GIGOrglulZ+9p5bVleS0s9by8wgz1D3M+iyDEuBAzPE4NM2UBpfxhWXD5mkh12B/ja0
7UYktFULOPsHg4g7UJD5Reg4wdaedLhL0sC8rmNy8ohHcujBpeqbSSQ0sBmEmP6ce89Gl87bGgDV
PjRC0ndLZMYczmW+aiwfckZcjPkHhnrMWKVtI7M1c+skxzLYoih/yZWLyjw2/eIiVq1xEQ3WuHUz
2P0Z4KcN8xAyVMqm+mAkQ+RxzrHgG/BYhNOWlePTnIocp0SVq4Phqu77lM/VhTm44UdNB4U10K3t
YJOZs7ObBDjQFZ0VfE3L8AaVrEMRmJp2vTcIvSGmVGcGfLxK7Ik66VBCiPA0iajf+0Zg3UxmOW8H
LEA7lM1PPg1o2t2e2CKaVae+ApNJepR1CVvOOkfMNAGi1Eq+BAmepNkyuw+7MvQph4eyG4lyXheZ
tL4bRFSfYno0d8COsamYjUTKO/kAtwS7zUq7Oqd/HpcMrhyb+p0HfucuiLBoNiVXOLy1F2xBMdrh
aXCY41FeZ0c/ttuO+awTXHbdlG5CN3TvqynKHrsoyo4lWUQOc8xQH2HMTzQhLXGc6PVvciiOp3gZ
HVqWyA6dSKGRRl29rfukO5u5lCHg5qZ+JSOEdEYKglIH1zChyiXPGSssB0mXYHfDtWv/Gh574O4z
oeBjrYCQBt31fzqO3XT8/s9/2DQD/3XDEQulLr//0HNcvuF3PaT5i3TQsgULOcTy6en90XKEUII8
ih6gjxLD91wPHcbvHUcDKRt/xz8Ly1oy4xaNxu8tR8P5ZZHFCTqOJgo50/33FJHQMn/oObroNHlj
YEiYl/FqQizSlz/1HFOlE4PH7mlyHZMtzd0WATYUahzzYsTXFE+5Q5pUl65wnq+a4dWmwcaBmUiL
HfTHrefe9/Y9PAU4DtmmIw4R1S99M+iWAxZtaZDjdl9PI32S4qIqyEAIQeIyivbGSDzb0YVt3Qnj
Pe+8g9WFmMS8bqN1bzxV4nvdiw3WnMY6lL69dtsPo1EkTxc8NMrJN75QzbpKzY5DLog72CE+DTEi
fze2Jz9DSE6lGFZSt8k6k/bCBA9TY62WlSi6pgAJtk6rjzle36AA/ZZejVLBOL9L7ITK3ovuYwz/
UT9cNL1x4XCIM4gPcftmwTiyURRdB6kNyyfIdwdTqomhn0kQICdQyMQaFBu/zfexa54agk7C/g1W
t4Lz3M5Eqy7Mjug7YQjMLdPz4JwrHPilOtq0VlUEkzZfSAozpou25/23xDtA4hdltGRjkByw0CeM
3bAY21saNNbEtPOLJNONLL50bG+dGV+9epTBd0JPV7O3OCjm4K53xFUnqHxaktb3LU60NNPnzPUe
59HzDrZAhsHGHu0wiuGFcwlUSla2jsG0DjgvMFi6g1qRcvqUkhfBTHpVlulBTnT3xESBbFg+g7Ek
qel1ReQqkZHwjpn+xfNATuIlfp2LjzQgFcQ/D0GFHxkepl13uWIb/KCqK/cLMP/k2U57pWdGVKX7
xDGRnGgXfzgfsgtbwWWPilwGooO38aPwSZT5RiQuxwD32cN1TA/rqtA95nLHby8mdybNY473iTwh
j0m4+Mc8Ilw7j9zT6IyCXKXcPts9Pch+2NGZ3oxihEjYnCqhsXHpzyYk92Gu1MXolVuzqo82N2kT
qy9UwquAXrFD7w0jw04Qa49OHbeEgeF1yRtDFydB5qW4Mhh51xih2AgY0uMfNXwSrh0SFwMz2oue
wN0JJm0pDz546SUBhVbbVpD6TGdoFWtjA1huM2e3Oig8NPpM5omJlXLaG2CuLSe5Dv2UkSX9i17c
skERInPvJOSaqMGi5RvQYDhLxz6axO4RXgoiguwH37hIemdNuzU3iBRpv7XVA5Cc2HwK8SzSoTpO
Yb4lmia4YdxWHpme4K+YSbc3TmSDrHSKE0e/LSnnXnmrCYq1YlSyoCanAUQMWE+0K/F0GM3hTo/u
XszVtVOLtWuqle0kCgWFxqdv3g3Vc0i0h4DmkEKjdWIw6+zWO3O8okHMVyAI41Fq03HrD1/G/JyY
LxZexJxwxduhyDbkD3W44oedZVyW47Fz77IW9X9ROJrQiVuRYtUxi53VXYzOcK+b9Di3txUPf9Kr
buOl5SXo4kMSTzB8ri3Qbwm+Sk1vGaQFYa7ZR4fKMR4IkwqZiFpJvVUwQMLUO9q1WjFHv6myVy+2
vkKycXKH40L/MIZwj1yeBjmTSEassz+sfVqNjOw3CrjGNH50ZAGSTLstYp40xHyE62Jpsx4LoBAN
j3kN+GRqhvU4f4bGVwnvvof0Urt3vUdNlkLZDFkirno3CU6zLV7cJOfWLte9iD4ELdtV3j5Wnguw
wQf/aWSXhQtIP72ADLUem7hYqSm+kM5wo+A4htwuRTcsqRgg/f04PaBE3uUTzHtA9+MuBpNLCMRK
jzQDFutMdtvNz4F8Z/y0GsjMhIO/q4S55b7Dx2XiJWwoBdejI5w1CMJw7Rf9l6/mi1kaBDjdm/Ex
7vbmIhR27PoBiQsVn3qlWNnT/zlkArJPVZQQdGHOFCv4MvOl5AizQYlzpdyku6J736ziJsk/GBkB
hCbmyg+aG78I3nqeWsb+tyZ2QXQEJrlr1p0C7vGG/oXjUhmIyyhrtwsen+zOJXrOajCwxdcFaiaL
+N3SZZTBL5acVJpdKUIj3oKUwBXMgGHRnofZ29RwaXc1TKGrqqr7laiG9CKzNEf0ziQAgW5ahUN8
NUftXQOkck2gNNfOZN7bDCYEzbTt3Uu7jsdnTyXtHoCOerRLOv44yokuM9rPfgisZ0HX76BG2vA9
kYHIkazsRZWoJJyCCDAXqEFUhhtao862p3+2R5OjCRITRKz0B6eR3wqmXyejVdHRkyYV7xAk+Iy1
vsh7Xz+Gruw2WGaSbCVZiaCIouHqOm74Xj7HdknLBps8GK8nbFZrV7D5B/5wC8mLJzI+N6MgsDSk
jjIpEaoIzZsUT8HEtVPOXUtZumcQdtPPEnblbG1ARTyXADNLDs1jvRs7yEH1F+QvAq4rs/wQTe1f
RAQbzyvpMW9vwwCGDDcWlUhlRjxPsXi0XJoavT5NTnwYg/kZtQ/mXQRrHUHK/AbOzkLhObneEcIO
gWgSSn/JB4zDbUMy89ZhU1rbrtGtvS5PdlGsN9iin81yeKlc6xkhEWF/yOoY/xzjorkparVDoPOs
/IFIFRUjMR3VBs+DpL/fHKqIwRUIMvb+1odgy9ivNulXem4zIH0yDIL9wGelJJkkidFBpiVYdtan
jgbIVyEDdcrrsgV835VPdWjI3TSFI+3N1t4KbbRIF/JgYl/tErvbO17b3Xb/zd6ZNbeNpNv2F6ED
U2YCr5xESqRGa3xBWLKMeZ7x6++Cq+Mei9YxQ/V8ois6qqOrnCSYyOH79l5bg3ic4mu9gpLiTZs4
DHB0643XfkNiF6ztKPRfpF1Sq9KyqjKWRWCP6EUl/laERuigfCshhIBFuwgVEVbFiB6rLczrzJvh
zWFUH7I+RtfLXebGqeIQa+AQtA8UCO1gJxu7uAFOl8/X7YjNf+yscBvXIdVU8szweIMcNcF5ktcD
iTihHuZxlSJCAGcody30Km3vzqE+cXoel7xHGO81dcFbXV+RQque7RFoqlunzd5OaT6zhNXiJdOD
/FcmBVpD14EBUmrtU85kWHctVIkV9HzD31DVQbtXsb+eO12T7O0WiTg1zGbHmijWduePm3iinUZT
QrGLAi5NtXi6aCzfvzF7No7GGLOD1pDPHdtvaHFi1V8IjhcPoOBJ9rO5+40xAqWctjCZY15/RwF/
eLb59JcyYEPqIw/oeuSqtVPX8iafRufg1kN+w0ehIRMNtyrxulUaCVapqHqIR4PWuAujD/kb7Cc+
wPTWQiQ6Swy1KzxgoW7qeNdsxrgduVSuIi6anAcJbiks7bI18uw1C/XsIVB5vhd9I3n1gI63I/3j
MJuxu3ldtOkSfp9lR8E9StZ+HxblmWsUKwqU61hLUqgyc/SrcMpzPQNBo4n43of5OxoElLieT2NU
IluLqnUtIgNmMZd8wuxDAqvE+E2b4vx7arriISRFDxRt3G9rOvGrxAjqFSQCb2OOjrxXmRvMKDsT
zTGI1bLsNWTWKWer0dEC0gX8GzcyqKTS/T7YVdle5FYX3dqJfEN+cF5lzWPfhTghb6ayfg78b2U+
9Vz/u/hAUvuun7Obg8kgPFX0O8/3gqvGc7E999230CGVoazqlncUzro92N9oGvbLSS8PmkcVB9cF
xFnh4fQPw/cSFtEyC0d89LHam+VwV6FHAlL662y4JbXd2xVGVVMy5sCehG9+SBOjiOST0aqHqNPn
AK1m00Xi2oPady47ex/FPxN+S5itIfy2urnWI3ZiLwqzFd3keB3506PQiHkQZDAakR9dNEG5pA6C
ZLtzbxPHRxHpX+Athalg9TdYmVDMNtcNzL/zhiQbVAQEYBuZeeaW9f3Y2c/5fG8xuaT4kF8Nik0L
FBW0N/r40Enc09jpuTC59jDgamGiSCr/tQIChmqZGFsqirmGnjylzb+pNPPBD4fqkIY2iKOGkLpr
5dbFamLeviOyK1eo/rxdBUUGmZaGDBTDPegOkdN5g4iJ3I928IaXvj7ESdtexuGc5dmlwOVTkNq8
Gens6i3nNETV1iCq5wT7ErH5QgZdRwEaVUbahLAAAzyye4SWuTmrRKsfXT+g100Am1NUIWOwrwgR
wAjA07YIqxq1ut43HbXZCXpWi6SVkDut8tpNEesivJD1sLCnLSWT6YlKVLwuNUhvo/EewZPAeqIA
iuRoVA35zKV4xigM3/08ASQB5fL/NFyYE+eKCl7Ov5VU9u81ZIr8g4xr/jf+qalQOUGIJXUHoRYd
Vnd2kv4j4zLVf+iDIqGyBKaz2SP0W03F+Y+Yga/40TB+Osr4HxkXtfD/SIqNlssVAn2X+SUZF//4
RyOVYyDN+MfWaFkSk6KaSca/1VRqNTqljj2Q/JiuW5VRLJYkHfHy9rALrFa/xCZya9jVmnzBZJ/o
ZrNu8vZct8oX9K87T3ZbuqA0/mhjngmudGaFiSI3aVmViup0Erqr1nVvOKIhVX/0yu+5V+CZRvbp
R+Sf0IRu5WPX8EYXdnPZ6eG3UYXNFYquDT1prpzqB36Xty4FG1P1ycZLm+sqTHZdE734M0A/9oCs
4PoeHtBVu2hhRLW0rOrB484dqBkj7bnDjEIBGh5Q1LHsVWATxZeEZ5xZrwFFAcgKjG4JempHTCMB
2yZaTjsm+S7nPhWQeiys6WXElR5H1FZqQCi8aj9BsuLGJ40t9afXKE6ucPzT0iiS5Byh1kqo6AUr
bgsZDWVDkHETjHJCwtunqiLAb0wzrtNcoIRLUuSe5skuDB4GrexeIl2UCMMdMOxiQruEBhTEBx+z
oyhLTo5faJhXOKV0+NjQGVHvUhDq4f+Tu0ngEpFsUOumJ0nmVpMMyFEU4jxQqytrCC4wKcExauur
LOxv7M68wugMKqVZ0ms+xGR5LNI8e54qQgzdYjhnf1MEqmQHgdN0aeDeWA803NdObOpsizN9hj5F
EBVrsrnPOocKgD/d2F5ygKJ0iUjivK4CshC14q5qI+rVFf14X8s3siG1jbbwmzZ415qS4LqcegWZ
q10AKePO3YzlmUazCUOIRUNgSmvtgndl0RoOVBOZb+s0uUyiYQlFEUp9Zd1pTqjdxRV928wD22H0
bnZmttODZvsXdpzflRUnvUVZvoZIFZeCJuBPeg/zsUP2206h8a/BrDyEjkG2jBX4G0IwrJ059udt
RLeCxpBH664EsVrVYhkJkJpYU8/AGnIn9X6WhnXgUPqYxRxGKnqNBFzHVyEdQbI1g43ZKbVxAcnD
7BHDMirdQ1iN2zEk9E80intuRat2hBAgECBoelJRUjTsa9fpv3NWg0abcNwx8ojPVQZPcc4zMvHh
EoFhA5cKBFk41VOVuPe6lhxUEowb0KBzLJc5XNoZPNlJtKuxjZ6hm6FyqspuPZdT45b7Kl3Ly77o
UePQxl77SfhqRe3ByBUBJQRsrUPyb93okNhdCRPf7ndN5JNv35aove3eoAk65KS3gGPmBDme2XSM
yEFz04UaEHoHTvLWGxzKs7DKF+SGwquN2gs08PfS9RGY9+k25RxQQXujUEb5TEXDm5vF+64BAxFw
bdwUZFaZVGbVQL6yNpTICs3XrDPPzDqMUYInGdGEnJIDCkYuW/4qbkc8Nsk6SK5CMynXBS9I0NwA
rN+47ks0h0CUZfTm9/uupdtjhdV1YDfEd0Ymmim7yvZtN6Y2hSPl31lmV0BuMsq91JClgRZM13DR
6o2p+wGYjmRXAUx9SWSB2svwjCfkoHeiHfejTxoCkkOk7JkvLovGFctxENlbTu9x0WatXPWpFe1s
baBWxf17cEkuBjKTrYg0uLKm4TCLz0piadENgZnqjGzNRCiue1e7GIvuok7cH5PqvkVR/0Ae4LJK
AwQAg/YeSpCkYarDkvW9Kx8nkj2Z53Y3XtT4CrnujS3Hqgj/n2MxEHFkdRPrC8xH/RkOgPRgjvgR
NKddhhSKUtBVqNOvA6e9RCXHWqD7ybbtQ/Ky/P6iFc55HWvmqgBMtp1cfd+mpP7KhrNcSWJ15FgO
sCfWr8J0kARkZsqpPacOwTmO2L4BH0KGRAPK86JWxBRH9SAQkKjN2GV3QiXPcXWbE0qY9Zo51zqZ
Rzaxf52PDC1Oxm9egvK0Yv2mCts8jNKsD5pvnmf9tJ7a7ByqUa3jO4BBR8VzIiDY7jdtaAr2h1Qt
e2Mq3vSY5XOMJSdzGVxpBbkmXdLU1OqCYF0kDa0B5V/16XczzoCD5zgQVDxeIlmS37u2+BH6TX1W
GcFsuxdbbALbIKf0zVUvx2K1gFOKm1Ge97gHlBFeEh35gDFGroOOa6UW70JK2alAiNxp1OElBXa8
K++jcrhd+8mFnNW1psxIeSRfCe55sYy7bI05biXL9hA2zn2FMbVvvQsZ9z90o1xOgNtiAdcGj+6h
8PX3qk7uDa7gFEorsQkqJlMuuErRVcZXEpD5FiL824BYx/1EqbSuLWNRDmW7DQIX8GjVwhRv+1u7
05+HkKO2Ql/lIliLdcoTmcEC0Fux3NRaEh9clx0IytBzqMh/X6jaMM5KaiwLvXGY6I6Hzqqi6xxp
LbzcWupbM9Omp2GaHimmQFXvcVGRn81+RbLiOmsECW8Cww+NTTCheRC9UrzvNjaZrvyDKhArNcxX
Jiymy0CG7avOvXk3jX281QK7feQSMD6IEaHk6GbpjR6LtTvC/KzEFTakEe0iIXjDkgv5naXZpOHG
9bdI77hxqcesEM0uR9a8CRpElX5P6ZLUL1bzWBGonUBVJFrxxa0VpaECyZiv9ylWVCLcXAi2hLyC
c3rva+7gnuH0tNcFGSaj+B5F7lmXKbFLDU2/K/3m0Rwle5m69VR71vSd9WiT4bsUlXawfJNGjzmz
k4wGE19pACmr2S2TuGh2GOWRmkIMjglTpMrTZFRPXX0GsVGbxD1McxYdUEmofbo24ZsZMIRjle/T
qF9QgoHmLx7IS90TsrvIgFunJZTYvnY3o2fUG6jnWAqdYks14Ru233zRIuFZkDW0gGbaXzWWeRY0
8/so/VXBNSgmA0Uv5TqKFHtmvtdbDVIknBsC/gqShJyAdE/TehlzrM/jwN5a7fpQ34S2fY+9DAvL
THHDMefiW5YRFSG3U9hfCX4PjEuDknFGyVaAlY9kRYfCfDfpY+XmPtMdKEgjIfGYjNDVYP3zs/At
AVI21VRCJaUFPLPLAuZdjhFckdeTeu3WQ7SZl+ZZ4tRLjl2bVspzbtzOmeFW/OQAyzYhSWcrz55u
kSdfWjl28xjq1xkc+PvckACzZS8oW+A8Klsy+AxJmtvIhtaM8qrFplQI/dVXEgAf+1k9Tj87ZKAY
+KKNAIzsZfU2QfxvhSaUx4wjX4gcd0LrUbqk9sl1ktpbRGOHsK1eq/pW0/u7wparuPZWhXWX58lz
V/iPdI/OYNdtOlBgk5bswTftVKlf0pBa4XOvVnmUmKuhB+xa6OFmqJGiEzv1M4+dJ4EWbV4bYlk+
Q1J+h7p5ISiYt+RX1wQ492aLwJC8rRhNWVgg7O65yaY0Ifrzzu6ep3I7t4ny0uc0XxEm5e6t+NKd
+hfEO/va3+s2MdbTTT64Fy0NAps8Uwf7WxVUe6mXvLwdYCeDhSwfqgvM3jQf/PaAm/S75KwbDzEi
QlpZK8ILXk06rrLWCKk9NFPhkTdcipXrxHyvjD9m1CWNCCY2p2l7P0rFico9UOm/yq3qptMEShX/
IOm/URy5FkO6nqpbqyblTk8HorWh2M0yF600aRWOq2YWq/Yam0mpz8GYKti54zO28Y0nk8cwTA42
B1VRGxfKVJSVgvsio1cy+aG/HgkvTehLJ2F7TXn4mYzFZNXlFtS0AFhBa12BJ0cds3K4qk9DPa7A
RC1QWu/azH1oJIeXsmnPx0pHB2JhNbG0m84y7sviSQ1yP0j3jZkUrtKG/CE/z6i+4yDkMuKv+6B/
BUblrrGXbszEtg+Aqa2zrCDabDAvo0i/7kEQpPVIR7eWxFO2fYw07F2Gc/2jHR/wGM43imDpsI0h
EV92nfs8cFai/LPUM22fZIoUjXtLybNCw7Ei3LBeSru7zcJuBZz/iro7VaH2ImYPDDSq53bHFkCf
befRpQHH9Nx1V25SXI5+dcDRcecSeYUf8gn1Mph0CIM6VXO6XMV9O73G8nsktPfJugg1ca3LNaae
fF72bsZRbOupPeRla91UefRjyEM61uIhNYRY0iNZx3aDaRL5v6ddij5cx+g6Tbtbj2Hx0zXym8Hv
1nmBlFu9U7ncplF24Yf09nxqfNj5UKcQe1J31jmbNre1aUGtC9I4QenxgPLJIEgsVItwkj/QH8XA
IPOdllvmsk8UHPi+PiQzTNJER1QG26qqXmJHe6wKOcfLDRuho1QAKU/zl60hSfsdKspLUXEkhfpK
m5lr+iKsMYrjWwIsm/VrTa8Il+s7qrFB8RNDyKIgOo2fSb+NNcdZK4PVHCxfs1JNb+1wgVJRUyTo
Js43rwieCyrA9HYIXzHMy6IsH7opSbFTZT0YODqLxKI92PB5cTx208qyIjqB9l2uEdOUNfH3wOQs
aTl5ecbJ9L7rxjnJs9xRggNip1VPnVc+p3FG+b6mGEvhOaWxGL2lXFqX1TSQCprnajO1yLdDR776
fX6rgwpcGa1zDX4CxZZHiMqY11em3h4mX17GNi7aKEKRNlUlb1Q9ibXnIR6I0NUvMJE8Q8hEUlST
LohPtSeMEaNQXg/TGWbgZBMiuwIMji4scAdo5HRUYY7r9NnG0Hs0DP9bUNIX4n48zH9aexWzEuN8
54BsIsPixyEURaPqqpseDZ4WL79lo9HyOMFrlX+TRM1y6M3bDK1BIN21F9YFGVj92s3Ld0sZ1wmQ
PC/JabEpD39TAh4CjL6XHVRocpkg9GKlnFJbgbsgnlFioZJ5qO7Czg7WPNKB9WE3mgTtRT6nlSEf
rhsPGqMvO2+PxrqGWFwQAmK3WbYp0qJcRCTeLkNFOolJUjzwjzJ58ZwBdSewCa5obz4CckePNqPN
3IjVUw5Ym/TPjVub51KkP+HkL6wxfQmwU29zYoNZpyP6bICMX9D6P9Au2Wm25OqOn2Gq2domQjjJ
jtijGKXpBXGWo2mykKxVqypF5kIHstBsXPyscMrIv7VGQcbXmIjZ7asFO7aWVFPcPAyPzU8AZhph
MqrMCL8bUNPXQ9wlZy536zO/oQZDswdIdVcEc78iUelan7oE8cBEp523j9XDu4h87zDWlrWoAEwv
/WQG+irzofWC19aNMQ0aF53KLm1mIjDA7z5TLVMaVfharYwiXntRsUyqbBNkBLf1E1R8+vhAXz2q
MGzLUZrb8CHJiMWatc5ssmhafyuN/sKvyKmryKMtDG0g2zAEEyCyC8OwwM/S+Dezc/q87zZl/9BG
NRxaW6hKF3b5mkjvHm3Tddd3MAnQZzrmuaraRdcmKG1+SQLqF89FdpOkrwjoL8mSvkjGZx/FRp6N
N5ZNr2+Mn7Ss2GOv2goObXAMlqkbnsPCunFyoCIhbbFKIzBQ6/d2Hl1bYDOKur32u8dyiG6jwoGp
M01kABVPVBXsneJIzIExB3Sy0GxKBNLyN4nfGJskwhpAS/6898rLFm10OiXjwRu6q8R0b3gtEROR
I+OTwTFp76CnFwiHHvugnLv/+UWYhbfxYLqX3RDJh7KtQDvkEyk3tLzDxFpZAKETmDq6p7Hu5sZe
i3SF5CYUi166F1Ed3Xc1TIkJrvx5Hcws2CJYCx1nQpyV5A+aIf6e6W5KFFzUNl7Gg/bYZMaVP3hq
aeYmp8vJzpA3lU9+PI6oJ4xbza0rTkTJg0lOfDOVlCASGgjYWDcxrIDYNyxOKMHPOq7ynaf37iHD
4EUpJ7LaDdasbRXG15hu2BaB+w/tBvfKgw2CwnRZObs4HS+8Se0sP6CpA41AS4OZMmzpPrfEKDwz
dQ45ZoH8aS18fxdMBOt0tkLGPNxh03sCoBH8HzTyv+V8RS39fxdIrqsQrOH336v587/wX082WEgT
LqlrOjTclTt7ov8p5lvyP7ZFAd2RjulIg6rb/y/mGw51fhehgm6ihLSsmTL5X33kjAGUtiFcMQME
hW18xZH9EfsFR84xDHoFtKTg5PE/j1hjEFFAt2sOjAlHMze9b8g1c7s5++1pfEL9+9gt4I915fwX
48AowIR+1C3AMpub+F4Ii4yT8qlxk2GrqOFQumwDvFOU8VZ/H/AjLO/XgBZSexsokUuxXBxJPodJ
lamawFwPoKoWLmjWXRNiE+LyFZ0Y6o8nCHgLaidfD6Gp5ThHQ41jEyWZlotFS/bKS80ReelrRfDt
719o1sP+Zpz/9Y2QEIE1M3iEpjUb+39vuODT8wMUAiTNxm5xnSkPHZ7Za9WdCeB+GSR5/g5UuwsW
dmtam8FQ7SYx6uyppsW0sY0p+RKO8J/PY1k6/+EB2+av7L/fG0BW2Oduy+fhkMQh01SehrW2qb/D
/4pOwAI/+TVtS/AXPB3mkjiapH4Wp2kW4Xuq0RpzkMZHA7JKrEKVaMbixIP+ZK7aEDbxZzqu7gg1
//+/fbGe2vqY9wUCxJpQDAMc4DcJqG1d5Vp+EF2XX8eTKM8DvSErvTIotpU6d7RwFt50WiTB9HUe
XVcz6i6I5Bs3duE1X+Lo/Xr40jCZbHP0ownn9eNnHPmhYfcjkiSHE9SM5Zec3fP26zNbSp6CAlNq
wY5gCfr9SehZ2GIEjqE9lUiZsV/YSEQwvJ544vOH/Z+UyH++jLRZzWBCSJPTw8dhaGNUqBtRXUjg
Jhs54SyP6GC+5WOEWjjFZ8e1HoeIK0zz7sSP/clbBSoDDiTydOaWMc+8335s0y76qPHJxcInQe4O
pni1dX09VRsIDMaVgArDxbUz6W5KB+Gk71bgsaFrcEeRff7eiTr/+lNn1ingpTx7xfL/8SP5Tkb8
TQyPx0mFd0M01kClzklPrCefzHJHOGASBQ1hxPH2x1E0SHCZTR4WGhwt3fbpRCtGDysba5cU08bm
fX77+7Oe/8Sjn5n5aoAk4csZbAMfR/TKhCAAqhfYbEk94zlSJKcJvvr6KC70XIMt1aUVfrRMoiUy
FMVre+HiAsYnhO6a+5ez+RejAOLFoDBvbM7RmzGlYCOHtKQHUBfdtZEn4dopp/Ifu8n/Suj9ZNkD
xSktIaEV0c8/ess1czKSImVn4WBhnxkBBUIPHDmVJE19/Qu5vAT4oU2dAOLjRY/rUSG1JhVUb0Zv
5QyxtyKPLj/xps+P5WgKuLrF0YUJh0jheNnShypNG71hlFqiDNdpG4ZGvLZmfFZl3gVjiK7Y4tYS
uCcWzE8epWtgOGEPwaBiHi9ljqiSEuO/WNg9FqNC1OmmneBZmaTznNis5s3o+EuaQpdIJKBGGPOZ
7vclRaWU9Wc1MAkY+QaRAipvSEwBYe1oFM3zsqa9+OXZiA4ENI/ixMOucLSACjd3moYARm7amFRA
kNQr5Ir/BcJ/ZTYSaormBK6ytPXjc44p03KCaWbTCOisbU60KO6YtLrs29Y68RJ/Nk8EmmWAnGzB
mIM+PkLfTvtO9pqNUUP6O9d3zF2K7h0Rn2nsI6Jf4TLGyTdwaN1GL2z9xPCfTRbBvmfxLJmo8mil
yvPGzug/soakc4WXDMaDdAmWp8Be/IvJQhy8IyR6IQ7zR4eNrNcnSNkdP13VXw1edksliQ50Nf2U
XrR3sAieGHD+7B9np9I5JBn4S7D56VwePszONmOFdDoKDr2XWtwyPfMCoYFYf3VGKo5O3Cs4nzjc
eayPowwxtiPPy0h7gfqDSagxNzk8yP3fR/nzd2IUcI2mZB1G83Q0iqiDbELUgjMpL+VdpAfuW5v3
zY/Eg2J7Yqj5zzp+bqxdnLtdWi+mOpoTZhxwsQa+xG7SKx0pgwPVBC7TROiJ0Ykrmu8tOCOnp9aa
is6q14K/RdqIBp5QdLsLXyaPP2UhIYZmi77ubHKe3aH5GerEYUIpQPq7jIw2hSJopelz3Af0+XW0
ON0md6vwMBI7EK/MpustrEda+cMNMriFYaAjxlS8sgPCflN8A0JAoGJMajyNw9BOk00ThuLVk0bz
kw6rfiVEFj3mTg8NqSj41HxeU6L8NTL7W5AJjvRN4mb1xucDPwMIIN/IzEKxd+l28RUpmROTAyOX
fgnt9UXv1hRV0LMAR2otMaDPptnknP/9B/hk3iJ7o/0hkb1xSpznwm8HNaiVKgx83Vp0tTAPaVu8
OMgldn8f5JMJZRiSVYewcsXyfbStxziPa2UAJYq6eLyILDKOnIJYnTJN6lMT6s/5ZFhcneaY9vlV
PJpPURnqFelkJMUNaXKGdACLMQVzf5V21DJPbBCfXB6VwdbHUZ6Xntvj0Q6RJWaQ9wkXqEwV6g2P
P5awOCnc62ooemS5ZQIUQIE8QKilAw6KHHP8YQV1SH8yjm5gXTYnHvWvk/XRC8WTxDuAlQJt3XHh
oS0sPPYccRdFYybnTSHreunBW8YW7uLMgSTqHErBbEOoHSln2df+cFl3GEdJ4Z5Qh/ihUOjYrIx7
GHF4UGQHRx9PLJd/bub83kQuYG/FxUqp5uO0yx2wctnAicUrU/O1LgkbAtYpfnLpN9/70ZCXQE3b
969PQw7/3EYsxYbuHv1aMBRCHABUAotcWPTYW8zTemhsSWbXLv8+1Gffz6GgoFOX+kX4+/j9YiOK
uF/NLsiAi6zuECToquGGsEdYwtGlwoB+4ol+9o45iFotx+YCIo8XUstLRRr5c7mEaNBtXQhzTquE
49kOBLL//dt9NhblJpicHCZcYRw9yIwMRw5hNcd0WCQ0sDS5FL1V7LUS2+K/GIqpjKSQ4hzv2scH
6bDbgZDnyDI1Rr+F5cDsSLi5Nbir/sVIzEXaxLw/rn206/VTOkZjxz3KHnVrQ+d+bnQaTrTJuZzG
Jwb7bNl1YS0z+ZU+L40fv1agEBRnHgsSVJ8YWpdNShOX5Ne/f6VPRsGXPQebOBR3rOOLjuGT0WeA
msflZqRXcRXneIdqCEH/Yhi+B6wLXbnCnV+G3/YQFyJeTSOVoiBljV0WmNYe9vvXghTmcgbXKDkf
SlwuuvqvcILfRmEhowKmW7xSTd3dDK45rvzSNU+8uPPCc7R8mlynbVztXEGpCX78LuQq56JJNHxP
AY0pwD8/PaO9poO8h7YoTzy4T94jViFr3nnx0FvHYu9owtQywBhbsMFYT4g7nY2r0x+tAvPrlS1K
qVzedW4aNuEtR1vwYGuOjHr8W0r3nX09DQ4ij7o7cd395OlZhI5wQeMsN79JR08P7HIOLZIaS6Kr
raNV7W5IB/uubBzYkVZvniiW/lppjn4uKmgSBoI+fz/9aB8ZUHchYOZKoReZB0kpA64vDGIaNQrS
N1NhTD/CeDLu8LOCYOz8ttv2fL6zv78An31ta36/mJeAq46vppMlB8/jiLcowbBvywj/n4pwuuBv
iZaj1/Tbr483wx8ck9eB0J+j9TflHQFoxrf2Kz3bVY4pNy5K3ftm8qYFC7Z28/fxPpmndER0HAk6
tRlDHi3CVTdQDP9VJ8ZNuHFaF6Jr56PyUPLpX4xE9cykVKIERemPEyiMUDcp4pUXjR4g0RAG5n1S
MC+Stuu/XLpQVNtIyQHA+2sd/jgU6bIazHne6VK3r2srUw+aX04H6QynujRzZeJokrJxua5Bb4lj
9vFiLwIAn+Zsf0M1El+zK9w5ShvhNmEDXwSKJAiEWXLbIzo8scB8sgFQ4qLGNVf5FTXtj98Ro3gf
01wRiy4YnHv2Ig9bZTCdmB6fTH+QWmxZVEu4kzpHbz0lDdcBFcgyhrh84aAYVSWnX98I3muv//oC
Tf2CxZICgsNR/+iiXVoTFzOTNVP6EXEDjYtxIIhRg0R6vy6oppyYJp89QjotcyeRlhftvI+PMEHs
N1/pxCKuyuF29qSe9W1w6o3+bBTF5qWz0lNNO97cOGwlJL8y75MpuI892a776OTd4NNBTJ0WDGdE
FsujE07qeXldetxDc1QDB1m04rLCFLX++itM1Z/qKt8GS9TRnCNevjTIISBsg9vsmQ0c+HwAd7bC
u6P9i+lNLURYtD/p6M4cnN8PHrgDJGczDvRIDSOuyoO7j1pNnCgXzx/4+PXlFE9th24cNdaj1baq
HMJ/W2YAHMVw68Oyw5ar8k1nTdOuL3NEzlqxr/RfkiR5skLyyeic3jgesG+xfhx9Rz80UFvqHa9w
GusPSVH738PWNa8y8pC+fIVwOPZYVK9Y6hVY8o+PU49wQIy14LgILX9Za2F3F+RtQhQwmIO/T5I/
l0SGov1uUIWb19+jHaUvzWAKxUTFGqZZgERdgPIuS/EdhL4iHmIulpMTO7cMN18emXsLB2IWECap
cfQ+IzWapObUIN6Iojoj8DW6i3Ph3HMHxUsW5Fa45rQXrqaRNNAT8/XPfZQLIQcw2jR00ekRfXzA
LrjXMeV2sWhCBIXzxWzboP/ajbmaTgz157tOJCaHEYsboZL818ehPM+pBI4nizJrq67jrG928Ny/
vr9wuaDlRKcUFiqMkY+jUGQF1Y2qjDsTxgYxCnzBrnFKdPDJdzH5zTBGzusKDdqPoziI+lmYOY6b
MJq3soQqZzWp/uV1y2Xqs4rQd+faftxEETJPLaNwrIWXTvraamCRuiNKzrq2p93f5+C8IX5cURjK
tKmq26R2/FE2GgOzT6Gp8oXSOvzmEyx8S0pX+x3Ck37DGh2su8A0vryRMShNSTYzGjUszh+foucr
uFDVQJHT9/wXAmZCDIua//r3r/bJb8UxA0kKaYqOwaH84yjEhdghie3MCK7Rm3oCZUdTaFz9m1FY
krk+cec7HqXICWCKGkapsgjyl1EgYUiT6cQon7yuLFDz1WzurNKb+fhdah5PEDcmUvy+m9aULacl
uYvT0nCs/sTS+0nZjtWQi6DiSMMJ2z1ae3u6ZkilmeOlyks4H7BM1pqKW9hXHCx3AzvAc9jbcl0b
GgmLvZn+4KrquniB7OqMsGY4pZXobyNAJatejPaX68Tzau1K9j+K9O6cZPH7VlvJfLQHzsuIQdt0
a+cggWojPLVq/XmSZBTeBwo+tEt5mB9H8SvPC6GvgozGdPhoKZWdxzUJEstED1LgMXZ44if+ZLoC
waRSOg/KtnD0E49O4/pFyU9c+FI/9Ik1bQIRjScaKp+NwmFoLihwa4M++/FrmVhW2imUFvgzEMt8
jCciIk69eZ8Uo+eFWLizyoYalnF0DB+YMqNo5i5GXtikeDhyJ7Ee39VVg41RhX72mMakx1dphrEY
s+APaP0ttJEOWgveifTEKvfJ60OlYVaKUXuixHs0ZUZIYTEIbX5MLpe3NkiFs1yWzZ3dTOaJTf2T
odh8qN3Ny8Fs4f/4gO1E+XoF4HURpQ0MpqhO9nJMaojLXnXiRfhsKMpQc9CLDbFbPxrKwmD3Twuu
zJ3y1ZFZfTZGHs4xwBDRiU38k9dBzOd0ioEcyihzfPxaLeBgDyEM1Q3DA/E6DdElmBvwFp3UNvUY
nmrQfjJP6ZlSaGXNm6+FR7+Ya3MDcYzUpirviXWE23or9bE6sdYdP0GemeDCTVQNxQvqrEffqm9E
2Sj4OrjBaASVODBXcAPDb1GifVVDaOmGPqsTKPfzU5nHU1COtP3qOKHhTdduqcV6tB7qpjjxM/0C
Xf6+n8/DUArWOWYZdJzV0eKdAWrvkL/PMkzE/Cms1DZagMdeTYMFbVqtJxdkWlxEC7g3G9f27meE
0+RXq9TMv/x0+Sxs8VTlwW7axxUUMxk74mlo3kKex1Pi2ybbPI653LWaLy6es0aO50sVBVWGZPn8
OD17id0kDVFkOGkRnbsyqC9qE+3/1/b6eRR6DTRaf3XY7aMThZUA1w959RdlLYcXuOj1Ywk5/cuD
MCWljdSUMyYz8+NXGcs2KNpatwkshc2Ala7GTobD7IujzPOD6WFw+6bwJI+2N7zoTQY1G1eC5ZRr
ybn2QmQ4HU6MYh+vG5QEsTay0ZioLbjizO/5b6Vykwzonqa2tZCInd9yFI0vXaqSFyANJKJMpip+
NoU73MeF5363eqP8DjMuoi/WR+TpweTBT+uRAwoxM1fjNQuegKyNYQrk26Crb0jkiTWRYLurM9za
2s6f8sLfqrBornF7q2GJI8oqdpyBsz2YTwjIcuistzEBar0O/VHbZljtjJU2jVa7zHhVaopj/4+9
M1mOnLnS7KuU9R5mmIdlRyBGMhgckmSSGxiZTGIGHHCHY3j6PpC0KKXUf5l63WZalKmUDAYIwN3v
/e45pi13Uw21J+5tuOmZN+LX7PxMvTk9QopdXU0McIhRI1ljDQmPVS+ND8n8KbF9CEDudrIZPdg3
ZlWmGTYNBgaOYWKYPli6wGbyIgKND7ljftGu1Q5b5bXeNePBZZa2xD+yr+p+gUdqzkt/Mt2qY5Kk
revXVg3ZU8hA2sxw0pJf6r5zfpihsj7EaMPbCqoOaL+srLo+4EJMk13oTQpkpl++j6HqJhBxk2vt
e7xbjDsWCe+9LLfb4sS4SWVve3Z26SFBRi32TjhFBuAwe1mh86KpcTL6TRgL4Ej6ADfBSJ8zximY
IffXmd400tUNbO6pgAeb1y3vbowLzPIYvYAm0I0fwhTWC+LCTm9LMIwd+KIm+uF6IAFPTMMtvzKH
gZ6NjPCpbHm99Q9eVpX3LoxyRqiTqf7JtoXJiLHo2wTUhodhXpUi6LYe3g2wUGHVXWzDcRnIaIBw
Tp5fvpj839znSvtHaZR2T1Y87Ib9ogpItjpKeP1Dr5IYJ+sFLymIM/5iDVxsNMOm6IyV2+9/MsZk
v+gESMUxHcC5b3TQTtBQA6/7alJs0ReSVQsQbsdwfqRmaU47uy6S16CDVH4MLJE9Bpq5NZGUDu6w
IYLp4vZnc9YwaYjNbUbmCN5nI/FfKOFLhqz9APiG4aix3yaLU9ACyrux2zqFNtoNsbR6OkgqG18w
esqcoepx4mYP4ZzwEuyNT9a28mdpJqsZYOiqYRsS+ZiwJmXjY+/pRcSdYMcJUaFb51YAm8xg49fy
GKfflfWQ6uBFy7ZgEId/zwjpVNUHNDLTbQOyTm46FRXHyhRVsuHWA3oFyt2KNqhopy/kncEn7DaP
tXsyGeZ3RJG9ThQbmjgZ/fYetbeLoddseyZkLOb9YYA1wjU2cyGGbEe7Yrntw7yeruQo/I+sz5mJ
BdridXtVoszZtcon4eB2TejfFmAjxqsne8f5gWiLYVQ/nFMehq5S6bZxixoyrB8B/TVg+jRo70dw
a2uL6sDoBMYcAgg6eSscaWLXWDImqrTRw6Z0V+NXOnXeAgIon18rOXctdJ2yLcL3bjGWvQVPBGKQ
X4OIEyQPG7p1Ur/1jOIAmg7miveDapBflZ7I5EYi/v45mJN+ZGa0xRjBtTg1ThHmhPpkmJ+FN9hL
rCzmwDe1qFzIty7bZ/I60Ho2JsMeOJj7NA83dtMrQhQLWtdbLzNr61jkQ3Pbdn3db0Ag8cdbKve9
rn3zife/fBcKwQMI1M47ku8Ta3xJiDehZ4b4HeavAPRnNgh4Z+wZVEujUV2LuWA0dmLocnVycK5g
ereaXjIcxfd69nO1mZW9wJCjRV1R9159qsbYe4Dh2n3qBtWHlbvpfZl0TOmBG2nRpU0V1yQ1C4BM
M8cDoB9J5kKxWMI2Zfhs6pKdSnPnqurOtoEULVinotlGk7bkczTGirBveqzBUs/pblJisE/URau0
YK6wGX/MwFYeUgzDDJ1kfei+dFBNwk3hKes9sVzrvR94FZwHC8bPh+8jEDBPOnFodQrsaJeZ53fc
jk1vvxmW1qDs7By2IolPgBDotst76mncm53Ty3xfeuhPN9oK62TTRZV8yMHNAgVhJhKnqOR0szpT
mN3DIzrf9dHClKyn2Y6uGNBu2uGSdmF9JOJHvgQmAAZCNN4ZFYz+TYRrAZGQOyPGuIm0xuvQ4F07
Ia1yn+s6FqL3z4Pp1N+MRQt4v5m3nMtSQwpoooRxjbXRZO94NKBuDpznoWgBsXM2EXOa+Zb58PLs
ZCvSomvs8OQpw7TixuzMd8YXOzcujDn8NDKS+3y/qfotUFSoVc8ENVVS7AZqWrske/NWzx9Y/bJn
5jNVvRmdEHxrygNFLbyqmGdcFjiC3D4VOBOix8HjktM1DwZGt2Mi+cnZMcwSTI+JzXjjpsUc7Tzf
R6k9Yhw8hGRxmhgAKGePpR7yEyyTMYP+UkuKsxCWKc1Gi4Vy0YjqaTNOCZrpscwflJXDd2EJYyZS
hcx+66iLnkKzrFP+kP6EmIH+E8PETNtbO5dX3oOYcgs6SDkId8umwODZj4KF8UrTMm7KSWiI6gs4
oaNXZNHDkujJ3ZplxzhjNfV3gwpcGKnZAlSHHDzu4Fb6QBGbZdo2AEraX5aTgYlyqeLruxmzonOR
U9km1yWxcNHBWUuCbzgbDNcOkwjNq0UstthJRkzc96kC8Hrgtg7U1RzcnHeHxV16sf0MW5lY/Mx/
hFbJuy/30UTtszxx/Z/SLqcZ5bAxdAe7r8hU5YxEY1mq7Nl6jKLRsw9GmWT2iSNPOzBByADj3srw
gOxhOqYjoPFq/OiFGgdctIPzKJYECdJmqjOXcd9qAmGYAI1hXaLI3bxhgXW+/3oT+S+HNGs9opEV
oInPce3PtpdTlpLX+cwcwzzCw7ThGJVuWl4Df0zv//qj1tPRP52e1o+y1soSgbC18/DPu1XDsciN
OIu7CUiZsi75fuz3Dve6q6Jp32PlOueptE9SzMtOyqHZ/fXn/9uvSmiBAt8ahPwzQzBi/CqzWnKM
yZdo3ynPecaACQSp6rv/oe2xbrz//Kp04znSY8xGw/DHMSMrmxaGKbHkNqEBbFjufOiEmv7DEgXb
/5Bqk8nwD+0Vwm5/XFDfbJJgZOWyJV68ImD3NQyuIjQFzuOvr92/+duR51zrBcSY6Db8UQ1ZMPks
aiG+WwEBoJyNxAoICQPMYeY7d7zI8n2xiOwCs0uc8bmEv/768//dBf1bM4fIg00B6I/Px9oVNGzh
iJSHSXeAe4zc2aON+tef8u/uEMZeqFowOkQE6Y/zvRiwXnnR6G6MHtKeOxly5wZsLOYxif7jO4Ti
PM0MOhBEqf7liNgrdyj7JiTakWMFXegKXHzphb//+gv962VbP4W5BlY2qkvWHyd3K7DYwVBx2oBO
aDe2Bmg1ToX6Hy7bv9ZFkIOYEWF4/sMI7Dq6+9/PoXkekj5I+RhDVuOV83ewK7xab0lACyPupQjv
JjnBp571dOeDW9q1c1kaG4+wySmUGv54m+a0V6Pmf2iGrI/APz+IdPJ9ik9ssdc46B+PSD130m3Z
QDNH75sfqfaMPXgudz8kbNFDZtQQWA7w5f/zy24RD1qjQlRq3T/O/0k0Dy1L6vqmQ10scbGxdKLc
+H/4FGbuaMnR68cs/M9XfSqHUfHmBJTX1OFe1uOraYLV+OsP+dcSA7OpFGaYoWbqiK/zzx/CgpaH
qc/6QH4fZ7myhp9NC9DNkmXwANtq+vuX+v9S8v+1Ru7/7xPw29+N6j+q//rf333+66P5r8ffYvgE
Bf3fR+LXn/APvm2A4oepjcilX0Vtbh0G/PtIvIX8hxf0GrmmOMQCxL/5hzPIsladkE0b16ZvQJWN
h+EfI/GozYkBkB/16BqGLCr+fzITz93xx3O35r15EZBjYNFg5OnPguwgi4C9dHWAilKnesPsunSM
owJfvzMM3z26vfnuS1RepoiGd5e0atyNvrpyTGhfrUBP1x4HXI1kCFNfmljRS+mCxuzaPokXoWWM
WNA/8KKxsDiOOZCV3vR+B04xn70aCc3ffuLU5XhkBnRmpW3Fs1RZv+mDsH2FhaPy0+w2lK4GMb2k
nlC3neeUjy7nq1ufFGGxCVvBvy4Mjj5dX1wJzfvPSZbNL5NGuqEG+eXOFj+ReYrsBOg8OAqlncvo
gyEkLz3F5jw1uyipmksFtV8mlUJoXgMm9YavAvf6HQjrKfaxU58KYZpHp5JfdZoYr3lTqyvb/YB5
lqB9NaYhuMu8FEhjZuhTPecB22Ehv3Mj/9Q1zJb1XxojP9Ek5/DDGMavDjzKjRZRdZsydvsyjnz4
hA3xuzPy4JiDmjmGS/EZpFxAjNjlFWLLAmRu/RqIPfyjyLhOf/stQyh+V9PugrtxFl9oMT6DcpFx
Kqjr5XIlb1MIOjYUzePUUN63W5jtazS4/bKl/62uA67iI7NG5dWLkuxkW9kUq4CfMAXeN39VsKIW
FJSTaRgcOohnWAfAjuWzY3KZKSmaEGux7uQ1Xztdf3E6tSWayD7ZDd1cXmmWcnxtuePuFt/mmxj8
+l4gzJuBSi8iXL+CY9BnlXnUWQXN0OIfbKwOnQEqJfurHviZWIaStYxqUB392x+vmxXc4zYoD+vF
LXC+weyqMQYKWjXfRVB9dk3FJzrjV90XnxQo7a3dee1pvayNoxiDdvnKiAWtmOPU55KaGFcMPjSg
BfmNlKf/9tw0PzmULI/VnAVHKiRfWAL8O45L8x08QfcdMgpXMdR3pfLG+2Y2IYBJcD78T1/MxLy3
qgQqo+5a+4Re3kAjP3bVU0/fBRnUGFwN5N03lkryQ4AjBA4KDN8XE8Mb9OaeSSY1hzshnfC2Ztx0
lzJbpTeRM7Z7UiAGeuDRu+uYHNyZAs8cUQPnUjZQcwN76N/yksXGd6f8RAk627I/1XCf1QSaRgbp
1wJVFylXMyWxZ7cU6YbQ+XLMFu0NRQbgv/2gWkD6vRc77SLxCAsB5ixUvwmgVttAR6tKEGsHRzqj
QgQYyuvIDR+2kJJnCqwCxo3jHQK39B86c3RexRDSF3eDdtendoZ80JmBCWkeBKJA/U1YedYxNefx
EZJgccddP7z2mWHtmsldS6ZDp+O2M9M76VviHCyjubdALG182Up6m5bf7Vp7tO9wMCWPURtk3Foq
uh/MvPw7v9uHF3MpIe7fpWItOSZA69xSU8DNTRP2rC6ybY8rfpsivD9mpjkystSk4YEpOLRMY+Hf
KR8eHbv68clsk2zfhYO5XbwgPTPHXEGSDyf/Aj7H+az52P08Vd5pqNtfQ+BLFGkBGlR2WN4ZGi2A
zSa683PHiJs0MbdWJ39YZMnG3QgleeeYCVqtRHT8hg0FRM0jQYPGiynIuCfD5iTNrmI8a8N9abuo
vc8Gy7orwGE9U/Xsz/BC3U8pBdoceNTUpXwzswDzq/JcS9sXO4ZOnZMlrGdp+vlrVAXe6yD8s7Oe
IRY1Zj+CvGl3zEyH3HBGFy9WPR/zZQQ4OTaZOruNTF48GzxWXqr5iEqblgO1m2NfI2oju+OBknVK
kHJ4RW4QHxoXvw+SR7Ncoq2ZCN1te07yG8+n7bGRBdVEQW8e9GSYV19CJL971bYrEu/oZFYQz9T7
n/DARcfBELO5DXn2IadjsN6bEyhaO+v9V0mZGk1MA2u1n1bZThbs5GD2d1x/QI0uROBtVRdXBrGb
fdiF3XM6dgs9Ecs7Z+gY7tN0MgDgqTCmuj69TU6Q31DSwDFLd2MnS+DZwK1NiHo2/GQb7OLQw3oy
W7unAxCkH8vAXtbrM3z3NqxzczF+loTBHXzxrcGjMrUl4qSlvizYZWK7t20whiv6K6d61DcNeNvR
gk7c1ajkvSE7pq7g8SYy9ku7w6UvwmnTKr5vaHg31TS5cSQrfTL9OTqKpKIbEbZee1PVtbMDUNhf
yq7lz2Hl6WRuBHWvm4ya0M1sZzV7xN7mhrK87jEzRXZkUzIytD5ht46S8dSb2n/ttVnvjDEcfxlz
GrIHwPCkm/zE+at+liJaXuCnhDfzlJrrI+HcBRng0o1wZ/usrIZ2Bj5bnBdMO3sPeS7nowff9YSy
rblN5nY5Ms+udzYx+pgtdBMPRhLsVi7AXdJgimA0ojvAG/Gxyoe8W82WB4K0+qnXwVkunYOLI4mu
NvN7u6lLqVCtKxXrXXGyM7d4MNL0ETnFfJd6Y3QDK7z8GlYJYpt4Myri5kdS433Qlj1uhWPXiHHn
5uJTh93IWaw1fbfd91js7hmQfKpTkOSb1k+CfV0m42+nT2u4+tNcMNjqSHmkm4KKtfGNBxOlKI4t
AweSzwduUqm7a4Se4otydnAjURG+2P70ZszSvaEL4mEXhEqHsy+vHyrpt+Cxean5bbdyP5eR2zFv
H9csW7rtLQRZNnLbq2q7h4ny3MHmZE8VoqMCC+CyS5gO2PTKPnr8/L1nQNU3poa0QqOfmlHWQBmN
8ZBkNSpaD2lNMN0beFfwmemKtlUKRzgKNi4LrrtAu+ZZnbdE8p2NDN3zGPRyWwtRX4O+u5cOC0Be
2z+ygjplvXyyg50RXucZQ73ee5RY3KYqdHaiNw0eWggFVjUjMsdL4uQBrTio9JCWwR0CQmGmqAiM
rRkpiaYgC2540zQ7a3SsfUvVb9OIUn8uemrfy2KED4Tlpb8unjVBVUzcq2wMuNzuFD3mIopAdY8D
qa1s+e6j/kyHTD9ZnkyuHZr0O68J9c7t7HSvU2eO6451zh9D51B0YbvzclS+dotNWxuVs8tGZ94X
s+/sxTi4v5w8BDWeBXO3mx2KHKCwn30WN7I+E53SBM/OybUHVE9Na9gjTw18FSTsXTzPjfkMX9D/
Rdun2jdsfLdeILOdjHwRz8kgD8OsOqQ4wbR3WqQzoQ6DrTlAjdflBLSYoajNwCN9djx1yZbR2YK8
I43GvMO5KJr60LY1NPoInH/vq0OkZXMHFd6Nw1z6z8Q1XwuaujtwKN2Okq1x8mslDh6VbSjXc70L
Kx+XIJ6Bba0hOfrG+ICPudg7UQ6wlZfilu5MGRurd44px+XYNsa8X7A7bYEyutuw6XnQMp3f6A6l
ceeOwzG0yD2IGWSb4Xbm15yV/gEk5bwx0Qrs+E5JnObDcuPZ1XI/sSloKCv/gnZf0wLo32Xk0Oty
Z+aI2K8cHI7Ut6Tg2A3r8E542dVY2LtZUwZ6Tzbm02xaV+VntDHxI25b3EkHFgYFKCWw9U5HhvwV
TYv7VrG6/UqyOTo1QnN3tcRoT00zhtbeTOY1uVEazkWViQEczyM+HTt6GG+isO1PgVs59zyxWMkW
17uEonfGTWep/KcZyPIW60d7l+hE0aedvemHVkb3wUwSQF67zY7RwitlkJa1tRjgvNTVuNyEYQ3w
Fd86GGZO9TCktdU9euD2H9C5Gm+Uz3u8dZ6fHEZH6nbHqoL22LWb+V6nnfE48IhC+W+d5NNry+TI
nlC+eIlJFMYn/3mCaOk+523jXfPIVxS4ve5AvArcEYAvNW3AGYaw84V5DHAsjKxGqnuAVMIwjOMn
E/7lRg+npQ7Ep+PXAZ3XeYFGqTV9Kj/N7n1tLwfVcudlVjgcqm4MXihmjdAgMSBvTN1alzSq6lOD
Cu4+d8DsUvGS5tq3dYpLVnoXIpU42QK5AE7rsozjDqm1oLCzeOKo9GhYKrYUGyt/cGEmifqjLAQT
5VLq1YCd74JM9duJXidII9x4c+r9RBU/I/axnmsKNNsm0F89/xW6ecLSaQuicmCdvh1QeqLv4HRS
L/QGuyD8UAKzRdfrgUmDTN+6qVnd6lR9lEMN+B2f237S7MZTg816wk37pZVbbtNaPwaLODCqwBlG
mS/zHPRbeyzP6eCPOz3U0TbMOgCiNaD+SXuXqZA53fNlBN7bk4qAI/ltRcJ6GNM0v43sIo+Hhkm+
ZQaWPDlmfWT78xA08/tsFZgucp1eJp7XeCmGEWVn4p8ZnkjPTaeMXQkrJs6H7naqGQs1OZTGfeq2
sIiz5U7QDDzOgbZeEg84uh/MPsLSBlCzrW4BBHzx7kR72GQhDUd33/ZZuTOjel8Z0UvS1z9orjzV
yqv3ypfltsjnH03bxGZP9QmrzPNUM9WOvcx9E2O23LR1EdxjEWmecVQw/hQ4L8ug3wh5N/cDqUfO
gVYCWXpcLkIQD+uGr1x47a6src+ppu88DZGOh5AIJUNaw3asiwrR2dI/m0Zb3xZ8txN5yxRtY/FE
iQFp91Bu3HIsfxII3OpiWq5UEJx4yvtPInufzbqXyskr9BOrZJSUMc677FzUZbfFT/JukETZKst7
Skbje2q4BxGftub01o6t3vvTeF97UJ+bQM4rF944+ypM9otPt91BxrYgqt/Khm7RYBmvFgjqDTvA
23EImZDRZcDrpit2kURvjnpP77rFbc9lym5SmcI7G1Rs6amL6hCmxR3bUmuDcnHF+0502DJz3qE3
FqfFrlZ5x3BLy7H9NZESAo3BmAotX2uJIxa5mBLk9MNIg/AmXHT0ToxZxjpkeEZX6DNMm9N+5Pwy
WbnOI+Y60D/7sCKYSn7uGnWNPhTshbeUgYACBMNpnB1on0ZB07UlP5okEffx0NwUfvTeuvpp6V1q
tpF9yfPoRuf6e/SGX07q7xscHZTBEVuwp8iVF922TXKTA+q4UMmhR5EcKspAhlPcFN3Em82sa1KC
YbsHYfnSVMaNERXPMhfjxcUB9sioUbi17PbbL4v90NtfnrGc0iiEN41mnUxReTcMYoyzgZjSLDO9
U5b12pnRK530ZKvs7qgb70aULHOMUqIBDOW5SgbyQ0RPcobpnzSLZMkNgZPJeCvDSdBtLV2YEePP
0USrYlghFCQYCf6arihSjtZDe0jc4NoaHozUMANnWNQDSsmqjkN7pN8c5ooj/fLNDU6wqICmaLXm
IamnF5F69QNBTTDyUXMGGyQoAFTPpgWDn0jmDlVbzLL9YqjoVtB0Pdvm8Jv6HAZRMb9VjSsNmH7O
D9tIXmnkLw+iMN9a2fO6GuVPZsEeWs/6Xbv1axdFn+OcfhdueEsgbZM6YGad6DutrFMo2HfbFbGQ
tFYV3tfscRnUR9Z24824LNxtAnyrX8lTqvz+J/kmtSG1X14V+Vn2imZyG9RtgajWwfGYZiUbTeJF
ZeXbtG266MiKB7GSWYSDW2Wwo8KN2SHPoPN70KLGWO4ccASd64YMi234xy5dvugiY0FQpNMYAbsh
5vvGxXxSTXZs6/auCTNsz5XeD07Fsjqc8rQHU5gZVATKvjoyy9ftq6b1r81gbBkdxN0zWk+RDf3I
6kAs5QKNkmkKvEbRNg3EY8nePCWoQM2TY1MV3KsqIblZY6L0T8QRNj6nCvIrBOoiH6l0lr9UBNaM
mWZUPaQffuGwiJgOu77xQLEpeQ7UWBFlpLHMyAApuUAc2cc/GItx4Xk48FMe/aW42nkvd8vi3blJ
cVJTP27nsHotUvmoBQtl0t54JhvpqBtQFSzPYiG3NGe5Eacl1QzpZg9EQBdQ1fOLPWVns0qu7oD0
InXMQ1VmehuV0SlL0fiG+XAkaJD+cJpo1dQOb34ibzgPQ3lsaheytpUdBa+yw2SnAPMlncxtllES
boWZbBZQwR99TyqiLBFIK3Q4kmCvLR4hxj1TJLQOEnjlOUsrc6tgFB7KRnbVLmkK+YLBgeTTkLUU
MCLkEWzkC8wEAW/FDF/nBSxJeBpatPAaRCMFB5x9NlXkaeNQGtpBjLTOfqmi3xUts1MSrFiZTGJi
bsnVrOG7sxtJfWGn2nzNyLpflyjtT9Ja8rMKqAxTI5h8rEpT3TwFfZb9SmRtvVFic49VM9j3TKHK
514Ww6bocUzYqjA5lqvkXKG1OaetGw8MvK+/UvvCziTYBi3HH2tV3ko2qvHcqt+LZVQ3PLYepMWG
C4zvaJ+E/nQfDjDUeU/IR8m0CEUj5XOUy6x+H5Jn2lm4la8lg5SXGTrCzkZweZ+hxjy6wop+lsPg
b3PTZyhKZ91LoLPmhyQl+JHOZXeYwhYuesWqhCHGPpv9iAshhwXNZR0AJlsDqTHCaPKtILMX+2rC
NdDbYctW2q4IRHMMMwc1Hqo+0Lec1ik4yJ7sJw9cg4ZyE8JTQhxHwDH2ci95CmwRxdHYWdugnqCd
eF2111ngMXtf45udl99zWiQXvlJyWrHY+6QlUuObKQdeKzXzEyx5dWZFkTfwcLpDGww2IxK9Y/2E
kqAvHDqaXcbiC4CdEgGGI8okTlo+Ik+fGYps01NAzu1rGFTwmHnyp0OISMbBYFxqDoNxk7ONT9gY
n0VjP/h9gmNlmNvYt1Ie7o6KRs8v9AHtan4SnkSmpep6Q6lrOrCNGd4W6gY3fssUJlqm/uh2vbEd
YCiwfbHkTZ8a1XPXAfapLd7YovGz26ytMDyx/t1K33BjF6DEGWI2VtiCys3gyVPYwGopSW2Bx3KN
a2YW76Pbs1v186eFjMwGMP1VVWZ6S2CURkbY/MhdZT9qhtepNTctJidVr7laDgx7Mv4qTtDdbjwX
1jzSTdKQ5VLeMilU8ppTFbCWjuQbQfUaOy8mZH5s+2sp9XCDYWDmxIB9ZkjXPyxTXP0ZKLumr8J1
4M7cpXC1LqMUyzbCuZ7WjtoNhdmxmk/Ip+faOzVBXSCVKdpdKucqHlIg8MwtjUTehiZ2J52eIc9b
H5PFGVHZfYFFjbeKrXxxgfqNE8OlUG2FabBDKF3sk2ZQhzyy+3PosNykk+ddCdP/GMQ8PyoHrVab
mtOpnRvNbhlOOw7eBzV74d6bEaDXc7kAIVRtXERtvSvykVNoO7MlX4urBdU2JMp1hj4nyx+5c9VX
U8EGJaGbbqqCngkNmyDO7d7aB9XwlAxCPynm3HYLzZttlY3NaxkVw873pwD9HX8NStZtXAboqbBs
4S5x7O5ArYW2iW94dxbsKTRTRfdglIYP8t1L9vw+l1aWqJ5K37kUjVPf2mH57qJ526vZrU5DoruD
MAMKKJy5ao9gtaBvSHAvt++1RRxJl5hFbKFwNXhYnBSmtb2XDm+DL+R2LP3wFjxdc8yR2B3yefrU
vZnELYlMZtrsJb1RxmTCfS/1V1pIePk1hNTzrLE+Z67Zn1uz7y60ooo9G9Q9Na6d1p3a2+5gsd9u
ltiuGuATNS4dpIXerhlFu/WTxDxMVCFuKFqaOytzSZ145W+d186NKrLp5ExiRCpfWJ/m1IAc9oj3
ZCk29Maz+m3vU58VZgYSZemmsxYN4fZxCclBht1+wt+IXqLjvZ4N4YUaTPCsHdiFKarCeMyk3Al6
QduUWjuJaTJ1dS9/lOB8dpHqEAD7iO2IrvbneXaigsdnqE6FV33QbKwO0FvHi+Z/vXXMytiRZ7GP
Ep0s2UQRrgHUZN/63m1Wu2zt8QUu27TEmahTsHSJX/OkB4bkS2qoc1GPRZH1yX9gypuI5Doszg5a
zfmTLiGttbU3biDt54eMsIXcENpvHgJmtOJ1fOvZ0nTNLBktR2OJ1C9TDQJB0TL+NobVgmHoINpM
FU2xhI7hZSaUd5Ckk/eKmsr9gipgA6HWoPKb8wxYjXPy2wWqzbKWV2VVv4Serqm7uhVZ61kSQ6b+
zK8Z3c85XS6GzKtzzexEvERaP+tOf+V5nd7Vkr0MdX1/fCEKON2JHJ+7uUgwfX/r4vJDBr8xYnsI
zDxufe3+XHjE701cHrzurP6ni/P0Hn1YbW8T0xsSPOJFzdbcKc3XDpdnPHW+fqtHEvJb0Y5kbweX
WX5hFm2EMoLfLc3C74lNEfVWBuTjsG6mWFpCnXXTTC9FrxBqsyF8n7LCeBVaqWMTpuo8+KF+M6eo
frBUgEqOJAyKKhF+j41HUtagF/9Wh5a8BJF2r4GwzDMOLeiEoudiMvrK+y2gzNHThbz0qWpfNUMJ
LzTnvqOeji/T8QnHTRqc7sQVSIlv0wIz6Oos42R9ATX1ac1MgFm9tPjswmh86LDInJp5pvxluOah
s2c6yo4pY8Al0X2J9OSU5hkOkjrvh+80U7KI61n7cTdFbK8CG28MVHb0pQsVjYxbxw7punvBUCVb
YXGw7sm3yS2OwCmesrmITZi09MGa9Fhmqrsn/GpfNSNQJyugnjrwTj45Zu/+7Oy+3PHkcWUXR0wc
ffi+6MXa18VCo4lXftUzVuvv1lYYpqZwokNMmJqehl1zTJ69pa42uq8+tRqLmJ5QsiGlVW9Fpb+8
lpslqit+/VKjCqfNjllsNMxt4TJTkjKXeeWlGt03Hr+LGSSklOy+bz9nTzjqa/DrThgPfIy6sb2e
dzkKovDFcrj7WprWyFicJVCH9ao0fNf7RPLuYjyA/z/ZTCq7AMuXe3cM6ck5nx2Dlz3nvigaDnNp
4i5FxukeqfUxa+x0ImNwLLRWJSC3ulN9EhC3nCXunGn8SijtbiEJNDO1HNKob7TZe++RoYl0uvR4
nwTbdfd7rvVAGHZWWXdbKhj9cVJlfGhizWN/F02i+L00qkZwVEiBVguZXTyGbfB/2DuT5biRbNv+
yrWaI80BOACH2as3CETDvqcoaQKjJAp93+Pr3wKz7ruMII1hyvG1ykGmZaU8ADgc7ufsvbZ+TmLI
LDekT1rhnUFG0nXpC7NRK6TK+hqhQtFvmjy1Gr4mc8p5mXUBetkMZ+6LTxXFv6+HuO/Wmgru4kgZ
Dt/NStgkYA4aXyRjqn8Bsy4XpzJiCI7w2YyKl/AkHbliU38VGXF6S+U7/TJz6uFr2szaE5G+g/OU
27gKtgm6hIG9bp+cp4XBbmPKSpuJ6LY2vhcndr8OFo6TS9o0jx1izPU8kCr7nAVNPl/JXrfUbixU
d6aiouX71vpC/4KfQCP+hxjJ6hTOVDCthzQmOIbH8jgXLLsrYkqsjVN28VdhNdZzb/XtlTb0mnmS
RYFR0o5NKvR0fpASNtUXIXWIKr9VQSA8ek26Tws2YCE9cZhR5wEynTWx9vTilKLtuV5qelvSGU+a
SjufBZlfQyrmeht2nItoQZJBFpI5uJvSTN1Q3GaNwAiXcZYZiO2d2GeoMynLMX0acOwkO4mqNfPc
JozjDflSUdrtKH3kNESLtiKKvqopVsb2kp1LvktT07nTZboO+zgysTo0GmlvWZiRNpZ3/WXIz2jZ
/8rcv6BWolqQO7b94vdpQ/mevAKi1Kj9Bp6AMfAjtXI5kW1oVL9CiA7mtZEUQe7ZBmlY1hzo11ol
pI9RoI/v3MnmjGw680wnLI+rO8FGSZzjHZmSc7qnpU2lp4yuSykDuekGze3PUOTTD2v9KvFy0bJx
jX1YBhI1/K3sDYc0aab7CqMuwTNZYGrppjFYmAWhOsCCemd2kPcQFzmcZpWboTfPkxkecF5qrrtt
Rlodv8fCJc8Tg9XGIZJszfvnuQiw1xquuFNzJgXKxVV2TUWk2WlFm1/gJou3LWIcj+LAjkSY9oFd
sslNa+MXjid5sxobUohcZ9qwtbND9hbpF/ZolzN1g9pMKBtH9nQqdYJyNYCjXjHbvVfgVbjlbpIl
1UxfNYJh144/3TpFL7wopYTOFqT1tM78ST+S7W/RPlV8iS8kDfFwCuU2trXvJPbgCmj125YCxq+6
Y7EoWTpbV2Y7fWgQLsScTKhen48UQdb9YPsXpW3eZ3WdeZFUp8QDGevE4oRk5Tl1iYKQHWfywpmq
B9G2Y0HCJlvjdVi13kQprcZ52AUNObRJtZ3Lzv02OURgp7pwvVlyuub5mQ+zxUc2s9XDHMgKrQoV
9SJQVEZZxuhPbZyxbwnKzdWTMs089yqdEyG+JpLWSG8qi8nYNHUyzUxUVsQ8ogpUF3N+FUV19EQ0
BPfDKDGCl1VePWCMyC7DKXjMKjaHzlR+canQDr7nWgOpVjLh/q7KeLKyK+U7Kg2pR9olFSKfxHH6
1eUqadzAm0HFbEhJGm8oGvRnc0Erku1PtGtbaxMG/riy9PTc6YZba3GLxNaNnEsi69JTTYhig89L
eo3QbiiO1d5QsL/IsvqWrDTWgcQR2cptx8KLumkg2Mq9gxfj0/wcti3UK9I7nQuhyJbSQv26E9Rz
SfYtt4mcsVvNBuU2mfyY48bZ5uOY34ueULCyHMGo+ZOxo90nPCrB590okl0eI6KD/Tz3K7tl61g1
gU2DYF4SrBDprwMYJTzDIL6pXEqeYd3uAlHGt1lqnweVHpIdOJ0GerrRqA6eFlH8JAkGH9oqOKEM
SEXLX2LXXUKGO1bO4gu90uHZiAqKaG1ZU6GMnshySc5zM/mOjTW8G1Pj21jkGLcaS9u4A2Ha0yCa
nV0HG9PttyWQ9NNJWTYxU3ydhH9XY9/YiAoLWCP7eVfGZvfiOv4vPQmpSOUwR6qMxmC6JGrTQD4d
kFFfoUqkCDeHKQmJibY0HMu12QSnqWaOW/wBxtqw6DBCjJh/sTKRrY5m6dmuiLYiCFhsU8ovNUWe
VYBBbkNI71efD1U3hsWF1FIqHcEz56ivftPGHqHeLJRyeLQskn/DNsXyPeFmaYSjrmVEw7mV07Ma
OTSb0ArxGMoX08gM0uuK/FrpM41rFRZbHqu98TGtnPQjocCzip/hoMZLO5ael9Gh0LGwgGEFHjxH
yXvaRr/IUmNTMUJ5FFFM0OA0X4ZGrk7LyXkkIWzkg4+MEA0OrQh8xN+KxHB2ktSwCs8O1Q8yZ0b5
Pe6bcBfVGseH3wREX9S5+1N1SFXsxZ3asEqvsiCvH+KOphKevhMXCbdek9MqWqre2tmU2TeGy1Nv
DJWCOTKNqwmicGb0P+L4vrBjovzYHFWuXFNmOxcivpJmS0JlrN0YQamdZOSvrzoz++HU6Xoqg8um
KfyvZV88JW1GRCTZe9VAu70SzrqBHvKzjzvyBImfri2DfuR0VytFWUs5JM7UV6ExF5ucrDbQKt85
CK9VGf4WbUzcrUPZBrLGZqgpv6lE20b+cDalJgDC3HR3wC7ZodvFdTxa8RZ1ynSmZ0FBORO3bxOr
r6Msv2LFJLDGTFB4i1hmKyHHi7EW/Mbe3dqLZ7fBhkz2rGFdWhxKsm4crrEsX9tW+qgCdRrGEE60
kohkClIcQ3rOWv0PNy6p92ahuym0+MpKMbsZTv1YtOFZWxMcn5TPJpu/pNKaVdvkPxtL3/VB2hJk
OPb0e/Lw2m8NLzXiL4FT7cyAVE+tvXVFcd7o+bUTDSezgioRpydm1BImXtrnjWjAaSAxYefTk0Id
6+mayN4zmSHUK3La/4hl105NCSMvisdQtTszl/5tnRI9W0zadm7kWdslL3FvXCVFdc4RR18lKo8x
udk9HGpmfRpS/1cEMRfx+EMfE3YNlLPJ3Sms72aCcqgPw8jz0TSsUCClXhwXDsdrw176dca21nBd
U2wd7twuME/7Qac2rrfIHYm9RjTUO5jYKkNe2F2rXyH4N5BrGbPvBQQCDpOnt5YVRuuhJvdn66Ah
nWnoVHpRnJPlyJQIJVoYMblyo6KcTHn/ukZkcz2kCSceBCJuwg9L4bSvSz4xc2/dpVbyRbHd90K0
uieKE4iWSz7lHOdsVk85Vxd1hc2NM8fyVUk1Tw9JYHdynxpq2J3Sv+yvZW1KD8uCdtMtmdsN2eup
CbfF6azqAkm/ukjjirzUZLiNpL+baYVzlkjqtUg6uaOEo866Jk92QzOet2Z9FenWFz5t5yK3nJVR
s1eKUrHA/XX7JClaJsEgs9vWHMybqsfnxe3vPZX4F4T0bKouOuFwQmuSylDil7uwqofVWP6gOE2v
IW51TxSKIHulrSOrPm2d4UJra6pAwaWYzdOiTb/wJUKvNq7NrHgscQGvxw57KTGaegAk0Fe/pKoW
/pvdGt0GqYz1MkgzuoRXHl/QnXQvSTJEKBdVZrzq2ROu/d6Sv2yTfVxUZb8Tl88lypNsneWwBdZO
o24XTIQ3TMStoMt113x01BWcG/siU0X2txXif60J/2Jf+5k34f5l+hm+pOlL89aN8Pof/W1HsOy/
gPzhG4B8BFsD+8F/2xEk/2bxTUM/1uGjSwMn3H/sCJr5FxhdUEwCCSCWBdph/9+PoOmC/0462Nok
Ky6drD8K6cPz8MYFpDipWBxayTRyHAOYj35gg8on2re+ayDGSKW2nQpFSq8/mLidR/eIX2bfcfWf
oUCLkDHHX6SS7PtlcjlkmTQULV9/CteO5pYcVTkqvrn/N38bmP4r77Kbgl5H8+9/vR/FMYVjEu6y
MMvgr+2PUhVwD6Iq1QgaMDNclI3c5BpK4j8exVL84dhCFtDMIe6GrScZqyloPO7TfJL5pu6Bcoi2
n4/yCg/8+xJPf/37X8stg8UCu5YkBwA+unlwMRKU9TCnOUG4zvSr6i4qeCRYt1ddTM41ctdgds6W
pjHV5QvKeusuE2srKNbUkNm4k89c3BiluHTm8P7zX7ZvYll+mIvvSWc7CDhsiRPbv8tt2FgZoO0A
FwLSkarN7ovAamk+hMOamYQOsUG09vmYB166vwddWIsYrhDZG4fJizTchhYISsB2JFanlCuK0xZg
Cvpxp9lZEHjWA7CPjUKheNq7nA9rQhTy0B53tpmHp6FNcnOw5O19/ruM9+/QK1r+FVDKRvYQklcP
xoRsMidgCkHetC5I1ZXsCrS1E3cgt8HBUKxA36rfUS26t0ejACmAmUfhdffgFw0XKvbr3YyAl3as
E7xoURDQwTeDiBNIWQTfKbxo5+BE57ve6NGTan7PQZDIezbFmkH4vBnR2v78st6/SFwV3gGWBcyY
QI72H/Fg0zdvRoE6yMFIbgKo2VWBHNafj7Jvont9pqTjGQasHp04skNU7pyYk21FZuhplpg3aWGP
6znIEOLB0PVIhnaOLEIfPSsmpoKszf/cZdF968eUMqpKZ7R4o8LU8QDCYMfPJht56HCMifXRDcQO
DJmXZZ/Fwtwfqk6pa5bLQdGBQcdJU+95b41j1u1X5+3+GuHaEmIywEmotaD89ofRuxLEuuAOztLl
6D+I8dpRbb1JIiV3bekIbJ2Rue06JItpqpxrP9YNxFI052i7+Juwd4bTMrnHAkY2OPvAmxAVNvgi
zTqpjPg7fFWaChTutlL3542hjAZk0yg2tOx6ujBVyVYU0B4Ui/TI+rfYNA8vzV4+SyY4UiQAyx1+
A3Fi01TQpRxRFLH78yIHnYMxJ+maEhtHA0jcpB91l/j0oyOz5INHR7UH4Ba+HeD6h3w2ozaJWqhQ
xoWTiWa0AhChURs/Mvc/WET57FqUUXDew3pc/v2byxtGh56gQWO8h83I94rWN7Q04vF6l0rEMIUo
VlAuf/7CfXRPHTYdAv8jJshXe+KbQUurFT2fRyK+Q0k0yhgnFwj8k/sUxdVJHenRU2cSSK8crAaf
j/zBTeW7zBbDARyoqDHvX27COzIPSw7f1E2dp+UaUn+n6o6sxh+84O6S8PD6kWATdfCCq1amLjET
LMaWcLzEMMgDrgSNiFgLjkzP183R2/nJ/g3oG3Q9UzJHlLMsbm/upYE1DYE1OgeabN9LYHdhh2uR
nIDdUBs5HoLmPnDaZqupMrqZ6vwhRG9MoJYydnmk0l1ZmaRDoDPxCk6Ff3i7//5xVDvw7Osmq8P+
j3N9WeGQ5sfNnRXeoh/LLv0G+87nD9U4fKqHwxw81QIwgj23HKZyhCEbfer0JfPe8uCazT8wRC0G
UL+5EOBaHipEaYsSI0MYG3a30ThZ67b2f45g9VdRJM3T2tW7rTZliMwMtXHUENwivhg47MfZxgSv
ss2QR2z0zn05ch2HHyL21OyDjWWt5tUnx27/drEw06FHCQqzRW0oMVa/0Cm5X3hxYUxGTvej9Tla
setKlsO6E1NbavRJrLqJfVaJEOhbybFb9yQvL64T3Qk2SULkJQoIU7/H5kr1fUIFWHmd26LlTyKK
Np5OeluwSKZTuQaj5q8s5CCBR3fsGEjz9XOzP1nlkirqLrs11uxD8nY1+9ngQBJaVR0ViyIqhm9c
VrrBMOKesesoFkEgKjVX1BsOOMNdZHFMpr66AW/nIWKWR1aiD+64g6SVnCGb2UlW2f4db4wqQNI5
Oex5ivFLapm/tcoCxFXNwcaW6THy4CvW/OAGQGJFxSkUvX++yvvjZW0i8ShgrxmQ08GPuUhsxMzd
SBG067J6l7ChXM2Nb3u1qhL0iwDacDwceS2NZd+0/zN4JVj02b+y+mI63/8ZE2WK5UQB78rIQHVg
EnhoOfd7bLe7i47cwfWoz9alkTbFuTajAx3cippwVuBHHel3Yf4GumdkLB9llpxFWFpXqSbdBxQl
1bq1lgqqe4Tee7iocgyFKStxs+OpX2xl+78ZZJgJf6fVVnY9EbSSaz/TAJkRLJdj5MYPRwILwcFW
WBx7DnYzbVWVdV8N2krT8t9ZlqHFsfLBc0OhHZl+y33eew5wSpejIiICQg2A5O1fEy6TSbewQHlR
pVsn309HkMLbIhvoREZ6fmQz/W6uo/sgrIPpt+ykcYvuDwYarquo6LOTaWZjBz0q9NxUoufE9YNH
7/O17P2VKc5khMtxrgcqdBjz7JYV4sKBxcq3acCtVF/UG73wK8BTVn2bwKs518PkWJL6QRARCzJL
KIUJzsMO+B1K5vvXSICXaFsN4dCIp1+J7qHPxssC0k+MLwkx2FniyB3e6wv2dUdeqnezhtfJQKDD
uZSChmMfnFXSyepAtMGgMsP+1bzre3GjEnbew7En+e7mMpTNxnDBQRiUTg6ALrGP8MsxljThAMx4
jyp9FY4lAroSRUYSW6DASuRanz/RA7D1cm+XSCk4MgJiEqmBB2tXb9Qkdnf0uSMOZTtQYNSQ9RwT
wTAEOzoX3py7nhOjWy+DVl7AOGiheAF7rIPk8chvWa5w78VZfssCGxLUiwglO5jLKuqreeQZemM7
IjpymhFCe9WJFX5LWpy+U+5KvxfXNK5RgoaeQDzciu7yyM9YPg97P0MB+mY5gquDyJ0nsj/dxCCl
QFNVehq76xuWkvLSNkpMoxy31qYb/Eqs2t+F9dK8jkf92vbLZtcO+kS3VrN+jpm5e/1F/1sE/RcJ
h28ezvq5ff4vmCx4P66es5d//+vy+ddz8Nz8fK7fFkFf/6P/FEHFXxQsDTb+nPJhSC3T+28mizT/
osZlsv7qC6uFUMr/KYLq+l/8f2k4Ia8kk8JcWEH/gbJohvUXtkogX1Qo2GBarHH/9//s5U03B//8
Sc2QCeRSLOQnsPOmEnH4eVOl3yk9hFqwUDBOAUIW8ADb/M8+ODp/PhfDdFU2VSyueX/CgsIV+ogd
0uut6jwU1WPf9U+dNW4KN8XeIptjCaMHW3MGNDnEQnji3lKXOjyejGY2+TEUUa9F2obzvvR3rsOn
9c2zvvn7jfvs5klDxzGmyEXD/6Ajw9q/rDgJ0A3GINIrETbrSTR83xpT3nw+yvLxePO2Q9ECGs1H
Bd2HTYDAYTElxpSV6nXeeAlhet5c14AdAxr/0UWkmgeUrz+7Ma2PXNrBV5tB2ZyiJ2dusOhyyNu/
tIkIaJZbDRA2EuW1zi5t6+B/wmBjTBeFcMojM2RZsvYvEhIZmkTTZJlHF3awpDnTJPApICHBwPPV
8QsHIspUeEAH2yMjvZsahilJQjEVewSKK4dRqf5UFwZ+thb1bzieTTP+SQNj0z8YBUMIY6G6B7l0
sCNYNL12pLrWC6sQC1oMHoSOP26G8chABx9lHhQILt5hkHE63+fDmR5Ltw/mcNFgpR1R0UOSYL8u
cH77VL5KrTB+N22bnXw+JT94WkQFGGwLITkBiDx4Wigk7ZlsKBjaML45seSQGiVNlBy+8ZGJePi4
6Gbwgi1FE3Y476OM2E/yba1M04uHIMZnDkDEJ2X9yCgHd5ENFCsUc539KVFifFT3p3ttJWGheljS
yeTfWVYrd37QX5QDEpBcnGJfCo48toP3axkQPpaLyJfT2HIm3R/QwjxejiMoXtFN5yZudJ6aC2Ed
p/ZpBRb8yAP7aDj4XrTheGyQ7pe7/KZcU9HkVRx+U48NntVshMppSuPlSc/7tEf72BGicWy7ePDk
uEQ6XUwP2iTUEZ1XTv2bMRdVCxvRiK3oYGunpXTvk8pq/vjCDG4gOdzcRLJnDx9cqAdVQ0gGg4wD
5kCRydMubeNN6Ff6ZhxwKH8+8z+6qGV54vxkMlkOn5tUy6Kfgf/ipY+2nVOmm9QNtH9wVdTpbVJ1
MYjr1sFRMDfTaCpJHyY2Ag+yn2vpuqgNBBJt1niiTY6l9n1wVXzHmIo8L7bYh1cFkaGbeaUTj0oJ
UiQlk02KPvdIwez9KDwiNhn8tewG1MGcd6ci7a3JxiOx8AbavgE41TXHIt4O1iamHXONDQcZ8OTL
OYdwx9Z2m0jNUwr3g6aSwd9umgBpfGv+YWQeFTOGImuHLjesVeb6wQW1CL4gQjn4VefU9sJOjveN
jrSWdOL4+fN599FVcecoqvI2me/6AQREdWk5uykH2+Ch7PwRlzP6k3IajlWRP3hKDiX5pYnMQZaM
sv2lAj10G3UByvncgrmB5AL3KtmHzj+4INZ2ABbsdJfL2h8mRKE7kACQeXasNZezBgbjyugqP7gS
uVseYeJ+dE0E2wjohsSH8mLtDwYjvlI1bH9PpHACeLv6S4Hc9MhR/INRFFEoZJWz0BLBcfDWZpoY
LEyYCweqrDeIp77JKXW2n0+EDwcxEY2b7JVQQRx8qaIem7mvM4gGnHwT5bW8DtpqOHLE/GC6wQ79
n1EOno5RBgkapkUBDBHnROHIRUNMwyI1Buf+8wt6PxTH+4XfKxYmMnuz/WeDAnekjkyTyxrocJE/
YsFEMKz4KVWdduQJfTAWpOkFNM3pGQzmwRNykyQxBgn+T1mxPE9IGLtohyB65iwh/3ixQ/KyfJuo
O7N1OYQ9w3lDsF0wVMG6urHqiVgPQ2+OjPL+uy5tizYrgF2UGIgD9m9eHjvQE3Lam2FQBv2l0RXF
1zRIVHveq8AsaQJpqToyA9+PySGE2hrbCTwp75QZA4crYygCUgRo7K38RKBZTyxrjR2ADbuJ8//z
CfLaCH9zNmCZpRe51PMcHJycRw5mSMHT0SEBpB5VHb/xHLN0g53t4m9Dxj6pL9pgu8nOZj1ENty3
zbQh0UJ8M5qy+drq2Eg8H9G4gcXA8BsoEWGHPR3tP1bJZEx3EvIN+Hep2eczItjvn//691OOWi6b
5eXoC+3yUEuAlTkIdNqK3jBnGP7xCDUlh4LZ/6ER4GAdmQ8fjUZLwYXJy3LHLdufD02dAhks2ecN
sdNOEMMs47GWFYCaWrm0/j+/tg9mAnBncn7hzCvcHQefCsOPyL8gWoinnmBxkMhMNnlP/I6HBH2i
Q14W9e3nQy5/5MFcINoKVRCLBS0Ux9y/QBHYc6glduo1rthGnf0yzVhdgLivUTdAXsEu/PmAH10j
b69jGGxYCKM6GLATsmkW7pQXDeQXoDR9csfoskoj30tS2kSfj/bB8+NmUimieQlU3VxW/7d75rQ3
HRCfGTwIKSK80E35AFoyOUUabB5JNv5orOVzuGST0/s7HEuVVo3rMc09SzWQLOxCO8/6IIYT2cyb
zy/rg6eG0mU5CYNpZ7N+sO7mYR7Yym9y8kJKQnCqxHkkJEPgccPoxhEy3qTTFBz5hr1/cpirKYiz
eqBU493bv5fgHBa0o+BdsJvmspkzf2OJQT91o0XxrUu5/dOLRBm2bNqXgzHtjoNlSjNIkA8VW7Ru
GIcdrYcIlT5Gygvs2+Is9hOAd8Bg15+P+v4pLvR92mZoKfgb6+AdbOQk4Rcwao1cbjcjpveqpMo8
4C/HJqd69+4tcYRU4tniGAZNuf0basauk/YAtOgE4wvDziAzDCK1wIKQzzkskiS9T5oKs0o04Qk4
sti8n0OUG5ivKENfq0QHF5pi8ZFRmeSeU9ftZQHN1KsklcuVOw/xlYYw/sGHHnQsFvvdfmvpOyxd
S8Q4HDHVwVOlsQg+r0CmXWK4PB1VkF64ZqiOvPcfjcIaKskYMA3hHC5rhNQYk6gizueZVa6dpK49
WKndkRn6bq5Q+OJFWO4gwXB8S/cfYAvaBQMke0e9nsLNsiFb6XhEYfAN8z8ZipoKZ0XEvND294dK
564mvajLuKDBPjGAfqylgPQnYm3cff4GfHDv2GBZfIUkGlq6U/tDZTrcwsgYM28sNWeVYXgg8KpO
iz+sKb+WDV+7UUx/al6H25DBaLo4y2cORs1QBiv0Hel3W2ndsW79u4m+PCVKJ6+KDKJCDm5doI11
YwUWBk6YkYSFKb/HC1S6NWZNGI+0cIxm2xownP7BfWTdA81O/jtKkP37mJixFdv5hKTScquzGp/8
s5WYRJX/k2HoBnPok8TVLpP0zScuqOeYPtWQeRxAOosyL35ZT6McdmRavJZ+9rYK3EcTncGSt7CI
iQ+vx0mKokP740mE3WrCrxU8pGFdrCBbnBbCPEG2tEnzwVgB5e12jpsfC6b9aGa++QXOwdpBblfj
dLbOgbDD9eIpUAVPnZytuz+/o2+HOViX7QY1UcPL5fXmOF5mrnrEa9EfKUl9fC3L8oGIZtn97z82
o+9nbfCXvdYUJAs1KKD9mGmuOPLYPpr9FB/QBSJ9RNJ5cDF5HfVAtxH2WnFlrwZip+8aaSyEDHZ8
ROc4lX+hh/mxQ8aHl0fuNIsiuz0qzvuXN3VWgSOKYSUO2g53azw/pUFn3n7+qD5agWnWczCiVK+/
y2e1+0mjYsn+DhYF7CmAotvJaSmzyMEE2vf5YO+viZeZ9rC7VNA5WB9sXY0IC9lgcU1aObQI4sMy
8kzSFP/8jWYcNpEc4lGM8p3cv3eWWeqdLFiwzBkB+qrpibO0xjo6sp97f++W7r+OaYSmJwqZg2HI
fpQlKOKemYAtMJ6baQ31CRay/t+mnr0u6dvG3jKZ95cOtlQGs48OIlVEeXDnUrDsms1R0guHzN/G
hYYWp56y69DWi5Mkz5oj9al3AhIMXYxlkx7M4YYS38FaFVulNRlaN2JyQ/l9jX3WKp5TTsY1Zyu3
bm9DqxRPudO6sCmxjhhfHAItnVP2DFp5//m0eXefMV2wT6ehSamEZsjBfUaXG4dl0aPTc0CGRhiT
d4Jixm0Il/zYDH1dhN/eacXrtki4KaSyrZSHm2a/ynPM2pHjwcXWWCmnXOvda2eSsvmam1BYgPip
oers1Sw16YNscsikuK77xXMo+XTEOBv14KFKxiR6jqemBjmNNZPcR8gNVyknrTuCp2zrDEchao26
HEinmWrH/CpjYDnnY5XBkqyQPY8wP8B5P2p8n167I1DCqH/ObPfMjdHKvg1WciwM2IGZnQsejTsa
3XAVFZT77nwAwdh+2270/S+ZSN2TBpkxuQdBjL3/h3RTMCIbvlIKtb2YnUjhMi8mE7ZDpDul+cM3
JjSTAEnZZNxCK9YcMMKAXsEP6qrOqMC5tdNk55AWmARdq9uAWIc0MIm0i2J/EfDZTdhtKnPSnIus
T4BRbFy3zsYILifRhoGn4rmLf42W5o9nuASAtkCBmsafpgqyiAofybLWKs7HPlrg4cMYkU44Z/GT
OZqhrFZjNPn2ndMXLuIav86tm6IbXGdbwahuTpHf2QamIIx9GxuFGdmKICPMcA0hIq52coJPdpXM
C4d7aPqxvPCTqpquh7lOtUctIKr73O/bun9QOIXJCIwA4vRBmFsrbZzn/KUy/OklBhtmXJjdkOXY
GCLbOascM50vbZnE9alR50N3GgSFX29AwErnqwsnwkKYOtjKI5k3+CXZVJH8OQdLYllMlHRwbg5j
EAVrioEhvnQZ+kAoWZQLog5lPf3MJ5Oe/srU/TD+ztuGq5Bszdy/9320/2e6VSpn4VWNxjd8o1G8
AVdQ289jHYo0pwQSZSFcHsCfqGJzcEYr6C+juIOusyBqtLoBEJkYmHeyGR8zsqbc/V0jZ32pId2Q
RerYWXBidiJM2RCWTrgZEseX26AQ2nXDgRSISTNE44PZ1b7upY1EY2wAd69fqsgX30wzbJxVai+e
1tkoWz4EVZRX2zrJkaNNpKiuKOeJ+QmmEHJKp45ILxf+4CDLzNi8rPQ6ib4a2FVB1DWFJVeImrtq
3VFk7LwRLkmwSWUOsN+ZYbOsQzGaP/U+yyD6uiAXUdUGGlRsd4yXSNAivsYdr//EvESCLsro2dwN
iTY+uH6u6lNLdENDxoEDoBkDbiG9pMkte52lZUW0cymMlyA223itAsPpdzMHcbKL9XkcMAwk7Te0
0qa8DCbFwNNs22j9mbNqlQfaRAJIUugP5YAGcV3gLB3OnNLizAViuEzOsLUJ3EtDHvwcCo4pG8z4
Zu7lut1+d2bCTB8jNsOdB38PZZ2Z2OyCKABX901eiOnSSQJgHNWAZ4Pa69y6pMv0lZNclYXwmy3M
pwX+n6lQrHutz/zLsPSV6QXEPjRncdXB6gqiGDAGIdnh0xwRrw6EOoZ4m0VwprZ4beUjC3/4RHY3
iRb0y5NN3th2/KjlZc5yoyoxnwysmb9rIdtv8Lbq8ZyiQfwNHnuUnZMTA5vYb6rFaBSzv1+LLsle
hOHrj2FPo3pFB6sdwEUZvbajiF4FHtmehf0dPE0kbgnD1punrJzEnag1RHYEJuRQrl05n7MO5dc9
hDJYF1npFieWXyezRy2oui8BvqUenA71u8eOW5xO7Ug2Jjg7I7ooQ11800JhBTtY7Sk01q4PXsxB
18tVpxoXTItbWd26zeMS0Cw7RrXFkBzHF0E+uPqZHIT1ZIeisbGpSONrjMWD7FnyjbSKl30k33cK
hDrXpymbAdiGeb5uoNVoGwT25kKPW6KHXWyZ9rAayHS5yXwIG+ukajJ86sks1SZT6NV/+LTzq0ti
2xy4Lt0itmQtcYCTOYAbvUaL59t0pqT2vRaN+K5sH/khkqdEPwdYRbjVJEOW/CqwzMZzOx1LPom5
GsmpVt4b20w1JeyHyZ9BFgVaNFleY45Z8DXFGf+j7CvjyU4LUM9S1zLEEGaKCFlEfAPqDYZqgGmr
2QyqO19Lm+whTczafQqSMgp2gAo71u6Co8gqg8FwZxqzkJ4R+zI+130XsDKnIpBoQgx+vHYqgkTW
NXG6uHFqCKPXAcnF6ZOdE0m1S9xUzRdOgGzsMWzLJcKuLPlKAnmFNZzQJlRMRJhoyJbhCq7aHvTO
rp6Y5d+0tAthfbd9dya1YBxOJWk6JNKoSDQbZDmJT24CEYAneQb0+ndNt3/izNRnz4QyOC8VIuP6
55gMOgIo6CbWJtIKuFHw7Ss2CWVmW19YNoCSrzo/Fe4tqxXxGEUGHQFKJgc+L5qA4FCUG1uoDEaQ
1v6TUdlVdK+pDrLMMCp7WkdiVPVu6fP3d4kuy/A+gycjT/VCB3HpZaqTBBaAV80eQKcW5Cc1oeqY
JXMcFZd1OIBdb8raTU+CAF+6189KQnyPOM/UT7nWxkhZ3XbO3H6VzKbef29duvrPVhs0wV0EjLj5
aYI34xWKCBgmaSlQL7Lwez72RFRYZxGyDUIpYh0Q/mT3WrQBqGkhWLFboLiA6BV32MuLMaq+sDOq
mMallvcw9uxUlw8yWZIK6oxa4pPdJU1wP3KnIZEhPU+vayAF+pb2ImnzcYADzFNmB1YKLep0N/Um
oDkuP65+0G0l59tNJtmB4zcqQVIXHievyDtnpKoEgNQCgt98LQn8hbCuA91bkTIHAkbMgzrJsZFE
qxGCaYVeuYcSyiIh+pN66kEK6yrSy+tmqoEEDSWoHjzGsuXFXIUgorTvWZaQJaKHVTBsNcEIF9KI
BmfLuTLVLxNyXrA5tCRerKpexKAkk4iYcDBixngTLIn0X3rb1K6quiuci552bvuzdEU/XMkAspjm
LVjE5j400I+ssmYw2m2rOaV+40DOUTvRSvdZa4Vovjj+MORo5ErXWFjxWkf4utlSEcUJVUjNS3x7
wjRDtJESz2UwDf+PvfPYkRxLs/SrNGrPALUABrOgGU26mWu5IVwFtbgUl+KN5jnmxeZjZGRmRFRX
VSd61YMCqhYZGe6ebka79xfnnE95EkAtuUqnYrr/Vrf/W4T7N1v/oYP5Ow3uOk3eqr5LflTgLl/x
mwAXmS1CK+x++NSAfTLF+0OAq33BjseswfXQOmA7YdTwOxRRX1IIUCQuNSv95qK5/K6/JYPA07i3
PA8PLd0oVu1f5Lb/dfktGiIwpBrYYbxUjML+brXpVUrUk0ao+0Iboh1y326dOsVfx8ryU1hIoErQ
2Ez8qlMRKWjjAQ4JyTbmdBERzvWAolT/F80c092f2uZvigRt0Y3y+rAfYKH48yAglzEl0mBPwAA6
U/ex1U7aGqqWS/w0lzlph465FpnbkEGLGm8V1USXrj06q6vas1uNc70v78ppIF2pQN5TYdIF7HQQ
mWpCV4+akXQriswB3UOVABnoQm9eQupGUkUsvd+bqRYmu3ke+63mzCa5uISHTD10HGLK+E9h9wor
og8JQYP8J0jiqxEFGdzdROoRMncdQiopd2ovHWKTktKmlQmpZ01vbt2dOXba1gmNZsmtKZuJioNe
PSSo0QDQNIzHwTGsG4vWLrlUq1F9mEBMZb5rp9m9lMD0gmgsqzPTrC7fdJEAvUQW6YipoQtx9g39
EshFLDGhhg3LAkxGRJ2463RWCb5ZNrB10DSxRieWjCxpdmMYhw8EA0hCnfWQYMM6c7HVJLkXptu+
sBv6vzAp5VGxEuACHdkU1LPlFO0bfZi7i8EqTPOVyQ3wPpvs4vIBNUl9bNLZxA9bOdNVmKgc21oz
YHfOvQm7jqNP0JSaqBSvaR16ry3V6D2Ve/1VFoYNTSzq8peIXO+XRO2td1AMxleTIXD5rHxDltff
8OVayQxu58XkVAFfIiV8RzE5DAGc+Trd1brSEA5odyjQoPNIslOF24qjmo4Nvbc21tka/U2vv3SN
Ypbrit6LUoMWPQpMLR/1rUqnBJYEQ19Kq9d78I7UMR334MRlskFUgz/WiNKOHjXDzfXE/d1pZBpn
Zb0TNcFUJBXK34xk/z6e/7YMdf4xw5aQoNeuahIwtts+KT9ffzqn+dLfzmksD5xOi4YTlS++CJXD
4zejBH4HdiEMGBd1ENlry6D/+zlNWMzytxcLA5oH9vP8q999Enw/2yVJxuPsx6zMUO2vHNTfJM1/
Dqr472GNzOBbXwwT/MxfJZnJ6Jl1W07MUsvMDciFl/aWqPCarokG7UnplfSF7O+KFOFJhW5Bi1OO
26LUuuaU1xGIT1hAjkWy4DCD8nMsKIGhtLOnsnUw8VuEF8DY8pT+PaGzf7WEpeZHE19BTWGvVu16
1i2lD3jg3Tu1pKldeepgdps0iZvL0Mw8fSmvet8Jy7kPFOSbeOhN0q/N2tDLi56EM+Ertdn0+x/e
zavfXoIfZ6U/b4V5YZgxGxitl6E9Pslf12KROY9ML13fAd93UJOqf9K0vtiP8C+IqlK0LSH0VkyG
cxU9/vOf/Ot1s/zkZRqMa5klz9+JXWKmzga/F9GqxBf2dt2dp1Gr/8XU2f15HMr3RayKsn6RruKw
Y+7886VGLvTU9IhW2f5p0cpwxEDI/JxZ16oCEdjYE6HLEet0lsiuFanK61RhkMRpovR9FrQDlNGE
zKs6qwp/YvxYMZmMGgIDwUr6GWH2ra8wxSPNFa5EvSkms3N8rXR66NoDVe/KtIRzryHq7/2u6UTu
z8qIEcQcLUnwfTd0FpeJ0a8dOZm3WV2ZH1Odi2qtxhiPh5tsdvIbcIDjc0OswzmLY/1rU402if2R
Os1AK3T11VAdNNQxc6PG17UpXAts+aU/TaJ+4+7LP2uaQOKI8TGJAx2Vma6VaQQP0+Szmp5GVqbz
2sRCCtShkWVE2KUqnkmjMUXA1dl8ujagNuTMs6sHsCkTQepb60BwjfKwW1UMB9WdKfJ2ug552q+8
CCQVk12wLQFTf+1Jb2UYrkKl11hXR7L6LHp9HndyEOMtUcaquWXsoIsF/RQrayvVEm9NZmWYHSnB
kxH1VS6rteM2GkmfcOV1f1Yjfwwt8WZaUT6tdG/Jcv/nD+ivxvPFYYvNhMUIHm8MYPYvSzNlrhKi
1z8qghwPFhiHazl2FlEjrjYSMUzLLmpBwKFaPQ9xNlJVGOeizNX1ILLaz7U4+m2J9+876G/kiP3w
3vxdj3Dzf/9PX4KZ+/Hu+fYl31161hduGJbEfCLYw2DN+OPysb5gv1qWaN98eERS/XH5KLr6hfUF
iSKeoeMAQ2v+5+2ja18M/FoIF5lIkatg/CWX3rc8lD9vH/wTbNi+HXes8bCcfau8f1ia0zcTb92G
zRqtZ6ycHVpi0idxGytrOWIN2jD0J0/PLIo0XHIYZOezT1CGo9ZQ1hKcZc8Csq+XzltFViMFMa5Z
iDSjrgA4FbD4Do7GmpBg6ZgtqytI/WMa4+YEa9JX1D5DIf2qbBzC33vofLlvahPYIa1wmg9OA89Y
FaI3bjrYeM3abGpgzXBvCX9Phr7dmdFg9Kyn66e2t6t35lvOm8l06ePbe/qXHu/L+rO87ZrPz+70
Wv+v5Uvfq3pqEubp//vnf6RP+/6dl8flp38Ivlk8r/vPZrr5bDGM/N7iLX/zv/ovvxtF76Yao+h7
1QN75LtFvzyFLg/UPy6e7uLP/9i+Fm/JT1XT8jW/PbiKRgm0bCn5n0qCB2l2vz+5imZ/WUSz/DmK
QvrexZX+e39r8LyTNKBitcN7xD36x5PLN2SlQDQFzgmszuhp/krZ9GtPyBKfaCbc8agZcX9auEx/
vj7rdtQgUufX+piw+CJt2n1BWG5dG+hGE19YaVjWl6aWdN6dI702XI2t8O7Uxho+5jqfyNol6/gA
DgMORJu7+aMxqe5ITGrq7cmJMB5lmOjq1hAqVOI4mW8WvTVC/9oc4gNHrqNciCUwdzdMfXLfd6p4
ITvYZXegj0O3wSjdilPCBFoFPZaD7mxIv+v8kovczsJ+4UMI98VLXBi3BJZAiUjY1nXA2yoJHU/O
NpqBZMCXYxNbTlyLHNAlZ3FoBrZHjh82FKUxCP6RyAEn5IFhAFKkIUMclwpJ1sJgWtQIlw8di4L3
FsIVPno9Y7E9p2YcBVFJgMGafGPPR+zMh5xF40TCzsRkb9PaXYgnJBr6BHBoC98a9CsQgE7KtAyU
bJR3NeOqc9fTDvtCzBYIwF6aSxS3F3d+Y5E+Tksl4BVo8ErSvWHGU6CoLpnCRucVjxnjCS6rwhSP
Q53lBmEdgpmjjcJXruomTbRgruGyrA1DisjnhnXOiTIbOWn4tcuqE9HICPAxxak/DbGVriL6/3Gn
5BU3fCjpzaQ5w9ED3BIBg6pHmvakmYjNNaos9mFApHDS60FpA4g0+uC7heqQE5P1pA65ozLfdXhw
SfEn550lJoWW5KsI5O92HH468wFbIvgcCHy5yAeMnxv4DkiUe0ysRZAXYrxhuxEdClTvOVySJTWX
tN3ZDdqq0+NVlkJ+IW55YDz/14+rU/LeVG31tfv5bPp23vx5cP1PO9SQo/6zU83v2RmWr/+xeW2r
H2/kb1/228Gmf0FuSRaRS+Yhl6in/nmuWV9wv6NDctndL3lWi3Xo93PN+oJIE+M39+2S9LWMAb/3
gx7tJUoDEkjc5dxbLuvfD/XvTc4/m9thO+CI/EEjsvQ9i02K/3uGgWDiV9khXLtCQ6i0coYqX2kd
yRBno/CMTybFPH95yygHiqlvl569ZRuvP5dRuhEy3ilY0pFFjnRsYtJwKoIKctIQzhjPmYeg0Ndq
zzmC8pz8KM+CRkclZE9eAhgP1m41RSQ1hY26Bs9SrUrzHj3sgTaFAAo+AQE5d2LXg3Y+Vm16Gyvz
dhhbSWxuFF4m1Uiejmdv1AYpxBRGpxpJcuBC5Lh0pdmvKqC/vqYkbK4RcN4wBIqWDN1rmDGPYSlJ
b4YNJkCRx+GwAZ0aPXpJCAYZI82kxexps5nqdbb1J+Za8bbG87DSCd1fz2yz8K6xpgrV9r6QqXUJ
LM7Y57BlfVbcXwvQREEohvZKtdP5q6UkL7oL2WvBsq8xeMJWT4w2KPihl6nXm8fSHbJrTFjavojR
YlDOyPsECOTA+mfUDlYYkapIOIB1Y0akOLF4u64BoUy1/eLJXPsY05xNXpuOxbAutVq9njjRorVo
zfDC1cda46ea80l0s3GiuC+rAAOyvYmK0P0qYo3E/9igwbM6jjzfI4r0GZTnEt8+6u0VYETnMRch
WpE+macr3CvF2eBTAe6MDSo7VscgHQxly1U7j+UpaZyvHoptuHG8hLDpu2HaTzQV23EqbQgQbcfl
trWhSALfTkuXhrflRllB9LFXBq2pXA+A4Z906JrjW9tG4VppBUkkhdGaXAeIZO6EGqln2TjX5Fib
7KuWYGc7z7MOIqjNkgLeK6+dyC6qZG6CKjVYQTf5CB1Tz22wPbwbcZbUQdQl82XY1EwyVViUwijH
M62L4SuCYPQ5ch6codTJZ0LZv600cwdzJ/HdOZw2BMe8FAA4KzIPV904J49JqEfruQKhmBpch6q1
5ZIygMs5S6zifDk1doxLX+ce9BgBX9eqyUq8L8/hYF6YmXqRZg4XM+zZbnpyRHqK5iKI3OQIUhFe
hgtMjku0LzK5SiJQjqUCGwOUDThQhBurOeYK9ImlODlOdmlIZ5sD/yH/eg28+M5JIyaHer4dVb2B
HTSekYqsOnvfGTeyumVVuq0lmHr9PTPmYJwmXk/1SWUkcNNn/SUsbgbdYstx1G8awORqqB/zhnz4
KTxFRkkcSz7i4WyAT+hBVxYy4N7ZJch5djk5fnMjeFcV7+jCCt3zVm1kPh6x+KCddfStzCyc2+PE
5tI29gyC2oM0rfnKivm5cUpDqRTw7YST17d8bC609Gqi8XXVlyRz72Pw5cZsbSc3WQnicoxiRkpf
sp0HCEqIeZ05q6mZj6iuAf98NTlVnFEj085IxvsBvRTFf+ezC9xiQDBXDpqbMHaQKIRQZdrC4pxr
X0Kk4RdxOkla/+RrledXeVrDHkuhNPeqeKrF8KGEXkiWeO7sAb1BISnW5FmcS9G+5kmy1VD/7DpD
e5ugQ0WnnFgnaAEtC8u0DPPripy9daZUkNRZxi6BYVtHnagDXL0+d6Q8VGmVRHvgP42xYWKtrFOZ
xUe0WRjyCig/0X3kSXjfireJYMp0MZh5OMdTm99GWfyZKDCbp4X0HrvZdcGGc5aQqkI5B/CIiFqG
+njDfrf9MObmRlUWNEVBRepHunJOY1kZQZh7Eryp6smTFU7ZWq+VZge5DsEFNQlypVp7YAIF2apo
KzAv1FU6aMYA4B0QkBTAiJ9p82vWtN6JZPQNPJZu5XT6HDQ1OxMXkIKPko8IIPU2Rpa1shL3KWel
Da+NmffgSfYVUr1ocGsdYsxzB2AD/crUUzRYOmKJOPcCOOyrti7utHy4yoVcs9zPVg0ZbBcCeOpl
WLKYUuJ7ZwlVB5H6KIpqY2avSWVAA4punWTSfadSP93E3kV2eCjbaieTbLuYiVcV4rpjBOSFilS8
M6o9IS94R5jWrkKC+VdZlV03mvYulCZfTRFMix6cBIolZTU4OszpLPCQX7LFYd8/zybRYU46BmHk
LDgUQqG9qXRhCVOKG70+rOKwhE0x1++hpmabvCsPo+qlHxKv5Naqyg+vqQ5DBtDDiUA3LpxpeFng
hOIgDYvzVCSXgkQXwrsmZyXLOFh4N6GoQVxKvzQftPFhnp9bC5hnlvgxrza6M3956FqAZZ4cLvKG
W60z0wA54M5SnhOl3BoZBGDQGY+Om21T5Zl87l0vhpNjjndIihq/bATLKWQBwLT8ynK2vVpCVJAb
syKZJ7L5OMA+MB15FXX1pRH1x6SWUHfT8s0BAemTBnPSZ3Xft81+KM31VOYnT5j3oYifQlM5SIQX
GQ9xFVd+1KXH0vZWfamhp43Ul7CJz3ZR780JiYNzgkDxmEzKQYdUjsBHQxfG1MErP2d5K1on3miS
zdaAvsRn6vjVDq0A+8A21F/NHq4GY19fjUhhG61bFLZPU/uVdm8ni+hkdxwzzQLVBfdR5dquDhuw
Lm5ylTLxBLh35SHMXTKKXd+aVD7mOj1A222goZxi44hOGih1/i7guEa1FeDyXKd1veonbeYlHzbe
+JK47srgbSeezDKCSddOEC23olCUvau2+xz+rIIOBAkFpI4cfPVjPKIDnB5pULYu4TrjyKBf13Lo
50N9UPWxWoaONxKQtJzHaxnLxcpWBn3offChXQPA3oY5fR/JKNPeoqfDLqh82HW9jxesFHG6PBqr
KY/3VTFxFbpb9odBKtFg2XeW0ryiFtwaqcKUXzmDqBV8AJtzqPagMrobHSM2MsdVqYj9JGGPFh5c
DLHWhJGsKpQrepqd3JYEjzkvnrP2083tM8OhJ0a5m15MOzOzNlY9r+cYHjRM6rWab4cu3UeOdIH5
oeo348bbNrnB26vaay/r19AxOKrMCwy5F5MK71vVouve6e+rwVDWxfA8gxgvECXtDFk4xxEFFL+o
Nx264oO3cg8aehtWBaPv4sRHCwJWupaZebDb0PI9mZ0bgTKiHJxrG6UafIsB6WRvnWoHwuWcOEEb
6zcIjUbeifZGUGjITl4pIEHmUVtb8bBv5lj1PfCFOsFw2mitbVgwg9HejrilIfMh00uWaPS2BFxt
woTdgSV58jxZ3kkwpYFhtd7RU3j8bEn7X42KdTcZyZNW3XnzeO5q47aqxrWFPKuHmBK74ogE/sJB
Ize0QKfY6DPqag/dpPl2JK7NRr8hIm436snLoLpXXV9sFO9CH5R1PKtbHcpXz2ufm+1FMbh3ODLl
huDAj+VA3xQmahXQXtucdeyq6e5Fqe9VDPFLbbpB8+2hRnPvvTgMGoYFgw1/RdLLTo8miEeGMPmm
TKx+27oHpNRM8JIdcN04UB069MlCfKjWLoPxIlA8/T1q3sp4SraU6nC6kU4Ehd4/gIR91ib3Rc/H
8GA5OWGwOkeAxnmhowIuyyDx7D1pW7xvGXcG54Jc0veQXXBzJBnceSd87Sy56mV+Nlh4UJ3AN8F2
UCDxMgZ0srY/FqfCCJHanMPkpQTL4pqXQFW2slT2ViueW6lzM2NjhKun1OqLEeWbjEVuFxLbHc0B
KbSBVbkIv0rFF2pDciWw1hBAGWfMq7CNbQo51k14QyzlzhlmeM/1qrZBUZvWbmRTEukImGcS+4qa
OOJSCbdEwq7A7wQit+wgq5xw25kQqM3wxhEvaeGCYsZmv5nNG8MtjMASiusPmbsJHQNJ37SSiaXt
U5UQWcchVBpuHaSpBYO7cvPsQchunUzOjiXi2ZqEu1LyN48sAFN7bR3zajKdNy16z9Ulrj8WoLxS
mLuPRqVjwJp5Zoy7pMniTTHDKtMdCMgKA6DRbAUsHmG8kAcRPruR4CIt3VQojI+m7dzQSCY6eW6i
aW5RToQPcYUPnj+LplM71myNkpoawu5gCeBrRuhUZr5uUl8ZkTVzTNhHA6aYYhlPw6KZjqIQWbiy
PJI2FMgoudIn460YHdZbibjVEGdU1TAfvKFFVhffDJbZPKZq9pEud2lI2LYCwlobtkBormFWqYFe
J+ewVz/AHh4acL0ru7QZYzlrmAAfwgRDzyOEhvPEXvacwyVvcxJrvbZyfIBqW27+QEbKRcRVepV6
tHu6pmSnUor0jF3O202tRSJbBUwtCWSe9h4DO3RoZzpdZSNLz9iTl2Xd5h2GOs8t46fOhgwVIsAF
czrn4O/09sLGmrzqamV+UQjaWA1SKgFzWPeEIcrboRKqqpWmIy3xWzLLN10+KxfYK/JhbSioCgG9
Qs0EWjybX2Ud1xJVbzmcMwZ6l5HVKORezK7LB6oS9ozqvo8gNWgNZCKtD4cqaBO91i4q6txBbKGW
9ZW3S8mGd9dhl0UWVgOEHuRZyKjZKiS0nQiISbY8acTlluhJxiSl7pgpwa/qQSIDmThyyaoJk7OX
GAPNt9Ltu4b5oWwB2vpZHmsHF1AQgA8yq4XfzFnSYVWC9sqLpUGulSQmB5LxByMOCovHnnN0GT8i
/VmZuWLvZtKUYVNAUxlX+dymqI69cox9LTKBRMS5aW+GjGJj0Di8KVK7nZ0mtXl2RJ3r/pjayX4G
U+/6bTRFu6lxmqPX595dhUngpjVspaQkq3D2qSLiiSatGHVficTnHHatskpsD6Ug+p5ohz+BGIIm
Lk99xFgYSXFWXzNCyic3GOBcppeuplg2avh2nu8sM0my9YRBgg7SQ9k5eVoCJ5J2bW0q4fQg4KAb
G9vkswR8cCk7o8m3U7Vuj9GscoE5TuggmyZhSdHeXa5lFSZSldZwCh0LMuIunTNVGD5h2GyqFQSV
kbZOXF6ofViyVrlIB2wqVLvaLFdqOmvMMoUzOs05n0h52eezY4+3aW/l2icNXOx8JqXH8TO0pXmI
rdAen4pkHi66zpx3pHgUPTUYoHOEM8kO/Jmt3QgTo8CSiKEdQ83wOJmSUUzbkh1QuLU6cKG47nIG
FYLThPOsLt1TaruMcu1Ox7Apx5FU8oo/oiTwIhAsqWnzXtjAB092KwHdeWjYm5XMMuutIuYSQCEa
1/4QjoirNuoMtxgGd4zwSozS2hYRRgocEixtmU2rzmU9upigkbQpN3abG59l7fVvi/fseiJF8rPq
qFByL1sC1Ot4S9JEe6hVWT3XmoZvZyTzYt4P6qQCSvBCPEtFDi2ytOqy25b6LG7iJK0PEprKdRqG
Ybx2xWyD6BqjZsOqWIeQDNDbEnHyBGWzPcoxn677lmxwUx1INY85BgAnziH9A+qhz84Ovb0lMw+l
u+XeCFYFJ73rEQgglKN3Kwft0LR13wR2YXmP4Imta4HtdGm70wzWo9U2nW+LdmKwwSj7YBdFvbz7
Q8pAJLG8K/ona8W2Pd23GgA5ETuV6VsharrN6KjuI1CP7qtKwof0mbZPq8SIy9sS9eFlCb9vI7JJ
PxZmRL+gXSQqY//WyaghCg3WnE1YPQFWjQpey8oj/TbjuHwiRa4+pFoV3YZdQz1iDq3HKEsybbMo
xs9Fonvs8iZu7yIJU289hWP0WpZ5vJUFvXHattp75uRmjqZPKx7SbLIYM0YKsIc6rs4In5tPDc8A
zxGUs65Ovyqpq/GgDrOstnrXcsXwOtsb203Oaq4yJC05Xyjao7q/SUWB/B10o/lsVKxF8be4wOfh
fNmPyMOoZiKn9afakBqjH432bTb1rubxwnTK0mmcmfl18XDPzHWYfPwvcqd5DXubyqRINi8Nm9WD
lhvmtlaN0EHw3+cbZIYtorUEzccYWVeNhjMbcU4FE/Ylbm6GJkpXeDrUCyafk+OMt440koPgU3gw
7NnAStdVFhEiFeWzoiWfWoYhZzVq4XTQASpdRZFr3g5GSYNgzlD+yoR4TzWm8WUE3W4iAlNPhDya
tK31zYyU86xZIuTDZbhHS9Jf8Xp31wYnDGVHUwYDpqCMCYHOiGGXY3zyza5SVlFskYLTMJLkvVDH
Y4a1KRBuIze5wfZYGCjGCY8GlmuFTFS7cz/Ep8XQNlnplo9Vvlab7AlU5G2jLp6JrTJ6R6wKH6WZ
b9vc9BVKG6fNcW5Mu94zKSpCyo45DNRw7i8Gl6x/sjG0FToMnYezrH3XYeCsVY08mdUQHrBdWTQ/
mfFhF53ymEZGXGzUarAfMnaGg6EFUr8KRZc82W16nFzRvI1zEZ8wYhhfBwoHNm2mKo+i1rMnggCm
z9w08mfN7MxDOClsjeImaMoww+wSTk6zw01Ye/suV9qUmjBDuMXzWcR7SaTJE8mI6YfRWfFlhmD/
3ZxtkXIoswRDJp7fE9+rPduVV5+NVjXQq6et8hqhtUGRo4x7Eir6O9SNZeq78IsvJz2ar3FXhYzd
1c5+SxszO+gJZSx/adujA9upo2l/EOLjXMRUSFrANlC+Np3JeGLoxKVR5tAF0Ydtk1nBeuY487YE
saAY5fU4Mh/qw+M0mbOfdzHLNQxJT1NTaNshLmCHo59fFdVlxBW4hq1sr2wvgr0UJd5eDY1Ny2GK
jwgpQU61lnrLR3JMuk08i5NctpxLlBrUhujIWCvFHRDZgZlr2kpGzHjn3rMfhnkkNRN7va7EH51j
pb5ZtcduTDLgx323q0LbXGczUIURo6LjMbGPLO+2QBBFwGErd+j+E2oFmLcMRPGN6n5ehfdYENIt
AZfpRaUVKOjqDgRrBVfdaavnMWk+UzmuU9RUkS5SmqyyPPSM4le6HKt1pkUH2RUPSq4ggxDGqzP1
DJbiVNnYPWWB6LeRW4b7Gu8KPal9r9k8+I0Mncu+TJm0KEWzYaYVTBgvfcVVYFlkfXNp19atHCKS
h9S5RtnlhG+6Wx5ZRqwHq5u3aqU8i5oJZjWOqDN4jL1aNiuF7VDXG07gyo/UGmguPH1Xly3+105e
h5EtfLPkdcFU4wS9Kx9HPPd8jq0zQ5v0gfIz21aWlAHH+zZMWvTUUQvE2p1uXCNdsxfaIKCqNlJi
FTW1atpVhrT2KPiIv2HYu5vKRj5PePoorRuGFUakXOXWk+VW27ZvDhGj3WBamhvDnq61zOs2JAMd
+8mIdh2gnhklOQxYtemc1cgydZ3lLvWvqV8ajc2YGPmblvFZgqnH9VaubQZ17vCOQcRi4KFuaK/r
PVoCicJMZzWbaTd53AWd6hSBHskxUDRBklT0MrnEeCCGomLqu0czY3QuPIHXT2eXZlrDleKiY8+p
w1adgkhPDVkNo3Xbt2O3y01mj2mcNNfDwBOT5eOZlULHWWenm7xgH1w0WX3rherJ81pt3yvFXatN
F3o0fowjVsxaHN3ZuUjr9MH7NuobulsqeBUfVZFf15ozfkQM7vBLN+dWuspLmmTOpa1id5vHpscA
VPcsrfP86BZlSvHBLzMA5L629eyNlbxAhhOhBlONNRoP1XfbZS/dRueiie9NhvhqWhXM73Uq+35P
XNRqbrNrVoS7wnV28QIPle7I7USahm0Uu6xtglbpL0urC+oxferk7FxPol8ZzVRep62wXqtRujdI
HfOZTROP7ZghM/W6iLJi1M27kU6AJGHZBgN6gcauyg2xOwzc2LJsZZcjGsfZozPEW0l1OLdh2z94
XgZiVmk3lt4lN1o5M3Lr3HHV16Ppazg8yfRzX4VgrbgSgLtPw6Ax1UHQt1cr8NGFBg5dfZlmoe1K
9A1u4ukMAoftYETapuqNu56jZD1GY3Poy6J7G1PIKbidUCX15Y0B7UEt5wukMTdKq73pRrTNORJh
Lq14Rw9GJ32d7NmSrU0EGr4bQEmHyjHKzL1OuC+W+hdiNFeLUH5Qio5CvOnWZl0h3pwZJ9Z1zmid
g504D1SgtfpuyHJd5/w2aSo+NMO4qZvsWBnJJT669ZQmeMtqxcbWak07rInxBjn8w8TwUca6cd8X
3qFnkFdmA4Lf4ttYkA/CGOvtwwhy93EslCATbF1cxL/EOk36RsPidHQa8ZxG8dGsUpYFbLhn6INj
v3EwrQfcywnyzOHJaZ1HTIq3tLP5Pb9OgV8X0Urt7oc69zNg2ZwV9bpPowvDOgxxfUwZIF1hPiDO
drIu0+QDvG6KZxxs9iVEyY1TlquRhvA5kfr41jSjdSmxxn8ghult6MfGuB7HfpmkJ8ILVwofQXI6
FIakPnlO3nWBw58y2B29h4gWRDmyIVcujcktnyEnWq/qMnPL+a+0+UvL58mt8ZeuqNuaNsAILdZ1
oeAuBFPUUcKUeduzTdG2lj4wdQ5bCUTZdReYs3rSbDub143DQsrM1fndiSkxmMcUnxSjEXvEVK46
J+85wHItio645xlFK+GnOkX4iMMg6aphq1OYgey202ec5tNwCk1jYrjZpo3CAnHEZV1139OF/pJ2
7f9PMYiLLPIfK9y2r28/yzKXv/7dEmB+sXSPMDzDAsdI5tgfGhD3i6OSz0GwJplnDuJzxBnfJSD6
FwNROLkVbJDJCTMQonxXgICWJSx8CZtwlzA6EuD/G/jYb7r3JVyOTH6dIEK+28/CNnPRWbQI/eNG
pNdmhUKfaqoOxlY3zj+8IP+Jwv5nBTp2rSVqGqcZElO0qITL/fyTABlOYTGx0tQIcHFEyVKZvDCq
F1au//wn/ayo//6TEAQiqOeFIv7k55/kJrEoWJkAyhYh6BCT/f84/avE+v/k10Fqy3vmkjJFBNQv
gvrIchvRMM62ElbKZFlEi9GT/Y4eV/+K/GW5S1LLD8JZ8n4h1uD9WPIiERMtEt0f06ZCo477yMo4
JyCDoeLqRMhSrKAWFWPuooqxUuY80dzaQR5Joz+SW01IqEhmLE99aJMzMSPa1oF8R8xbXXrSfGUM
zYjmI+uq+dbrE5Ud70TXtEqrUtfPUdxml9lg6M22oyF4F5iso8CyemS3SrVsCGk6SHgcxlI7/z/2
zmQ5biTbtv9y5yhzOPrBmyAQDVuRlCiSmsBESkLfOToHvv4uMMusJKZKtHzjmznKVAMGwttz9l7b
6GZ+USad+yOroQyEvUjR9RHC7fzI1gy5DX+Fnd8uVceDzcwwv9mGzjA6WRKfmDHPjrMr2jLwz+Pc
c+mDSUvN14Lt7n4cJv5uiyZCC++wIigcpZD3QhsPZOeE7T9n+w+I4CtocD7pXkyPaW97+S6g/opQ
BecVOkfgA0M4eFZ1PqVOB2fBE/13Ni9wiqXQyzO6fP2g52qT8GTOVdeQv8RdJB3vtPbJVIeLkFA0
bOx0K91mzqNfNXZLak9jPPcj1obYror7eHCUCkk0N332fjNBWRBU+fjo53kpRWSm1fCID3/8QEQJ
b7qmjvfF9mRNbyyh4oReJr/kUk3w0Wx7uPmGPhgeFYLB55o43mdmzfg1XQIuIzlVMGsXN5RsQ2HJ
/qtnIrrcrSbfjDASnAllUlVJ5FsL90NJ1e2JTcikTuUvxIqvnuU/od2wriVEqlulEhpyk7SAw8hu
Kh40qqUOPIT+sLZz2uxWoos+1qPCm1BTqPxsTnqTWI1L95wFwfCg43L+3BVG7IcZQp8Xhyv7xx6Y
bHmQyzBfqWLWS6gxb3OCXRN96QfaJZGDq0Efpq0W38U85y9T0pRA6QlrcEIxqeRWcg0aMWsjEUfl
6U/FkT6+ed4hT4YkM2TGZSnLWBDGV7fmTgdD3KDydOrbAbEKZ0D0EoQqq0ViRmlAANC0XKv1lspJ
clNT+v1SzF76jCUz8e6oGSaPo5shfOsGCAs79Kw+6bnGOA9hNwLd5P/LZt1PXeHSMSb4kDDn3Gxf
+q63YAiQxvdIMQqHi/Rm66VoBoLPOjfllIr/ssPc55E7yHHYKK6NVRCs1Qxu34Ql1/672vJTYDI2
l10yq+0mtPwe+kjuF8uXKc84W5Ud7thQW05Rhm1cMsvK1/w/ExHTNzPtBYwZ5dBGq0djRu3Sj829
Qtp7X7DsB5ESbvqNhIQ5oFWcek+V1bm3UpHwsGtKj0YyPwx9mloF6nYzl8qLJXYQx8PpL9p9qQXj
X7RuYEftamnw8HblPEGVzV783q1ulnbLV11QsXdh0IP/22W5AOuCV4ELuwWhQgHv0tPjir1m4LYk
+hfNALqzcvnYBNypd8UAh6g39fLdnzJGEhx1CotxWjclvdzY3xcJxnyOSALlftHkoxF1sbY/K5bM
L5BA8Jo6ozV3EQuOqs4CN66/ZtWSGGHvWrRrRbKoHORMnzQ7K7aosqZpmyPIQLsEEKa0lqum6jho
C9uYP/DnqntMtfwGE88mJ1CRoupJktT6gegsedSBptoYNG7f0TqKKQrWJfYbnKsLQvGVGxNQ2GaG
kUPK3mEqxAr/0J0iHK0S62ecoEDsXXuO4Xw0uT5YTua0u5p8Qf849U6ud1MurTl0s4kelmvOTybl
Xw3QJuNnQt9NFxxshWQxK5vixolNwz5JwYk/yFrhR3apkyYUjqrOh7KkS501pmoplCPQ1J0uCFvh
Ov3Di+NosmjJj76y9hMiSCTq1O+D0Fw66oNT1WTc8FT2YjNaN+/sSJ5wmfocZvNitCb4TjPVh3QM
0ic8gtlyToU8+Z6Zi2PvEyefbuyywiGd5OSC7CgX6Y8j8ZANH8HuFi5lYPTAkQUBagrdBBn3eHCe
u8Kc+he0ZyMhvmIkCt4qWxbf3hjMU1AnMgizuUZi0HrKfqARnpQULjw0P4idvo9x09nhQtQ3SAbP
PVk+aJSQQxA3aHsdrJOxyu6ssClZ7Chtppd0VyhqWrF9AUSv/MTlN3gmzVJ9MX0NuwqfW0IxRA3J
Fbnp/fVgidY6BmbSTPuGJu2mH0qzLKpUmd0DWRDPc5PpO9ucN9GD7UJIafohu+EWkYEXX6R6aeFB
PCTphEZ8mBFyoCIHCEPXdFIFPkCvexasbfty9JHYjTJunuu5nG8batyRXSnzhm3Bu4bRIeadoeVB
Gp73MvP3LxCO0kkipxtGdYI75n9YqDkzzhPFJtPlDrXK2av7TzECsrugcvRyUNLyvhV2jDbHbEvo
LZ6SxHhiFHRTXDKtOjcyy8Hs7noiQQJPvXCn5HZBHsxUnQ0MvueOtwEyBbpcGU6Wt56I2aMlUSVY
B6klOR80nY1mn9KFODm1yYyc0qD7mEye9zXrEOTs4nWar1rbVXFoUOrmYjTk1Rl7b3+sMGXUO5FB
NGRsml8bREFGiIiCDSQfl2Kg2DkxnEQNZYnLVz48rUuR0AhbMlaATE39Ar/JJlybAmp12SzOyp5C
xgXCKaoxTw6Drzh4a1PeLty6f6TCaq9HNgrGEbOPm/OUoOYdtvmRY9l0I1MkyiOi0KpRQ5nZF7xN
KQv75Bgnu02cQ2ZVcR/hm5htsieIH+C6O7E7zEjG75NXV6R4dUiWr25JQEdjixRiJAkeYhKfa+Y0
GYTDZrRclDXB/DSsjGZyDzSddzoM7Mr7aViDlJY21f/bGuBecWt2djld9CaEausMxbB9K1/9nkL2
fHfWq0XQebULssJ3z1ORkD+6InbyX42FxIBgMsR/sBkOcbgXF/Vkze6ZSlm3GDiNae2HOZtu8kTK
5ggSwTIu9BIAMdYzfdid3yXrHII0VZ/ajHNnmPNH0EEV7XAzwDwD2lv5ikqh1MUevElPk8PJaX6q
EcUgo63Qz7UxS0LdfQlz2ugoVWMtrLKdXYyp9cHKmXFsJIa8lb0ckgMGS+SnvfZyeTNIlzNR323G
LrFK/1K1wpsOGRdhN8oT8BLXKYE3Cx3SnoPdqE23vK7ASX1VeUN3wWFfhMRDglcawUmZvinUBJwg
00H7tB4sbu8Eb9PlI9KYn3lcEr9jYE1IUJJ1mM6B6/XfxnVC7uxQeUJwm2xIQFwcbDhJr/p5p6C0
oArpXbff6YE1WDSLOJvL0lBIkjz6iEbqtN3tqunVXA0TzOo9piIrOBQOPZ5yqjYIU2q0UxHh4Kbm
ZuKgevZms/f2clWFvck1ZY9rxKGy8SEbSsQ/gUFHsVqmgomRuuxAa4am0ApybRA2P4qhOmRxTKW+
HOVkn+jADzGyoySAJOpZCJKjhjOF+5UUA68J45hLCPuySGr3uW89C+N3Cs9/ooZeBPYVXiCq+WZc
to8mIXaod0Sfi8+IAXT7FW1w0N0UaD+8G2iYSPlEm7AHc65zi++vt8H/K0n8j+lxT/zvNYnrLPmu
fjamvP7+fxclnH9hL3GpO9D72eiV3JH/4hSIf5nuZlkBt0qW4qsz5T9VCQvTimcS5+gD26fs9R9j
CuADd8umAY7vsQX4GFn/gTHFw5/3840Xvzp4Agr5FAsE+eew73+98WaqY9nuGtSx+MkvKq477Dfc
AeHgd8r5Br4yzzGzx8I7oRfBMdb03SDOQQbHBjuBZa67tJiW4iamXVWexy7Wl2+pv2TdzewDTRJ5
unKZyFvimu25ix/KlgNVqF1dvzh6SJ97SH9XwVBzk+NA0KY7jnnW+ShUkzzP0myTS6SVKxqTgUav
cONDWceTB56uFuUhprej5yiolLc6+0AU2Pw4Y7bqaoEN2QPF6od7BWCRUz23CARFNKRWPOYscjsn
qdP1x7K2i3eJ35yFBiJWe/Jz18v3LRz9ZK+JG5rXKC9TG20p9gBFO9iZxPe6o0NaM9fLCSx6PTY+
U3Wd2fdO1eINLNx5rOMv/iAX7h3OYlnXLrVpk8PHiGAFJGiKtm2dFD4Iz3DibxDwxwda7/SXuyWu
O8x/tTiM04Q0BhzldLfg5aBj0S12ApNmTm+KsadXYo1Gi97HzlSkZdfhDRhZXCJwU2PLtbU3I5W3
kprzUuH7T+yL2BVI7oelfFxM1l5Kr0F+PSyGL3YWfMcXcoi5DAy6Tj8GPZ2Uiku/CGclp6iynfwL
dv6WXaKkkhGZTVbRdmiVOos77By7IpApKMZFuFuDNrav0QehuM3oSJuRnY9P5kyME22I9QP+u3lf
APdDTSetA4Zh9w5VT/tiy4AOlepm2kKFWT8uHHxOCFmCOkI9tn5GtOp8A5AYmLs6nd1mn/nCKA8I
R0xi4lGOoRxI5cfKGuk5UElo1viEG2/rK82IoHAeOknzqZwGq40gE3njl6RTurgEAzv7l7XNWQuY
oOMuVnxER91bXwmEqhCDUXTr1+t2TQuOccPQJjuV4Sy7ZrknQoV5UTQHgUD908oue2F3Koicwr3E
QH21BsOPsSHQJWjHBmwfzfS0RJE8gRJAUJiFCjFmRLNq2GufCIh+FiHHgPo5d9SnRUHt85NERGOL
hCbUnv8yq7aL8A6hnunyhr7J5JyKefUPytHHRLaKK1c5nQg1XXec5j/TMvnMqdM6NvbQH1ZyH2mD
teVRdOOlboPInLPiMPCZT0vZHmXvfY6pUzV1Bp/PM0IM7dAnFkpAhlAaJAMqPF0/rov7zCZ+wW6y
X6kzHGyCA7+vpf3N4C6e+/GNgRfnY60A6NgzIoWMcg8YhWoft1JG1kJPeMnhLpWz9w0dM0KDBdVg
KuckcrWICjbnoz+aH9ZO5+j0jX7XaHTTK8ei54nv+0LHwRHi6WVAaYAzkyMfasAhQ5OcAxL9Ynfe
xxlb7G7Oyi+BMwCqsFF/TsZ43WLWeWrT6lZK/4w6P1orM6f9SDsTAgaW2Nb4kKTxKY/LhzQx8g0H
V0fUkuddL0V8X5iVe9e37b3Tzk80TiDTEgfZD2CHkvLkNOMVLMzqnmJzB5VwaH64uWkcGpKQdjJz
WCy0p5fzuXXv8nndHBcTB/ZEu6FKujkknXPaqdKWnDIqDfO3RoQxiY075U4rIi2uHaots4PvNiKs
5die8nL4Aq57OuSO+42+dHHVrQJjTKBuqMfMlIAsCkmxG1yC3OCNeCDoFqf3CVBDEdiOzp3qzYdy
FgCsLYTSqV3cosM65bnE29s4Z71Aw6vjJ6iaz3VAeRFPtaBzrh8Gzbmt0io+IGtz9q7Vp1c1SY5d
MRCi4uKmTqaJaiZGrZFi7rnTYjLDn3dlZYG6SDqJgNUzitBDwLB3i+nCp6jljf1Na+QsIW2WRhiS
qXX5d5XpdOfuVKrj7M2PJbW3j6rBK1jOGvOTKKlJDFKezHg4SWpn1z4i9Qjjx+YVE1FmdZeDtveD
rJBKFkb+lM3WUdnJczWP9qdpRlpc9WjBCcZChlLt884MThWeDQT2U3tyZnXf6/Fb5TZXRYFpDAgp
y/X4GVLmU+8b/o7FxrjWAx1HhlxJl7m9pcypkdHqezCS+oDK61zM61WzLfRzefTGGLQnicZr4dId
YEaFFImOmW0fixF8uJuS3tBM0862Gpr4QVQuBqOzM26mcfrWiApgaXdtmd1Zvwp6hrV9y/pWXVPV
JO/Kp5WW4wMJHaf9ttT63hH1D9kjGkMeAq0lwVPWXE7ZgprfXMoDGulbuIoYswPFXNcGckb7HLXq
8JxOM0amSiMHAbNoErlGz6xEG7p2L02z3FQlLrCkHV7o5y00I7P6wlaZEWJaxCzYS0TZyR2KDyvy
epyfU/ANq9aHYSjt2yZ3zt0ZGwkZlisNvZj+94mtvaC6GsuS5a4WztD9EBC4Pg0NgxEVddlAnsgn
wTcQzJZNDXzFnNF4wmiod+nBZkvxNnhqOqzmZzutlgMOoMEcwtSUjKkDfu1Ov3iWWim2IOolNHm/
mhXiSwu75dhGmOvg6obY/2nefPLHokApWXVYSymPGw5KqtHJKO1RoUZkIACtjs0PaY5eU3EbNHIs
V8hQU+y7cZ9P5i5Lk5k0en7YnpOT7Gd5kcHxW78Avxk0fCd8Lr551IIquzxiPZxRUMXounV97Elj
MY5p0tenQNmTvOfLA3dzTfFMnIslDW6IxdO3fZ+JZ8xIEvcRewV6HjaGVH9UnlM0zskzUhcJXjVZ
h051a+I8FHNNFqWVkBVCPdNmDN2Wknlo7BvDmsUAI6/ZOhnsvMhcEW1WeYvjjWt39Rgv0hIRGeD3
wqzm0viALCnbhBF+IZ50Xc7o2NN88HcrG58j63Wgbjnadqcv83z2cV8B9kntO+JgYqplTqXDoiAV
KT+2ZeEg6LG4ux8lFJIi5TZtlmNUgtNbriopxo6mtlk6VReRbO/5vF5rrelFxWnrmXu/sWpKd0Vl
AcYFS8K6UKxsNNc0wVR/08dCscgigfRplSz4tqy+q456oHS2SwK/z55qU32h9dtm92aCgvyjNvMh
OfMlnf7nzGag7jlC3aCaz9lPVhl76hBvVau0N6wmqgI1oZueEdemILMh5Kf1dOynocOBJctkcKn/
Asb+Ps3YD2/wBujhcWgqXZ3Fk9BxlHYcy9BS8dLtV5mxgfdz/eRTZHAP06sUef1Ll5wpBVF82JTL
dTbF6ZFeC9fl3Jty/VBvEui4wj/Mjdg10ZS+aqaziaLOdTppLoRUUbP5WOtStOTj5UN/bm2i7Dgo
O++YxiIXTG/U3CjToA4a9Fn8aDUDSuZTDK8WScDY4GvJqipqrcCA7muQOJfQFKv7oauQiTZmunxQ
S4IjgkSQojwzqUjYn9N5Q5rXs2oKWvZrH+w1/XdMmdmE4yqx1g61YFayvq7DsFOGqx6py2eh1BDS
e78oz6tNiT/iDTgq3a4Pkvbd0/iXcN/6S8avN0n/XEANCWODwmKrcSFZqR7Ogrx3dtwOjEsdeM0Z
QgD7spjG+bSCVDwzeq+7IzQKoiBtCdps/RwNaODO3RWFz6p9iXrSSc+Fz7LFpzT2FHvwDysXJXQT
98XJ7WL2McDxF35JrpGH3+tgZW7zqS+p3PTCJ3G2aW1E3W35dcAXep6nRv45R6F7aYyJ+lEvtPBC
jzP+dxov7g/VrsQDCE8az+AxK4AZzPJrGj353qykg/QXKQPySG4NZuOPnHsyeUi9ipYaSsPnBXQ5
FlaWkRP4Cy4g3XAd0CvY9pXnFjlsCNgGOUbT+TcUagsU1EG6byF3h/To8pPWTWrvevbKMwXz+OCk
y7PRONiqimo5OSrIqScb2ACIpcj3WcLCaCSFe4ZIVRyWDujkKOtHth3i/xbdPtrLlOxRfs8oKOP0
cysqHfnlgHK/H6hAbwaeouV6siXiHIKR9SakOjY9UJ5RkVoyL0q5Qu38hZq27obvPcWwQ++kze2M
S76qp+oSTL/HnczydoXPXk6YQE5Nn5yfsKwCiQ0Mt6POxnus4SluHBvId+Ue7MSDEZlMOMFbYZ6b
SbCEeZdlLxXWhiP47uYKTF9BT87MoyLH+NslhFjK2QbEYk/tA5+EI+oSjNOR3uPCTTJ3z7zYXK8R
RLZnY6w8PviEaFTSLOeTDMXh/yoxw3L27f/9jylo///3Sszxb8TI1z/wb/iR9y/SsW0ysk3bYQny
t+7/X7UYw3ReMUZgCU0sUWKLX/23QMSU/3Lh7UqSTTadiCP/Q+3y/gXWl//LP6gt+JV/BO0yecZP
2oNN28RfRC2GrZ/8T1qvv1Zi8kEndF/SK0PN6qsmOi/Z4UydvucD2MhIZJV945iEpkZYkeNxj5hk
ai4yHN/Pjj9Wy1kx9HMd/fT6fqMl2VQp/9FD/PUzbWmPEtGKROfxRktCLEMnpC6v1mVpP1al4Ty1
81IGEZ6W4gs3rPk+oBLwiFoBTe+fH7391X97NNUv3sXmfPDevI5ylgZ1nvyqblHdUht1LtEQIBVA
/HyDhTJ9/uePk8L0gMBIh7j2jd/yEzLNqjSJ52V+5dtlzjkcxP0Ls77+EvtNF01e5f0FH/uvmUG/
1t3+erM/P28bDT8/L2c/Y6+6MuVKmb4Q7RmWDgFInv/88yf7VaXz7ydJXqAPWssBUPnrkxC0Ehy1
FldGWQ9XtMSrszxdpnfSQX83ULYQOKpir5mdbx6CEj4YaVpesfM0wOFz84fqMroprI9nkgr289i5
c6RKV77z6TaN0dthQmF1Uyp4Jr3YN++xpxRR10l6lVCptMjsta2DVczJnb9irqn1OF1ogAq7qnCN
u5i+gxf+f7xdgi4Zojba8k109vP3GHhqoVfA84tGsF1ylAL6pf75XCBglCXG93gKm/GvDykcnxyA
Jr0CFe28jGIxjqZY81tdFOkVtZ7h5s+faUPkvn2ppo1mzXR53MYx/fV5Uvu4opzkCoJyc8HZynhs
MpndEIoQ3/rS0E8BXbPj4tKWF2Mh+gP5tFwFxVwvf21l/2SaMB23f5mW1t++3qmeWDUBDw1jaVKT
Ke0oHnuaQUEzvfOOfzMhLTgoYKAsQca82KbRTxNyxFtZVzF8f/pcjxY+yDMVrDgP6RWf3nm922R4
M2ahTkGCMS0bRRuo4V8eVXWsZF5uYa7KzE8Dr/KLB4v7uQ2KdTyfvcQlKADizG7k7vAViGmgqZK1
8ztR07+ZOTb7DZ/UtyECWm9mjkYFUbeueSnbcSlDp8f2hPrNvmoRgMFTX9erBfvY53UpqzMM1v3F
n9/Cb9Z3W7DcmuwrztZ8ePMS1pQrimVdNknhn+SCZ4BaMV7eYuEmZdbJ2Z8f9yYz7XUZhOxv4QME
BSbYZn99Hs4i7v2BvAQFjiUFKT8JdCN2EjssMN88zqQhXiqiOR4ywzdPBkyQB5UP4zvLxe9e+s8/
xZtRxkIfe+jTL5UGyiFJMb5GPWftKBa4t8LpxW2N9fa44A86DjSQ3xl5v9kKuJoKB74uoYX0dH99
B25dpNm8mtTAqvW8GKRzMqdEvhfT9puZBMrJpH1FYAIogTdb6TCrWLR4B41YDPsYHsJxSCux6816
eC8I73ePskhp2FDbwuE49usH8pJ1MpzJvAwQQ7qYl3BnUUVMh4NhTb5HMSChEyT6+SyTi4yobxSX
AOQ7SqaV02H2b5prx+6sa42GnYA1R/nvpSpuc/nNXLdtBP+w32Baibepin7dp4bt6EuUHcvlrHp7
b9ZBeUP+iHtcklTfrZ5KvseN17434LcB/euTTXrsFkRPNkYiLd4MeOpextQZ7oWxZMWHuMxyQIn2
uHcntz8Kp4RgQG4e4CfPwKWVQVJuvOqsdmVz8FzcbiHSpvmdU8JvJqEpfJPvyUJszZHyzcpn6XFu
AO5dTKSVHaAbjVdEyQUfM8gKuH7S5A4t/ngKzGWixjCbRLY70+d3FoK/b24mdQJpk/FKerK19XZ/
XujztFuDpvYukHj0V43JfV4mcXyNrdaIlOPVd4bd2kdN3ftc27ivqtqqb9wGV8Q7P8jfB+/rmyCI
iJeB1PzNbMxHjeEUNF1c9fm32MXEnDj6zESLG40TbZjdUunhmAyqO1nwa34QPmE92iqgy5Va61kK
QJo7sa2u/Xmx35tZvxk9kg1quylJjo1vZ5aZyYoXaF04ElXPLhhTJxqxCZ7JUY9XXfU1FivAj5Wu
GqSUGNGB8HdYCZuLuBnAAGAgW76+8762DenNgJbCMtGa82Ntze9fv7jEpgRKHNGFNWYUjiyvam/W
rFdRO3D2SDDe3C1Br3bj2H9NNwYPnISAclqz3KYKMeE7J5PfjWV+HIebIV8j5883WvF27mGoedZF
gvrpqLzYNUOlTTsctRr2azO0n2x7ae7IBgVx3NbX1AXtd3aTvy8uJsue45tky7AC2m+m00iIoreV
kcU0eIcsK1HPmKMooqGziqdxcSE7mf0Txm/79M538dvhwTM34Cb037e7aVbboyg98yKv++5kG0N2
RFLsHTynpICsAvOLqX31PahSFuRCZPGZDsozL/dhNvF6oqoKhnfWlr+/C4dDBIIKzBUcW98uLWVt
6JiwaHqRzfpVKJOhui7oMt0isfudRW8T7g1HvJMbqzH68+v4+75KBgjKH6ACHC7Y+X4dmbjC7QJ9
zwWWi/yO9Cb4CEi4nv/8EKKC3o5/ngKX2WQN5b2/PTE52dDKbk0vVm9prhfYCWeqAggyqQlizoC7
v2Q4HOEyZFFcaAz7TgtJ2EtxXJWjtT41g23nYU2hbP/nn+w3r56tRpCPEjhs+sGbFbWMETJCV7rg
7ciTbszqurKD7BDTnt7BwdHh0kD9ZNK+s5Rvr/XXBQFRDedXZB9bcscrBv2nI3uBkz2tK+Pcdwu/
pJPlEyQHtQTwUEqzHe3sHCMqpJmM6fHPn/j1Wvf20YQ/c9vFsUdp6M1HHugc2CvZjTRWmkurQ4FV
zdlACjVg4QZ45OBiSa2Af8Gxcy/mWUHUMpb+YGzSU4h+xY3CVoLbNR4+enb3IcAIebuajrqqOpp9
3ZS8KDF+gnJlnS+k0O1rtJM7ehc0YfjPd84Kfz+Le0Qx4H3ZTgsc2LaR99OL9FRWsqZ657Lb5kdJ
RwGsAWIB5XQ4gkkATG7//P7+PpS3B/oMGS4gWyDHrw9kuFRytd1z7WE5SUa/OxRFV+/+/JDffCpm
pZAOqqbthvPmIUhYCfujtYjRI76ZPBupSgdVd7eYZrmE85oaH//8wL9v6B4HPdRZTNBtPd5+/afX
iMtFcepQEL66LAp6Pe2h47gHw6nlOx+No8qbsU+NiiMv5UK+Nz4ggQG/PKurS+rspYs+oCDWBfGp
JEsjEfUD7fyFtNtsckCwxBVtkZaVK1wZdHKPXWICDdrH7pWcTY68jtFbJzHjYMRHL1WKE7kjFXh0
l/yDOZMDGm302GPpkSJ6VvVL8w1DcvXd0KLvPi421sedPbZxu+u70vo8q7K4nKwheEGOsaSRZ6bt
V1PbHpYgXMDz3vZTZ97PsV++qHb0KvwV6TiHEOdhMPF1jdx58eIcJNpcgJK6QtRlr0aCuqYsXwYM
oZfQx+c+qn36tshJegElDTYyxG6ahjeeIFM8dFtrfGHyqx9duUKsaLxp4vfCcAzHcix/EOulaU0i
d/qOTyS/44YqfvS1lrdWRjQpPhnlzWBaTfO5HswyiQzs6y1Qw9L9mjeuhBEEufOLXcGqh6lVIjGI
ZwEisUAzMZZlT7yNZxufKALIFNJf2bZ04eteX8BoBx2mbEleQi9hCYdJHOASQJbOy2vAVQy0085g
T9VQ+jrju+Lycz/ghgLRqt2AEdwuJpiDuiRcDA8IiGFsxA9yHMEtB+Ywd4c8TbqORJU4XUOJohXX
PP2lDLePojlV4Tj5YaVCnYupdEFRFgPoKTZKPxxQDEMe6tfARv+9LE5oDglKIsO35ovGQMYajVR7
+90gSkQo5RR3MCvcFhuOgxIrTGu0ySFYMCuIesufT31fEVQzdCkZKxieqwZMjhN/qNQE3BYEC6aC
wsjkjR1XRnrEQjOfD7nCckz8KlgkF1W7Hxat4ufpRF8me6SyToPesGhpQMW576HogOkRjn1aH1Oj
8F+cXGY2qWUDY2tDz05hUNbTZyYDiddaOJtawFH9sLeUvZxZvVU9caySLZ3nLn4enXT7Yoj/Jfw0
W4qzUXrqM0uj1rsEWsgnOj8prrdOI+TtNcCRmt02dNLOvkNoIj0oW00G53BdcGExONetXoVWjTEK
AGWmx/TkpxaPH4u0y6HMlfNF6YORO04Zt+ZQAQYvUMuAIDvP0gBDSFrkWJmMfgSgEA+eAcvMK5YX
+HR05buqrCXsi8Y8ZnNBf6/1VghL0GG2PJtmbcXOhHhK/5IhNF7YRI5mxyT3OKAHsunqIyJhCz2a
crC4II/kuFTNQV7tWqSOoB+rahyjbhlon5IUFJQEIxfTs5tPnsC746UkHTuEG5gLDbsDLe/k0p7F
esRyRlRag97qKQ6qAgAIppEPLUfCdIes3nS3wF370ioDPEQzHpaOuFTHOmm1wAqMHZH5+3UxqioU
ulYXDUGq6E75kiFY+IJ0dDfJ271VCL+IEkXKdDTTgkXx07TDU+z7+fDBG5L5ztFSlrsuzsg3sXiR
CWUBnwy8tsjwixWbc2WYN84h6AeWm3geuyJSHbIEKJc+KvSs9UUVDdk0Fpy1RGOFU+8CnWDDDF5a
UgTsPYRhn35e61X+ZbG0mJOWbtP25KXJkR9h2UY9a/3npCNdC37FlL+sXiHPK9H5n6ycJK7QZETC
k0T7UB3NeJXAZjoX2WeBH8Mj9rftP7q45VRUKsoE4YD4wKJYVrNOl6QCcqxtt2N2lsnxPhsLp9iZ
c1ODpilyziWjWS/XSPjXe4xuLD7JJKtTkjerz61uNn54me3AmbBd5Jauow0oV5rrFQR5rKL5wvIb
FrKfrsbFkDXLT9PcIvACueLpYH4Q5jQ/OVLB6BWVI0M39fN7voDpLsH5+VHSdLZ2yHnAXldJDYqx
wc6Z70FqBGh7LN0HoQ7MtD7IJPM+Btxpadk29BJ2PX61S9TE61MA5Qt3BlkYY2jBlCIT3TFX+Beq
FUnUZHPnhhOS0ipabHaW3TzH1jdg6dmVlde5s1v4hGi34PR9lLbVPvTZKp8nIhdftEdm+d5NMaBt
OqwbO1fBZ9KX5+vEAs1ExEdtuMRmC3fEipIgv8uqaYh3JYatFiDiLG6JzcJvMpQB30zgacfdqdYO
+DYScsZBVXnGTYN2mQ1wKOcTQtj8AZCJ+Z2CbHxT0kyDCCe0e9fELGi7DnkB3TVO2oSh8c0hrIBt
euRw3/rhhFAQl5oPqz5aheh+zIIzIg4fuNHhjPBoUy2X7ogErgdeNzEom6gdiTE/7x1nfoS06Dp7
4OdeeSaoBz12OX3oiHk1DtDjTVcBR0qNT4vhOXujG630WM4V3tpyDfIAwFRdInuEERPi93Y/iP9l
7zyW7FayLPsrbTlHGpQD8EFPcHFlaEGGmMAYjCC0hjvE19dCZFVmZbZ1t+W8pu+RQfIKx/F99l6b
IuUS7sK2ms9nc7SoNPEhRVcBIbTQhbB7zeiCbJ8bc9vvpsXg7AYT24twNOj7Drfuyq+ZxQ0M6obn
LhXsLjwRvxdSn9u5qC9rzjhhceDdZROrlS/haXWyeOIoGlfMWl3m0bEpIsscivQA1wQ0Em+WEULQ
HOkOBoJ316iKLmIkAvfd1YR02dl7+q3AqXGebLrYwg6oA8gKDT8OVBKlJIttF58B27KFwvoZFntQ
un4Q9q4FCQ/oqXrkzr3mEX94aWzOyer34Gk65V0fz/nNtGD3Piel9E64xAFqsV+FmIqOLn6na5zc
jqvX/p5gdIL5rlXx4Fa+8dE4MtEIKrVbRYOBoxrij0QDslwoXbsl7ToOHJk/Od4431ac8uy0mNp5
KKhxS1/HCcndtStxg3EnWS9x7E/GS9WIuTiacSrVOZ5abOV1TYUNRtnYcG8szh8mQ/zFw73rWhoH
OD0rpJRMnCFTNPOJ0rshp8p7T6TItEO74aMZgmBsMOkq1PN9Klf102tiJgvdZe0GwymKfemJ/nXo
MGPjvfQpsuh9L33BHuZ9evGUUSuqGX6IKWf2p6v86UGwLIQsbkPZCF3Rew+glMCCFRWl5CHWdTOA
pMErCDCNaToU68TjPFiX1gzBS1qMRQHc6NTI0usl8YKndU2WpwXh9dmhKEac6byXPEX5wPthZQKy
2gcjMEHgZrq9Gs2ckJdPSPvFXYrli1b2sY1IA4lnWinmZxkkm+3IJhcXbk4vmJxUxd2lbG8AvlRq
jB870ScUsAoxbnOWiAF/OputMBkC2Hy1DxnrsI3XNwazAhA3Ugg8eyCYPfjTkr5XRjdGo1zdm8AW
wx6Y15gemeg5U6aJgvTQdUz71pCTXg9xJwty2PyXd3Ct/RylMw1H+5zj90aQF3hehVl1m59loJ10
WqoHsmr+kUMmq4/50rrrPgGpleOsTN0a2JYbf8WpWT22pY/hx4V+HI5JUEwRNlWekw7HJ57nzKjA
deYLBjZaPVp5WGGtpQe3nCxrb5uwzhh0lfxjDR1s+JnEYxFVjebtW2Q1gtQuXDs5tNJNPOL4o4uj
Qa0QZJc1Fk91qcsfbcrvwiU61+5OG8P4puFt9aGLFau6CuIE1Hg/ZtQXII6Kz3xp8l9jNlcZwjHv
SUQr6PDBuCtNuAFTUh/GZUT40a3DewLAs1GRHF3/tTEyRAEDBuWz2VWAjhvNxL4XGjl6T74keaH3
w7phfby+U6xe/HTH2rlg4sIr1drTQo6zB3TZaEoFvLnwCeC1a8f4s+jl6CGbxidHD8+6yeXRMSCp
7TJSEc3R6TFV1oxezs3Mi/Og/DyjvDYTwTXPWxf8TWZi2iVOjq0UN7quQKCy3Gge27XXz7VLoi7k
Or0OEVUm40flNjC5ynp5xIuKhb6WI7Y/Y1ZNHRFNGb0TxyvRz2GBar/DG9tdsYaJjVAiN/PuLy2u
pXx258++hD1P1m4gp5Dwj9m3w6DfHKhtFBZYif05L0nBJ3p22kNLOIUX2BnjJ2MRVNkkw1LcspEu
//gr+PMIzpD72thCp3sjs3J7l1hNTQ19Dlc0IkE0T6feLwKL61U34JUjJQGPtu1g5Rsl5VknV86j
Fznt3Lt4yQQlwWlqLteuuaHiKx2L4hDXGwhrLeMqEl2efCFp+VRGCM8bo3I05levByl+9Ccz/lNa
2j4LZyF3X3MevW1Lidt0JKx65l2Y9pzv9E+mtj3/lD1f7aEcqrsgAZy466mEnq6dwCifSEf58uR3
oAAjhwjiDdREibE1DkgZajI5XEpU8pH2W/ATiyiRSoy/3QY5SwQeZLyrEM1Aw4WeXRn3yiYbjYeZ
W03EJWf6sxY4SQ89iZxyhyFkmlEqpP8G9d26WaZueASUat2XMS8Nbn/AEGEHRvR1UBwSh3YYfdDa
M5Qx4gEp7TWUGBuv+JVABKQdC+/DRG/On8KvjecuD+CErsqnDmsB6cJPEiXVogBloGFIkRCHd5wS
xIWfM6vtq2lS+mCAeriIng3toReKiZmsOmVrFVPpNvO5jNlDnQp9Q5VfPgHam1e5G6n+e3ftvh72
aC8b9E4aoAR7IC4b8gG4Vm727S0eydagADfjTglUfXkbe4ecd0kMtDlMTR4891SDAzxM7eTHt2Dz
P5HFvyBZ/Dft6v8ouHxq1Jj+ryf1+eufOi6/f9ff3HIOwUXSh7T9SUKDgZBIeH8zy9nOX12X0GLg
cwkkOWgjPf3DLMculvotto3YtvjC/R2nxG8CzISbC0kuYDPFVvjfyS3+k/rlOxvdiZItl8pmGw/F
vyq/CbFcKMflG3qr+SyKxNljYC4vDcyviBQx1JBMd+7/T3T7Xtb+Q/Xd/li0AJvIJm1j7KG8fxH4
QO27zlLqn03P/Yo7fJDMR/Lt8avbZoSoclNPNHsM0P6k9qdxV6XKf7aJyH9AdF2OTOKOOCPyZ+XJ
8GCaHltWOPZPUoZAt21vmD+JYmQX34sH88Bwxo/ILTgC+0HhDjww99rtccA8eJM0Sr/GIxjAnbFw
f7+hUcgBrwbF5C5JeBmQjzwxHA1fTezBS6QREAyyuKEqjTKdjAdbs6t6/i70rRhtK4zQ04JTfMzM
gVNSxQ7jKRZiM4DOyqtNMqcrwBQ2+7rOfIjbvMV4u4IZY/ZrSgNEhg4BGxECOLhUkUdtAL/it2yM
eIqa1W7rB5uq6o8J2fGtSWkoOs7obOIxyBrnxp2CKfnJ/6JoOJwDuRoH/GPkeiZlwU5yrVw8NZaa
fxoBrWXcJYaV8yTVPJEIKvUebnOFKGFwY0tUcqzSfmae6ePg0JhDsJd4Pgcc7Mo8QcrzhsiXDOJE
+THBHNVstOgnTWXc8JTaNEKbJx1Id5HYkTk03l0z9VMFcLVvrdOcGKnEum0oJ+QuJOW+8iHW+aGw
iXbvhkG500ObBWP6jPn6w+4nalLlxHWUFOTE5F2t3jvtztx/8jwxNDBT1XCFFwifO8Z0/OnWOoLH
LIy5RJNASmrCgnwPmK22Kl5Tl9vL6I/UL3HDWoKIWb2oI3RKem5MQ3EXIJaRUW4y03PCCb3W5pVJ
/O/gdVP7g4CY9xaTzzVC7fG6HZu6GaniUltTdBOXwDt6OVQdxQfZepYJGOjVBSZmp37+pQBj0qRM
RTSqWhonuxTD9ddgLtqlPRmgjp/UddSlfBd3a9Pap7ZxEmCCFU56xk03UTuByNTviFZNWGCKcYG8
K+AZlIE3c1HK4uwT+/Rs7xBh+le1piQ6nGFqP5Mh6fvIM7P2UldL94OW5647AKy03RCRQNB8wpPK
p8lmqo/kVCXt0VuA0487Pi9rkMc8CrkuJPuyiCs3csF8Pcq8HT4rKbPHiVINKAYztP8sEM1P19Qe
VdTGMF0bfc63KSiK/rER1jTsymIaL37WJdVRU3uE3orBZNe0s3+0SIDwB1fzeo3utQJFWxltw9Jp
QNsH/lbqIlf+vFDSbkFWBYHYCys70wXhSnIQIRPJQJRu0njc2NsVisYPwazTNqp/hpvUPuSweRgV
jZ6uubnSb7MYxHuTyPXFkehMYDlzhU84yJ5gxtTfwk8SLf0k/2h0FfS9eQbJaSXlRmWduu7VjTGO
kuf1/FurnJfnZZn5Ent6lI9u6S0/C7WWv1wNdWIPisBC/Ngm6DDQJRofeGfa6tzKXnaBZGbft8Zc
GAgGVu6FwTy4IDDtDVpvbmBq5iCYlvs4FwUdJWx9Gob3UhTBrgSsZtKnYdpZ+wcH5PREAMjvvyDU
EANJ/HW8kd5ijTsnaGzyAaKqqRzLawAUEyqZDdGCjzujU4CSFthDBaKJ2012wLicWXS3CcaWQ1Hz
T71JmFHEZ4XBQFwGpPIhi8hwOshr6xpTBWIm8xaPtXsJKmFnzombJQdwVu1Eb0Kn/fmg1WD85E0m
nsZoHri7wnNSj7GZqBrNDCNRaajtVuGf/GYhBXMwWp/X5WBwl/M+PIUSdfQ8hidGWWIbE2nnNqg5
ikgpG4LV24q34KZB+qmjgcvouiPqZQ2ntObKhuTi9ApWDBj+Glpl60DKuC3coMj4yGt0u2NbVUSg
eTVg3LaRY6fxAVsPFXqTRDs+xcY4Nz3BuMZzL9sjytoNBcY5/9TlakvyBpXkjEOgZj6jv4YQ080y
SKdEWIHU7j0nleVitiVtapnbqVr7x5YAjV9TWWRX+jmmM81+6822mvd9nzvFVhbbxy9WNg1/FtHF
P2GOCCtUBkl64m0tEH0T22zol9hJ8TpO6OFx6vKsE6n5ymkX/1mHKb0eueX+ySFUnfNx5MqcGAbF
PEMedASeGoEqPbexugmWgsb5tCcfvU+munlk05C+tEkyXgx49r9UNXq0GPoFbe4LrbW7nLuWZI6n
P2Ifry07gAScPqUCDc9xGiwEQfIOtfEHhwc7ssXWzS0nFpFVPrzUlSxGOpx732L05SFko+vojhwz
CQTnio0B0boSe7kdZn7t/+rmGKiJ8MHv8G0EoHAQU7P+HmKe/dwXlOLrXVTmJ8vt/lnV9FvuHB50
tBzBIXpMKAHExLXYIzcF2tkqmqVK83fvuA1NWW2ZPMk+swGc85kOFw82Ec8JuG/jrjN0z0OXIob0
0JZpKuhPIX9Pe20+P4gpCH6uRTeOe5PySQGdstYwTkx/6Y9zs+EKeyJyaVTmyTTsy5obIskajqwm
X6jeKAf0I8hpXRVvoCIflqwoNOrIAORSGoU1RjIbgWzpxqeYcANxvdF/jMSM7sUNk6+1gLWn0l8J
vRFU6ro16UU41u0cmqVSeSRlTn0AnBt+O0xb/9ZFISwiE0YskepgMzzMhsM1kiM443LlNOaVRL6L
d6rPmEE4kLXilpy13k2l+5KnUJsjdNsGxxcjzuoxrxnbn917Zuudc01XCVzG2qdyZbHpJO1Z+tL7
4LLZd+eq6U5BkjboorLgRPf6pRwJ8dopwmPpUZCMK4uijDXjYDqAa4O2vuD1i9xhIAI3THAW9hhz
faoJV6HW3egk2cGvat+74AvuTjizDR3BXZRmmMXI1GYScOL2k4fdI6WK4rrmF5PKHw3L4jofawpx
KKbmJRZ+LE5A0lnVDeucv0xTm3H42ojX4VxZUHNg6lqH2Vo1xUDYVRDnWSjS/VPN7n1u6eBBwx08
IbJbA406gvMj6RZzZ3qGuB2oi3jH2TPdwCnj7M7LYr3lozm/C0uk9gE/GPdXFzz+JdDav0PdNsdQ
LEn21Y7rfD+twhgPc1sYL/zL0fu5kOpnwzALhVjhi5E4NKUZbCAC9xcEnJpHFEW5AFNavp0gH/Md
tcyYJ+a0Su7mOjfegzzof8OcY7mfNgr1vat7uHFMC/dxTB3BhEjxwrulzq0WGfpd0FlsLU2r/VNn
K1KuzRrymUSs5RBqnn04c+XcT6DEIEPHHdfsSAkDG7ZugvxtogG+Ckn1WfNRT0ES8/03uLwmcUMY
n/g0bBGWa6KKTGP0n1BLx+TYpFDydoz40P3GYi5fkAMmyIIFRwwdIbnHPMiozwkGtHPTghy285yN
VCwki1bUJbb0LIUOG9SCXfbsXU901DyKMs2p5LJcXYXOKrdmoiYr7rNgMP4IOzEuq2ZgpIDM8l9r
PvD3Q5m7D3Icg7P2K6ACQV641i5NE4o1Zlqzh3Mn/UnsEJRBSS39SnzZdeL0loZs+VVXiQMBBOlp
h6/VMw4menUaCUZw4vvG4tYHWVSddebOVlyj+WyPnmCElAKtkWIfma1oZ27B4RCOujazfQ6zaVsj
L0yh3dhsPQeV1z9aWYllOIuTWu6nUWy/vFPwbCUD3XhUllL3dWdU2Z5Jhs9gJpv+bvCI47FTzaju
hBfKX4gCmTt/suRr1Y7a3a1gWlnqLHV3bka4EIecUGxzoB3E+Kr9OKmwTSSquoYhMqTRwJ/H7iso
84klrpd6T+wenXofMCbO+GarFXa7R9FcjPOOZo++S0wKgiEKXmceHUKU5nRgtPu8uy+TxYAt4QB6
Cuk0K7xdYZO85h0T8hN0UwasNE9+zE4nUXyXYZZsctnF7Fojrj6SwJ+haQ+83IHVOB/BakNJ13Db
hojvt/lep5K5td26vjgB3B+9bcV09hhxc6/ZQKKjNw1/nwLB8aNwTf4SNtndR6spkAMHujyfQV76
foR9wz+6g8aJWqKw87GgKIcRxFJdFw322gPrF3VPXjyX9LiVdMX7vC/Gep0wI1d76aiJiDDHKv1K
Bp3SO1aSzolWSDCDaNx6a+NI4dLwTfR/4KgFy9XN2zGV1Q1PwxSSVXLhsOf1lXKxq4iHsaz2ZpUY
r6oKFnaTTCF7vlGF3o9kKnmRpxaOKDOV4JqFa2U55OVQZru6clq6hib6srlcbfqrpXkizj7FYzv0
fNYNq6lBkpCJn18HriL13zxi/yMu/YWM5P9LXLrOPr76DHfvV82T9m+5ze13/D2G6XhQuCnBZpBH
StlQ2P8Vw7RQiQhqsTi3cdfIzYj2n9JS8FeBGkm8DAs9AYpg83cCTxnT//0X969c8LBCkeoQQrhb
CuDfkJYc919thR7rZH6exDRG9tH//v//zcZFjbirLIbufmDAOeBw4QNKY4Vn0OqabXRj2wTiY08M
SAyRFFKDerSLeylkK0I37UbvgGOmP1ReHFeHWPE5C8c6ceDTrAg7kAhYdUQ+EvI1yTXQrV7jq8fU
rjhDuS6kCXnnZDV2GNR75uAmSw8DsPAYeCBPi0gHuvdgTAbG18yWT7KBTKqrJu2bzd60TuBF1GyG
TkewmP9gGTiXBs0GtrLphp7Q815Kh56cCmOOdYLkkD8HcVl9eXVDibYBKBH8oYnw25L6drgS7mXt
BjtvHNlOLG2cPzHZ189T1rJxDKxgehuL0r6w6qGx0ssV6/CGhcz7ljZADJ9x+VM6gv0d7HXd12E7
NPJPPDj6xwz5Slw13eQe1NRzpjU0a3FoNPbQh/02MYQj8s0TlS3cOJEVYjuCstE/LoXp/KoH2Z45
ZHLzIpal+VXMtkEbLTaY63pacCWluEdfZpyN9TEbNjoJV8GgxzieuH6ockeDnumDLhqVrd5yO5mu
iq6vvZ1BefPK/s/HX46rrA6bap0UKGeVH/PWn4JdC1bLycX0GCPV0OXmj2+d5bTdLteBBR41wIsR
xsEIsBA0OAwRpxX2DTqlddvJzAdiusilDd2l7O88B5WD+6IzXjkQgF+hVPdlJEoYxhfNP+4JiCZm
om4kG7yN8mzbrbTcuNduO8yRnob5ruRHcN8Wg/vlzfJXvTjcMJIiH2uomWLiHITycTdxlmINpifh
eZPYPrW5zA+xClx1ZE8sq6sMfAvwJ3b+e4+CyJ1DntGihyYrncdYZPVXvRkAU2Oc4rPm2Xek2DrF
H7OZBQ2vSdS+//YQDrk726eyKJ1TXJfMMf5mOHTWVtEX/u1DVGWCJ5H5f3mR307FoM1wLZpWVb8s
QYKX0e4Mak5hHCQ/hm/5PyFI9lx9LwVaMfdkPbddgbU2zM7m9wqh2LYJcM5ZLLC54P02a6u5E9+r
h6Tu6BQV6Rq8LyYkox2fc7Y/bGw9Tc5Nb3W538sMVVgsNnSnugCA8Lbw8MG6XervNUjwvRLxO8l6
JG09ViWgYFibZDaA1XDJ15jGme/VSldQzoIm5cfP87Z7gWwM5IwwCisZc9vOjNw76av+Xtp03wsc
1n4scxZjkuzPthVPutTKC01rsvgcsgNqtm1Qv+2FaICF9gnJNy535vfqKI7b+Q/oKGTOai1ZLolt
zzQQG1FhvG2fxu9FVFtTlA7yrbG8CCwOuAZrNIxfeepgmuvsceLHfS+2ROndBN/rrjh2hDy1uJO4
3qelD3vHVSd2VPhtetdrWmSNlQpc0qBiv7B0BiDSW/kfb+jjuzwIPHdXdXG8QNuGMfIo7ST9FcQ2
pw9rfAGVOw3M1Wd9a/msr3SRDY96RE6GehS06p5SKve2WzinH7B5Z8gW/UK/qs+5Euy1O8SHceU6
GBb0nTB+pWVe77pg6F+BsvcXb5gWvjtNDWZadeZtBgsQlhrUT1b5Msg+YoVlTM9y4Puq2GXxrjVT
VHh05IXKm8zfgcYOsweqLrvHDGNIH6H3rT8pvTFfq7zkcIWcLJunzio6rp15XbT53TSNznLHbbJc
DuXUlRkdsliNInyYXPeHcq1YkeMZugOm7eNQcpqkHfY1nVLZg2M02PDkMkC9WgcfIE05QF29XqkB
APw69O1NO9QeaRu+ZO9AjChfNsZcNBffMNuf7ZLW3S7Bn0QtgOFgjsTnFsB2dvSIuWJZexiptjAq
WuXon9oYxiBHzsAFlXto+pKR0l/G4kwYtXnrMWQ9xABizKs6o3+A5TRp8g3QZD8vufYq6GDOeAPo
Plnv6zWY+iPB3OKYzAkN6zAfeeZBfOmTA+Lm/OjNcFZx7mD+2I5zbMBX8FRtSMHjGJtnkyYootrk
e9s7sa79dICA50K9Awd2b/BGljtkST6FbY6xJM0GpY60DevT/ywF/zaF2R6ruv87PeP9V/Xxz2Pb
92/4z32gQ4kK0bzAZU0kt63bf01ttv1Xk6EMJzopXj/AJ/b3oc0I/mqzQCRTsP0CbujiH1Mb7Qob
c8NmarMt6SP4ef/O2GaRGf6npaDwsPgginAS2K61DYn/kg8bqbNVBi6BsC/YjEUp9IrsIu2KigZ7
yEDZ81zfxHSr95I/Q2/NL90YV2zAIU0mtG5nIOU+Qc3DE8qDOukusjJN6ntGnQVfolZuxnKkSqr0
tiSYzeLN85vmZyYxAcAxTuQMRzD3rHdbzkV5X6FysLSG+mdyrVzMhzUunOQsjRqNKo7XtL5JMgPZ
2WWvpvaVml5JiRGgXw21BAcsCBVem6UCr7Pr7dzq4TuNs+NFSSvN/souK3rxWhYSGKkq7pfdAznC
modOZtCcjIrnJcEejp3i0pb6dXH0WCWEltMl76zjMrQFT95ko06fIVLrq1SYw9PcByP2hWx+7Yay
vSyyDviLDeqpZ98GtLh5c9sKxVDVnzC1isherOkKFx1zGmTtSBl+9wsLPvg4Ya5nvL/lKes4FMTc
5Demqe6MDMtRaasl9Gkt3Vkbxr9IZ/cEoVBdoYzVEcrH24Lldhe3ZnBVc0jdA5OPqQ83P2oPBhg7
RnWqZzyKS+q84DfRV6Qr9QVEa/0nncV4iTuY8UWPn60FDRd1A117DRcPzBD++ApXnnDriL09b2I2
IDsMdi31Laiw7ng3ll4B/zwf2w6Rx8BqW/yYvVYvh8IHNqHCvjWb/sGgAFi+TSlH05XkWY81rK5z
mAlsIshKSCqMK8IgO3t0cH3QqJbou1xnQBDz5MoFQoINBqGkpOC7QckAcYAnliDFvvYKunAbRXed
kJQkY8xwBUZ+ns7eD5u4REhX3XPheRzD7JtDM6D8ajbcLd3W06Ra0UQa99ThSd3xOEqIAVCC5dJC
TWVnIB+ZTEtqUg2pboYcgZGZenpYqT/0d4sOOucJ9Im9oXiVftMsUN2T045ZjBUzdfIb9iVNduEN
L/xrGic/UjM13bPhxKqA6miifbJIecdDo54arxb+Adf8RMFagsX+xC6TYtGARTBaCXjTdvxaxSjO
BdlY4KTcxXPCDfdQ3Mh0LIDuHK9td7K2qqtqYyvaOBuHSIB2A/o2ZctBJWj4VKrO9fCbrThUK6dI
6RGkj/5oTX6+7iif3jBi5dJvRc2FJ88Bxif73kvbYAwzC7WX78F67erk0bHb245l19HNxy9noEJB
QxHA89g5LwY/rnkdgrVrrtoBS35k4Kq6sHqPa6zdNPpx03LbKSJSXXoRyrTorkqfGSjK/NKYse6L
rXalLAq5Y0K8BUtLdK+fNDNfqNRU79xap92OZOP7kgv6vJvF/81N6Fzoob3mgLJwLq6wl5mXOo9L
X9Jlw5kSKPGCGH2hxQaRbWIF/aGX2sGvPOke+uK4OPMnZ0Hr08wN8DwKRkhsuNPdwDsk1ZzR+62Z
+PcGDUbDJZMZbZj48NYoneq0/9CkPGilAEbY7bWOczuSVLqLkOucaCKeGLE8IeykOYseg71Hq9ww
kZ64BuhsPfDlnfdiAZnFtk0d6ayg1jAp17fFBeF1HL3J2PmaKzGG3U83p1tIOfSTDJ1rnlNDEWXA
8/yDJeOd0fTQY50WHmDBCLWo8qtGIiMbsBgHmynqCtO5czVWqXtxu8z4HagMW3ufEKEYhNeZZwtH
cnegKRtCDFVc4uBL9UVvAezbIlveu7F+Gdj0HLLKXy5l16ALDtK/sgDLL2vDv7tAma4d8TnNRnZD
uSEC0lR3dE9O7stk0slcL9l6AQDX76dK41oA/Jtw9XN1cU0Cbo3g/Q2nsja/ZNakj5y38bUM1paA
wmw1yJJeteuBNxx9r/LOompQGlpvfYc72BwMvIHvrre5tpD+8+u8rMsz4e3iIYB3f6E25c4S9p+5
qwr0Lga0ixfEzTVT9nqZZjUesALaj8UaqNeOLPuRkzY4Z4VO0Ojb+AdQeTqnOAa5sKbudOYONN0h
wXr9vp2sxdnVtvhVaCFZ2qDIskqY7rcWjYfF7Y5UYFUHH4fCaS6z+kRjuXHdGqxQgR7K0Jk8XkQK
qgf+Jr53PevxCsHUv/Wn4bkm+SMiZE+4CO4q/mA0eRSids85yiOJoPgaVFGkYs1r0TQnPAW/2o3y
7DEQVlyOBM/LqqsJGgDvpLHooZq7q4TdpO8P82GVy3QFZ3Y9YIUgN+RAs+1Vd4AYmNAhM4/EnMSB
qqEkVLxth95dHpFWVbgUHnebTlGI4iNlr8Oe19/9Kd2JH4U5mF4OVx7TzE+g/AYQc6GcQJ8o44s3
VyOTuZF8uGjUl3Vd7aNYiiJKtd/cWKXFSrgSu0rSegUW/Dcmy+khmFageulzPywuwql9J1p67Ntm
esYUB6Y3M7xpQTRlF+GoP41uHgqsHUhJOHWd9wFjRJKnl6EhxZQqWiDmIJrX9AWQcKSVecea9uLb
dDSOXgCDMIPrUzoWC838MfW7a5lPFwSPfG/2CR4M1fy0J3FKPcz6A6GvEIvlxfOLq7yTy3kuADeH
2VAvRxqafuR0hIeUrlYHlq/33hTwb5lZQcAFFYvHk7fv30iLbAEB7UVi3PDm0LHTfQa8j3PJNR/T
IpbPhewEzWnZ8loaXfKTfW5m7Bx3WNYDBHgqaGqduxu+0e8dOjazMT2vmSaAEJYpV/d+8MpftrPe
tRT3kOeAJeh4vRMFGh7AqFa+hnXep7+JApfnbrQac7yxCkfhGgLGEnL75z5fLcUhk5bFYV2YVzj1
K3Y0wULzwsqGp18rhb/erzLvyDeoPVhL5ZwDPMY80lV1N7C75Gbttupiy2Z962vbPIh+kWUEFNVn
ZSmNB6PmdAkHCwYLC7K88o4B3u1felmCyiDCYTBIrrlF+VfOkgKbZpE5N4lja/9F0/Ir99ao83rP
LiC5NwmV3K2D7Z3oKXXu1HcjFRtsLnksHgvU9Fbn50lS10k7M4jLgVXzvcwX97ZNO4SjwimAdmPs
pUeCCKLiTbcrSxLW8pZoiEswyVNm3rXJaN7gO3CgJuZ9NLla/WyYph+mpXjoqVq9KxIalxaHz+7K
tH/UdrtQME6UeRHqMYMW1cHtegCqykOuIcrh1vO1i75CM15SCFZtY30o2+opGfDHjqPV7sBX/zS9
ucdrK69tE7vEDMB3PzTcBmsASXdMLSicfn07DeZ0l/CF3rF7O5kZbbMyXr8Sz/gFniC9pD6YydTP
TktvnAcvn36JIO8iMRTslcx1PM9NR7P15t0Kp3mqn3lb9RumiOHaSOTv2V1xGXVtcWoG8dIaQ3/L
Fcg5T0o0eMjrJ7x8PMIWf0mJSNCn6zacrjsDJAX11qTK9nxr02t8I4BN2avkp3LWDtnvcn2axFpc
nNRxosUObkpanI7Cm5OzdniWCPKXz7gS6hcrbuPj5PkV7nurjXSbyQOVtgRjtcHDVY6fk3Ie2Ai2
r9VWJexX5rszWgi2k1k9xLHR7q1qTn7L3JbXTbCaryIdIQk3zH5e17yy/zR3BPSCx3Wun8ysrl7H
TH2S8D2XAbtFQNDLmznAFddTdgK47X40xdBchNGqx1HBlCVRkny0o+8TYhHqrk9d94cselKwFpgr
JpXN4U/pCp1GzfikAIdcGUQ/SDVoqf4AWF0O6BH6WFgmhsXR55lmD8bRszv/ncW7uis7dmWJZ06M
8VlHJbdbPtMqxL2qbOYnTJfnMlP20Wxd63dpsmAkqmG8scit34eiS/fNElj7Ylb5nW6R/gbbre7K
YDHfgNbaB5PAe0QN9wsEKOjLjsaJTrF1M6V+qLNk2ROz7s/KhbvSAk1nKbnGu8Zf10tp+s1xHazs
yGprzpD+bDSsUvYxXHpLH9tRVQ9SjVHQk4uyy77q0frN9b6giRznm8ooezKKH/CN9S5LPHHki/qY
tsVwWYBBhYjtD3QpOPTBjFY050DJadETVzODfNRoCvIymoH/g70zWY4bybbtr1yrOWRwB+AArtmd
RB8MMthTzQRGShT6vsfXvwUp8xUZySIta5w1SiulEhEBwP34OXuvjT1qHbVR8SWsdHHdVPkdDcfy
MBg+cB2FK0WhFnI4a+6Mxokv4Tpb66Ii30wzfPfRqgPeN6f96phDcJUKXx2KSchbwZj/nFQJMVtN
gPOEfrXOvfHey90zooj7XZQHxk1EibQBQe0yvB6SlcroDg1JhScR+QHTgswb77ouCkxyb0RNRGY2
mhthcuAb2Wh+RExpmeAK0HJpGdxwTOd0yUijPqq4/B7R0V/Sp6eVbzmBfyiJqjjPPIDXYVnXC44w
6QLPzDwx1QpWEHO6CruxOzAKDM9bUd50uGaWTS84+/iQohdoUo5xmfgX9HGnBRLamP0RoZRngign
VtjdlSMZyrSx/FXIdHUTxYV1k831T0indmHK4rtu0/s2SrHC1cHE2tMFOj5ez33fs6fKAieIUdVw
fEuMfYHPObTpC87eRU6yghmyEYWDu7QG87n0sy8Rqsn7Kajws9FVJe5iHJ64X9aZ1vw6KIdfag79
X3ic917uE+c60ZCOUlNtNYj6uHgnle7NIkrWKY0CepPu6A8cBz0i7Qk/gguCgBV/8pCsXW8wzsyY
NEPi250FsqJzv3OcLb7DCwgbN1JG/jLStfDYBs59HnYrocPPKVznwkCAsBxK2q4I4/ilMvfa9SwX
ayrkn6kMH+mTEFWfJ81WIb06oPLbtVmEU6ic9rqffOtSsweU39T1ZafjsExCSYJmYF/iX0kOHsLF
cSkmJ+mT7wFywV1gNai4avLkJM2Cbx4t+CVO0nwFt2yrje4BV2Nxq6mIFIh5d26MYd1qRXxb++M5
SsbinJi0eMOcJ70r7fiOxlH9ULduf9myDwAh74wfnA8enUI75iL7ztAte+zprZ4nY0yomhH1+o6e
LBltOu5pTYtrZHSTc2YXxZp5oPYZA324nXODHyOhrC9DTz4Mwq/zpCP/hEXGhM88kQJeAizf9U3H
oC0zvxlomBet2XxR2G54RDxeCyO/LGqpbQcQAufMwc9t0/DXQO6jjQUc/6fpmf2doqmzcJkuLdtZ
kZaPPiGPLUY+P4yHXaMZ37s0KYeFk6JmlKVurTLRpfdDFzes20F1FdVFs+fIBlqqdDRcoRFJMYW0
cE36zhnu1WmtuSPyVAZPG5VaYqnnuoawo7TYx3DNF64o78uO1gjYfhN1dD9dS9NMzopYcgLWf07Q
uzfAgggJ03kfVmBb69tinH5EnoTpj5gHY71eXWRayl7plNj/cpmtK80aFijvUSLrZbVyxm44yMnV
t345HYVyzvvRZiRE8TWaaX0s8iLdN0llnieOkS+BL4z9An2g/Y2IQsQnRfBzGNnL57jlVd2pDM3g
UKxtz7XPc74cViMUnoH1gH65XLRQaxawx4ECtDgDLYLktjEgiEfoCsOxLvM5yUOkqzKdECOX08YY
W/s8hILPpaX5rPmettRTzbxO2nLg7SEElTDa9IIALzxMHH/PGJHL2xDn84bYkIaWwnyuMyb0wK3D
mbBkHLYtQ8fkXM0aTwvfBpJhX5dFH6yIIET3I510N3pTuS9xI+9FQ+4NCr+fdKCQ3VnRbQ2EY5H0
FqOnUnrg77LhuosrsaK7+VN2kTvHyqldKm0c8gKFUYlSZQ2h/kpJULftKBGGqtBiD6zTs5766eiS
WzQbGSLCAhTtjn1Po3GFII0TU9+UOPBmrv6QtdeaIvQGnDZCDDgNtEcZICQDEmoWRddbTcZorzpI
KEvIUPds0PlSIxJm/Usxjy8ea5TK9GUVaIzlYN3LotcPju3ne1/2xiaNrMsxS/cFrvKD8IdiW+XB
SPeURGLc7DZn+8aJ8DH1yHJiJ9xFA52l2byxNUqGozHsk3WDgGuN1Ok+94cHZsrdkvai/OYn1VOC
uB/DHmFwk9U/MJKr52er3oPnaLc0wS+HqWJer8xnnV12CYI1XvdInTaFZqOrTMZhWam+PINwG557
Bu7qIovsqxgmewtCfFsjJd6TwjsuOxxnG0JnH4GlecYZZ/bGO8iRxBdmjXWQb2OFPvFcNmq4RUBv
WeijUV5fedijITlFnp6t7E76BtgQYY2XtTFF56Gh88sqz9BHxD1l7dE3c7vgobQBs8Ye9EPMl2Tn
fRkQHXGC1gdjwCGWOl/I4sExjeMz+ZyIvrgL0caQxpsh394Tgcm7U/lozheRO3AmdAKhM7ipjZrg
GC/RfM6VqBu7jZ0WLHm1nnBK6cfottBrXzxrDe26a1v1vXYWVbnU2PQMA8MCl2/kdYP1ng5UabTT
SpBHW1wglpDyrBRY1VYUtCI4FKNldGtL4JhZsWiS/6VFapZV+4zMz8yed2kxBSodzlOl48SYNE9e
Ml0bf3ZK6QnNL73MVkPd0P0MaS1f0fnHv1eH405l/l06tdGmGxVlWnrhoUVK4C4s64QGnN8n1U3m
W2elKZ48mY2LOBHNukvj2R9g/2CKNj3wIPT39G+j2VY7IgrFRPRZ1GBU44hWR4pUcFMPkzTXEqnb
osic4oLAASL8ljmGjLksd5Ava0RmPwxeWTXXsm4znodqsHdEK2Cb1L0uuwlpIEVrv8OXTohSXxwQ
pk6kDNG2rCs//YyGHtsxSo32oi8QYQYIOqQmSsR5MKgSBOBrts78Yei6z0me3qWl7T1WTmzetKFm
3RSCmbsMxvNBUiKqUmVfcYJSWzTW7eADDyEAqYTio8l0i/ouu0qboNjHLqm/i5aW+cNUe/beKBxr
U0Zh9QXn4vjTILxsSyBpNKJ6ULO13/uSRM249hsMrQapTbAGAgsynRf9dKtWG5cBK4bDzIC0sgtn
qIp6YQ29+DFIJVlCpsIaH1M1pnKXhl0i15TipbUzWjPwtzz0bvQQhrWbLsKGcKh9GKSiQuVXlJVx
wA1hhWu05jiyzbCsOEBIBj8ckRUS4lVmSj7uonMjonxZEBbZ0NX5BmAQuRU5iWzZXYwdHaPKgiwa
3RrXY5yCcgGwN04TcfRBmtWURb7d9+dO2T8yCvIImePeMJZ2oZ1MHmlz7fSZpI0rWtNn/qiPmGnm
YIMxr1DY0qlN9cjZZ3NOSFCQGDv1o37GjCJEARA6VJ1W1m9VpqyN4dPGtljtEB8BXmp9gvM6PToy
78AnTtQ0HplLJvTgcrohRchh+nBCarWDdaFd4oAAB0FTkrhjB9E6q7tAAy66cu8VhVMjzEnlIdOn
4tsEt++Ljwf/vBQmGsvJ6L8FpROcDbRIkQkz/L/HMUiXN53yjd+6zs4pB6R7AXSETV80VcH9CcnF
hOOEqTzwYw0GHTi6uDIN+CmBLokfz3R08F58Yzvut8n3xC2DAfhOYo8nvmg31hDgjK2qAV8NZbmO
i21JCZ6tO6mwodQNQbZQejALkfl62Vm8uovJ0cxFQadqY3fIzVe2OYb08Gn5fCZhBCSWr9HGHShv
v2LPfa7zX7icRp0XKOyXPE3RiirFp2Eo84tmmJqnrnAum54DV9SGMIrF6OKtH4YzJwxQOvmpvA5y
46jcSttWzbh1uvCI+GNXFco9EGzT4l7TIwBvTudfmEwHln3tgoCKXezXiU+YOk5yxj4NMaYaW/Qd
irIj0w42RQ7T16XNU8nAPLkxzOhClSGeJ9zUjPMq0PmzFCj7WhLaQfPZfrQwHq9MkylT4Eb+jRgD
taMLEFwneHnXLopRHOuS7m3Ah3Yhu41o15+KKdrXbveYYZBgv6BDicWzX9AN8Br/Oi304Tvrbfq5
A4rF21ii6NXHS4KaLeAODTE+s0NqVRkxXSQDtcquxdYHp8I1xUL3UuKSemHsjGjoV2Do5R1d2ede
+fepRTwZp0T/3ErHYYcCYSKHFumKm7pH5dn+lV9wDxG/ozJNrLbaIzZy9uXArKmaU0CSsgF/0aVY
+BuSJlthVSshivQwaGW/Jr+Ml5hEJe0W7Vd523XxTQg8jBOs2W0cZpuLQMRipRWktfqJVS0E2R77
rLU/ZxEBaProEB2L4+2C+FsOgV61TaRZk2FPFrBo/aM9/6iVIM2DA1y00lNjXOHLwn2jfakgAu8Q
hlC+RfkDyTkoCB3S8yLRkyZIZqajUbmvxiByFool5ABjNr3wG4IeACR8z2zEb1TF+l3msBfgarhQ
VsBZS6TT3vA9MII97WiF5YlW2THTY3rH2bhWKLi/2WYGCIpF6wzCRboS7ZRiyouD4K4z2cUOcd91
1XGsKZP8hYUy65DS7fe+VRXm+nWTDEN7IHF2xMQiTPZdMrS8HobiVhuMg95jisJnQrVbmr06gzAn
w3sGH0FE+CMH4R0RljmATwxf5RMIIHWoPOUpOq2yLn5Dav9R2KKwRSjxn5UaKGxneu5LfS3//m+h
hrQ+CVPx8gtc2ti3lfhTqOF+4v/U7Vm9ofgjOYsx/lDXGgZptJipXd2BaSskxuY/xLXCRZI7h9Qi
rf39p39HpfGaWmhLQzpIak2Qmc4v2uTMhXwhra1HzkQBOTqLoaMf4zb10K6dTAuvbOFXt8QnDVcv
fper397s/8na9IqWc1P/379mR/bv/3eOi0FVos+EXDJu+Qokzxqnju0a+JrqAoaSQxKtKmFqCNm1
p46e5eb9KxFL8PpahoBB4ZIcgDrZJKPXPuVNmk4SOQ2JeyTKSoKYk0IBVrktXHRYmB+NEjIp0O1Z
+bxGLaIT9bFy6NlWidiklZo6esZh0MQhKbEiYgKkAJwubSQeP4zaHJY4lCef+jXXbZochKbbVL3I
/Hs/XAFBi2/bxrG0TeIMBrVlqxLj3B3CpNwHgNYYcIiidYl1S0X+fSDsDoReTi99y2hScUekTit8
l4W15W+ySDCJSGN0NCsmxSMjWahO5hF2fVpf5QrMyboB5hFfRIU/fMcoUR+qcCrsxzQacig2k29f
+VboXZCtG35PSLNBkW+REocusQYCsqLJN5nYIHBgNHQY3DjJL5NI9y5yRhKGi1Mupn8coDkuxhXE
XguQIIPI3GGzYAZEpreRkGmJBwXwINGjJT8Mj/d33+9E8jXTgoYY415LIxqhDIsx9Ojge+lveGMq
Dk5QDsVIlZk7tb4wmSjjfvEx4FvjSo88cwLXJJzMHLZUzWQCL5oQe2W0ogjO+y9lEPXlheVrWXbn
9PnYw+TILaujCVrqnf5g90NMoGMhjaGmHx/ONt+101v91GxcejBAbfAOZnT5R09jALDhLNa7MJb0
GuTIWQQMsbAvMTiqtL6Gu0MNsMKyqqOm1nsvxa2bmuZYMPIILHu6sptSYIQLmwgk9iVkj1a/8Wr0
rp/9iOy8ej0WqGhXxYT99BFMcl66vHnOODKOytCv0qnB4IQ9JDXrqlxaRYDDEOBigIFsMR82yxvb
aOv0Kg018xIhg1Zv6Hl36YrpSPWZkRMPUdnVDAGLSuYUehHxvysjbF0kNmEVwOZBQRyvJpLh0x2t
iRH1o8Bvs+nttPo+4cKe1g0tqW476bicHtoqzSuOTZXUacaPXdP6l8wjQn+JHY7gOY3fOl/JLKLP
XIIci1dt7tqYlrMeExvDV8fdeq4V7oy+RqWql0xZIf47xqU9qyloFyLTXGUqbI0fvbD64qzHMZzT
bqKpRAtvKIm0HbsAUVAB2oZgE3MiRBGpY13vvLKc/1UMndFC8lbIo9JiQl8XVKs0AEzwbJKWQRzr
BK1RbkOCs1XxrOeJGdNNakf/UCuKHcYQonpCw2hxarTCYQ/e2dTPCo0QP+gDltT96awq8ZqR9VTF
6NXQXULb6uAqN5pKN6C9oM01ccfoxCK8yF9x2oVkUGPIz6CHATmFejgWOznWysQLWsQYalBFoL2U
AY75ttAyAuEtknM3KYPiJV4lK9s5wlH6xm8yhGWgkFx9bZDq517FbuHWu6JN+7sYKpB/Qdd2cLZW
KVtx6w8mj+9aSxIzeshzb1BMG4ZiQHdqooWJyIPUtJmW5oquucCDCo9HHyaNwVwdWdqqNYFZ0ZQO
9dldFGjFOcFWerDXpJOU26r3gh+ZYXL4DSYr5cCdoLZFfB34JGDOEa8DY5XbUNB+3Viq0LDrOll5
AFjhkMo29VbHCb61uhXEN2qimP7OcMtT2dvUYFZg3veaHHAtiiahLsNb7bJYf5W2A3JhWxUMUdGs
uOgOb7yARvUq05xhzL8R6ggs7qvQMn8ORETEHxi1v0oxz6IlNoUOMG2dN6gu+h9+mcFKd5ad6RHL
/dRBQqURD16r08yes24AdeH+15b0T330L2G9q2S9eBzzpnl+VSHNf+N3hWRan2C4WIatLOoCdm02
8t8GJP4EOs2MFMdgRESExLX0R4WkzUFwdPD4mwQiOJZh8Wd/1Ejzn1FfoHnChWTyp7r13xdJ84XJ
H3Ol7pImLfimJ3WEVoKsMmLwozABgy0gAeMc+2G8sWLju8eBa/d+4TLXXP8ukebLAfHBeTCD5V3Q
PCclkjmE0ADbAsJmTTkRs06AYEVo//5VTuIS/rgM+lxh4+KiBjy5TJBoU6klDaSp0lVruyv9s9jT
gU3xtQ5j5JOtWNcZY70KcWrVO90xH0y5ev9T/LrK6ZdFQycQ5OAoAI/zugCthlJvh6J3F2lR5U9R
ovvXpDpOINV/5nlu/ajbDkFHntRnqZpxfyJg8M1ePU+54+IKHYz8ZhFyuxCgjeU2gi37XDF7uW4t
IG0tIj/IJ018HtboWBYs+uKAAFioJeJR+qhohTfkQ5gkv3cDFYqWw/wMdDLrIRtgXDCi5jsbAgIZ
gK9cv1f1JvcZgQVZ1n+bqvHKdAvvqAqwmk4S5BvXYTmmQZcB+uUQmnZOOi2F3UMp+Gct+cObqHgI
/vNZ6+IRPgCKh/rVajL/nd+riTI+WboODAvbomELRnt/riaW+gQ4S3KgotkxLzMvVxP9k8EJgcOY
y191pctL/udqIvVPlrRYaZw5qVIH//t3VpOTMLeZV4UI1HYEyxkXQjf/+pGfojLJYuz5yyy2xZlW
2sO9KlFDrbJ2gB7R9O2mrku1ioA/QOsmRvux13v7Z1kG4wc5AxwwXy01fBSBP4BvNZ8CzfmY+fL4
l+Fq0Rw7HOGZ+PXOQnlLczlsdzaTCH+ZmkFzDVPL+15SWS5e3LSrvx4EXx/OHGnStLIdm3qW1DHB
EfT1pTkgUP4aU86cLXhwaOIvvGx4Riq3wTVlfHCx0yWViyHO5sYhKjcNDBCvL1aMlbKgkWOjRphN
hdE+Gggit+9/o7cvQiQeISw8Y87JRQLOsLSttGIl01DsWUnITGKVv33/KvPT8XLBNDlDO9wpd/4q
tAFOnp6i7po8E2hYYmSHlgYCefDLO+bFz76YvmJl3TtdeoXYYP3+dWeD8OmFObCxObFIC5ya85+/
aBVAmq00v4FmDL5UQxhMGCcTtN4pP3sMMJqNJ7G+4xXVHw2PrLpBy927gFhSRBldDhkSF3m08qwS
HLBR9s79OGoupsHUHT6HRkfKuymBwaAJEdpEGrKEYeWqCdJTDee9qR3+a1WAYb2Fm0S7VsXevszG
6TgOli33EqE4PFxZI9/OKxq3i452vLsngMgG+1yZrbXEbak90Et8qPjJ/J1RtRh8RQNvZ21FsxEF
OTMC2VFZzfB3H0BuNDucO/d7pCV+rQkvfzw6wRriXkj0WR1fEFaANTNkwv3+PfrLO2Vj/bPY2g3e
Z1CRJ08g9NU6FQ1ol15vSuiq1LyT7g14fjudPjWb0vvXmwuf188i0RoUbsSZseBapw0WpaUFmDTi
gwREOphlmcEGWcIeK+apNgH3KzGS7ff+Rd/4ksowDVZvy6Eqs04qBtcNcIgrGiF23F7hvot3TQCj
qzfcKwTfyQdf8S8v9byNWIiJBalObB3zp3lx4zi9i64STruyA2wjadWLFfGP1QffScx35tUvCSgW
PzoOd9YnlsPTOycKFNwsXKveirNvmDQlihGnAEaPv8O5QxNOCDk2qdXkM8FcjuheN1kInXshbWy4
auysy7Amr/P31//nxPIvyuwXz91fgJx3mDpfFhi//vXfBYb4ZLsKqCbHAbqnMA5Ygv/gJei0euFp
UkRQRugwMS2avX+yOMUnXkoAjsJiDTeF5I/+qDDUJyHgdGLKI35T5+X9W867X6bAF08Te6rNhi7h
cdIYcPnvne4ROpJuOyJJIEaYhtJTO7ejzBwvWmhi9bKy3Wp6hEU/HhlyuOI8qEmuWfahGxw1KdKf
Nmlt8QxN8q5wpHgPOKX1b0EfF6jQskBfSyAi1NJWaTCy8XVEQ8rtmsccvRXkwl5T40KXgU8/WdC1
opnStZcFiHkm+oQg2svAsTFxeKaZXxkJz/BOlpVerLHMGV9prprjd2SKlfgM7twLtlXdceryyXYb
6FPE4d6dylTHoC9UeZ8JYjDIuPeFujc0Ceq8EJqzARvekxINO31Yd3ZDebXM8kIY5O0Uo7uwc8ws
e/h1XbFFRZ+DXlLAiG9qswBy3PjMxT2ci+pc932mQEUUV5vIJq6LTXd0FJ2lunrSogEtsqMaRNKE
DSPkpN297RHBhFcMakh9WY54+xH64RJMpw2A+W68rFpyeBbzWRghfDl17mpqmSoTUhFb3vkIhtNb
mqXd3iXCAiDnSiihmwnWEwBCSXx9/YO9lPwdQc7LvVUP1jHMhrC1NnUQKvB3hvTb63kz+uH6oYfL
AynOT4jZ/qFLbTQjUWX267Ihl4B5UdwDK+6ElaJTw+/jeS4aSRst9jybxL2lp3ANYGWB/VgAS65u
nZiKcmv5bseAscw98jfC2IuXmnSnYI8GcdK3YxSV5w0Ta1CaXcGkvtRjKMrW6Pk/Ucj5xaKNG54C
+FxetaQuwzlP+kSEWL+cyh9159TBtnctGSEmihi623oAAmPSAd8vajxA9xHCXcw8I3YqJ0rBVEww
0GYfZul9wSZJa1sCVXrE/HoI3SErtryRJm5NTHG31CJ8sZpgoBkJn0ywPC07ObqWpn+WTl7nhzjp
6gBteJ0MxPX09r2CohMvkb1BpGT0GYyzezD9gTyjpn81s39WNWJOaIcOBeC6UYU6giIMn6fQiWw4
zGEOajUNjTVRPvlTgkTk4AcgWtcetW+KLM1qaApzKvgyWLJ54uhtQl4OUvtZdigp9uPkRk++GwVX
I3l54TK0+0gjL8VoETUGmoZholAjQatdi5IiKkwm7HGgUK7HPu7ChU7r7tCHYaAvGMkCMgniTLuU
mWWCYB+iflzRSe330SS7TeJXAVBKnczWRYsqvKfliNy2MBpgrs0c+YJsVCXfDBhyX7WmyRneh7FE
Queb6LeYJ5kAKpwG9m5uy8VoQ1zYAZProBH5AzAPJ5Sutpogy/qLRpPqFqwuBHMEuc1TNTluubZN
4so3k8uA1x06sHh8B9vaOni65HKkRcP802sCGrxNo903pVfCbehC7xn5t1tuYG341TkieiSfmTAa
YkDonF5PrRZcmAkt1lU0JdHzwDz6nkFMwGyW5554ByiNN/5YE//ERETRg5BdsuwqPXls26D8xhMz
6GvA+k6+y1hRcFL5XnFm16kpF8bg4wZ1o5LhR+4MkPktklsXqci0g8kY97lne68h8nbqHM0poEqT
FKrZuBNAO4dpUtU7G2wJxavddfAE3crcZm6QdCujG4JtAv8h3qvcADD3a1v7Z4f/FyGg7+3wWzgz
z48aP3H92L7c6n/9vd9bvSaMuck4szZ1Gvy/jv5/7vVCfSJNmYEmGzf/QL/h31s9rUmc+dQGDv4k
wZnp/2/1Qv/E0YktmuOboGb+O52E1+W3hezD0eWv5Fw6hooj9evaFLny2CHauvR1ttylqhFdLCpE
PFuicuQaHEt1ryeV0D4qVucK+9/F6u/rOhRAHEQpcKhnXl+X8KC8xPZyGfhrMl4uWCoXQdpkNAnP
VZg+m0jCao9jnmvEX17coavf13g5PRZvXFrSClYSrYVOFXZy6RElJPyO6rILjeqQRkXZrUGfTRs3
CoHRsnEGmAmmMN9A3GfB0hWixyX/LlEXH3yS1xX7rx8BSy2ZidIyDIPP8/pH6EXtK3MMLkOQURw8
wWYkqzoxqXd6QhvahVNPAkkMdcVTj1fWXkRQV8qlcJMY3hos0YOMWD8XStVF+cEdeuPBMCV9FbwO
iARc46T+y9xYUwD/jxxZBGF+WLyhGnRVej8ODfgoYeAkOHSyyYrV+7/K/B8+eTJMernoCjgscY6Z
+00vTksWovI0yP1L1l75lKNvexpyV2HnGsKzRKTic5da9pXmlvkDfgf/92Hl+/C//nP+xtMx3/y/
XJ3D0/yN6eWdngxT3ayVVbtH1v/gIVRD80RVHzA5k/7favX8vvkzcp/+nSJDdW4WvvyeRhAMJRLX
oxcY+r1DxMpOpK344CJvfR2LQwaID5tWpnXyene55ee+Zxx9z6RxZfrD/eDr+hrObnP//m17fcj9
/XVgvNHipHvFWZeT0cuvk3SSnBwjvmyFau/KWpWXNlvZ/v2LvPV16B0xxRE2QQSnzYI5B00CArzM
hAtzqbSCdK+bpXkT5c14eP9Sb30fCkS6ISwTaG5O3s2cwDHhEbJOWFe77igVYK35bTt88Ly9eRlb
0cXkRMd3OnnNGpeaEHUIP1Y83UXkbp1jqfyDWvgfH+qTdvGvm8OBkJ4ObzOdS+ekA9EX+F5AT17m
oS61VWkzCN1kXo3bh3irL8RfNbekX1kYMRFzs/JGDjAjfKCCjCFPDH+vlfr746AXsmlxsv2gq3n9
rEyJyq00cY51k1X72J/0Xadxynr/Bs7f6eRNZmll+uWAqzFpvry+SJEmRuWV4ihlR1Jn6zEbz7PP
QRI/DW71QbL6G3dR4T80LVvRlkdk9/padmNBnLeGY+/F/p6cBRQngF0/2i7m/8rJN1IoLIkZRWdF
z/1kxUAZwUk9kUdSicgarEHQpVUREJUEFq00dbib3qxOz1EgLiRA9i+WQixemZFxTuXq7Qnu8+7K
solusYV15IvpFaM6jbBUi2zSD1ae+cOcfljalMqllajT6j35+c0W25yUCClkpV1OeVc8kfM5536Z
zOlGH19vr1s379/yN7YO9o1/X/NkDWoCHT9oYx4jyWfC3gfLLRiG9FA45I8GKNc9CAENsULCSsZz
BXz1+v0P8NZzYBuSVibdSkPJk/esLWo3ZFE52l5D00Cr6oshCMIPHraTRt+v14fXxmHmonTSXdT8
KV7skHUuEAc1+nGedxvrFstVu5KBMOFXTm4HC6cOvmrkPd227ozXn4zMmQHYTrY28QIiZaAto3Ey
I2j8g6JhZnn+5a7z0jkszmouXE9eBEymUeGW5pHn2Fl5GHtuRBMmT3kQyTV5SOFDafTZStQ1CaXs
48OXAQXZOgi7kH9y3asQbMbPJIVZ9/6N+VVPnj6OhFuiduT9oal18mggsCaow9WPLQktZ3aQI1VP
4q47q7va3KG6CW9bQke/qmzID1XVh58N+H1wl0qithYJNfxa+ZXcD0UWE1ahFXfvf743fzeHLBqe
GQDhc1/x5S1VRVsj8NSPWmVlWwYI1SKKnfbi/Yu8sSIiRJx5XqbiHp3unjNGIIz97pgWootxkpnB
PTYFtcDQ0JjoA4f0g+36rX0HDq/kG/Gogned9/MXT2oxdT3Nzvo46G1zEE0slxjPzG/4q+RVj1qR
3EERgDUYddLZzFAMO2an3a03GeK/2HN4JSWvDXIIwoVOWv5xHuVG4FTHxCf9cwrbn7ockg9qhje/
L0IIqrl5fAIS5/X3bTKsJ9CKjmmFC7N36IiSHlZtCYMxbkICO9h6CRqmkAAAu2hHtyHWa2wCdAiV
/sFv/8ZmgcWC8x3iVfq3p9tf1VQE2mrVsQ84K6RSfCWI+7l39CfM3nRKpm1tGx9tUG88xVB2pcEG
CDYOyevrrx8XDmrLHF5nT/YceZekwUbmbEd1GygaAMQzaM3tKM+HZPqszeuk0V7DeVhj5fjmzzXH
+w/8m59nXoh45JkszUfol4/fZDhl5zbZ0Z38as/jTYgeTe0PvvVfLzKrstl3flUAJsfxVxdBJlb1
VV4eU+Re96Ee1neCEI6//U3mEZnkkYLV5wDEe32RXIyQ46z+mLZm9d3oVXw2WXHxwTeZP+nrNZKL
OOipkRdg5HBO6otMI9jJUv2x0Xt5C9a/2TOEzTCQYzlIP9op/roYcSih1UR/A2S0bZ88K6PSo94M
qqMNXmhcmI7pX8N5Cx+Mehgm2JwOHNYiMu5xm7T7gZPL4yhkcMZw+cKvE2jmmt2RA5E0A5nZfQOO
Z42XEVrX+4/QX7oF/NzkFejADNGV8YFP1w0LRKfhyWMeDbSqEVaIiXimLjxAmQV+4tQWMQwMelJj
ofqaqGiFK3Tno93+e2NEyko+CecE3jDmQhJR8etnIIbnhMZ5BKNgQ8e1bMS3eqh/cF9On4H5RCoE
WEeTNYyO1UlpPjqOrzV+e+yRRiG2jvoL3JALc8yi4wc/7LylvXzafl1pPvdSwSjOASdXQg9s9ECA
eW+a6ppUG5CpRLTZZ6hTjU1YgxLRR2UjEw2uKzBqIOR67blxS/essMvp7oNPM79A73wa9+Q2Q33y
idNpjqFZ1xdsItlVKbGY6np/UTLFWaOIDu4TRepoO05nBaSVzegM+KqUDz4EP2w8fvDKz9//vU90
8oIQLBJGlVcdp17TS5pD4ocHBP+6Rz4GzIj8eNLBrHUco5UXRfl3V7X57iAyMLCUSDFrjF4/bG0W
zrC1+mingoikspFLTATpBwvO6Rnh10VYapiBziD408G4B+ypSmIegaKRN3mjvE1fjhcScyCPd7Ua
e6BCH9zn+Vc7/VUNbDFMtOcmgnNynxMNhIXblMe6dggwGXopz1OIVLeOm2Nglig5cM/iZaY8cMIb
rOchVBCdk9/CEDkgpQ8+zlsvAfIpXmmOwvZfMg/RrDeWSGpOLL57mLqUZl5IuEdBzoT2hfWN+HaO
Gntg7fpycBUKmBA0GQeDDLpKUT5+8HFOF+X5hlC3zCNmFAv87/Vdb7rUyZXRHBsAydpKQjz4KgBd
EYpKVRkt28ztL2Ar1eV6oBUEQ9Au1HPhj015psEwypeT6XSwNTwovhEzn4H8V110Z2Zaxs8ffNa3
7iQLM0siiyFlzsn6wa6BAzZPj52d+dPaYEwdLKFOO9yv3kYWk8SNRhPDrzGAu7XeXLWkjz1DaeDk
y51M1Qc7xWkdMP9287EM07mFkuV096wSBmeqK45CK6cQfr+OwRdId/ffPDIuelvBtkTZMcdxvixq
cDNgJQ/n722g9EddQHYO2JqEogr+39KLZ8NjmRMF1yn4FsspiKFdFKWRHIleKdOll5Ey88Fi9ca2
gaSLk5/ELzWfSV9/KACUPigV9wLjtHvuZ2by/9g7s926kS3b/spFvjPBNkgC9xRQ5O4kW5LV2Jb1
QqgzezIY7Pn1NWhnVkrbvla57ut5OUAeWw6xi2atOce8HIwkucM+NF7/+rn/5Db7OLh1h6Ipp6Xj
idpNIjsHV3AGSnM6sctSbMGdaW9MEz/5DqgyIvFELU7v5VgE5bIpx+fpnUnV24comsiYolx8meeS
KEYf6/7h1xf1k10GAmrUICjDKVehRH99/6oFy6sah7M2NdtbkPcdwTakHmIB93qgQW2CLm7XLj52
U4gxhLZZxjg/VQOMijeeJPMOY72aItmT0W9CqcqWY+U8v/5dOD0lEwi9MyvBIRPiLIUsYtFnuJ3U
4t86tHk/krNBNyLJ2X090hYf4SZTV2o/TJSusOnHduKcZWUEy6b0XQLql29h9aUfo8s2jXrRPusa
MUynNKz1U623CJ0AqcW97TG0Az5Zyhjgl+imc2OBAERaavNIP8DuQqS1MIbBpCh61QtBRRt70hKw
EqWrPfRVn18OqSLlFGNc89hBZzgnpnF+dEQb29u6KVB5j4AqD9PszNZJXOZTe9aJYRp3Te+UjyQW
YWjpKIZmGwLSeuQchopCv+CEERhQNPqd7sb9HC5g45/cykQQPg6GdoUMo66wMrUV+F42Lyd5Vo9f
gKXPuLjIsIAtk+dY1tzBsu4MKzZhzGsODa54WbyLNLVAdzC4mYdk+lX96ZT5fR/4k9UfuopulUE4
UULjdsZARqFnMpjS9ph3DLmFZ1gTutip1Esfu1yvprCFiGJvEmWznphA1qudlXtAGWpfeeW+HGpE
YdkwJEBf+Sm3wEnFqRnonWb13oEEANM5izyRwKrGbTiRdwL94oNfDd7eilr+um+rrj+0VmR8rbKU
iHB8+TTjhyWvSCmN4rEJ9HV6DjxJ8gSxGWo5L60mZ3FFSUPwU22Y3kaJYuIB4hN0CDTgJf3YZSM0
6My28xtzcBTagqGF0F1HQIE2EUAmL2gW4TRbq4sBGA0tT2ez+DHw5tJi2TRFYV6KsTCNc6LPUW0O
EUT7EFKMUWwXjFngGXi4XwiVir2ww6DDQRXgQxRmoBdxoREJT3yQnxrPrUYtN1q06a7uzWI5Bfcz
a3vYy+qxFnm7nDekW5QgrlxS+/K4q6/xGdUt4Bovs1c7mmGEIjWcD3Nn5lcxmEkAXXNBVEPfkAwJ
THoi56VWfh1vaIXyVoPMavXQavEfBqODuX5H0iTox1JZA5xrSSk1HKYZR2mPbdLHbxqVapuAKrLe
m0Wf9RtZZ/G93SUdXi+rcuE1z9ONNZs4y+w0w/ZAwwth0kQk7g30F6R+Ss/TBGRqO3wYonG4NFBc
WBAekI5sgZqZTyKfpLFTg29uS/Cc71zHknurgLVWjEMLUAt71Enk8M+EjY8nfBxl9lG4s0E6LMG1
NxCcjPeuZWvvgJcnVeC2BnymkhgIcVJrVXfT9X56MXW4GzHKQhZH69N3nzrdq6zQnBK/2PbLaDOH
xA02LGkPU/99Sf23fOEPej4vFqIfBIrfbRD31euAgG8/9Jd2wf6ToiRrwRru5LFdXo/pf+c6uX+u
3RuKTLQkHA7I7O7/kima7p8Yp9lGIi5HSwO9/x/tgv0nXR/+778FDObvqBeONwMWi7PPxsvx0Vcg
rT3adrBCEE3Rp3cpqbdB4U6wkiYE5C/uyYfvK99LwcDx3ubbIOwYPepaOKlWF//LDRd7DDcmMfZu
9PLkQAq3H7SQ2051OYo39nY/vRxfcDHIvD36369Hih1iP/3Z/0K1J5eBMfrDFRFmdb759QX9OAyN
fYuWsKDazJM7GmZBy5SJxrm1Gvb720ov+xt6RkP0xn37oQJJvYqg+ZUJwkmCnvrrqzFZjjzg87dL
ArMjcyLrc0xkM7OCaWyQTKH2d115yKu5fKPO/bOBHUq97KXWd/CHQgkvYK9s/dYCsbWxjBL3Pksy
h5O8QRWVl+YGbVZ2Pmtpc/HrO3t8Zl9LdLgI2TaxeXJ/OAPUKfpVaOS3jRl32ccJQmIUcl5fnB1r
iKYfCA7A/iYmWGdYfc3O3ZKHM8o3XqMfX1ikIpRhDYorawvoqI4nUIAWizRv+5XRiUnmBiBdHOZ5
afz2QJS4qUsigeFdwqr7+gmPmpbMbmLdYiVu2COwLA/5HIfwxeKTX99YbD38Wy93pXzffIFsjamA
IVQ6rsNVQtNGvUnOl9mKi3C2gSps2JnznXjgA69TNeYG+QO5b4fmPESnrs+xNNBF6SHVnMViBZkY
TAhJ3UhQW1VHGSQTkprZcgrrvhw7lKGx0amKjXdTRRsBs6DeQgWldTjMC/EJJlslJyTNsBDvLPjk
hJxGA9mOUKQROo5RazzSArGnbTYsJEfZUWYh6jPYGgSaHZPlWTWWq+01YVntu8gyljOSS3rIg8s8
7UoH1B3lj17eA2Ww7LNW86PqkgDu5LMlSGcnaXLS6wOdWx/hX5ZBJsgNa7iQjYB+bmOunIJF+DnE
Ic+wr8VQlVRQTbuTWzmjdQzLcVlzCoqyfsKLkTnbQs+K4SSyTXUzs4X3AyGVBuo2LzX3INO4PZGR
TPSQ2lwNGUY5Ejb7UqeHmA2+i4kmmmlyOuRT37h6vljvFiDTGXHn6XCXaFXypOBsegRXpGauB7Sz
RXRvAMOPH3ohoqtlAD14PvTglMJpUuw2QcBD+UF7pmtZ0pxSdLJAbbCdQiFDTLxhaZd1T9c2g0FM
PISP3csl3zX/gLU1p1YJo60o/MINrAjitAYjQSp6/0Q4VK12rhFRq9QXKes0s4irsCWuW32kW3qV
6cro26Ag+ikS1yOR6t2091Wj5rCzUBqn78CP5VBgkWQPJiaf3EmkQ1PV0mLAQ/SzXTLjbsoCS1DS
hRqGGYMdmJvy8EmeA9WqyJYAQmrZG2HGLnanYYB1FqS225NoSTIB+8oTFLiezxkIH2F3Q0bfkmP2
10sFL8vqmyDjKNeQaE29VEbvByuu+vmDA5SNNNfckpaCXAdDeiwDp9TBQHyEypLVcLEjH40Xymhp
yY1NLJWdBiWxcM2JD08xD/uu0cvzxCcl7B1xEELft1aqvo5zPQKKtxRAMoTA8gRopvfZUkMsw84W
xXNW1Gb8VU6ckc/B5LGrU00E5MKMB+2i84o02k/MesknlCfQz2Fv6ObeVeBeP0S1M1yyLDjxxSRj
vFpGU4ETqKH97VHLeuR+dvZCkgynl6n+nJhgTvbJIiA5UCWEgEWRWJGAC3IXIC1Z9JAkq6S5JeaF
WimRGlUK4EwYHOUMvzL32ji58iFO8gkQamxNy2bCp8lftSewX5zo4z6+HaNsULvOh0b8cR67wboh
SzmKLlKA2AVwKWoSt9mcO9bNLBA3P/kEMYjHNm2sAWhnORsGjLu+NOvPDfUlLQON6Gr+WaY3hMOi
+s787ox2FLqUcNCJ2+Mo06oh+5gvKcWjEKiGO97MVg3dJqAYufTMNVB93msEcfEsk5g4NyMTH2BY
FaAxhdYTTD8OxSVZGDlF4FRn1iF7BEixoaG936ZZK2QwQ8N/PxaSs7zESnBpiGT60Ksso/yp2tjf
dAXhQIBAI+LRIOsZX/uGG7rjEJt4IZng4M0s6cKPx9hO7bmkgHZWMrO04Wz0eboHFMMKm5YTWAVz
EtFlbBXTpxZYMjXLavXEpVodgW8tBcsQR1PPDQivIVI+dp2PNRbyCkBWaccbGPsEhA0ZgZE7U4uI
PzQrFLhh5KjkLK7d9Es7j6tAlXTzDwZFBiukZcXJI28h5oTIKAc98IBBXOCDYmo35tT5VI1mfOd1
wIUJdteiL1Dq6seeROebiXSgDLaqmT1T6hiJxm3T9k5oun4mG4coJLQLZC/1facngOW9+UvN41Ob
xslcGUKF0JzANWr/zvErwF+Vrap3y4y/EfT62H5uR3QYs+eUD4k50vgkzqJ56MpamzgXjvWJnKo6
3SfCHM+ryVjKk1yz9X7nTaU3oKZf0geHNOfLoZmLjwZFknsgMqjCB2+u8nDomvTaAAR4l0yG/RGh
6vjIDJVl27pP0V6wzBlpmLmKioIcyIUBQLj0gbYk7tcpnjwMDwxDREAzwreVuiIMMy18KGNzB2sG
zCVlhKFTKg0ke0XUNA5R9YGHKk7bcdEwOEsIP92+4OOAKeISA8GXWJLMU/bmbG/wSDYG8vZ8PNeX
dny3sBedP8yObX7t07x7D3RwvC54AuNGsLCCE805Zp/x6UT02haz2cC7wu5T+aSdM9HiVtt4nkpw
cbBK+kTUe9OjRV4M/MBhSrGwLnn8OGfUZILOT4DducQuwm0UhDJgFIHvUkC2pDpD/ueDGh1qTokx
8Fw6NZf3wlPwv6EgaRpA4MoZAkj1Vbtd1hjKTUwdk/ihQSo6+l475FuqrP176ieDAFfYVtmu0aL8
lk+mMvZjVJlJaEYtmFBVdBg/XFM6V1abTsvu277o30fXP1CqgBXDeY9AlqOdgaTgxZbxh6Psfz7M
z+lLBf5Pf/77qdbkX/p+iOWgiiaEarqpcx7Fo8mu82+rHT48GpOcw2xnleGvvZC/rHYw12CJoPGi
/CwQU7q/dYb9dg76Z2eLjwp1DNQYx+eIvcr7juqtU+xEI+ESd3M1SbG1h0I0KgQFq1PCn3I65yRs
iEqeJCsLWFmzOuXLsonDzuFdeFdt7sRFFLAwF1Ld4T5SdUSNM1fuRhWuPlNd0hPbffz9F+9CPlfX
nXp+7s7u5f9d39nHGht8yh7nP17/Z/v9v5Fgrw/u1X9AwSRP+rJ/VvPVcwv56O+Y5/Vv/k//8C9q
3s0sn//1xyMIV77Zq+c4rauXr4S5Kun+31CI6/RZqfv/8/65rp5/+LG/vRw64Ye0Q6lsGDRIESL/
/SqtNg+iB+hF4ZekLsJ29r/fJR+SDM0K3mV4Degq/nmVBE4OXME+XTe0EBxWf8vMcXzwo9yC/dPh
JIbSjd/v6Dym5q4qo8U76QvfuJ+pEwM67vrugaWyfuNAdlxDYKjVte0RyWjaaIzWX+WFsqul69Q0
zXSiHPYBI+dwvJzdWzbtnw+CsoYiggeQ4+h6TGlCA4WiJQ2gEux0x62Wsbt58ZD/B+Wdb1dCy467
hrGeg+zrK5l6y8MMOp7w97on4RSEBGDZu5zsJnpD8nB8OSuyw0FXYzJz6Iie1iPui3sGFJ3kehb+
DMIISTNxwelA5pSMf31BPx+GqWSdNEmzO7ogAth86bJfh7Fq3WCtj0I6Ct3h14Os/8g/kxbXoYPb
oJBHAYCOH9al19eSAS2bCMw6OOU47/uxA6tmtaIjM5Pf6mS2ZPOG6vXHqxLoBFAmoYECVrbO4S9v
ntn6SvWudeDoWIYdzV8CeZS3/f2r4tNGY4NskaLV0VSMd24E2QXlNbXz0HSaKNBHyMy2pqfkvRAY
8f8zHPuZ19dUlGoZFs04aKXv7AiTdkIMhN1FshDbyzzSXP56OJPp7vihrfQSSjXcQqoox4U/zs59
PVUH8hWqu5oc6QdJjlYWAkvMuhBG5RwFeenlHyYxwAkwI+WLQJt6PGCxF0PytZ1BkSVVuF9kaZAF
5tYYJw9V7rPRWgDvf4R3Vq7Q6aQ99HWuD/d5kTrapZpMk2HbtjHeeGLHU96KVaAERcGU/SMf8HrJ
L74pArcjOyU7NJlbQvb8UXE08dYkmij9zZ7wOtKKCmMqYj6iCPV6pIgdol7M7aGKO32rWbEb9moe
num9OWyUF/kW7uNnV8YwOrW8VfB3/MIXzWy0cHmhdxKQiWoBDLU3jYdCp3fz6/fix0+LK6NQa/HS
u8jWjl7DKWszEffNAVUo9vpqpT1WJCr89iDrDM7ix4rBenD0oPp8LQ5F9cGaqIHZrgZDcSyN3a8H
+ck9A4yCjZEaGgGjx7OSaaWa0bvwKLtahjSuyKuOgelnDcmd/4uRVseOjkOT+Wi9py/eO+zrnqVN
9SHzVPo+I3B9V9eV3BZjYr1RU/7J08E2iqSHmq6DkPDoveMUbU6GRlyICQWdhjWpUm7Sv7Gc/+zG
sd+meYe/GWnJ0eWkDmfH1s0PY8VJbKRbviediiWEgOQPv75xP72cb/ARvAsUyo8uh27wjOe0OGh+
OpPHZaWEMpbuGy/buvq8Xp3WKwGHsfaZVtXg66cj9KW2rS471C5hWLKYzyR1trOxNMVVZQ7zkyEn
effr6/rpkCvVCG29A7nJfD1koscOnfbskC9NEmZ0Ondo2suDUITeznNHtiMJzvUb18lW64crZS9q
UX/3iQIF2HH0Wblu32GaL/atIPNnOwjS7duaIEaSACKO1lFO5zjraEEjsJDdF0tX2QM1ZaciG6sm
246drE4ATzVezMQPEMMiakXgpVC3KJ0y9K1MQTrMXimzYLTbaDcUsDK3Sd765JMoH6ZgQynUvWwT
0z53clf1H7KhHtKdAaGsvUIj6xUBFUbd3RSLwpzuRyaFM2oxQ3LvZEZFSlVqo02gWSTsUBB3c0EP
JfuaOpQnT6OZ271VkVbfaJMm5Q6JhV4S1DUe9KUzodNPiX6mmz0ZO23DzYCtXI6nBDu5TQBzp4y3
bRkNW8PPp/RkKFqPcKgs+iKsGVppCZXxpJry6GtjO629JxSCtMredmEPFDmhc3j042c0g9Umanud
VrwDxHgXx6uBAhbC/N6rkTIEphvh86+rqQchQVxpc4CmTiS4bJSvSNxwWx6ICy0+jBvCkw9NNszj
huRWxyGp2p0zKjXwl8OaymeyJRrLvh30hHievB3Kr0k75+eK6awII6uLrptmhnYAmkPu5jkGQqFR
P3qixRBrAckQwxc9NuSyReI7nbUF6R9B5VfzkzZLZCQEimdZ0CdlhLU5K5p33UzqMeGnhMkGUVN1
4hDPOOU21LpoiVSak5BfWVTzVW+L/os/5t0DNeKl3dR2rMOAX9Rwk81ufZXIiLyZbpxKxzo0kzaj
STFHYItBkzre+8HN0gwybJkTTV3X1tmSjNpWJIZR75U3AT9ccLLtlWxuBLBGiA8za56EM6LvkL4T
eieHlipwNGHgQpw7XyF9w5VpdZV1Sghe/ml2vOWOMEPjzJum+DOInSnf2lqWU8ZpSmcOVF+VN7Eg
WotGRuPelrNXQ2ViRU/Dfu44yUhXaeXOzBCr8kJ27QPEEZdQxcQo0o1FYfK+TzKIkl06G+g14nkJ
7TW+6h0Z3XzipUOIAY3bqfgak7wBuKMoTHeTEWF8v0xxbVDjBxH7kdBJ7vbiiNkLxg7/58YuVHZN
7d6ifcBZkmySznLrsGdKIRBMHwlUIi5PmzG96stZTGZhHDRELJzIuCL4s8elOW1Q5Wh79kMx7N0h
0T7Bjo6NDVk4AlkRAGQziFVH/KqnRfIuGfyUD0nv533CnNaSqGmQskPdXjfItYdwuUk8oT4Lg5zL
g5hqlDbzXHifiqacZFAl82LvfBv0zFYMuf+JhK5JEvtLtyeoY92WaLXivNuQ5Vp+lC4/RV3OQG+T
uT1NsiZJysd8mtPrIl0c2CUjH/q5dN2y2LhonL4Wc10RBN5Wkv+l0kH0DOQ3WH88izigrxdBWLFy
ppLUqaJH0aaxCLE+ppT4uroodlK0SFkKOC5l4Ipk6DZ2bU6PmWd1006m7rBQFjTnNCTqkuJwkzjF
SKqOtB1/I9FIUV0uho64YgwAwGNmPPoiUIZhJGfCbLvvK/C/K3l/4Fp5sZT+ULm77p/uj8o0/P3v
9RbLg7bJvgdLLaAGCoH8yV+VO+NPtikc29FdrtvxF7kHpvkn3Ye1pMdG03SN9Vj135W7VaXLpgMJ
Kdr236zcOfq6qP+zz8DpSSEQ4jAKBwaEZnF0XrS9JscmI25hvPfiJmkGRF5M8VCu1XuvKtEb8+mq
LNl01dJSnbM7mNSkJkVVOXNGSQ0SYZZ6DV+ZfMrMTVl6RFcWtp8s/r61F4p8kbSszjy3aKdU5i5C
lk+XJnEyujIlGtn2kJcE3BNBNbJIaVEn2uysZ2oWxP1OlnmeTangn+61tBrzYK5B6uQ7RIQGPCwU
YOIhjhK6WjsCn6u2240kLuTuwc2VNWyatkC0RixBIrZa3NBaryaoREGK8FCv92jFycXl3Dql8a53
Zrg/IcFo5EkGWp65pzn9nh6YUTSbiuyxpiHHsFifJcBS6TgkhTqeflY7aD5ZyObUAFKc2FW6g5JE
6Zx9BluPpp9IRKkrZZjU/Cs5EF3Ys5FyawWkUPKGkM3tyY7OARq7gAV0bjBGt8R8frXquiRrDLo4
PCIc2W7zkPVL0pyLOK5VFVABIL1hmRU6yGYqhp6wKPQdOehID5ika0+ed9Lhhs+/zrVdwe5N0en3
7/S27POtNoKpCGYTH2lAnaz+HBlrGpantOEkiaqF/hq6IfQBRdF86BuaMMHk2/01j8vpP8L4Itse
b0mezzROeuuMvk+fEuqC/oDmwxS9y/q4FWHTV2hlcMmP/HoIEQeiIlt9IbkG0v+T07l+EUrksMU2
5wWG8tAnOcvwQDHwtNTbuN4mBn8RCkTl4hCv1/iJOUtrGi5W3J9i+NI/e/qAstLOTH4ydQzZ4cBZ
SveyTiKkDWr0SzhIqB5JptM7j5tZIaqtSBxYuGCDLY0M3KFa/M/0gmx3o+GdlYT3WXgBikUzHQQX
sZH0dRhNTeIFZYEQHSqhXQwodaXZexeA7FOH+ChPs4j4K+v0aYysZNy7gpg5/WQwnMm6j8ccPZEO
zaCGzdloktoFkRPrHg4slpXth3yMxg0N8tokyY+UtJDIM5Ju+zVNu/LXcE74UDXosyzmlwLywp6q
hrNEKEIaFSqcS1/Oe7SyjgmhDVoWAUTtk90rlpwlIxk84OAXoT+xpN4H4yzSbgUyxR/4Yul5En/E
gg5njZ7nnLG507yxIzw55582E8ypqG4pqmzrAUbUzu8t+cW3RqIMkQcRCK0NJeDLTHV3FRF41260
2HcL2N5P7COJGYYuXb0vFNuIw6rZHd/3SdITPS6RWgUtQq9xk/RiIrLbznjZCllQu3IUcn3ilzqL
YEqaLOmpi7YypZMn6hPbIWw5IENwuPIIj7zFV4f8Vc4JzVDpEssXVlHOq+Im7Cob8l7Rb6JhHQ9S
t+f6PRywZeeOTuHdsQtn0Q1a24qmiw7zTId9L05oCpojMcABaXBtddrR2e13TFWztclq0+mua8ql
xRk7sLVWPS516Ycxge8a/TeR2WDx8rrMxjZEheQun4ks0JIrrQOHlyI5HyNagyzhC5JQRcHWJled
z9QIWhP0wwbbHoECA1lz8d70W/Y3vKW5rg8be9QNdTJxO8rNONRWul1TpMQ7Ldbs7gToaNOezUTm
au/4bhP3dLTryms2o99MKtTcmkADzdSVt4SdN1QWlyeGOn7EtpAMdxPUMfJ5R/jrwAprQ/uM/z4j
F3JDgyYdaGprlE7hHdmuNB5WQtKSn1SZFpulCGJL6dnBH6nIfARXB5EzLlUbdLFrfxz1wS3exyjZ
rb0pBkUsFaYTJE635rcYGn/Q0JuXhMIsM8IZEbNOePY7syfdOiR6svuctXmuvR96U/ZXVSo44Sd0
lQD28cEk1+D2LMWCVFTEgFjp1ARW7fcpTx+NLlQ3QDhbs8NsfBWXre6Gnh91l56BAzJU8DUAyZUA
Dfc+EdfRpsnG8jwaGmTemJfMe08vErUro34CQqgn5Xnr2KLmxi15xke1vpJ66tRm6LttQ9jhKKri
zGmg1AUZ4jM0VI0FtTQH4HE+IJ5iMW0hzvQBXgTzomuLaN7Doi/HPXDECIVJmkREXdbjfFLbSq9D
XXTNcyuEvBUVkqud72fuGc11eRazNq2vhk5EX1w6JE2mup8dljxaVJAQN6KfpKJl9SSbJTM3bLVj
uaOCJeJd0heiwCErhznZ4RoZ7jV8WU8kAXkgepXZiF3WV3I1QvtgMzHnGwa+HIL9yIlrMZSaka2f
IrXJ1CatWQBgCZYtKbatpbH7bZra99g2lyIN4tFzqEK7sfEutRqS5ahhj3c0lsQUTArM2y6qJHGt
LN/siZOhiHV61TLlbGdG+antxvYUrAmH6IN4XQ85yajjLs6kczcR5odepchd2WzRAHeSND1NLQed
4+NyJQgzFSElPWuP2FbUp7xQWGIafyK7Q6lRXHt6I9NtNqGKEVFBIIbWd/OpWUSVt5EKJuLOkpKA
sr6K1GlsRVdFs+CR9ssRbKKPoiHAnVDdl30rb0atFd52GkSET0CYaWWdNQ65Q4Spk9r9cRaJlmxk
m0baIWpN88IWNkzKtsmM7KJI8oX+ClqEOmTzkVwyk1hfLELB04NtO+mzw1PmhpZI826HzrT7j7Ax
/R5RXoZ9Q2l+Yp56gz3o+8odOMZXnYtqIvfL1RVgN7AqOlEip7ycHGl1T2lFj3gMRefCk0BCt5yt
areHhNzE68ayEclriaE/RlNC0yIt+p7Vpm7KfovA170yB/IJydRVWOtML1E3YjT0JzDTPbiOJHZ5
rvSAH0mlMZhm8WBn2I0LOImJW7n3+UQRigpGYmBJQsX9Tu8cBGNzO2NB0djFjFta3uaJA+qTINDK
TkuSe+zhLIkN4JRKSf2jqjrgXm695k/HWcc+UVukASAbu2u8rfBeMB13Bb88+XbNQ6kIBwwiPenu
faPuToWyks/aUNVXRiJmc+sSFE5IuayHs7QGkhLwKrLNsv1YVNu064hHRe3rn7QEI3wdHCd53xLz
/JUoYf22Z+sn9/NgOXtR6D3m4xShR1B7K3aj0wb9eewHYQQTXZlPejq2XxPHr6PPjcqIIWp0WU4Q
R/PE/DIVZjncIOXI3YraS1+5ezNVhk40K2cF640S3OsC3HoEgO4ML4wi/TeO11Hdzx8aJ9W4qCBp
YKvyJGRRbGtDJ+XJzWHvt82gjN8dE8E9pw7azzSrdCxVr2uNdAwcCKcpeaNGXr6zLentl1ybtnOE
dX5lj25fHMg+fD/QvFTAc8p6fcxhvBUHbNF+45xzPJ6jTeAuedXXjPJLwXobco/7rYGVdotdHPfP
ZIAxxR6KD3MafqsAzh2mzI43GAQxknjE+EeHLFTbIDIMJHRTLfStLzpwoWb19OtLfF0AXweBlYHR
eZX4U3U7lt5nnaxwvRW0uwYizOQsGqLNKTFvYxj59/+bsdAz0wU2MdkflcDJgWtjldYi6Nl0bbpY
Kz83RDK9R5SHCvXXY/2gLlkvzGagVVqCMv1YDK8ZzbgUCEs40zD7iNmt2LeW+nJQOPbCsivGrWTX
vWmmrDl1S8t7IM1BbBOrYcMpY+aF0bM/T1PT3SM7nE8X2q5vteBf9wS+33weMmobkH/4i47K9UMc
W3U+cvOz2qu3/ZAWB8p2f4X5/bvC8gdliBdvxQ8Vlhvc+u1rj8+3n/heYzGMP+E7oj1Bvw9W51vT
7HuNxSWyxFitxpT6CUBcEXh/iaMs/oiaB9xOpgWQZzZPrIXgnPzrDwuFzAqnQH1AZQbk4G+Jo45m
Hoo0CK2woOqsVKvs5ujbz9D3TvpMDBcM0fKuyMbkdLFTf5NE/XA9IvfezGqZPrhIK8jkUe3+xX36
ycR3NCswPGKe1WK+TqnIN446o/ZsIbMsbHDTjTDO62rpH1LKKtcQnNXuN4di/7HWuJyVh7eC+l7P
6aUWsY0Z3SrA3l3cTF0mQiL72Ecbhf/GVf1wU236YrhjDEz+1urzfz2UBXhJqckH6uy0aYBSHgh2
7oPjCpLFAXvKkDeC0CFjR83Tf0bHilX211d7BApzcQYJDgoYxjHO8uKtjPuX/dM27eNRVzmygWjI
6sPoI7wInaronQ3sVRhxRiPVTs1yOW05iH5xYtvUA+q98hO89y7bIQhdngRnZ3NbjUq+xac5mpL4
/ZADssK6pH9SkjrmoKSzR5+LokRQuUt7JrVsOCW0sXxD1PItHOdFAXEdhn0QLy9HIA4qxy9Y06+4
NBBYQa5VaRQID19yYJFOws1Qpv7FneL0ouy1FpVrhYNjrw/Sx3LslvbTWEYquUyVmVw2TTWQdA2Y
XNt6MXLyTV9m+nXW1u4Y9vzTaTjWhbtblhg4le92VuCOHbnGKp9Nazcn1pAFDdTvx18/5qPNEbAx
JPkoCuhNMr2w2L1+ysjhypmPDBVun+c7keveruFzo3BSjtu2S8Y3msvHq906IKo0F87biuAiQef1
gADO+9GrlzVDW99T3SAC1RIbQpsRs+R3XqSuabHB628Dv7a/jLo41b2IlIxuX4nqLF5vIsLkN172
dfl6+ZC//VK076k5M2OChnj9S7lw4SlozGWQKCe9lsxk2zKan5c2995NVK9CTMG/BwtC/EpRnKwl
Pgq+8NWE+XrMZUiqKbZ9cAGwxk8oPeW7qmiHN5x2x1/JOgqxLQxEF5rUkaNRIMR4bQZqMmgKWYXw
fKwwQmT0xv372SisAohg2GrDJjlaBObJFtGwhks2HGpPDKcTNCcB7v/6Xf3JKKxxgGgMRANIBo5e
ncYH6zepmk8xbe6xYI13RqPspzcG+ca9fPUyuGxlSe4SiA0dpCPrr/FCODJhoaiNwXlUfs9kryeE
tRxEuvjyGVoISiKpx59bgo31Q2zbmrkp8H45WxrONPWaURbjed9ZtXnupCmN3V7P3frcWun/B4xR
mO+It6+bk87u8LeDr6GzaU4t9UEwLoVzWX7LQcUlj5OGuE9+1u4pgZwmkSNZemadGHOi67PV2/8t
T1XR+qcAVNkXy7fE1aWQtN8juqCHmPa/v2+qlKLF8C2rdS4d+uIqzqYHsDY52czdCMx2KRWc5gY4
V3whh9g6TLOaCgBw1uyGXe1q7fsiKfvlqreaRSfLPYlNKg2qgwPmG+rRnzQt3ilVLh7l5zVv1v2W
PZt/y6FFCjjaQeOaZbPpalNqGzWsubWrLCHez2ucrS6prG56PYo7KlDSuagalevbWXlefxotclg2
eeXUBlYYqmFntmybZDOaUz1vHCxa7caOjOTGE0uvB52T+MZOmzkQBoY9R2PYZKbX7E3IQe4mqjm+
02poNJZvKmPGdoQBg+tlMKyDbrS62sUI5awTPHrcn7x1lhMvdzV+po31u3oua+JHUruPApk7WrMz
po54h1iud9ApyqLbzsKJL7tpYslLWbPPZw63UxBzS9fchs5r11gLyJ5Ltgz/xd65NLeNZXf8q7Bm
k5mqwEOC70WmSnyIelGWTclu94YFiTABEgRAPEiCqVRlkw+RdVazyC7L7PxN8knyu6Cg5gVpSTZu
xp6uqKq7mpT64OI+zj2v//982iT+3AzWVVzC5nQ2J/LM6O+CVeBc6k6t9r5C9l97izB6C87Hlcai
H8xXi81Ap0Am6dOXY/txrttJebjxZlbUr2zcMnHrZOOeJjVYE871ECV8oRMYX5P4qM6dG20VLoPT
ylwnqV2fWVBxRJVY+6UCz0HS1/wlLcJ9em98alVXi/uxTZyqg01q28OEoAmR5lljM7uGImT5iai0
0+qB3wztMxAiRN6o/FhOgGTG805bt1dn4OucpDddNqDXWIdOeO5tLXfGxNcBr7CXkkp/XNPIqK1a
9JDorpZkYrAhFnSbSgKKCruuvane1z2vpfVpS90udzb0aY5Pream4lz6lfmK4MhsPbtYa/H8fplw
a3U9mNkjMDE1+Ao2zWU07049zUPvuSGXtO01p0bSJFV21ljSl6a/SDT9vrWBZqQblj2C7cFioxHk
Ly+i68Vy4zbPfYB8wcVsvExWN3WnXeekkO7Xu/pcp3XndEltBDk2p1KFO6TdpAAnsRp2f+r6BJ7q
8GETTt36ICkp1qa3tZvE2+ZNvAr1Tw2ybP7NOEym47tKRJT2ggqQMZwnegXQHy1OIKIMV64FJ+dG
b0CXa4EWm4ba5hMBdy3szlebldej3KKyOg3boftr0rbX76qWQ+dp4pbNVkQD7GU9ohPKuD47rYVR
o9H3VxRrd5deMt8OYJ6sBV17vo2cgQ5WxuvZhJ6W8A7DXXTWcmNSZG3QbOdgTefu1bYuAPwNdGa7
22pZYa3jxdMqbv+23Yz7VTdoXS79kHom3Vm0SdvFKxdIDw0zqSDzLAcyr0Vte6O34hY4JX1Zm5Rn
8JMMatQYWKeN2cYiO+V55a4/nvsTuxo1hzqRf69PKod7ON60Z/2K2w61rjtr+ZeUPTRuGdJ4OJ6F
LTJenqsDvwBxRWNih9Cg7QTgp8qzwHVA3bmNES0CaudaKyAN0yg7teHcb7qwWYybdEgHvzGf9mxn
RtFB2fbbF7rleMEQ+AnWEPjWoHqul/3xqNbc8sarRXVK7524cq3VqGM6h5UrWXdpRR+We/j78XYw
d9pbii3q/noJb0e0bZzXG35t2oUkr93oNhr0xeksGuHSCOqt5LK8qNDypebRK7IL64vzobJZtL2+
j7YabIlh1jqOi8N/CnAsjLv12WJBdwG4PAh+Vt5uAVfRXkSrh2saNXOv0VSddstWXKtccDYX1atG
W9Mu3SW8KkxE238HVaU+P/XdgGZC08WaNvVb6lXIBM0goO3NWrOIOoqNrn3mLIS/JHDHGh697QK6
HiwBqjYXFlhgYK4RvWYskn2dZmu8BO25mSZz+s5ouIN+g5RBt9wmYtzZ+M36r21qmPWuZREXO6X9
STTr1EMrcunqtNBukpXmzemzrmmgmXnmQw183vh0WfPsioDEteJuaC+Ccn8989d6P6pWp7/MuJzc
i9oUYuVunf7qQLm8hvZ2Oobpu7eIE280pmKLXHzFttg4TmzfzqNN66698cefF3F7FpKgWurlK7wp
2v5W54ntDraWP/0ctlZW7ZwOuYsPMLPg6ujTsB73rI0LerpBZ/lmZ0m7c5DT4yCg39Y4pG+bKGez
ic/fNPzGGotxvNLvHJKzlBuUF61P22jpv6trjnvnzcNapTsn21gn3aD7NH/3XFJe9XEjSfrU8ldb
75r+zNmcVWL6ew+SdULRkJgQOnk1vfWFFS7bK0p/AmKwdRIwD4tVzWUlGuUlLcXHmk+CCSKFdsen
32G1QycPigYjQUZO0/IWz2yjRvQKiMQzsNNzrqmY7VvtjDWa7UG5I45V2xaruqKf/TUwX9fuAVzf
ANyL7YAkhRMkGu20fJiWbmgJ5G5GGsBrkpGVRjNqXnh8R1YKNuOEfKrbTDhlutOYJk5v09zErfNl
CPmm0wPGMUbLJmH1c2zV4EDbLKcUZfTDud2ASS817P4/uPQH/flWuv1wbUS2a0uIqd866VZ1OtZR
jANOhMJ54E/Ex3fRJQJFzTYFq/hDNeK7BAOewktUBNAXpwXBG81hhC9Tx7F8jC/RdhNyGSrVMZ3Z
c7DgfVOAaUex+JtBThydJjDUvjMGGui1CffIBnl1uqpi7VANOS1PB9yYtxCKrZKuu3K1ZBDUt1tq
SlpNOk+5tU4cz9y3Pujyy/VsOf/FKc/bv26wfh40eJ5J17X1Wa/Zmi/1c4/eNqtYg9ras7lKXZie
1zPrY6th97h57wG4VE8p4rmAx92msK3VX6wC6gTrtzyrPvDc2bmeBKeCHKFHWP1ypse/xAFlJFyI
XfD0FrRn+qavrxa31Zhi0OomqH1YaI1l3yrPOAhT2v6W+2MtWcWQNbUii94S+ngCmyWGiF2LHG+0
sVwHjVmBFaMDBVdr5C0cq193thCvavVpAmFEeXk9dZsLunMF0Y1WX6xwp5PNQh+0oIpC8a7qy+kH
LlE3vq1oIXrehjLB7sOwUVlNasslylkLVxTeCcwg/qHGRUEVw5i2dB2fOjrIsoApDz2rQre3xljj
XWlRtfoY16rQWzWoiR3QFwwL0fenZbevc2mQB/VjqIJr9fXQCskGEzOhGCTwq+txT68mrQVX1Xh6
C3nAMqZqyo0HmCqBBq1aazqsQQb3QYe1o09LmcVw7VQGPPtdXCdT14QfHDO6TP/Rshae6WtvesXW
6a/n3ISJP1vSQjxon2vlWKRtw/HZskVUZU1LgZndm8bWWc1OapiO/ry3XjZrl20afvtzpwMo+zIK
5rd03ZhS4BSM2lrkn9qr7fYd6RuuJc3+CDu9NdQtazago2tb685Eo/JelNTKfneZWEHlI1VF7cWd
VQbdQpsx0SCn15y2o6SnuTV41brfrs2eRXdKWM+h/RCAK/0cyaDPQhjQR8V7FAQKmnTX+kT89oZ+
kdGtd4AUfdUfPS/odahSqhD3YgBPQ0oRrc9JcFCbUTwBsFqlq6coVQS9RCBe/Pyh5Hju9PHXGgqP
XhKkJne/bItWQcBY96boa5Pw/Psd4m0P5Tz3BmYK3T2f/NMf0McF56D9BsOebAHhpN0PAvfmoJki
aLkTsl8TNvm5pkBwnEnY4nQuv2EX6HSWJ8nRAEP8uM7SDOjtNy2a2NAQ9nEKuEh/rhkQEbNCM0Bf
OyKk+DyCbXpv8akCJpZJtkKAUcQPYcaf69UPuAm+dfFbb8pkuWjEl51x9vfeDGiVN0B5KWjOtoZQ
ET/XFLBrCy6/prc45XDf0d5cenusQQiVgau0f7pTj8VY8K0rb6B/IFgoWr7srTh7nnA6/WCwS9Of
n0/nH5T1f+umR6mLDiWkdh8VHu+4NwVa/Q3XAZQIMCrsfnYK5ie696jXK7j8mv6Gd4OrUEjae3m8
I75n/ZvZ5Px0B76Gp1RM378hxkp6kCT77ge9vj8F4Di4DQB54KKJn59v+YXPWmgKNC596psqaM/d
O+a3AY6wcJApstidEXKHr9X7rzgnT0Zy17KdSWpD22a4R8by4h9kFuahgEfLUZiHOmSjlSee1/RP
BVXLTvjOihSf//Kwz9yS2rd7vxQ2/95H6W/Dgz9+fPn9Z+1/Jb3q0XfIvjyDFcYIHqwk/V+Sx7e6
NhYY7l3DNSbGfuRDbIjfBnnARfO0V56TOoBRx3UMUcG2EyWmsM3mLyp4aG7sBy+Tk9rtgqi/qNiR
gQdWuhHsOWaJYZeGEC6YHORMdLoFBHlL0SfduXZkTkqjyIjMMBOXSq+hPYtK7yIgMJzSycIM7Adp
WTG8BKD7q09gMK9a2q4R2Pf3pox3g0CgSpdKtOkL8o9t4Cc38PAAyu7dt//+cTjp/Ao7JzsR+2fq
mTN5cCSf+dsfdH5PPk8t2K/DSF4QBUftZGsG94Y9kwXj0351iV+5g06ChZnj68ZqKiq1Y7hTx5iY
oZXJSlddwUQME8NdGIEkVsWArTi/aAo0gACAyyxyohS16OR2jcW9N5HrL4XtVFTuKLBLV4Y7lzSV
6LtcVDAH3JWFKti4ZwS0SpfiX6OT99kYxS6j9i37eJS/7VWK9dydwNqWK3IFiq1Esrx0UM4Xl3ph
+LJqgLy+uNTLJIBxIK/OYFEsLvraCyKL9QtMaWfQ5r247JGoHD4mW8HGuDS2Bh03c8oizQIVPSZX
hse9v5OSbuQqxnlRoUPjwfAOjogojy0smbPnObm9LIh+Cgs2nIm9kg0yyqWVCDaS/JkWcdaiI742
fcPJxKRLJ2oyi0q9MQLjwXRK56Ew3uWt0VIif35gqlREurLwwHH+bN+3UaCZsPT6F3HWorJHkC4b
PmojE5VKFu2Zi0q+tQw77yWBEVAg2JjZhzMNj5QK0fZa1vsp2KXwVMRUymMW5tUcyfXiY77b3ptH
pkNAPoqO+4NtRqA6M0Hp1lCh6t6GIPxXpfMoDmK/9OdSP4L0NoofT+b+4yhMF+RgRV/k8YGXsWuE
lh3wyOw/7WMPBZClwIYY+YEROckxfVOlDEvB4R3ak4ljlvpGGGVzJNao1nxeOlrkVUbb46yNLHvu
cUEza0//udOh+w8lK9RsqgivDA3HSAwWKLCd//nXfw/n4tMgSIjkMIIz495bGNmqSfqQGABlIgrC
GLf2wgu0KzOMJK0oIr1VEeQsuhtHJk7BPNvu4Z97tuEl+Et26V3sTgwpAgRIHD5jBQ/tefOJxwTe
GnPcSHthZO8hdgwFNoKSOPvq++38S4MSMHueCRKygVTQOlWkhorO242hObb2YNmGFoZxJm/vGQrW
foSnfUSyAh10ZfiRlTNrdlPz4iXw4wJLTfzV32FcyZkSQpROgILteSLsd0moggPV8SIK+GR3XyT2
ip6lDuaIHAB+cRfuanqei4zTiwkFZmejEydThYXTtYzJvsyagqvzvenH9479UPI+lyLLLMFQNZUU
rwDRF53knrnwHjACeMzLz1OwA4lkmQE8ttnIxQLUFGyWLjRcVJDtixUgr6LT8xTQ/yzi+e7THGWS
xfAF+LXwcwzfLH0wg4l0ndcV6PTezL4nOCLteOpdC4+4P038KBMjpkGFV91fxgaGtk0KZUBXHjlQ
JJj7is5zP7DpNiFpQNGPsrDYyILnS1bXKiyiW479gNivLFk0ZSg64gFGqnQIWwr22oBUiDS3oqip
8EgPNgLZruJiu1/+KzJLk384X3m2HFqoqLi8Lk03kaYiLfMpOhdX9n3eKqCmqfhk4Eh4kSVdLhUV
bgrjzc2CYNIsOgtD/KypET7IOSEahaoQnXiR7FPB1qhCrmOsJR0M6kCJ2JxQBad4yEX6kEvyq3C8
dq2C7Vi6pMFfqJgGPHHcf1lNwpulQLS3FfqXaoRMlrjr6A+Qffx+R/TaxsTPxKRSVVwZqdTcRIjS
6qKHbncfa4C8QyPOxKWjFvz7RaW///LX2M31Wkq72xQWjGci19ekBXdFxY7M5MEyHceUNjPsm8Wn
YpfKOkkNzkyamOe0Orb4uF1zKnv4YAayx3z/Xn6+8VVa5F9AOOG0XNaJqj4Fgz5OG11wtLdQx2Zj
S9dNlOUWXrcv/+GVbr3Fl7+m5VE3wZf/dB9sX1JKtGku/qCvEj0VnRXD3eYVNMRlxQd8Nz044Coq
I4gTzClhKJ0aobyatFcrvJqU/tk5m15XkUb9OpCy4Or9euCD0B6n+Dz8ai/ujfu1vIsbCqIMOx16
SAsvePKKHsUOyZlbjDkp+0sBcnHJr2xA+exa/rg47C6lUzQSuz9+cWNQ4Lv/VV+8fFZfLD0r+032
5bNBQMMKqDjNVmxne2Wfvv+e6tL9RLZuVZjNA8pPqFcNbD8bYTpe0Uig6FY+D+RMMsgpBULDwDCl
w1GpKPBKGOsyG1w6AYIWqegEXHjBJDcFuoIpuIzXhi0Fx2ABLD7aK/PegCMkE5TOgoor9O0iNwcq
VPA7gLWydyMwp0UXbGTEE7t0Ehj561OQkhYWTuNZKWZDr8jiUu92FedizKX+wibWnnMaRAPYokP/
SCa4RAmulNak/WRxyZ9MykIyMWLL6Q0FB+/aK7Hp/iEs5ctv0gYpRWdjQJLLLY3i+wn1LATupaMI
n50KtYyhfH+sboJMMvqurWCOTu7j0jAOpR35KF3Btvzn9/1R//2Hfu9fSmLzmAETlt//TR1MGaZN
BWS56GJdeznEduyyfuYKVwgwoHVOs/yqTDA2hMsWewFd4D0Asnjhb34GBNFhpEBkxHMa5fGVX1lV
c+Kiux/ICcp7j/qZgnJzlZj6kaD4t420Hwee7AXTZv0w+fptQneFyscwPCkIrdjUxmikg2gGdUEF
p/YxanSIO0oRwMWW7a04CfLN2Ki2WrQiB1VI96oWKuLwcv+2Ob/BXJh6+aeIkh8oX/mHrq8VWG6f
MyEIxb2qZow9Y+Q2IthpuPcFaSeM1JAEVJ81J177oI7hiLz66ABr1ixTXQdwGVqjOtjNNvDU/ArF
v/Wff+3jhiRxfKrgFvJSocTBv7Z08J/02IYeQxDTf/WGffXDjKkVmPeZJGEYNKuQqwr+U1qt0/0a
QKqKBz3h3UrXJlUQwUFhdKsG9E2Q71d1dgiU4c/ma3bv9+NuqZ16ypzUrsDMPrq5z2Db/h5uIQff
RN54CjyeEzA5QSDdQgoi7CdCB8tjFRy6Xz0Tr9QrHdOZ2rFcivzcCXitWA8yMCMN+56Zwdac0vlW
zrILSnAFgzdywQvBS1FYbOxMAaxKK1hVMNyeKSCBkrejwi05D8y8Q6Ii09cPo/zVhqlaeHK7W1NU
mmaCUh2sYG5P7QPouOiCXnQrnBqBZx7zmJ69j155SE6JZD2Y2SDFTLQUnOiBfY+tlotjqIDLDGL8
rdBM9gcsGIuKzvHADHCrZbEq5gE6AXl22wrUcDfwqDuUtm9FRQL1LAYvFEiTAOdV8ck9B5lFrikT
JDZZ2kmo6KKdR4Yjj7aiYHYvzCC3wdLO7kUHe0FgZWgkckioouIGujKiVW43qEjkXdmRFedNE3g/
s2X8/nD/yPFWxjw/5GpxwVc2ej0y6ZVr5pIUKpKPV/HGBE0eB9NspOlOVgHGGnrOhDmR5NK8p7Ba
G3qukS9IUnBEgPFE8mBVJDW/4qbQqqv4RBCZWBuyrlBxNdPGKK/YVAQwbwB8x7lqEzo6FZ+G9xSE
5JwNXUVNqDjRgA6kPUGMqviAgeygNQPblWsJVHgdIz+XycQLVjDglYFDF0iXHZ1xFAhemxP58tBV
JPJGazuCLyW/jXXRLqjolXc3F8liybgkTqRA7i4xdAm8eeLJbuNhADf+LR70SpP4gwB1sO+6diRp
DP3Z+MgrhaORuaDMaSBvaBVezQjam9wRVFGiDxzUFEiaYS7XWa+oyPjuQsYwL5iQiMijh5lRhT13
CT3ySprtdpsa7cO48bfvlC//Js7NMdesCYGk4AxuVaotMnPV2suP+4GhNZGf+B1G1o4mY+ovk6H9
uJXYcZ0VXYr98f/flQKZjr3N6fbiqr3rwaNQep9LoCkp8XNKI8NZGcRFs2GmcR8FRsoA7JVJpa1k
/hym/L5dv8DbNBE5l/0Bk8jOPn6/B3bNBAfGNJZGTNOH4pJvADLJ+PPKy/GZ/Q3bJ/0lCtX+Nrnv
J/6/v4szdxLE9/KSFV8wUtY2GyENk3eM4J7S7kyoOB8KtgTY6dh25NOhgoRGjJbjLJ8OBd6twA52
DIttLIlWUdLUNRIcsGMGg4ooQje3O1QApXreggYzcj2DCmc/k3scGayCwQoq1zxDrArfHGU/gWA1
losnVEB5zih9tPfPHj0pso/fr+ov2Me59auoKJzDKxeth/L4LhXYceEjhTDaGlH2+mmg7dlc/yvd
rxvyB5EnDAzJI6AZV/ao75/pHRfvpR1FYapNr82VLWsQFXRHu6dcxQ+ys6SrcJVuCbTYE2OSDv/W
u6ewJJuW9C5QEa2+BR+ym58u+9ILjylDmphnzy26HB9s0ltQJAs/TXBB7LTCAd2aCnRtByilHVql
D3YwtY8qeaoCi7/X3ejZJyjYyB2ixjloty7aQjCPhES+f0W62LIwLGaC0i2lArk5MmSrSG8qSN1B
nheV+hQ8EA2SsQm6ClTo7hhjwkTWl7865kKKNNGTPJuk75/t9AWGBk+Qw4ZVmgCqCHSmzOO7W6D0
x10a+U/ZqMXS0ijuZVflx1n+wtX+XUY9jtVJqgjFE6n77DnzR329v9INQoGQqLfpHlSptWg6/zIl
xo9b911ZZ1F375masx/Fpx5MhX6WC5xUEBF2IK7N5ZdVBH47gbGVoYAq4L6iLlAKSqkg4+h6jpen
klFBldl/wJeQw1EqekKc4vg8WIIHKEcqoyKRemo4868GvRVYbYMY0nopAgHHYKZsClyG8FwQmJK2
RkVF/ZQgHiZ8Il3flVa9+IhvzCDOpKTuz8tK9WUSt7sgzg9WV3FCPpDS2tJ3RFo4KouzF/jawv24
a+BYHf7v8FLYwRpAKBkLT1ocFRZmh6K5fLhQheEq1K131IFSwabf9YTX+cdLkwSGO/3TMf9ThTeY
JjYFOEyUL6DSjj1HRYlP1/Mym0wKNtQVREJP7ZmdHWGhg1QwtZ9SxiCgnFkroTS1LJrYHrSQeLYr
zyvjPY93IXU6yaF8BS7to/wURCQWW4QZnkBgokPIRFoUFRcDAUip5uEQQBR/c8nDmUnJyuMOTd9h
+NAjCOBk30kvARIj2xRf0+sv30SXUAnf41pnktIrTgUPS9cKwK4Suz/iqFRUVNBfm+tS13CO1Cuo
KOK4tnOEWSpKOD4YLilK2ZxQESO5NiCFlVZQxZkVE/yrSTo1VzLcqmaP+v5td2NHD8S2jl4uwNcU
PMDwSaaJVzjk4ayoIcp28jRiCo4jl1QIgfXxBhoqUtm7eNeZ6ZCU+cfSSUhQNoS2bBdpFieWtBgk
8N3YtSQ7BVRh8UW59ebYptJO1VWYErcQC8ujVdGS5zamhjA3WAU78yPLa+8i76dxRLeEbF6F6gXk
mH38/sN1YGTqKvgCuqI/isjaZIc2G6gYd50gY7MJjLFOUVcZ1KuKqt5H4okd/JSOiq4XlN7GtHvA
XjxqxjUFxX4ZxH+LKBjA3pcJd3+g43MEGlzU8dl/G7F9nive+NvUdRzDJf9t33JnAqU41f5TScvL
dtHA9MgeSWdTRf+i93GYQ27rKpLLt1/+G7a3xNw/kqDOs49fUyX7++W3yTn27V47XGn5sv/rVb9/
TFylHswRALkk+HH7slDmU7brhd64++P+OXb/MeT67/Atj8Dmf39veQyl/5O95f4BOHIwH2+DBwcn
8y//CwAA//8=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rlito"/>
          </a:endParaRPr>
        </a:p>
      </cx:txPr>
    </cx:legend>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4.jpeg"/><Relationship Id="rId1" Type="http://schemas.openxmlformats.org/officeDocument/2006/relationships/image" Target="../media/image3.png"/><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image" Target="../media/image5.jpeg"/><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3.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image" Target="../media/image4.jpeg"/></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image" Target="../media/image3.png"/><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 Id="rId9" Type="http://schemas.openxmlformats.org/officeDocument/2006/relationships/image" Target="../media/image6.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5.jpeg"/><Relationship Id="rId1" Type="http://schemas.openxmlformats.org/officeDocument/2006/relationships/image" Target="../media/image3.png"/><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5.jpeg"/><Relationship Id="rId1" Type="http://schemas.openxmlformats.org/officeDocument/2006/relationships/image" Target="../media/image3.png"/><Relationship Id="rId5" Type="http://schemas.openxmlformats.org/officeDocument/2006/relationships/image" Target="../media/image8.png"/><Relationship Id="rId4" Type="http://schemas.openxmlformats.org/officeDocument/2006/relationships/image" Target="../media/image7.png"/></Relationships>
</file>

<file path=xl/drawings/_rels/drawing9.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xdr:row>
      <xdr:rowOff>76200</xdr:rowOff>
    </xdr:from>
    <xdr:to>
      <xdr:col>0</xdr:col>
      <xdr:colOff>381000</xdr:colOff>
      <xdr:row>14</xdr:row>
      <xdr:rowOff>12700</xdr:rowOff>
    </xdr:to>
    <xdr:pic>
      <xdr:nvPicPr>
        <xdr:cNvPr id="24" name="Graphic 23" descr="Shopping cart outline">
          <a:extLst>
            <a:ext uri="{FF2B5EF4-FFF2-40B4-BE49-F238E27FC236}">
              <a16:creationId xmlns:a16="http://schemas.microsoft.com/office/drawing/2014/main" id="{D64728AA-A78C-103B-4075-E464ECA6A47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2209800"/>
          <a:ext cx="381000" cy="292100"/>
        </a:xfrm>
        <a:prstGeom prst="rect">
          <a:avLst/>
        </a:prstGeom>
      </xdr:spPr>
    </xdr:pic>
    <xdr:clientData/>
  </xdr:twoCellAnchor>
  <xdr:twoCellAnchor>
    <xdr:from>
      <xdr:col>0</xdr:col>
      <xdr:colOff>0</xdr:colOff>
      <xdr:row>0</xdr:row>
      <xdr:rowOff>0</xdr:rowOff>
    </xdr:from>
    <xdr:to>
      <xdr:col>0</xdr:col>
      <xdr:colOff>2489200</xdr:colOff>
      <xdr:row>43</xdr:row>
      <xdr:rowOff>0</xdr:rowOff>
    </xdr:to>
    <xdr:sp macro="" textlink="">
      <xdr:nvSpPr>
        <xdr:cNvPr id="2" name="Rectangle 1">
          <a:extLst>
            <a:ext uri="{FF2B5EF4-FFF2-40B4-BE49-F238E27FC236}">
              <a16:creationId xmlns:a16="http://schemas.microsoft.com/office/drawing/2014/main" id="{1A8EFDD6-E28F-349E-40F3-43E7CBA676F3}"/>
            </a:ext>
          </a:extLst>
        </xdr:cNvPr>
        <xdr:cNvSpPr/>
      </xdr:nvSpPr>
      <xdr:spPr>
        <a:xfrm>
          <a:off x="0" y="0"/>
          <a:ext cx="2489200" cy="7677150"/>
        </a:xfrm>
        <a:prstGeom prst="rect">
          <a:avLst/>
        </a:prstGeom>
        <a:solidFill>
          <a:schemeClr val="accent4">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107950</xdr:colOff>
      <xdr:row>0</xdr:row>
      <xdr:rowOff>69850</xdr:rowOff>
    </xdr:from>
    <xdr:to>
      <xdr:col>18</xdr:col>
      <xdr:colOff>330200</xdr:colOff>
      <xdr:row>4</xdr:row>
      <xdr:rowOff>95250</xdr:rowOff>
    </xdr:to>
    <xdr:sp macro="" textlink="">
      <xdr:nvSpPr>
        <xdr:cNvPr id="3" name="Rectangle 2">
          <a:extLst>
            <a:ext uri="{FF2B5EF4-FFF2-40B4-BE49-F238E27FC236}">
              <a16:creationId xmlns:a16="http://schemas.microsoft.com/office/drawing/2014/main" id="{2DA36AB8-1B78-A7A4-2D71-3772BC9B9950}"/>
            </a:ext>
          </a:extLst>
        </xdr:cNvPr>
        <xdr:cNvSpPr/>
      </xdr:nvSpPr>
      <xdr:spPr>
        <a:xfrm>
          <a:off x="2679700" y="69850"/>
          <a:ext cx="11017250" cy="736600"/>
        </a:xfrm>
        <a:prstGeom prst="rect">
          <a:avLst/>
        </a:prstGeom>
        <a:solidFill>
          <a:schemeClr val="accent4">
            <a:alpha val="50000"/>
          </a:scheme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GB" sz="4000"/>
            <a:t>Maersk Supplier</a:t>
          </a:r>
          <a:r>
            <a:rPr lang="en-GB" sz="4000" baseline="0"/>
            <a:t> Performance Dashbaord</a:t>
          </a:r>
          <a:endParaRPr lang="en-GB" sz="4000"/>
        </a:p>
      </xdr:txBody>
    </xdr:sp>
    <xdr:clientData/>
  </xdr:twoCellAnchor>
  <xdr:twoCellAnchor>
    <xdr:from>
      <xdr:col>0</xdr:col>
      <xdr:colOff>44449</xdr:colOff>
      <xdr:row>2</xdr:row>
      <xdr:rowOff>150284</xdr:rowOff>
    </xdr:from>
    <xdr:to>
      <xdr:col>0</xdr:col>
      <xdr:colOff>2419350</xdr:colOff>
      <xdr:row>7</xdr:row>
      <xdr:rowOff>150284</xdr:rowOff>
    </xdr:to>
    <xdr:sp macro="" textlink="Pivot!A4">
      <xdr:nvSpPr>
        <xdr:cNvPr id="8" name="Rectangle 7">
          <a:extLst>
            <a:ext uri="{FF2B5EF4-FFF2-40B4-BE49-F238E27FC236}">
              <a16:creationId xmlns:a16="http://schemas.microsoft.com/office/drawing/2014/main" id="{47834E7E-F169-67A1-EE13-3160E0A98E5C}"/>
            </a:ext>
          </a:extLst>
        </xdr:cNvPr>
        <xdr:cNvSpPr/>
      </xdr:nvSpPr>
      <xdr:spPr>
        <a:xfrm>
          <a:off x="44449" y="505884"/>
          <a:ext cx="2374901" cy="889000"/>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27329BFB-B804-4F14-A45A-9EC3A48CD916}" type="TxLink">
            <a:rPr lang="en-US" sz="2400" b="1" i="0" u="none" strike="noStrike">
              <a:solidFill>
                <a:srgbClr val="000000"/>
              </a:solidFill>
              <a:latin typeface="Carlito"/>
              <a:ea typeface="+mn-ea"/>
              <a:cs typeface="+mn-cs"/>
            </a:rPr>
            <a:pPr marL="0" indent="0" algn="ctr"/>
            <a:t>1000</a:t>
          </a:fld>
          <a:endParaRPr lang="en-GB" sz="2400" b="1">
            <a:solidFill>
              <a:schemeClr val="lt1"/>
            </a:solidFill>
            <a:latin typeface="+mn-lt"/>
            <a:ea typeface="+mn-ea"/>
            <a:cs typeface="+mn-cs"/>
          </a:endParaRPr>
        </a:p>
      </xdr:txBody>
    </xdr:sp>
    <xdr:clientData/>
  </xdr:twoCellAnchor>
  <xdr:twoCellAnchor>
    <xdr:from>
      <xdr:col>20</xdr:col>
      <xdr:colOff>768350</xdr:colOff>
      <xdr:row>0</xdr:row>
      <xdr:rowOff>50800</xdr:rowOff>
    </xdr:from>
    <xdr:to>
      <xdr:col>21</xdr:col>
      <xdr:colOff>317499</xdr:colOff>
      <xdr:row>3</xdr:row>
      <xdr:rowOff>19051</xdr:rowOff>
    </xdr:to>
    <xdr:pic>
      <xdr:nvPicPr>
        <xdr:cNvPr id="11" name="Picture 10">
          <a:extLst>
            <a:ext uri="{FF2B5EF4-FFF2-40B4-BE49-F238E27FC236}">
              <a16:creationId xmlns:a16="http://schemas.microsoft.com/office/drawing/2014/main" id="{8294CFC9-125D-2959-0FA8-66674AC1EA96}"/>
            </a:ext>
          </a:extLst>
        </xdr:cNvPr>
        <xdr:cNvPicPr>
          <a:picLocks noChangeAspect="1"/>
        </xdr:cNvPicPr>
      </xdr:nvPicPr>
      <xdr:blipFill>
        <a:blip xmlns:r="http://schemas.openxmlformats.org/officeDocument/2006/relationships" r:embed="rId3"/>
        <a:stretch>
          <a:fillRect/>
        </a:stretch>
      </xdr:blipFill>
      <xdr:spPr>
        <a:xfrm>
          <a:off x="15119350" y="50800"/>
          <a:ext cx="520699" cy="501651"/>
        </a:xfrm>
        <a:prstGeom prst="rect">
          <a:avLst/>
        </a:prstGeom>
      </xdr:spPr>
    </xdr:pic>
    <xdr:clientData/>
  </xdr:twoCellAnchor>
  <xdr:twoCellAnchor>
    <xdr:from>
      <xdr:col>0</xdr:col>
      <xdr:colOff>0</xdr:colOff>
      <xdr:row>0</xdr:row>
      <xdr:rowOff>31750</xdr:rowOff>
    </xdr:from>
    <xdr:to>
      <xdr:col>1</xdr:col>
      <xdr:colOff>146050</xdr:colOff>
      <xdr:row>2</xdr:row>
      <xdr:rowOff>101600</xdr:rowOff>
    </xdr:to>
    <xdr:sp macro="" textlink="">
      <xdr:nvSpPr>
        <xdr:cNvPr id="29" name="TextBox 28">
          <a:extLst>
            <a:ext uri="{FF2B5EF4-FFF2-40B4-BE49-F238E27FC236}">
              <a16:creationId xmlns:a16="http://schemas.microsoft.com/office/drawing/2014/main" id="{08909FF3-6292-1E00-5A01-B35DF9DF65AC}"/>
            </a:ext>
          </a:extLst>
        </xdr:cNvPr>
        <xdr:cNvSpPr txBox="1"/>
      </xdr:nvSpPr>
      <xdr:spPr>
        <a:xfrm>
          <a:off x="0" y="31750"/>
          <a:ext cx="2717800"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i="1">
              <a:solidFill>
                <a:schemeClr val="bg1"/>
              </a:solidFill>
            </a:rPr>
            <a:t>Metrics</a:t>
          </a:r>
        </a:p>
      </xdr:txBody>
    </xdr:sp>
    <xdr:clientData/>
  </xdr:twoCellAnchor>
  <xdr:twoCellAnchor>
    <xdr:from>
      <xdr:col>18</xdr:col>
      <xdr:colOff>476249</xdr:colOff>
      <xdr:row>0</xdr:row>
      <xdr:rowOff>76200</xdr:rowOff>
    </xdr:from>
    <xdr:to>
      <xdr:col>20</xdr:col>
      <xdr:colOff>730247</xdr:colOff>
      <xdr:row>3</xdr:row>
      <xdr:rowOff>6350</xdr:rowOff>
    </xdr:to>
    <xdr:pic>
      <xdr:nvPicPr>
        <xdr:cNvPr id="33" name="Picture 32" descr="2,341 Maersk Container Vessel Stock Photos - Free &amp; Royalty-Free Stock ...">
          <a:extLst>
            <a:ext uri="{FF2B5EF4-FFF2-40B4-BE49-F238E27FC236}">
              <a16:creationId xmlns:a16="http://schemas.microsoft.com/office/drawing/2014/main" id="{33767297-695A-FC16-9A43-953D4E738EA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flipH="1">
          <a:off x="13842999" y="76200"/>
          <a:ext cx="1238248" cy="463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146050</xdr:colOff>
      <xdr:row>5</xdr:row>
      <xdr:rowOff>63500</xdr:rowOff>
    </xdr:from>
    <xdr:to>
      <xdr:col>10</xdr:col>
      <xdr:colOff>222250</xdr:colOff>
      <xdr:row>21</xdr:row>
      <xdr:rowOff>139700</xdr:rowOff>
    </xdr:to>
    <xdr:graphicFrame macro="">
      <xdr:nvGraphicFramePr>
        <xdr:cNvPr id="15" name="Chart 14">
          <a:extLst>
            <a:ext uri="{FF2B5EF4-FFF2-40B4-BE49-F238E27FC236}">
              <a16:creationId xmlns:a16="http://schemas.microsoft.com/office/drawing/2014/main" id="{D5D5D96E-183F-42DB-B9EC-3E788F771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488950</xdr:colOff>
      <xdr:row>15</xdr:row>
      <xdr:rowOff>63500</xdr:rowOff>
    </xdr:from>
    <xdr:to>
      <xdr:col>21</xdr:col>
      <xdr:colOff>342900</xdr:colOff>
      <xdr:row>39</xdr:row>
      <xdr:rowOff>38100</xdr:rowOff>
    </xdr:to>
    <mc:AlternateContent xmlns:mc="http://schemas.openxmlformats.org/markup-compatibility/2006" xmlns:a14="http://schemas.microsoft.com/office/drawing/2010/main">
      <mc:Choice Requires="a14">
        <xdr:graphicFrame macro="">
          <xdr:nvGraphicFramePr>
            <xdr:cNvPr id="6" name="Supplier_Name 1">
              <a:extLst>
                <a:ext uri="{FF2B5EF4-FFF2-40B4-BE49-F238E27FC236}">
                  <a16:creationId xmlns:a16="http://schemas.microsoft.com/office/drawing/2014/main" id="{2F7E5C7E-3100-4558-9A01-2B8BF776F86C}"/>
                </a:ext>
              </a:extLst>
            </xdr:cNvPr>
            <xdr:cNvGraphicFramePr/>
          </xdr:nvGraphicFramePr>
          <xdr:xfrm>
            <a:off x="0" y="0"/>
            <a:ext cx="0" cy="0"/>
          </xdr:xfrm>
          <a:graphic>
            <a:graphicData uri="http://schemas.microsoft.com/office/drawing/2010/slicer">
              <sle:slicer xmlns:sle="http://schemas.microsoft.com/office/drawing/2010/slicer" name="Supplier_Name 1"/>
            </a:graphicData>
          </a:graphic>
        </xdr:graphicFrame>
      </mc:Choice>
      <mc:Fallback xmlns="">
        <xdr:sp macro="" textlink="">
          <xdr:nvSpPr>
            <xdr:cNvPr id="0" name=""/>
            <xdr:cNvSpPr>
              <a:spLocks noTextEdit="1"/>
            </xdr:cNvSpPr>
          </xdr:nvSpPr>
          <xdr:spPr>
            <a:xfrm>
              <a:off x="13855700" y="2730500"/>
              <a:ext cx="1828800" cy="4273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44450</xdr:colOff>
      <xdr:row>9</xdr:row>
      <xdr:rowOff>19050</xdr:rowOff>
    </xdr:from>
    <xdr:to>
      <xdr:col>0</xdr:col>
      <xdr:colOff>2413000</xdr:colOff>
      <xdr:row>14</xdr:row>
      <xdr:rowOff>19050</xdr:rowOff>
    </xdr:to>
    <xdr:sp macro="" textlink="Pivot!B4">
      <xdr:nvSpPr>
        <xdr:cNvPr id="12" name="Rectangle 11">
          <a:extLst>
            <a:ext uri="{FF2B5EF4-FFF2-40B4-BE49-F238E27FC236}">
              <a16:creationId xmlns:a16="http://schemas.microsoft.com/office/drawing/2014/main" id="{60CA808E-AA2B-4607-F8F7-8E6BD431EE79}"/>
            </a:ext>
          </a:extLst>
        </xdr:cNvPr>
        <xdr:cNvSpPr/>
      </xdr:nvSpPr>
      <xdr:spPr>
        <a:xfrm>
          <a:off x="44450" y="1619250"/>
          <a:ext cx="2368550" cy="889000"/>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D2A45647-23F1-494E-BBF2-0DDE1E2B819A}" type="TxLink">
            <a:rPr lang="en-US" sz="2400" b="1" i="0" u="none" strike="noStrike">
              <a:solidFill>
                <a:srgbClr val="000000"/>
              </a:solidFill>
              <a:latin typeface="Carlito"/>
              <a:ea typeface="+mn-ea"/>
              <a:cs typeface="+mn-cs"/>
            </a:rPr>
            <a:pPr marL="0" indent="0" algn="ctr"/>
            <a:t>548,375</a:t>
          </a:fld>
          <a:endParaRPr lang="en-GB" sz="2400" b="1" i="0" u="none" strike="noStrike">
            <a:solidFill>
              <a:srgbClr val="000000"/>
            </a:solidFill>
            <a:latin typeface="Carlito"/>
            <a:ea typeface="+mn-ea"/>
            <a:cs typeface="+mn-cs"/>
          </a:endParaRPr>
        </a:p>
      </xdr:txBody>
    </xdr:sp>
    <xdr:clientData/>
  </xdr:twoCellAnchor>
  <xdr:twoCellAnchor>
    <xdr:from>
      <xdr:col>0</xdr:col>
      <xdr:colOff>50800</xdr:colOff>
      <xdr:row>15</xdr:row>
      <xdr:rowOff>79022</xdr:rowOff>
    </xdr:from>
    <xdr:to>
      <xdr:col>0</xdr:col>
      <xdr:colOff>2419350</xdr:colOff>
      <xdr:row>20</xdr:row>
      <xdr:rowOff>47272</xdr:rowOff>
    </xdr:to>
    <xdr:sp macro="" textlink="Pivot!C4">
      <xdr:nvSpPr>
        <xdr:cNvPr id="13" name="Rectangle 12">
          <a:extLst>
            <a:ext uri="{FF2B5EF4-FFF2-40B4-BE49-F238E27FC236}">
              <a16:creationId xmlns:a16="http://schemas.microsoft.com/office/drawing/2014/main" id="{B99A705C-E033-3E56-CF88-9C4CEC25573D}"/>
            </a:ext>
          </a:extLst>
        </xdr:cNvPr>
        <xdr:cNvSpPr/>
      </xdr:nvSpPr>
      <xdr:spPr>
        <a:xfrm>
          <a:off x="50800" y="2746022"/>
          <a:ext cx="2368550" cy="889000"/>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4ADDCFAF-ECD0-434B-890F-DA2A0F073A26}" type="TxLink">
            <a:rPr lang="en-US" sz="2400" b="1" i="0" u="none" strike="noStrike">
              <a:solidFill>
                <a:srgbClr val="000000"/>
              </a:solidFill>
              <a:latin typeface="Carlito"/>
              <a:ea typeface="+mn-ea"/>
              <a:cs typeface="+mn-cs"/>
            </a:rPr>
            <a:pPr marL="0" indent="0" algn="ctr"/>
            <a:t>3.0</a:t>
          </a:fld>
          <a:endParaRPr lang="en-GB" sz="2400" b="1" i="0" u="none" strike="noStrike">
            <a:solidFill>
              <a:srgbClr val="000000"/>
            </a:solidFill>
            <a:latin typeface="Carlito"/>
            <a:ea typeface="+mn-ea"/>
            <a:cs typeface="+mn-cs"/>
          </a:endParaRPr>
        </a:p>
      </xdr:txBody>
    </xdr:sp>
    <xdr:clientData/>
  </xdr:twoCellAnchor>
  <xdr:twoCellAnchor>
    <xdr:from>
      <xdr:col>0</xdr:col>
      <xdr:colOff>44451</xdr:colOff>
      <xdr:row>21</xdr:row>
      <xdr:rowOff>103011</xdr:rowOff>
    </xdr:from>
    <xdr:to>
      <xdr:col>0</xdr:col>
      <xdr:colOff>2406650</xdr:colOff>
      <xdr:row>26</xdr:row>
      <xdr:rowOff>103011</xdr:rowOff>
    </xdr:to>
    <xdr:sp macro="" textlink="Pivot!D4">
      <xdr:nvSpPr>
        <xdr:cNvPr id="14" name="Rectangle 13">
          <a:extLst>
            <a:ext uri="{FF2B5EF4-FFF2-40B4-BE49-F238E27FC236}">
              <a16:creationId xmlns:a16="http://schemas.microsoft.com/office/drawing/2014/main" id="{372BCB58-627A-BFCF-B38E-90DD78DDA67B}"/>
            </a:ext>
          </a:extLst>
        </xdr:cNvPr>
        <xdr:cNvSpPr/>
      </xdr:nvSpPr>
      <xdr:spPr>
        <a:xfrm>
          <a:off x="44451" y="3868561"/>
          <a:ext cx="2362199" cy="889000"/>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D75F67AA-6DC5-488F-825C-9DC27A568405}" type="TxLink">
            <a:rPr lang="en-US" sz="2400" b="1" i="0" u="none" strike="noStrike">
              <a:solidFill>
                <a:srgbClr val="000000"/>
              </a:solidFill>
              <a:latin typeface="Carlito"/>
              <a:ea typeface="+mn-ea"/>
              <a:cs typeface="+mn-cs"/>
            </a:rPr>
            <a:pPr marL="0" indent="0" algn="ctr"/>
            <a:t>2</a:t>
          </a:fld>
          <a:endParaRPr lang="en-GB" sz="2400" b="1" i="0" u="none" strike="noStrike">
            <a:solidFill>
              <a:srgbClr val="000000"/>
            </a:solidFill>
            <a:latin typeface="Carlito"/>
            <a:ea typeface="+mn-ea"/>
            <a:cs typeface="+mn-cs"/>
          </a:endParaRPr>
        </a:p>
      </xdr:txBody>
    </xdr:sp>
    <xdr:clientData/>
  </xdr:twoCellAnchor>
  <xdr:twoCellAnchor>
    <xdr:from>
      <xdr:col>0</xdr:col>
      <xdr:colOff>38100</xdr:colOff>
      <xdr:row>33</xdr:row>
      <xdr:rowOff>171450</xdr:rowOff>
    </xdr:from>
    <xdr:to>
      <xdr:col>0</xdr:col>
      <xdr:colOff>2413000</xdr:colOff>
      <xdr:row>38</xdr:row>
      <xdr:rowOff>95250</xdr:rowOff>
    </xdr:to>
    <xdr:sp macro="" textlink="Pivot!K31">
      <xdr:nvSpPr>
        <xdr:cNvPr id="19" name="Rectangle 18">
          <a:extLst>
            <a:ext uri="{FF2B5EF4-FFF2-40B4-BE49-F238E27FC236}">
              <a16:creationId xmlns:a16="http://schemas.microsoft.com/office/drawing/2014/main" id="{BAEE5DB9-AC78-7049-3460-E82CC3BF8C1B}"/>
            </a:ext>
          </a:extLst>
        </xdr:cNvPr>
        <xdr:cNvSpPr/>
      </xdr:nvSpPr>
      <xdr:spPr>
        <a:xfrm>
          <a:off x="38100" y="6070600"/>
          <a:ext cx="2374900" cy="812800"/>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49E04359-3A2A-4CB4-ACC8-6187EB40BEF9}" type="TxLink">
            <a:rPr lang="en-US" sz="2000" b="1" i="0" u="none" strike="noStrike">
              <a:solidFill>
                <a:srgbClr val="000000"/>
              </a:solidFill>
              <a:latin typeface="Carlito"/>
              <a:ea typeface="+mn-ea"/>
              <a:cs typeface="+mn-cs"/>
            </a:rPr>
            <a:pPr marL="0" indent="0" algn="ctr"/>
            <a:t>26.86%</a:t>
          </a:fld>
          <a:endParaRPr lang="en-GB" sz="2000" b="1" i="0" u="none" strike="noStrike">
            <a:solidFill>
              <a:srgbClr val="000000"/>
            </a:solidFill>
            <a:latin typeface="Carlito"/>
            <a:ea typeface="+mn-ea"/>
            <a:cs typeface="+mn-cs"/>
          </a:endParaRPr>
        </a:p>
      </xdr:txBody>
    </xdr:sp>
    <xdr:clientData/>
  </xdr:twoCellAnchor>
  <xdr:twoCellAnchor>
    <xdr:from>
      <xdr:col>0</xdr:col>
      <xdr:colOff>50800</xdr:colOff>
      <xdr:row>27</xdr:row>
      <xdr:rowOff>171450</xdr:rowOff>
    </xdr:from>
    <xdr:to>
      <xdr:col>0</xdr:col>
      <xdr:colOff>2406650</xdr:colOff>
      <xdr:row>32</xdr:row>
      <xdr:rowOff>114300</xdr:rowOff>
    </xdr:to>
    <xdr:sp macro="" textlink="Pivot!J31">
      <xdr:nvSpPr>
        <xdr:cNvPr id="20" name="Rectangle 19">
          <a:extLst>
            <a:ext uri="{FF2B5EF4-FFF2-40B4-BE49-F238E27FC236}">
              <a16:creationId xmlns:a16="http://schemas.microsoft.com/office/drawing/2014/main" id="{EE370DD7-2B98-4961-9D16-9C7AD2EF5C13}"/>
            </a:ext>
          </a:extLst>
        </xdr:cNvPr>
        <xdr:cNvSpPr/>
      </xdr:nvSpPr>
      <xdr:spPr>
        <a:xfrm>
          <a:off x="50800" y="5003800"/>
          <a:ext cx="2355850" cy="831850"/>
        </a:xfrm>
        <a:prstGeom prst="rect">
          <a:avLst/>
        </a:prstGeom>
        <a:solidFill>
          <a:schemeClr val="accent1">
            <a:lumMod val="60000"/>
            <a:lumOff val="4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5E0F717E-F669-4C7B-994A-B4938DE92FB4}" type="TxLink">
            <a:rPr lang="en-US" sz="2000" b="1" i="0" u="none" strike="noStrike">
              <a:solidFill>
                <a:srgbClr val="000000"/>
              </a:solidFill>
              <a:latin typeface="Carlito"/>
              <a:ea typeface="+mn-ea"/>
              <a:cs typeface="+mn-cs"/>
            </a:rPr>
            <a:pPr marL="0" indent="0" algn="ctr"/>
            <a:t>10.46%</a:t>
          </a:fld>
          <a:endParaRPr lang="en-GB" sz="2000" b="1" i="0" u="none" strike="noStrike">
            <a:solidFill>
              <a:srgbClr val="000000"/>
            </a:solidFill>
            <a:latin typeface="Carlito"/>
            <a:ea typeface="+mn-ea"/>
            <a:cs typeface="+mn-cs"/>
          </a:endParaRPr>
        </a:p>
      </xdr:txBody>
    </xdr:sp>
    <xdr:clientData/>
  </xdr:twoCellAnchor>
  <xdr:twoCellAnchor>
    <xdr:from>
      <xdr:col>0</xdr:col>
      <xdr:colOff>425450</xdr:colOff>
      <xdr:row>9</xdr:row>
      <xdr:rowOff>50800</xdr:rowOff>
    </xdr:from>
    <xdr:to>
      <xdr:col>0</xdr:col>
      <xdr:colOff>2152650</xdr:colOff>
      <xdr:row>10</xdr:row>
      <xdr:rowOff>158750</xdr:rowOff>
    </xdr:to>
    <xdr:sp macro="" textlink="">
      <xdr:nvSpPr>
        <xdr:cNvPr id="27" name="TextBox 26">
          <a:extLst>
            <a:ext uri="{FF2B5EF4-FFF2-40B4-BE49-F238E27FC236}">
              <a16:creationId xmlns:a16="http://schemas.microsoft.com/office/drawing/2014/main" id="{B6EE96C5-C444-D9BC-F2FF-CE9C6F23EEAD}"/>
            </a:ext>
          </a:extLst>
        </xdr:cNvPr>
        <xdr:cNvSpPr txBox="1"/>
      </xdr:nvSpPr>
      <xdr:spPr>
        <a:xfrm>
          <a:off x="425450" y="1651000"/>
          <a:ext cx="1727200" cy="28575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solidFill>
            </a:rPr>
            <a:t>Total</a:t>
          </a:r>
          <a:r>
            <a:rPr lang="en-GB" sz="1600" b="1" baseline="0">
              <a:solidFill>
                <a:schemeClr val="bg1"/>
              </a:solidFill>
            </a:rPr>
            <a:t> Order Qty</a:t>
          </a:r>
          <a:endParaRPr lang="en-GB" sz="1600" b="1">
            <a:solidFill>
              <a:schemeClr val="bg1"/>
            </a:solidFill>
          </a:endParaRPr>
        </a:p>
      </xdr:txBody>
    </xdr:sp>
    <xdr:clientData/>
  </xdr:twoCellAnchor>
  <xdr:twoCellAnchor>
    <xdr:from>
      <xdr:col>0</xdr:col>
      <xdr:colOff>376766</xdr:colOff>
      <xdr:row>3</xdr:row>
      <xdr:rowOff>25400</xdr:rowOff>
    </xdr:from>
    <xdr:to>
      <xdr:col>0</xdr:col>
      <xdr:colOff>2317749</xdr:colOff>
      <xdr:row>4</xdr:row>
      <xdr:rowOff>131234</xdr:rowOff>
    </xdr:to>
    <xdr:sp macro="" textlink="">
      <xdr:nvSpPr>
        <xdr:cNvPr id="35" name="TextBox 34">
          <a:extLst>
            <a:ext uri="{FF2B5EF4-FFF2-40B4-BE49-F238E27FC236}">
              <a16:creationId xmlns:a16="http://schemas.microsoft.com/office/drawing/2014/main" id="{C1E6958C-7477-4AA7-BAD1-FA9E3537574D}"/>
            </a:ext>
          </a:extLst>
        </xdr:cNvPr>
        <xdr:cNvSpPr txBox="1"/>
      </xdr:nvSpPr>
      <xdr:spPr>
        <a:xfrm>
          <a:off x="376766" y="558800"/>
          <a:ext cx="1940983" cy="283634"/>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solidFill>
            </a:rPr>
            <a:t>Total</a:t>
          </a:r>
          <a:r>
            <a:rPr lang="en-GB" sz="1600" b="1" baseline="0">
              <a:solidFill>
                <a:schemeClr val="bg1"/>
              </a:solidFill>
            </a:rPr>
            <a:t> Count of Order</a:t>
          </a:r>
          <a:endParaRPr lang="en-GB" sz="1600" b="1">
            <a:solidFill>
              <a:schemeClr val="bg1"/>
            </a:solidFill>
          </a:endParaRPr>
        </a:p>
      </xdr:txBody>
    </xdr:sp>
    <xdr:clientData/>
  </xdr:twoCellAnchor>
  <xdr:twoCellAnchor>
    <xdr:from>
      <xdr:col>0</xdr:col>
      <xdr:colOff>315383</xdr:colOff>
      <xdr:row>15</xdr:row>
      <xdr:rowOff>101600</xdr:rowOff>
    </xdr:from>
    <xdr:to>
      <xdr:col>0</xdr:col>
      <xdr:colOff>2343151</xdr:colOff>
      <xdr:row>17</xdr:row>
      <xdr:rowOff>38100</xdr:rowOff>
    </xdr:to>
    <xdr:sp macro="" textlink="">
      <xdr:nvSpPr>
        <xdr:cNvPr id="36" name="TextBox 35">
          <a:extLst>
            <a:ext uri="{FF2B5EF4-FFF2-40B4-BE49-F238E27FC236}">
              <a16:creationId xmlns:a16="http://schemas.microsoft.com/office/drawing/2014/main" id="{8274EEAC-8A48-45D9-BEA5-7DA80CBEAECA}"/>
            </a:ext>
          </a:extLst>
        </xdr:cNvPr>
        <xdr:cNvSpPr txBox="1"/>
      </xdr:nvSpPr>
      <xdr:spPr>
        <a:xfrm>
          <a:off x="315383" y="2768600"/>
          <a:ext cx="2027768" cy="2921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solidFill>
            </a:rPr>
            <a:t>Avg.</a:t>
          </a:r>
          <a:r>
            <a:rPr lang="en-GB" sz="1600" b="1" baseline="0">
              <a:solidFill>
                <a:schemeClr val="bg1"/>
              </a:solidFill>
            </a:rPr>
            <a:t> </a:t>
          </a:r>
          <a:r>
            <a:rPr lang="en-GB" sz="1600" b="1">
              <a:solidFill>
                <a:schemeClr val="bg1"/>
              </a:solidFill>
            </a:rPr>
            <a:t>Supplier Rating</a:t>
          </a:r>
        </a:p>
      </xdr:txBody>
    </xdr:sp>
    <xdr:clientData/>
  </xdr:twoCellAnchor>
  <xdr:twoCellAnchor>
    <xdr:from>
      <xdr:col>0</xdr:col>
      <xdr:colOff>179916</xdr:colOff>
      <xdr:row>21</xdr:row>
      <xdr:rowOff>116417</xdr:rowOff>
    </xdr:from>
    <xdr:to>
      <xdr:col>0</xdr:col>
      <xdr:colOff>2273300</xdr:colOff>
      <xdr:row>23</xdr:row>
      <xdr:rowOff>46567</xdr:rowOff>
    </xdr:to>
    <xdr:sp macro="" textlink="">
      <xdr:nvSpPr>
        <xdr:cNvPr id="37" name="TextBox 36">
          <a:extLst>
            <a:ext uri="{FF2B5EF4-FFF2-40B4-BE49-F238E27FC236}">
              <a16:creationId xmlns:a16="http://schemas.microsoft.com/office/drawing/2014/main" id="{64A78994-9E5C-44CD-A10D-CEB1957A94C2}"/>
            </a:ext>
          </a:extLst>
        </xdr:cNvPr>
        <xdr:cNvSpPr txBox="1"/>
      </xdr:nvSpPr>
      <xdr:spPr>
        <a:xfrm>
          <a:off x="179916" y="3881967"/>
          <a:ext cx="2093384" cy="28575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baseline="0">
              <a:solidFill>
                <a:schemeClr val="bg1"/>
              </a:solidFill>
            </a:rPr>
            <a:t>Avg. Variance in Days</a:t>
          </a:r>
          <a:endParaRPr lang="en-GB" sz="1600" b="1">
            <a:solidFill>
              <a:schemeClr val="bg1"/>
            </a:solidFill>
          </a:endParaRPr>
        </a:p>
      </xdr:txBody>
    </xdr:sp>
    <xdr:clientData/>
  </xdr:twoCellAnchor>
  <xdr:twoCellAnchor>
    <xdr:from>
      <xdr:col>0</xdr:col>
      <xdr:colOff>336550</xdr:colOff>
      <xdr:row>28</xdr:row>
      <xdr:rowOff>0</xdr:rowOff>
    </xdr:from>
    <xdr:to>
      <xdr:col>0</xdr:col>
      <xdr:colOff>2209800</xdr:colOff>
      <xdr:row>29</xdr:row>
      <xdr:rowOff>95250</xdr:rowOff>
    </xdr:to>
    <xdr:sp macro="" textlink="">
      <xdr:nvSpPr>
        <xdr:cNvPr id="38" name="TextBox 37">
          <a:extLst>
            <a:ext uri="{FF2B5EF4-FFF2-40B4-BE49-F238E27FC236}">
              <a16:creationId xmlns:a16="http://schemas.microsoft.com/office/drawing/2014/main" id="{329803DC-CCF8-4812-BB69-58E95FE0A29F}"/>
            </a:ext>
          </a:extLst>
        </xdr:cNvPr>
        <xdr:cNvSpPr txBox="1"/>
      </xdr:nvSpPr>
      <xdr:spPr>
        <a:xfrm>
          <a:off x="336550" y="5010150"/>
          <a:ext cx="1873250" cy="27305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solidFill>
            </a:rPr>
            <a:t>Early</a:t>
          </a:r>
          <a:r>
            <a:rPr lang="en-GB" sz="1600" b="1" baseline="0">
              <a:solidFill>
                <a:schemeClr val="bg1"/>
              </a:solidFill>
            </a:rPr>
            <a:t> Delivery Rate</a:t>
          </a:r>
          <a:endParaRPr lang="en-GB" sz="1600" b="1">
            <a:solidFill>
              <a:schemeClr val="bg1"/>
            </a:solidFill>
          </a:endParaRPr>
        </a:p>
      </xdr:txBody>
    </xdr:sp>
    <xdr:clientData/>
  </xdr:twoCellAnchor>
  <xdr:twoCellAnchor>
    <xdr:from>
      <xdr:col>0</xdr:col>
      <xdr:colOff>266700</xdr:colOff>
      <xdr:row>34</xdr:row>
      <xdr:rowOff>6350</xdr:rowOff>
    </xdr:from>
    <xdr:to>
      <xdr:col>0</xdr:col>
      <xdr:colOff>2336800</xdr:colOff>
      <xdr:row>35</xdr:row>
      <xdr:rowOff>158750</xdr:rowOff>
    </xdr:to>
    <xdr:sp macro="" textlink="">
      <xdr:nvSpPr>
        <xdr:cNvPr id="39" name="TextBox 38">
          <a:extLst>
            <a:ext uri="{FF2B5EF4-FFF2-40B4-BE49-F238E27FC236}">
              <a16:creationId xmlns:a16="http://schemas.microsoft.com/office/drawing/2014/main" id="{E4C89845-2643-4E5C-81F7-2B6960662D52}"/>
            </a:ext>
          </a:extLst>
        </xdr:cNvPr>
        <xdr:cNvSpPr txBox="1"/>
      </xdr:nvSpPr>
      <xdr:spPr>
        <a:xfrm>
          <a:off x="266700" y="6083300"/>
          <a:ext cx="2070100" cy="3302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solidFill>
            </a:rPr>
            <a:t>On</a:t>
          </a:r>
          <a:r>
            <a:rPr lang="en-GB" sz="1600" b="1" baseline="0">
              <a:solidFill>
                <a:schemeClr val="bg1"/>
              </a:solidFill>
            </a:rPr>
            <a:t> Time Delivery Rate</a:t>
          </a:r>
          <a:endParaRPr lang="en-GB" sz="1600" b="1">
            <a:solidFill>
              <a:schemeClr val="bg1"/>
            </a:solidFill>
          </a:endParaRPr>
        </a:p>
      </xdr:txBody>
    </xdr:sp>
    <xdr:clientData/>
  </xdr:twoCellAnchor>
  <xdr:twoCellAnchor>
    <xdr:from>
      <xdr:col>18</xdr:col>
      <xdr:colOff>482600</xdr:colOff>
      <xdr:row>3</xdr:row>
      <xdr:rowOff>57150</xdr:rowOff>
    </xdr:from>
    <xdr:to>
      <xdr:col>21</xdr:col>
      <xdr:colOff>298450</xdr:colOff>
      <xdr:row>15</xdr:row>
      <xdr:rowOff>63500</xdr:rowOff>
    </xdr:to>
    <mc:AlternateContent xmlns:mc="http://schemas.openxmlformats.org/markup-compatibility/2006" xmlns:a14="http://schemas.microsoft.com/office/drawing/2010/main">
      <mc:Choice Requires="a14">
        <xdr:graphicFrame macro="">
          <xdr:nvGraphicFramePr>
            <xdr:cNvPr id="4" name="Months">
              <a:extLst>
                <a:ext uri="{FF2B5EF4-FFF2-40B4-BE49-F238E27FC236}">
                  <a16:creationId xmlns:a16="http://schemas.microsoft.com/office/drawing/2014/main" id="{064BC829-F777-4975-968D-8B7906EBC06C}"/>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3849350" y="590550"/>
              <a:ext cx="1790700" cy="2139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146050</xdr:colOff>
      <xdr:row>22</xdr:row>
      <xdr:rowOff>133350</xdr:rowOff>
    </xdr:from>
    <xdr:to>
      <xdr:col>10</xdr:col>
      <xdr:colOff>215900</xdr:colOff>
      <xdr:row>38</xdr:row>
      <xdr:rowOff>101600</xdr:rowOff>
    </xdr:to>
    <xdr:graphicFrame macro="">
      <xdr:nvGraphicFramePr>
        <xdr:cNvPr id="25" name="Chart 24">
          <a:extLst>
            <a:ext uri="{FF2B5EF4-FFF2-40B4-BE49-F238E27FC236}">
              <a16:creationId xmlns:a16="http://schemas.microsoft.com/office/drawing/2014/main" id="{0EF82413-1580-4D07-BBDC-DAF17BC72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387350</xdr:colOff>
      <xdr:row>22</xdr:row>
      <xdr:rowOff>146050</xdr:rowOff>
    </xdr:from>
    <xdr:to>
      <xdr:col>18</xdr:col>
      <xdr:colOff>393700</xdr:colOff>
      <xdr:row>38</xdr:row>
      <xdr:rowOff>88900</xdr:rowOff>
    </xdr:to>
    <xdr:graphicFrame macro="">
      <xdr:nvGraphicFramePr>
        <xdr:cNvPr id="30" name="Chart 29">
          <a:extLst>
            <a:ext uri="{FF2B5EF4-FFF2-40B4-BE49-F238E27FC236}">
              <a16:creationId xmlns:a16="http://schemas.microsoft.com/office/drawing/2014/main" id="{A93C093C-8364-4524-8AA0-F9C8203FF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419100</xdr:colOff>
      <xdr:row>5</xdr:row>
      <xdr:rowOff>69850</xdr:rowOff>
    </xdr:from>
    <xdr:to>
      <xdr:col>18</xdr:col>
      <xdr:colOff>387350</xdr:colOff>
      <xdr:row>21</xdr:row>
      <xdr:rowOff>146050</xdr:rowOff>
    </xdr:to>
    <xdr:graphicFrame macro="">
      <xdr:nvGraphicFramePr>
        <xdr:cNvPr id="5" name="Chart 4">
          <a:extLst>
            <a:ext uri="{FF2B5EF4-FFF2-40B4-BE49-F238E27FC236}">
              <a16:creationId xmlns:a16="http://schemas.microsoft.com/office/drawing/2014/main" id="{9D52E890-0757-43C6-B759-E69F37F0A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0</xdr:row>
      <xdr:rowOff>0</xdr:rowOff>
    </xdr:from>
    <xdr:to>
      <xdr:col>3</xdr:col>
      <xdr:colOff>501650</xdr:colOff>
      <xdr:row>42</xdr:row>
      <xdr:rowOff>69850</xdr:rowOff>
    </xdr:to>
    <xdr:sp macro="" textlink="">
      <xdr:nvSpPr>
        <xdr:cNvPr id="2" name="Rectangle 1">
          <a:extLst>
            <a:ext uri="{FF2B5EF4-FFF2-40B4-BE49-F238E27FC236}">
              <a16:creationId xmlns:a16="http://schemas.microsoft.com/office/drawing/2014/main" id="{33CFC2B2-F629-4A1C-A279-A77E1809D12A}"/>
            </a:ext>
          </a:extLst>
        </xdr:cNvPr>
        <xdr:cNvSpPr/>
      </xdr:nvSpPr>
      <xdr:spPr>
        <a:xfrm>
          <a:off x="25400" y="0"/>
          <a:ext cx="3937000" cy="7569200"/>
        </a:xfrm>
        <a:prstGeom prst="rect">
          <a:avLst/>
        </a:prstGeom>
        <a:solidFill>
          <a:schemeClr val="accent4">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12700</xdr:colOff>
      <xdr:row>0</xdr:row>
      <xdr:rowOff>0</xdr:rowOff>
    </xdr:from>
    <xdr:to>
      <xdr:col>21</xdr:col>
      <xdr:colOff>425450</xdr:colOff>
      <xdr:row>38</xdr:row>
      <xdr:rowOff>127001</xdr:rowOff>
    </xdr:to>
    <xdr:grpSp>
      <xdr:nvGrpSpPr>
        <xdr:cNvPr id="24" name="Group 23">
          <a:extLst>
            <a:ext uri="{FF2B5EF4-FFF2-40B4-BE49-F238E27FC236}">
              <a16:creationId xmlns:a16="http://schemas.microsoft.com/office/drawing/2014/main" id="{F73D8296-0080-928D-4318-C8E4BB01FD7A}"/>
            </a:ext>
          </a:extLst>
        </xdr:cNvPr>
        <xdr:cNvGrpSpPr/>
      </xdr:nvGrpSpPr>
      <xdr:grpSpPr>
        <a:xfrm>
          <a:off x="4133850" y="0"/>
          <a:ext cx="11633200" cy="6915151"/>
          <a:chOff x="4102100" y="0"/>
          <a:chExt cx="11633200" cy="6752611"/>
        </a:xfrm>
      </xdr:grpSpPr>
      <xdr:sp macro="" textlink="">
        <xdr:nvSpPr>
          <xdr:cNvPr id="3" name="Rectangle 2">
            <a:extLst>
              <a:ext uri="{FF2B5EF4-FFF2-40B4-BE49-F238E27FC236}">
                <a16:creationId xmlns:a16="http://schemas.microsoft.com/office/drawing/2014/main" id="{79E670ED-5081-4C81-8E6D-9B8E59FF76F9}"/>
              </a:ext>
            </a:extLst>
          </xdr:cNvPr>
          <xdr:cNvSpPr/>
        </xdr:nvSpPr>
        <xdr:spPr>
          <a:xfrm>
            <a:off x="4102100" y="0"/>
            <a:ext cx="9601200" cy="730250"/>
          </a:xfrm>
          <a:prstGeom prst="rect">
            <a:avLst/>
          </a:prstGeom>
          <a:solidFill>
            <a:schemeClr val="accent4">
              <a:alpha val="50000"/>
            </a:scheme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GB" sz="4000"/>
              <a:t>Maersk Lead Time Reliability</a:t>
            </a:r>
            <a:r>
              <a:rPr lang="en-GB" sz="4000" baseline="0"/>
              <a:t> Dashboard</a:t>
            </a:r>
            <a:endParaRPr lang="en-GB" sz="4000"/>
          </a:p>
        </xdr:txBody>
      </xdr:sp>
      <xdr:pic>
        <xdr:nvPicPr>
          <xdr:cNvPr id="10" name="Picture 9">
            <a:extLst>
              <a:ext uri="{FF2B5EF4-FFF2-40B4-BE49-F238E27FC236}">
                <a16:creationId xmlns:a16="http://schemas.microsoft.com/office/drawing/2014/main" id="{524030D6-19B2-4CDE-ADBA-FA5A7CDCEDE5}"/>
              </a:ext>
            </a:extLst>
          </xdr:cNvPr>
          <xdr:cNvPicPr>
            <a:picLocks noChangeAspect="1"/>
          </xdr:cNvPicPr>
        </xdr:nvPicPr>
        <xdr:blipFill>
          <a:blip xmlns:r="http://schemas.openxmlformats.org/officeDocument/2006/relationships" r:embed="rId1"/>
          <a:stretch>
            <a:fillRect/>
          </a:stretch>
        </xdr:blipFill>
        <xdr:spPr>
          <a:xfrm>
            <a:off x="15201082" y="19506"/>
            <a:ext cx="534218" cy="433148"/>
          </a:xfrm>
          <a:prstGeom prst="rect">
            <a:avLst/>
          </a:prstGeom>
        </xdr:spPr>
      </xdr:pic>
      <xdr:pic>
        <xdr:nvPicPr>
          <xdr:cNvPr id="15" name="Picture 14" descr="2,341 Maersk Container Vessel Stock Photos - Free &amp; Royalty-Free Stock ...">
            <a:extLst>
              <a:ext uri="{FF2B5EF4-FFF2-40B4-BE49-F238E27FC236}">
                <a16:creationId xmlns:a16="http://schemas.microsoft.com/office/drawing/2014/main" id="{7944B7B7-A8D0-4B77-A74F-27161AB113D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13893796" y="63798"/>
            <a:ext cx="1295403" cy="401257"/>
          </a:xfrm>
          <a:prstGeom prst="rect">
            <a:avLst/>
          </a:prstGeom>
          <a:noFill/>
          <a:extLst>
            <a:ext uri="{909E8E84-426E-40DD-AFC4-6F175D3DCCD1}">
              <a14:hiddenFill xmlns:a14="http://schemas.microsoft.com/office/drawing/2010/main">
                <a:solidFill>
                  <a:srgbClr val="FFFFFF"/>
                </a:solidFill>
              </a14:hiddenFill>
            </a:ext>
          </a:extLst>
        </xdr:spPr>
      </xdr:pic>
      <xdr:graphicFrame macro="">
        <xdr:nvGraphicFramePr>
          <xdr:cNvPr id="20" name="Chart 19">
            <a:extLst>
              <a:ext uri="{FF2B5EF4-FFF2-40B4-BE49-F238E27FC236}">
                <a16:creationId xmlns:a16="http://schemas.microsoft.com/office/drawing/2014/main" id="{F837274B-EA61-4D2B-A038-D021CDEF9F22}"/>
              </a:ext>
            </a:extLst>
          </xdr:cNvPr>
          <xdr:cNvGraphicFramePr>
            <a:graphicFrameLocks/>
          </xdr:cNvGraphicFramePr>
        </xdr:nvGraphicFramePr>
        <xdr:xfrm>
          <a:off x="4121150" y="3787584"/>
          <a:ext cx="9563100" cy="2940223"/>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graphicFrame macro="">
            <xdr:nvGraphicFramePr>
              <xdr:cNvPr id="8" name="Supplier_Name">
                <a:extLst>
                  <a:ext uri="{FF2B5EF4-FFF2-40B4-BE49-F238E27FC236}">
                    <a16:creationId xmlns:a16="http://schemas.microsoft.com/office/drawing/2014/main" id="{3E1882E8-A351-429C-BAE7-D534CC66A580}"/>
                  </a:ext>
                </a:extLst>
              </xdr:cNvPr>
              <xdr:cNvGraphicFramePr/>
            </xdr:nvGraphicFramePr>
            <xdr:xfrm>
              <a:off x="13893800" y="2622550"/>
              <a:ext cx="1828800" cy="4130061"/>
            </xdr:xfrm>
            <a:graphic>
              <a:graphicData uri="http://schemas.microsoft.com/office/drawing/2010/slicer">
                <sle:slicer xmlns:sle="http://schemas.microsoft.com/office/drawing/2010/slicer" name="Supplier_Name"/>
              </a:graphicData>
            </a:graphic>
          </xdr:graphicFrame>
        </mc:Choice>
        <mc:Fallback xmlns="">
          <xdr:sp macro="" textlink="">
            <xdr:nvSpPr>
              <xdr:cNvPr id="0" name=""/>
              <xdr:cNvSpPr>
                <a:spLocks noTextEdit="1"/>
              </xdr:cNvSpPr>
            </xdr:nvSpPr>
            <xdr:spPr>
              <a:xfrm>
                <a:off x="13925550" y="2685677"/>
                <a:ext cx="1828800" cy="42294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19050</xdr:colOff>
      <xdr:row>4</xdr:row>
      <xdr:rowOff>101600</xdr:rowOff>
    </xdr:from>
    <xdr:to>
      <xdr:col>18</xdr:col>
      <xdr:colOff>355600</xdr:colOff>
      <xdr:row>21</xdr:row>
      <xdr:rowOff>6350</xdr:rowOff>
    </xdr:to>
    <xdr:graphicFrame macro="">
      <xdr:nvGraphicFramePr>
        <xdr:cNvPr id="5" name="Chart 4">
          <a:extLst>
            <a:ext uri="{FF2B5EF4-FFF2-40B4-BE49-F238E27FC236}">
              <a16:creationId xmlns:a16="http://schemas.microsoft.com/office/drawing/2014/main" id="{09E14463-2CD6-4791-B3A1-114B4DBE8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546100</xdr:colOff>
      <xdr:row>2</xdr:row>
      <xdr:rowOff>139700</xdr:rowOff>
    </xdr:from>
    <xdr:to>
      <xdr:col>21</xdr:col>
      <xdr:colOff>419100</xdr:colOff>
      <xdr:row>14</xdr:row>
      <xdr:rowOff>146050</xdr:rowOff>
    </xdr:to>
    <mc:AlternateContent xmlns:mc="http://schemas.openxmlformats.org/markup-compatibility/2006" xmlns:a14="http://schemas.microsoft.com/office/drawing/2010/main">
      <mc:Choice Requires="a14">
        <xdr:graphicFrame macro="">
          <xdr:nvGraphicFramePr>
            <xdr:cNvPr id="6" name="Months 1">
              <a:extLst>
                <a:ext uri="{FF2B5EF4-FFF2-40B4-BE49-F238E27FC236}">
                  <a16:creationId xmlns:a16="http://schemas.microsoft.com/office/drawing/2014/main" id="{32DD5520-291D-46FD-A671-3482A9384C61}"/>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13912850" y="495300"/>
              <a:ext cx="1847850" cy="2139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82550</xdr:colOff>
      <xdr:row>0</xdr:row>
      <xdr:rowOff>120650</xdr:rowOff>
    </xdr:from>
    <xdr:to>
      <xdr:col>3</xdr:col>
      <xdr:colOff>412750</xdr:colOff>
      <xdr:row>19</xdr:row>
      <xdr:rowOff>69850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7B418207-CE20-4734-BE79-9E06FB1A90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2550" y="120650"/>
              <a:ext cx="3790950" cy="33274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57150</xdr:colOff>
      <xdr:row>19</xdr:row>
      <xdr:rowOff>184150</xdr:rowOff>
    </xdr:from>
    <xdr:to>
      <xdr:col>3</xdr:col>
      <xdr:colOff>406400</xdr:colOff>
      <xdr:row>38</xdr:row>
      <xdr:rowOff>95250</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F44F6F11-9143-4753-A8E3-21945780CC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7150" y="3562350"/>
              <a:ext cx="3810000" cy="33210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311149</xdr:colOff>
      <xdr:row>42</xdr:row>
      <xdr:rowOff>69850</xdr:rowOff>
    </xdr:to>
    <xdr:grpSp>
      <xdr:nvGrpSpPr>
        <xdr:cNvPr id="2" name="Group 1">
          <a:extLst>
            <a:ext uri="{FF2B5EF4-FFF2-40B4-BE49-F238E27FC236}">
              <a16:creationId xmlns:a16="http://schemas.microsoft.com/office/drawing/2014/main" id="{A8ECCBC1-4985-4C7F-BF8E-18FEE63DE44C}"/>
            </a:ext>
          </a:extLst>
        </xdr:cNvPr>
        <xdr:cNvGrpSpPr/>
      </xdr:nvGrpSpPr>
      <xdr:grpSpPr>
        <a:xfrm>
          <a:off x="0" y="0"/>
          <a:ext cx="15652749" cy="7569200"/>
          <a:chOff x="0" y="0"/>
          <a:chExt cx="15652749" cy="7569200"/>
        </a:xfrm>
      </xdr:grpSpPr>
      <xdr:sp macro="" textlink="">
        <xdr:nvSpPr>
          <xdr:cNvPr id="3" name="Rectangle 2">
            <a:extLst>
              <a:ext uri="{FF2B5EF4-FFF2-40B4-BE49-F238E27FC236}">
                <a16:creationId xmlns:a16="http://schemas.microsoft.com/office/drawing/2014/main" id="{9F3B4393-663F-0303-E294-D5BE6908329E}"/>
              </a:ext>
            </a:extLst>
          </xdr:cNvPr>
          <xdr:cNvSpPr/>
        </xdr:nvSpPr>
        <xdr:spPr>
          <a:xfrm>
            <a:off x="0" y="0"/>
            <a:ext cx="4540250" cy="7569200"/>
          </a:xfrm>
          <a:prstGeom prst="rect">
            <a:avLst/>
          </a:prstGeom>
          <a:solidFill>
            <a:schemeClr val="accent4">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4" name="Rectangle 3">
            <a:extLst>
              <a:ext uri="{FF2B5EF4-FFF2-40B4-BE49-F238E27FC236}">
                <a16:creationId xmlns:a16="http://schemas.microsoft.com/office/drawing/2014/main" id="{6489DC65-493F-7D1E-40BE-B598253FC8C2}"/>
              </a:ext>
            </a:extLst>
          </xdr:cNvPr>
          <xdr:cNvSpPr/>
        </xdr:nvSpPr>
        <xdr:spPr>
          <a:xfrm>
            <a:off x="4711700" y="69850"/>
            <a:ext cx="9080500" cy="781050"/>
          </a:xfrm>
          <a:prstGeom prst="rect">
            <a:avLst/>
          </a:prstGeom>
          <a:solidFill>
            <a:schemeClr val="accent4">
              <a:alpha val="50000"/>
            </a:scheme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GB" sz="3600"/>
              <a:t>Maersk Line Quality and Defect Dashbaord</a:t>
            </a:r>
          </a:p>
        </xdr:txBody>
      </xdr:sp>
      <xdr:pic>
        <xdr:nvPicPr>
          <xdr:cNvPr id="6" name="Picture 5">
            <a:extLst>
              <a:ext uri="{FF2B5EF4-FFF2-40B4-BE49-F238E27FC236}">
                <a16:creationId xmlns:a16="http://schemas.microsoft.com/office/drawing/2014/main" id="{3DB73D48-1DAA-6FF8-B768-030EB5D5B73F}"/>
              </a:ext>
            </a:extLst>
          </xdr:cNvPr>
          <xdr:cNvPicPr>
            <a:picLocks noChangeAspect="1"/>
          </xdr:cNvPicPr>
        </xdr:nvPicPr>
        <xdr:blipFill>
          <a:blip xmlns:r="http://schemas.openxmlformats.org/officeDocument/2006/relationships" r:embed="rId1"/>
          <a:stretch>
            <a:fillRect/>
          </a:stretch>
        </xdr:blipFill>
        <xdr:spPr>
          <a:xfrm>
            <a:off x="14992246" y="100415"/>
            <a:ext cx="660503" cy="661585"/>
          </a:xfrm>
          <a:prstGeom prst="rect">
            <a:avLst/>
          </a:prstGeom>
        </xdr:spPr>
      </xdr:pic>
      <mc:AlternateContent xmlns:mc="http://schemas.openxmlformats.org/markup-compatibility/2006" xmlns:a14="http://schemas.microsoft.com/office/drawing/2010/main">
        <mc:Choice Requires="a14">
          <xdr:graphicFrame macro="">
            <xdr:nvGraphicFramePr>
              <xdr:cNvPr id="10" name="Months 3">
                <a:extLst>
                  <a:ext uri="{FF2B5EF4-FFF2-40B4-BE49-F238E27FC236}">
                    <a16:creationId xmlns:a16="http://schemas.microsoft.com/office/drawing/2014/main" id="{AF8D2738-167E-CDFF-2278-B6AFCA710DB1}"/>
                  </a:ext>
                </a:extLst>
              </xdr:cNvPr>
              <xdr:cNvGraphicFramePr/>
            </xdr:nvGraphicFramePr>
            <xdr:xfrm>
              <a:off x="4730750" y="977900"/>
              <a:ext cx="9029700" cy="393700"/>
            </xdr:xfrm>
            <a:graphic>
              <a:graphicData uri="http://schemas.microsoft.com/office/drawing/2010/slicer">
                <sle:slicer xmlns:sle="http://schemas.microsoft.com/office/drawing/2010/slicer" name="Months 3"/>
              </a:graphicData>
            </a:graphic>
          </xdr:graphicFrame>
        </mc:Choice>
        <mc:Fallback xmlns="">
          <xdr:sp macro="" textlink="">
            <xdr:nvSpPr>
              <xdr:cNvPr id="0" name=""/>
              <xdr:cNvSpPr>
                <a:spLocks noTextEdit="1"/>
              </xdr:cNvSpPr>
            </xdr:nvSpPr>
            <xdr:spPr>
              <a:xfrm>
                <a:off x="4730750" y="977900"/>
                <a:ext cx="9029700" cy="393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19050</xdr:colOff>
      <xdr:row>5</xdr:row>
      <xdr:rowOff>44450</xdr:rowOff>
    </xdr:from>
    <xdr:to>
      <xdr:col>4</xdr:col>
      <xdr:colOff>304800</xdr:colOff>
      <xdr:row>21</xdr:row>
      <xdr:rowOff>152400</xdr:rowOff>
    </xdr:to>
    <xdr:graphicFrame macro="">
      <xdr:nvGraphicFramePr>
        <xdr:cNvPr id="13" name="Chart 12">
          <a:extLst>
            <a:ext uri="{FF2B5EF4-FFF2-40B4-BE49-F238E27FC236}">
              <a16:creationId xmlns:a16="http://schemas.microsoft.com/office/drawing/2014/main" id="{8DFCFDB5-C789-4D48-AC77-86E4521BA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22</xdr:row>
      <xdr:rowOff>50800</xdr:rowOff>
    </xdr:from>
    <xdr:to>
      <xdr:col>4</xdr:col>
      <xdr:colOff>317500</xdr:colOff>
      <xdr:row>38</xdr:row>
      <xdr:rowOff>127000</xdr:rowOff>
    </xdr:to>
    <xdr:graphicFrame macro="">
      <xdr:nvGraphicFramePr>
        <xdr:cNvPr id="14" name="Chart 13">
          <a:extLst>
            <a:ext uri="{FF2B5EF4-FFF2-40B4-BE49-F238E27FC236}">
              <a16:creationId xmlns:a16="http://schemas.microsoft.com/office/drawing/2014/main" id="{52A86C94-8295-43FD-ADC3-597EE6EF3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609600</xdr:colOff>
      <xdr:row>8</xdr:row>
      <xdr:rowOff>69850</xdr:rowOff>
    </xdr:from>
    <xdr:to>
      <xdr:col>11</xdr:col>
      <xdr:colOff>412750</xdr:colOff>
      <xdr:row>22</xdr:row>
      <xdr:rowOff>171450</xdr:rowOff>
    </xdr:to>
    <xdr:graphicFrame macro="">
      <xdr:nvGraphicFramePr>
        <xdr:cNvPr id="15" name="Chart 14">
          <a:extLst>
            <a:ext uri="{FF2B5EF4-FFF2-40B4-BE49-F238E27FC236}">
              <a16:creationId xmlns:a16="http://schemas.microsoft.com/office/drawing/2014/main" id="{515505C6-EDDE-4B39-BAA6-DFB4AAF77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495300</xdr:colOff>
      <xdr:row>8</xdr:row>
      <xdr:rowOff>63500</xdr:rowOff>
    </xdr:from>
    <xdr:to>
      <xdr:col>18</xdr:col>
      <xdr:colOff>361950</xdr:colOff>
      <xdr:row>23</xdr:row>
      <xdr:rowOff>6350</xdr:rowOff>
    </xdr:to>
    <xdr:graphicFrame macro="">
      <xdr:nvGraphicFramePr>
        <xdr:cNvPr id="16" name="Chart 15">
          <a:extLst>
            <a:ext uri="{FF2B5EF4-FFF2-40B4-BE49-F238E27FC236}">
              <a16:creationId xmlns:a16="http://schemas.microsoft.com/office/drawing/2014/main" id="{EC117713-193F-43FF-A716-E5BFEC59B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609600</xdr:colOff>
      <xdr:row>23</xdr:row>
      <xdr:rowOff>63501</xdr:rowOff>
    </xdr:from>
    <xdr:to>
      <xdr:col>11</xdr:col>
      <xdr:colOff>400050</xdr:colOff>
      <xdr:row>38</xdr:row>
      <xdr:rowOff>133350</xdr:rowOff>
    </xdr:to>
    <xdr:graphicFrame macro="">
      <xdr:nvGraphicFramePr>
        <xdr:cNvPr id="5" name="Chart 4">
          <a:extLst>
            <a:ext uri="{FF2B5EF4-FFF2-40B4-BE49-F238E27FC236}">
              <a16:creationId xmlns:a16="http://schemas.microsoft.com/office/drawing/2014/main" id="{DE3B6C51-A938-4799-B7C9-C2699B977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552450</xdr:colOff>
      <xdr:row>4</xdr:row>
      <xdr:rowOff>171450</xdr:rowOff>
    </xdr:from>
    <xdr:to>
      <xdr:col>21</xdr:col>
      <xdr:colOff>387350</xdr:colOff>
      <xdr:row>28</xdr:row>
      <xdr:rowOff>120650</xdr:rowOff>
    </xdr:to>
    <mc:AlternateContent xmlns:mc="http://schemas.openxmlformats.org/markup-compatibility/2006" xmlns:a14="http://schemas.microsoft.com/office/drawing/2010/main">
      <mc:Choice Requires="a14">
        <xdr:graphicFrame macro="">
          <xdr:nvGraphicFramePr>
            <xdr:cNvPr id="8" name="Supplier_Name 2">
              <a:extLst>
                <a:ext uri="{FF2B5EF4-FFF2-40B4-BE49-F238E27FC236}">
                  <a16:creationId xmlns:a16="http://schemas.microsoft.com/office/drawing/2014/main" id="{476B25BF-671E-4FEE-A6BE-B2459A65BB6F}"/>
                </a:ext>
              </a:extLst>
            </xdr:cNvPr>
            <xdr:cNvGraphicFramePr/>
          </xdr:nvGraphicFramePr>
          <xdr:xfrm>
            <a:off x="0" y="0"/>
            <a:ext cx="0" cy="0"/>
          </xdr:xfrm>
          <a:graphic>
            <a:graphicData uri="http://schemas.microsoft.com/office/drawing/2010/slicer">
              <sle:slicer xmlns:sle="http://schemas.microsoft.com/office/drawing/2010/slicer" name="Supplier_Name 2"/>
            </a:graphicData>
          </a:graphic>
        </xdr:graphicFrame>
      </mc:Choice>
      <mc:Fallback xmlns="">
        <xdr:sp macro="" textlink="">
          <xdr:nvSpPr>
            <xdr:cNvPr id="0" name=""/>
            <xdr:cNvSpPr>
              <a:spLocks noTextEdit="1"/>
            </xdr:cNvSpPr>
          </xdr:nvSpPr>
          <xdr:spPr>
            <a:xfrm>
              <a:off x="13919200" y="882650"/>
              <a:ext cx="1809750" cy="4248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501650</xdr:colOff>
      <xdr:row>23</xdr:row>
      <xdr:rowOff>69850</xdr:rowOff>
    </xdr:from>
    <xdr:to>
      <xdr:col>18</xdr:col>
      <xdr:colOff>381000</xdr:colOff>
      <xdr:row>38</xdr:row>
      <xdr:rowOff>107950</xdr:rowOff>
    </xdr:to>
    <xdr:graphicFrame macro="">
      <xdr:nvGraphicFramePr>
        <xdr:cNvPr id="9" name="Chart 8">
          <a:extLst>
            <a:ext uri="{FF2B5EF4-FFF2-40B4-BE49-F238E27FC236}">
              <a16:creationId xmlns:a16="http://schemas.microsoft.com/office/drawing/2014/main" id="{039C5CFF-445B-424B-BC33-3D736FF8C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31750</xdr:colOff>
      <xdr:row>0</xdr:row>
      <xdr:rowOff>0</xdr:rowOff>
    </xdr:from>
    <xdr:to>
      <xdr:col>4</xdr:col>
      <xdr:colOff>304800</xdr:colOff>
      <xdr:row>4</xdr:row>
      <xdr:rowOff>133350</xdr:rowOff>
    </xdr:to>
    <xdr:pic>
      <xdr:nvPicPr>
        <xdr:cNvPr id="11" name="Picture 10" descr="Maersk unveils new container design in its signature blue - Container News">
          <a:extLst>
            <a:ext uri="{FF2B5EF4-FFF2-40B4-BE49-F238E27FC236}">
              <a16:creationId xmlns:a16="http://schemas.microsoft.com/office/drawing/2014/main" id="{B09CEAEB-BFD1-4789-A7BB-26F8FFC1072A}"/>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31750" y="0"/>
          <a:ext cx="4394200" cy="844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514348</xdr:colOff>
      <xdr:row>0</xdr:row>
      <xdr:rowOff>69850</xdr:rowOff>
    </xdr:from>
    <xdr:to>
      <xdr:col>20</xdr:col>
      <xdr:colOff>641357</xdr:colOff>
      <xdr:row>4</xdr:row>
      <xdr:rowOff>127000</xdr:rowOff>
    </xdr:to>
    <xdr:pic>
      <xdr:nvPicPr>
        <xdr:cNvPr id="12" name="Picture 11" descr="2,341 Maersk Container Vessel Stock Photos - Free &amp; Royalty-Free Stock ...">
          <a:extLst>
            <a:ext uri="{FF2B5EF4-FFF2-40B4-BE49-F238E27FC236}">
              <a16:creationId xmlns:a16="http://schemas.microsoft.com/office/drawing/2014/main" id="{E0F250DD-6FDC-457F-883E-F1372487C7D4}"/>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flipH="1">
          <a:off x="13881098" y="69850"/>
          <a:ext cx="1111259" cy="76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558800</xdr:colOff>
      <xdr:row>28</xdr:row>
      <xdr:rowOff>139700</xdr:rowOff>
    </xdr:from>
    <xdr:to>
      <xdr:col>21</xdr:col>
      <xdr:colOff>412750</xdr:colOff>
      <xdr:row>39</xdr:row>
      <xdr:rowOff>82550</xdr:rowOff>
    </xdr:to>
    <mc:AlternateContent xmlns:mc="http://schemas.openxmlformats.org/markup-compatibility/2006" xmlns:a14="http://schemas.microsoft.com/office/drawing/2010/main">
      <mc:Choice Requires="a14">
        <xdr:graphicFrame macro="">
          <xdr:nvGraphicFramePr>
            <xdr:cNvPr id="7" name="Shipping_Mode">
              <a:extLst>
                <a:ext uri="{FF2B5EF4-FFF2-40B4-BE49-F238E27FC236}">
                  <a16:creationId xmlns:a16="http://schemas.microsoft.com/office/drawing/2014/main" id="{C84D1AD2-A2C5-48A9-A01A-FA58EEDB0E8E}"/>
                </a:ext>
              </a:extLst>
            </xdr:cNvPr>
            <xdr:cNvGraphicFramePr/>
          </xdr:nvGraphicFramePr>
          <xdr:xfrm>
            <a:off x="0" y="0"/>
            <a:ext cx="0" cy="0"/>
          </xdr:xfrm>
          <a:graphic>
            <a:graphicData uri="http://schemas.microsoft.com/office/drawing/2010/slicer">
              <sle:slicer xmlns:sle="http://schemas.microsoft.com/office/drawing/2010/slicer" name="Shipping_Mode"/>
            </a:graphicData>
          </a:graphic>
        </xdr:graphicFrame>
      </mc:Choice>
      <mc:Fallback xmlns="">
        <xdr:sp macro="" textlink="">
          <xdr:nvSpPr>
            <xdr:cNvPr id="0" name=""/>
            <xdr:cNvSpPr>
              <a:spLocks noTextEdit="1"/>
            </xdr:cNvSpPr>
          </xdr:nvSpPr>
          <xdr:spPr>
            <a:xfrm>
              <a:off x="13925550" y="5149850"/>
              <a:ext cx="1828800" cy="1898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330200</xdr:colOff>
      <xdr:row>42</xdr:row>
      <xdr:rowOff>69850</xdr:rowOff>
    </xdr:to>
    <xdr:sp macro="" textlink="">
      <xdr:nvSpPr>
        <xdr:cNvPr id="2" name="Rectangle 1">
          <a:extLst>
            <a:ext uri="{FF2B5EF4-FFF2-40B4-BE49-F238E27FC236}">
              <a16:creationId xmlns:a16="http://schemas.microsoft.com/office/drawing/2014/main" id="{13C1C2E2-9603-4F0F-BB5E-A4600FB7C51B}"/>
            </a:ext>
          </a:extLst>
        </xdr:cNvPr>
        <xdr:cNvSpPr/>
      </xdr:nvSpPr>
      <xdr:spPr>
        <a:xfrm>
          <a:off x="0" y="0"/>
          <a:ext cx="5111750" cy="7569200"/>
        </a:xfrm>
        <a:prstGeom prst="rect">
          <a:avLst/>
        </a:prstGeom>
        <a:solidFill>
          <a:schemeClr val="accent4">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476250</xdr:colOff>
      <xdr:row>0</xdr:row>
      <xdr:rowOff>76200</xdr:rowOff>
    </xdr:from>
    <xdr:to>
      <xdr:col>22</xdr:col>
      <xdr:colOff>539750</xdr:colOff>
      <xdr:row>4</xdr:row>
      <xdr:rowOff>95250</xdr:rowOff>
    </xdr:to>
    <xdr:sp macro="" textlink="">
      <xdr:nvSpPr>
        <xdr:cNvPr id="3" name="Rectangle 2">
          <a:extLst>
            <a:ext uri="{FF2B5EF4-FFF2-40B4-BE49-F238E27FC236}">
              <a16:creationId xmlns:a16="http://schemas.microsoft.com/office/drawing/2014/main" id="{4C316947-FB14-403E-A01F-C30F9550442E}"/>
            </a:ext>
          </a:extLst>
        </xdr:cNvPr>
        <xdr:cNvSpPr/>
      </xdr:nvSpPr>
      <xdr:spPr>
        <a:xfrm>
          <a:off x="5257800" y="76200"/>
          <a:ext cx="11283950" cy="730250"/>
        </a:xfrm>
        <a:prstGeom prst="rect">
          <a:avLst/>
        </a:prstGeom>
        <a:solidFill>
          <a:schemeClr val="accent4">
            <a:alpha val="50000"/>
          </a:scheme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GB" sz="3600">
              <a:solidFill>
                <a:schemeClr val="lt1"/>
              </a:solidFill>
              <a:effectLst/>
              <a:latin typeface="+mn-lt"/>
              <a:ea typeface="+mn-ea"/>
              <a:cs typeface="+mn-cs"/>
            </a:rPr>
            <a:t>Maersk Procurement &amp; Invoice Accuracy </a:t>
          </a:r>
          <a:r>
            <a:rPr lang="en-GB" sz="3600" baseline="0">
              <a:solidFill>
                <a:schemeClr val="lt1"/>
              </a:solidFill>
              <a:effectLst/>
              <a:latin typeface="+mn-lt"/>
              <a:ea typeface="+mn-ea"/>
              <a:cs typeface="+mn-cs"/>
            </a:rPr>
            <a:t>Dashbaord</a:t>
          </a:r>
          <a:endParaRPr lang="en-GB" sz="3600">
            <a:effectLst/>
          </a:endParaRPr>
        </a:p>
      </xdr:txBody>
    </xdr:sp>
    <xdr:clientData/>
  </xdr:twoCellAnchor>
  <xdr:twoCellAnchor editAs="oneCell">
    <xdr:from>
      <xdr:col>24</xdr:col>
      <xdr:colOff>317500</xdr:colOff>
      <xdr:row>0</xdr:row>
      <xdr:rowOff>17865</xdr:rowOff>
    </xdr:from>
    <xdr:to>
      <xdr:col>25</xdr:col>
      <xdr:colOff>281498</xdr:colOff>
      <xdr:row>3</xdr:row>
      <xdr:rowOff>44450</xdr:rowOff>
    </xdr:to>
    <xdr:pic>
      <xdr:nvPicPr>
        <xdr:cNvPr id="7" name="Picture 6">
          <a:extLst>
            <a:ext uri="{FF2B5EF4-FFF2-40B4-BE49-F238E27FC236}">
              <a16:creationId xmlns:a16="http://schemas.microsoft.com/office/drawing/2014/main" id="{05B6C502-A3F9-436C-BFF3-F4FA3E2DC162}"/>
            </a:ext>
          </a:extLst>
        </xdr:cNvPr>
        <xdr:cNvPicPr>
          <a:picLocks noChangeAspect="1"/>
        </xdr:cNvPicPr>
      </xdr:nvPicPr>
      <xdr:blipFill>
        <a:blip xmlns:r="http://schemas.openxmlformats.org/officeDocument/2006/relationships" r:embed="rId1"/>
        <a:stretch>
          <a:fillRect/>
        </a:stretch>
      </xdr:blipFill>
      <xdr:spPr>
        <a:xfrm>
          <a:off x="17640300" y="17865"/>
          <a:ext cx="624398" cy="559985"/>
        </a:xfrm>
        <a:prstGeom prst="rect">
          <a:avLst/>
        </a:prstGeom>
      </xdr:spPr>
    </xdr:pic>
    <xdr:clientData/>
  </xdr:twoCellAnchor>
  <xdr:twoCellAnchor>
    <xdr:from>
      <xdr:col>5</xdr:col>
      <xdr:colOff>508000</xdr:colOff>
      <xdr:row>5</xdr:row>
      <xdr:rowOff>44450</xdr:rowOff>
    </xdr:from>
    <xdr:to>
      <xdr:col>14</xdr:col>
      <xdr:colOff>171450</xdr:colOff>
      <xdr:row>21</xdr:row>
      <xdr:rowOff>133350</xdr:rowOff>
    </xdr:to>
    <xdr:graphicFrame macro="">
      <xdr:nvGraphicFramePr>
        <xdr:cNvPr id="15" name="Chart 14">
          <a:extLst>
            <a:ext uri="{FF2B5EF4-FFF2-40B4-BE49-F238E27FC236}">
              <a16:creationId xmlns:a16="http://schemas.microsoft.com/office/drawing/2014/main" id="{536F4065-B7B3-4986-9D1D-B6E928ADC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419100</xdr:colOff>
      <xdr:row>5</xdr:row>
      <xdr:rowOff>50800</xdr:rowOff>
    </xdr:from>
    <xdr:to>
      <xdr:col>22</xdr:col>
      <xdr:colOff>533400</xdr:colOff>
      <xdr:row>21</xdr:row>
      <xdr:rowOff>126999</xdr:rowOff>
    </xdr:to>
    <xdr:graphicFrame macro="">
      <xdr:nvGraphicFramePr>
        <xdr:cNvPr id="4" name="Chart 3">
          <a:extLst>
            <a:ext uri="{FF2B5EF4-FFF2-40B4-BE49-F238E27FC236}">
              <a16:creationId xmlns:a16="http://schemas.microsoft.com/office/drawing/2014/main" id="{1082DD8D-F4A1-43CC-B037-662CEE988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533400</xdr:colOff>
      <xdr:row>22</xdr:row>
      <xdr:rowOff>120650</xdr:rowOff>
    </xdr:from>
    <xdr:to>
      <xdr:col>14</xdr:col>
      <xdr:colOff>165100</xdr:colOff>
      <xdr:row>38</xdr:row>
      <xdr:rowOff>76200</xdr:rowOff>
    </xdr:to>
    <xdr:graphicFrame macro="">
      <xdr:nvGraphicFramePr>
        <xdr:cNvPr id="5" name="Chart 4">
          <a:extLst>
            <a:ext uri="{FF2B5EF4-FFF2-40B4-BE49-F238E27FC236}">
              <a16:creationId xmlns:a16="http://schemas.microsoft.com/office/drawing/2014/main" id="{865E23C2-6B28-4465-85E9-9D730FE17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469900</xdr:colOff>
      <xdr:row>23</xdr:row>
      <xdr:rowOff>0</xdr:rowOff>
    </xdr:from>
    <xdr:to>
      <xdr:col>22</xdr:col>
      <xdr:colOff>552450</xdr:colOff>
      <xdr:row>38</xdr:row>
      <xdr:rowOff>76200</xdr:rowOff>
    </xdr:to>
    <xdr:graphicFrame macro="">
      <xdr:nvGraphicFramePr>
        <xdr:cNvPr id="6" name="Chart 5">
          <a:extLst>
            <a:ext uri="{FF2B5EF4-FFF2-40B4-BE49-F238E27FC236}">
              <a16:creationId xmlns:a16="http://schemas.microsoft.com/office/drawing/2014/main" id="{7029272F-2636-4B89-B83B-E776F9022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584200</xdr:colOff>
      <xdr:row>27</xdr:row>
      <xdr:rowOff>133350</xdr:rowOff>
    </xdr:from>
    <xdr:to>
      <xdr:col>25</xdr:col>
      <xdr:colOff>431800</xdr:colOff>
      <xdr:row>38</xdr:row>
      <xdr:rowOff>76200</xdr:rowOff>
    </xdr:to>
    <mc:AlternateContent xmlns:mc="http://schemas.openxmlformats.org/markup-compatibility/2006" xmlns:a14="http://schemas.microsoft.com/office/drawing/2010/main">
      <mc:Choice Requires="a14">
        <xdr:graphicFrame macro="">
          <xdr:nvGraphicFramePr>
            <xdr:cNvPr id="8" name="Shipping_Mode 1">
              <a:extLst>
                <a:ext uri="{FF2B5EF4-FFF2-40B4-BE49-F238E27FC236}">
                  <a16:creationId xmlns:a16="http://schemas.microsoft.com/office/drawing/2014/main" id="{5DD861FA-1796-49F5-8E02-49F3A26CBE98}"/>
                </a:ext>
              </a:extLst>
            </xdr:cNvPr>
            <xdr:cNvGraphicFramePr/>
          </xdr:nvGraphicFramePr>
          <xdr:xfrm>
            <a:off x="0" y="0"/>
            <a:ext cx="0" cy="0"/>
          </xdr:xfrm>
          <a:graphic>
            <a:graphicData uri="http://schemas.microsoft.com/office/drawing/2010/slicer">
              <sle:slicer xmlns:sle="http://schemas.microsoft.com/office/drawing/2010/slicer" name="Shipping_Mode 1"/>
            </a:graphicData>
          </a:graphic>
        </xdr:graphicFrame>
      </mc:Choice>
      <mc:Fallback xmlns="">
        <xdr:sp macro="" textlink="">
          <xdr:nvSpPr>
            <xdr:cNvPr id="0" name=""/>
            <xdr:cNvSpPr>
              <a:spLocks noTextEdit="1"/>
            </xdr:cNvSpPr>
          </xdr:nvSpPr>
          <xdr:spPr>
            <a:xfrm>
              <a:off x="16586200" y="4965700"/>
              <a:ext cx="1828800" cy="1898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609600</xdr:colOff>
      <xdr:row>3</xdr:row>
      <xdr:rowOff>146050</xdr:rowOff>
    </xdr:from>
    <xdr:to>
      <xdr:col>25</xdr:col>
      <xdr:colOff>438150</xdr:colOff>
      <xdr:row>27</xdr:row>
      <xdr:rowOff>95250</xdr:rowOff>
    </xdr:to>
    <mc:AlternateContent xmlns:mc="http://schemas.openxmlformats.org/markup-compatibility/2006" xmlns:a14="http://schemas.microsoft.com/office/drawing/2010/main">
      <mc:Choice Requires="a14">
        <xdr:graphicFrame macro="">
          <xdr:nvGraphicFramePr>
            <xdr:cNvPr id="9" name="Supplier_Name 3">
              <a:extLst>
                <a:ext uri="{FF2B5EF4-FFF2-40B4-BE49-F238E27FC236}">
                  <a16:creationId xmlns:a16="http://schemas.microsoft.com/office/drawing/2014/main" id="{9694410C-6DAD-4E98-807B-B79D369EFC52}"/>
                </a:ext>
              </a:extLst>
            </xdr:cNvPr>
            <xdr:cNvGraphicFramePr/>
          </xdr:nvGraphicFramePr>
          <xdr:xfrm>
            <a:off x="0" y="0"/>
            <a:ext cx="0" cy="0"/>
          </xdr:xfrm>
          <a:graphic>
            <a:graphicData uri="http://schemas.microsoft.com/office/drawing/2010/slicer">
              <sle:slicer xmlns:sle="http://schemas.microsoft.com/office/drawing/2010/slicer" name="Supplier_Name 3"/>
            </a:graphicData>
          </a:graphic>
        </xdr:graphicFrame>
      </mc:Choice>
      <mc:Fallback xmlns="">
        <xdr:sp macro="" textlink="">
          <xdr:nvSpPr>
            <xdr:cNvPr id="0" name=""/>
            <xdr:cNvSpPr>
              <a:spLocks noTextEdit="1"/>
            </xdr:cNvSpPr>
          </xdr:nvSpPr>
          <xdr:spPr>
            <a:xfrm>
              <a:off x="16611600" y="679450"/>
              <a:ext cx="1809750" cy="4248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50800</xdr:colOff>
      <xdr:row>0</xdr:row>
      <xdr:rowOff>101600</xdr:rowOff>
    </xdr:from>
    <xdr:to>
      <xdr:col>5</xdr:col>
      <xdr:colOff>228600</xdr:colOff>
      <xdr:row>12</xdr:row>
      <xdr:rowOff>107950</xdr:rowOff>
    </xdr:to>
    <xdr:graphicFrame macro="">
      <xdr:nvGraphicFramePr>
        <xdr:cNvPr id="10" name="Chart 9">
          <a:extLst>
            <a:ext uri="{FF2B5EF4-FFF2-40B4-BE49-F238E27FC236}">
              <a16:creationId xmlns:a16="http://schemas.microsoft.com/office/drawing/2014/main" id="{4AA2E02F-F867-4759-A522-B21F2BA34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50800</xdr:colOff>
      <xdr:row>13</xdr:row>
      <xdr:rowOff>57150</xdr:rowOff>
    </xdr:from>
    <xdr:to>
      <xdr:col>5</xdr:col>
      <xdr:colOff>234950</xdr:colOff>
      <xdr:row>25</xdr:row>
      <xdr:rowOff>12700</xdr:rowOff>
    </xdr:to>
    <xdr:graphicFrame macro="">
      <xdr:nvGraphicFramePr>
        <xdr:cNvPr id="11" name="Chart 10">
          <a:extLst>
            <a:ext uri="{FF2B5EF4-FFF2-40B4-BE49-F238E27FC236}">
              <a16:creationId xmlns:a16="http://schemas.microsoft.com/office/drawing/2014/main" id="{2E4CCFF8-2F66-4953-A104-5E846FD2E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38100</xdr:colOff>
      <xdr:row>26</xdr:row>
      <xdr:rowOff>0</xdr:rowOff>
    </xdr:from>
    <xdr:to>
      <xdr:col>5</xdr:col>
      <xdr:colOff>228600</xdr:colOff>
      <xdr:row>38</xdr:row>
      <xdr:rowOff>53975</xdr:rowOff>
    </xdr:to>
    <xdr:graphicFrame macro="">
      <xdr:nvGraphicFramePr>
        <xdr:cNvPr id="12" name="Chart 11">
          <a:extLst>
            <a:ext uri="{FF2B5EF4-FFF2-40B4-BE49-F238E27FC236}">
              <a16:creationId xmlns:a16="http://schemas.microsoft.com/office/drawing/2014/main" id="{3BFD9D1E-3AD7-49C6-96D1-01CA1809B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609599</xdr:colOff>
      <xdr:row>0</xdr:row>
      <xdr:rowOff>79972</xdr:rowOff>
    </xdr:from>
    <xdr:to>
      <xdr:col>24</xdr:col>
      <xdr:colOff>279398</xdr:colOff>
      <xdr:row>3</xdr:row>
      <xdr:rowOff>104171</xdr:rowOff>
    </xdr:to>
    <xdr:pic>
      <xdr:nvPicPr>
        <xdr:cNvPr id="13" name="Picture 12" descr="2,341 Maersk Container Vessel Stock Photos - Free &amp; Royalty-Free Stock ...">
          <a:extLst>
            <a:ext uri="{FF2B5EF4-FFF2-40B4-BE49-F238E27FC236}">
              <a16:creationId xmlns:a16="http://schemas.microsoft.com/office/drawing/2014/main" id="{A22A2713-5CC7-4EF1-9AE8-9B1F7BF7933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flipH="1">
          <a:off x="14096999" y="79972"/>
          <a:ext cx="990599" cy="557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311149</xdr:colOff>
      <xdr:row>42</xdr:row>
      <xdr:rowOff>69850</xdr:rowOff>
    </xdr:to>
    <xdr:grpSp>
      <xdr:nvGrpSpPr>
        <xdr:cNvPr id="2" name="Group 1">
          <a:extLst>
            <a:ext uri="{FF2B5EF4-FFF2-40B4-BE49-F238E27FC236}">
              <a16:creationId xmlns:a16="http://schemas.microsoft.com/office/drawing/2014/main" id="{36C2A372-82B6-451C-BA32-EB4B4A426F5A}"/>
            </a:ext>
          </a:extLst>
        </xdr:cNvPr>
        <xdr:cNvGrpSpPr/>
      </xdr:nvGrpSpPr>
      <xdr:grpSpPr>
        <a:xfrm>
          <a:off x="0" y="0"/>
          <a:ext cx="15652749" cy="7569200"/>
          <a:chOff x="0" y="0"/>
          <a:chExt cx="15652749" cy="7569200"/>
        </a:xfrm>
      </xdr:grpSpPr>
      <xdr:sp macro="" textlink="">
        <xdr:nvSpPr>
          <xdr:cNvPr id="3" name="Rectangle 2">
            <a:extLst>
              <a:ext uri="{FF2B5EF4-FFF2-40B4-BE49-F238E27FC236}">
                <a16:creationId xmlns:a16="http://schemas.microsoft.com/office/drawing/2014/main" id="{BB79C07D-5D6C-E158-8CAA-C9C90E40C4FE}"/>
              </a:ext>
            </a:extLst>
          </xdr:cNvPr>
          <xdr:cNvSpPr/>
        </xdr:nvSpPr>
        <xdr:spPr>
          <a:xfrm>
            <a:off x="0" y="0"/>
            <a:ext cx="4540250" cy="7569200"/>
          </a:xfrm>
          <a:prstGeom prst="rect">
            <a:avLst/>
          </a:prstGeom>
          <a:solidFill>
            <a:schemeClr val="accent4">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4" name="Rectangle 3">
            <a:extLst>
              <a:ext uri="{FF2B5EF4-FFF2-40B4-BE49-F238E27FC236}">
                <a16:creationId xmlns:a16="http://schemas.microsoft.com/office/drawing/2014/main" id="{01963258-F059-AC09-98D9-0D0F3FF624EF}"/>
              </a:ext>
            </a:extLst>
          </xdr:cNvPr>
          <xdr:cNvSpPr/>
        </xdr:nvSpPr>
        <xdr:spPr>
          <a:xfrm>
            <a:off x="4711700" y="69850"/>
            <a:ext cx="8985250" cy="920750"/>
          </a:xfrm>
          <a:prstGeom prst="rect">
            <a:avLst/>
          </a:prstGeom>
          <a:solidFill>
            <a:schemeClr val="accent4">
              <a:alpha val="50000"/>
            </a:scheme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GB" sz="3600"/>
              <a:t>Supplier Risk and Segmentation</a:t>
            </a:r>
            <a:r>
              <a:rPr lang="en-GB" sz="3600" baseline="0"/>
              <a:t> </a:t>
            </a:r>
            <a:r>
              <a:rPr lang="en-GB" sz="3600"/>
              <a:t>Dashbaord</a:t>
            </a:r>
          </a:p>
        </xdr:txBody>
      </xdr:sp>
      <xdr:pic>
        <xdr:nvPicPr>
          <xdr:cNvPr id="6" name="Picture 5">
            <a:extLst>
              <a:ext uri="{FF2B5EF4-FFF2-40B4-BE49-F238E27FC236}">
                <a16:creationId xmlns:a16="http://schemas.microsoft.com/office/drawing/2014/main" id="{E8C0D745-1293-1704-49D5-68C06D027590}"/>
              </a:ext>
            </a:extLst>
          </xdr:cNvPr>
          <xdr:cNvPicPr>
            <a:picLocks noChangeAspect="1"/>
          </xdr:cNvPicPr>
        </xdr:nvPicPr>
        <xdr:blipFill>
          <a:blip xmlns:r="http://schemas.openxmlformats.org/officeDocument/2006/relationships" r:embed="rId1"/>
          <a:stretch>
            <a:fillRect/>
          </a:stretch>
        </xdr:blipFill>
        <xdr:spPr>
          <a:xfrm>
            <a:off x="14992246" y="100415"/>
            <a:ext cx="660503" cy="502835"/>
          </a:xfrm>
          <a:prstGeom prst="rect">
            <a:avLst/>
          </a:prstGeom>
        </xdr:spPr>
      </xdr:pic>
      <xdr:pic>
        <xdr:nvPicPr>
          <xdr:cNvPr id="7" name="Picture 6" descr="Maersk unveils new container design in its signature blue - Container News">
            <a:extLst>
              <a:ext uri="{FF2B5EF4-FFF2-40B4-BE49-F238E27FC236}">
                <a16:creationId xmlns:a16="http://schemas.microsoft.com/office/drawing/2014/main" id="{BA2576C7-5A8E-8687-31AE-B120BEC207C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63500"/>
            <a:ext cx="4394200" cy="119282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 name="Picture 7" descr="2,341 Maersk Container Vessel Stock Photos - Free &amp; Royalty-Free Stock ...">
            <a:extLst>
              <a:ext uri="{FF2B5EF4-FFF2-40B4-BE49-F238E27FC236}">
                <a16:creationId xmlns:a16="http://schemas.microsoft.com/office/drawing/2014/main" id="{69C67626-980C-E683-0DF5-FBE2B56CFDF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flipH="1">
            <a:off x="13773139" y="76200"/>
            <a:ext cx="1111259" cy="9144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9" name="TextBox 8">
            <a:extLst>
              <a:ext uri="{FF2B5EF4-FFF2-40B4-BE49-F238E27FC236}">
                <a16:creationId xmlns:a16="http://schemas.microsoft.com/office/drawing/2014/main" id="{17E5013E-D425-DCD3-AD97-25E16D7A36B3}"/>
              </a:ext>
            </a:extLst>
          </xdr:cNvPr>
          <xdr:cNvSpPr txBox="1"/>
        </xdr:nvSpPr>
        <xdr:spPr>
          <a:xfrm>
            <a:off x="82550" y="1308100"/>
            <a:ext cx="4330700" cy="38100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chemeClr val="bg2"/>
                </a:solidFill>
              </a:rPr>
              <a:t>Cumulative</a:t>
            </a:r>
            <a:r>
              <a:rPr lang="en-GB" sz="1800" b="1" baseline="0">
                <a:solidFill>
                  <a:schemeClr val="bg2"/>
                </a:solidFill>
              </a:rPr>
              <a:t> Leadtime Variance by Supplier</a:t>
            </a:r>
            <a:endParaRPr lang="en-GB" sz="1800" b="1">
              <a:solidFill>
                <a:schemeClr val="bg2"/>
              </a:solidFill>
            </a:endParaRPr>
          </a:p>
        </xdr:txBody>
      </xdr:sp>
      <mc:AlternateContent xmlns:mc="http://schemas.openxmlformats.org/markup-compatibility/2006" xmlns:a14="http://schemas.microsoft.com/office/drawing/2010/main">
        <mc:Choice Requires="a14">
          <xdr:graphicFrame macro="">
            <xdr:nvGraphicFramePr>
              <xdr:cNvPr id="10" name="Months 4">
                <a:extLst>
                  <a:ext uri="{FF2B5EF4-FFF2-40B4-BE49-F238E27FC236}">
                    <a16:creationId xmlns:a16="http://schemas.microsoft.com/office/drawing/2014/main" id="{C0916894-0DE2-760F-A6B8-AAD124FFF303}"/>
                  </a:ext>
                </a:extLst>
              </xdr:cNvPr>
              <xdr:cNvGraphicFramePr/>
            </xdr:nvGraphicFramePr>
            <xdr:xfrm>
              <a:off x="4762500" y="1390650"/>
              <a:ext cx="10814050" cy="393700"/>
            </xdr:xfrm>
            <a:graphic>
              <a:graphicData uri="http://schemas.microsoft.com/office/drawing/2010/slicer">
                <sle:slicer xmlns:sle="http://schemas.microsoft.com/office/drawing/2010/slicer" name="Months 4"/>
              </a:graphicData>
            </a:graphic>
          </xdr:graphicFrame>
        </mc:Choice>
        <mc:Fallback xmlns="">
          <xdr:sp macro="" textlink="">
            <xdr:nvSpPr>
              <xdr:cNvPr id="0" name=""/>
              <xdr:cNvSpPr>
                <a:spLocks noTextEdit="1"/>
              </xdr:cNvSpPr>
            </xdr:nvSpPr>
            <xdr:spPr>
              <a:xfrm>
                <a:off x="4762500" y="1390650"/>
                <a:ext cx="10814050" cy="393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xdr:col>
      <xdr:colOff>0</xdr:colOff>
      <xdr:row>11</xdr:row>
      <xdr:rowOff>0</xdr:rowOff>
    </xdr:from>
    <xdr:to>
      <xdr:col>13</xdr:col>
      <xdr:colOff>349250</xdr:colOff>
      <xdr:row>26</xdr:row>
      <xdr:rowOff>69850</xdr:rowOff>
    </xdr:to>
    <xdr:graphicFrame macro="">
      <xdr:nvGraphicFramePr>
        <xdr:cNvPr id="12" name="Chart 11">
          <a:extLst>
            <a:ext uri="{FF2B5EF4-FFF2-40B4-BE49-F238E27FC236}">
              <a16:creationId xmlns:a16="http://schemas.microsoft.com/office/drawing/2014/main" id="{84B40D0D-FC4B-463C-8301-A4B573984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641350</xdr:colOff>
      <xdr:row>11</xdr:row>
      <xdr:rowOff>19050</xdr:rowOff>
    </xdr:from>
    <xdr:to>
      <xdr:col>22</xdr:col>
      <xdr:colOff>25400</xdr:colOff>
      <xdr:row>26</xdr:row>
      <xdr:rowOff>31750</xdr:rowOff>
    </xdr:to>
    <xdr:graphicFrame macro="">
      <xdr:nvGraphicFramePr>
        <xdr:cNvPr id="13" name="Chart 12">
          <a:extLst>
            <a:ext uri="{FF2B5EF4-FFF2-40B4-BE49-F238E27FC236}">
              <a16:creationId xmlns:a16="http://schemas.microsoft.com/office/drawing/2014/main" id="{FF090DC3-B3F1-4A8A-98FE-3BEEA5D60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19050</xdr:colOff>
      <xdr:row>27</xdr:row>
      <xdr:rowOff>44450</xdr:rowOff>
    </xdr:from>
    <xdr:to>
      <xdr:col>22</xdr:col>
      <xdr:colOff>25400</xdr:colOff>
      <xdr:row>43</xdr:row>
      <xdr:rowOff>146050</xdr:rowOff>
    </xdr:to>
    <xdr:graphicFrame macro="">
      <xdr:nvGraphicFramePr>
        <xdr:cNvPr id="14" name="Chart 13">
          <a:extLst>
            <a:ext uri="{FF2B5EF4-FFF2-40B4-BE49-F238E27FC236}">
              <a16:creationId xmlns:a16="http://schemas.microsoft.com/office/drawing/2014/main" id="{01F2D9DC-F9F2-4C46-8330-09FC2DC2A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6</xdr:row>
      <xdr:rowOff>0</xdr:rowOff>
    </xdr:from>
    <xdr:to>
      <xdr:col>10</xdr:col>
      <xdr:colOff>298450</xdr:colOff>
      <xdr:row>23</xdr:row>
      <xdr:rowOff>114300</xdr:rowOff>
    </xdr:to>
    <xdr:graphicFrame macro="">
      <xdr:nvGraphicFramePr>
        <xdr:cNvPr id="2" name="Chart 1">
          <a:extLst>
            <a:ext uri="{FF2B5EF4-FFF2-40B4-BE49-F238E27FC236}">
              <a16:creationId xmlns:a16="http://schemas.microsoft.com/office/drawing/2014/main" id="{7FDF20E5-3E58-4B17-84DA-B003FCE6E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6</xdr:row>
      <xdr:rowOff>0</xdr:rowOff>
    </xdr:from>
    <xdr:to>
      <xdr:col>19</xdr:col>
      <xdr:colOff>622300</xdr:colOff>
      <xdr:row>23</xdr:row>
      <xdr:rowOff>107950</xdr:rowOff>
    </xdr:to>
    <xdr:graphicFrame macro="">
      <xdr:nvGraphicFramePr>
        <xdr:cNvPr id="3" name="Chart 2">
          <a:extLst>
            <a:ext uri="{FF2B5EF4-FFF2-40B4-BE49-F238E27FC236}">
              <a16:creationId xmlns:a16="http://schemas.microsoft.com/office/drawing/2014/main" id="{DF15660D-A344-4845-B531-190534B69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311149</xdr:colOff>
      <xdr:row>42</xdr:row>
      <xdr:rowOff>69850</xdr:rowOff>
    </xdr:to>
    <xdr:grpSp>
      <xdr:nvGrpSpPr>
        <xdr:cNvPr id="14" name="Group 13">
          <a:extLst>
            <a:ext uri="{FF2B5EF4-FFF2-40B4-BE49-F238E27FC236}">
              <a16:creationId xmlns:a16="http://schemas.microsoft.com/office/drawing/2014/main" id="{927A058C-AD8A-DF5A-E885-DA1807DE34DC}"/>
            </a:ext>
          </a:extLst>
        </xdr:cNvPr>
        <xdr:cNvGrpSpPr/>
      </xdr:nvGrpSpPr>
      <xdr:grpSpPr>
        <a:xfrm>
          <a:off x="0" y="0"/>
          <a:ext cx="15652749" cy="7569200"/>
          <a:chOff x="0" y="0"/>
          <a:chExt cx="15652749" cy="7569200"/>
        </a:xfrm>
      </xdr:grpSpPr>
      <xdr:sp macro="" textlink="">
        <xdr:nvSpPr>
          <xdr:cNvPr id="2" name="Rectangle 1">
            <a:extLst>
              <a:ext uri="{FF2B5EF4-FFF2-40B4-BE49-F238E27FC236}">
                <a16:creationId xmlns:a16="http://schemas.microsoft.com/office/drawing/2014/main" id="{EC4921F1-13BC-487B-9903-399200E402DB}"/>
              </a:ext>
            </a:extLst>
          </xdr:cNvPr>
          <xdr:cNvSpPr/>
        </xdr:nvSpPr>
        <xdr:spPr>
          <a:xfrm>
            <a:off x="0" y="0"/>
            <a:ext cx="4540250" cy="7569200"/>
          </a:xfrm>
          <a:prstGeom prst="rect">
            <a:avLst/>
          </a:prstGeom>
          <a:solidFill>
            <a:schemeClr val="accent4">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sp macro="" textlink="">
        <xdr:nvSpPr>
          <xdr:cNvPr id="3" name="Rectangle 2">
            <a:extLst>
              <a:ext uri="{FF2B5EF4-FFF2-40B4-BE49-F238E27FC236}">
                <a16:creationId xmlns:a16="http://schemas.microsoft.com/office/drawing/2014/main" id="{C4D1A521-931F-4D8C-A411-3BD6A5596E5C}"/>
              </a:ext>
            </a:extLst>
          </xdr:cNvPr>
          <xdr:cNvSpPr/>
        </xdr:nvSpPr>
        <xdr:spPr>
          <a:xfrm>
            <a:off x="4711700" y="69850"/>
            <a:ext cx="8985250" cy="920750"/>
          </a:xfrm>
          <a:prstGeom prst="rect">
            <a:avLst/>
          </a:prstGeom>
          <a:solidFill>
            <a:schemeClr val="accent4">
              <a:alpha val="50000"/>
            </a:scheme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GB" sz="3600"/>
              <a:t>Maersk Line Lead Time Reliability Dashbaord</a:t>
            </a:r>
          </a:p>
          <a:p>
            <a:pPr algn="ctr"/>
            <a:r>
              <a:rPr lang="en-GB" sz="4000" baseline="0"/>
              <a:t>Dashbaord</a:t>
            </a:r>
            <a:endParaRPr lang="en-GB" sz="4000"/>
          </a:p>
        </xdr:txBody>
      </xdr:sp>
      <xdr:sp macro="" textlink="">
        <xdr:nvSpPr>
          <xdr:cNvPr id="4" name="Rectangle 3">
            <a:extLst>
              <a:ext uri="{FF2B5EF4-FFF2-40B4-BE49-F238E27FC236}">
                <a16:creationId xmlns:a16="http://schemas.microsoft.com/office/drawing/2014/main" id="{5BD7DDF1-F95F-4138-88B9-1093FB39AD7A}"/>
              </a:ext>
            </a:extLst>
          </xdr:cNvPr>
          <xdr:cNvSpPr/>
        </xdr:nvSpPr>
        <xdr:spPr>
          <a:xfrm>
            <a:off x="6413500" y="762000"/>
            <a:ext cx="5759450" cy="476250"/>
          </a:xfrm>
          <a:prstGeom prst="rect">
            <a:avLst/>
          </a:prstGeom>
          <a:solidFill>
            <a:schemeClr val="accent4">
              <a:alpha val="50000"/>
            </a:scheme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GB" sz="2800">
                <a:solidFill>
                  <a:schemeClr val="lt1"/>
                </a:solidFill>
                <a:latin typeface="+mn-lt"/>
                <a:ea typeface="+mn-ea"/>
                <a:cs typeface="+mn-cs"/>
              </a:rPr>
              <a:t>Trend Analysis of</a:t>
            </a:r>
            <a:r>
              <a:rPr lang="en-GB" sz="2800" baseline="0">
                <a:solidFill>
                  <a:schemeClr val="lt1"/>
                </a:solidFill>
                <a:latin typeface="+mn-lt"/>
                <a:ea typeface="+mn-ea"/>
                <a:cs typeface="+mn-cs"/>
              </a:rPr>
              <a:t> Supplier's Lead Time</a:t>
            </a:r>
            <a:endParaRPr lang="en-GB" sz="2800">
              <a:solidFill>
                <a:schemeClr val="lt1"/>
              </a:solidFill>
              <a:latin typeface="+mn-lt"/>
              <a:ea typeface="+mn-ea"/>
              <a:cs typeface="+mn-cs"/>
            </a:endParaRPr>
          </a:p>
        </xdr:txBody>
      </xdr:sp>
      <xdr:pic>
        <xdr:nvPicPr>
          <xdr:cNvPr id="5" name="Picture 4">
            <a:extLst>
              <a:ext uri="{FF2B5EF4-FFF2-40B4-BE49-F238E27FC236}">
                <a16:creationId xmlns:a16="http://schemas.microsoft.com/office/drawing/2014/main" id="{1FC9521A-27D9-4191-B9DB-0532DBE44AFC}"/>
              </a:ext>
            </a:extLst>
          </xdr:cNvPr>
          <xdr:cNvPicPr>
            <a:picLocks noChangeAspect="1"/>
          </xdr:cNvPicPr>
        </xdr:nvPicPr>
        <xdr:blipFill>
          <a:blip xmlns:r="http://schemas.openxmlformats.org/officeDocument/2006/relationships" r:embed="rId1"/>
          <a:stretch>
            <a:fillRect/>
          </a:stretch>
        </xdr:blipFill>
        <xdr:spPr>
          <a:xfrm>
            <a:off x="14992246" y="100415"/>
            <a:ext cx="660503" cy="502835"/>
          </a:xfrm>
          <a:prstGeom prst="rect">
            <a:avLst/>
          </a:prstGeom>
        </xdr:spPr>
      </xdr:pic>
      <xdr:pic>
        <xdr:nvPicPr>
          <xdr:cNvPr id="6" name="Picture 5" descr="Maersk unveils new container design in its signature blue - Container News">
            <a:extLst>
              <a:ext uri="{FF2B5EF4-FFF2-40B4-BE49-F238E27FC236}">
                <a16:creationId xmlns:a16="http://schemas.microsoft.com/office/drawing/2014/main" id="{F8A55085-3821-4966-838B-18C897EE736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63500"/>
            <a:ext cx="4394200" cy="119282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 name="Picture 6" descr="2,341 Maersk Container Vessel Stock Photos - Free &amp; Royalty-Free Stock ...">
            <a:extLst>
              <a:ext uri="{FF2B5EF4-FFF2-40B4-BE49-F238E27FC236}">
                <a16:creationId xmlns:a16="http://schemas.microsoft.com/office/drawing/2014/main" id="{97B5EB40-0EE6-42BC-A970-89A242AFE78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flipH="1">
            <a:off x="13773139" y="76200"/>
            <a:ext cx="1111259" cy="9144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9" name="TextBox 8">
            <a:extLst>
              <a:ext uri="{FF2B5EF4-FFF2-40B4-BE49-F238E27FC236}">
                <a16:creationId xmlns:a16="http://schemas.microsoft.com/office/drawing/2014/main" id="{262BDF0B-42BD-913A-F30B-C69660481A2E}"/>
              </a:ext>
            </a:extLst>
          </xdr:cNvPr>
          <xdr:cNvSpPr txBox="1"/>
        </xdr:nvSpPr>
        <xdr:spPr>
          <a:xfrm>
            <a:off x="82550" y="1308100"/>
            <a:ext cx="4330700" cy="38100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chemeClr val="bg2"/>
                </a:solidFill>
              </a:rPr>
              <a:t>Cumulative</a:t>
            </a:r>
            <a:r>
              <a:rPr lang="en-GB" sz="1800" b="1" baseline="0">
                <a:solidFill>
                  <a:schemeClr val="bg2"/>
                </a:solidFill>
              </a:rPr>
              <a:t> Leadtime Variance by Supplier</a:t>
            </a:r>
            <a:endParaRPr lang="en-GB" sz="1800" b="1">
              <a:solidFill>
                <a:schemeClr val="bg2"/>
              </a:solidFill>
            </a:endParaRPr>
          </a:p>
        </xdr:txBody>
      </xdr:sp>
      <mc:AlternateContent xmlns:mc="http://schemas.openxmlformats.org/markup-compatibility/2006" xmlns:a14="http://schemas.microsoft.com/office/drawing/2010/main">
        <mc:Choice Requires="a14">
          <xdr:graphicFrame macro="">
            <xdr:nvGraphicFramePr>
              <xdr:cNvPr id="11" name="Months 2">
                <a:extLst>
                  <a:ext uri="{FF2B5EF4-FFF2-40B4-BE49-F238E27FC236}">
                    <a16:creationId xmlns:a16="http://schemas.microsoft.com/office/drawing/2014/main" id="{6AB9A97B-CD7C-4075-A97B-62EED8D284E6}"/>
                  </a:ext>
                </a:extLst>
              </xdr:cNvPr>
              <xdr:cNvGraphicFramePr/>
            </xdr:nvGraphicFramePr>
            <xdr:xfrm>
              <a:off x="4762500" y="1390650"/>
              <a:ext cx="10814050" cy="393700"/>
            </xdr:xfrm>
            <a:graphic>
              <a:graphicData uri="http://schemas.microsoft.com/office/drawing/2010/slicer">
                <sle:slicer xmlns:sle="http://schemas.microsoft.com/office/drawing/2010/slicer" name="Months 2"/>
              </a:graphicData>
            </a:graphic>
          </xdr:graphicFrame>
        </mc:Choice>
        <mc:Fallback xmlns="">
          <xdr:sp macro="" textlink="">
            <xdr:nvSpPr>
              <xdr:cNvPr id="0" name=""/>
              <xdr:cNvSpPr>
                <a:spLocks noTextEdit="1"/>
              </xdr:cNvSpPr>
            </xdr:nvSpPr>
            <xdr:spPr>
              <a:xfrm>
                <a:off x="4762500" y="1390650"/>
                <a:ext cx="10814050" cy="393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3" name="Picture 12">
            <a:extLst>
              <a:ext uri="{FF2B5EF4-FFF2-40B4-BE49-F238E27FC236}">
                <a16:creationId xmlns:a16="http://schemas.microsoft.com/office/drawing/2014/main" id="{9C437EFE-FC11-42F5-9B9D-7788A0ACEAB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bwMode="auto">
          <a:xfrm>
            <a:off x="63500" y="4699001"/>
            <a:ext cx="4438650" cy="22098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9</xdr:col>
      <xdr:colOff>12700</xdr:colOff>
      <xdr:row>14</xdr:row>
      <xdr:rowOff>127000</xdr:rowOff>
    </xdr:from>
    <xdr:to>
      <xdr:col>14</xdr:col>
      <xdr:colOff>114300</xdr:colOff>
      <xdr:row>31</xdr:row>
      <xdr:rowOff>19050</xdr:rowOff>
    </xdr:to>
    <xdr:pic>
      <xdr:nvPicPr>
        <xdr:cNvPr id="8" name="Picture 7">
          <a:extLst>
            <a:ext uri="{FF2B5EF4-FFF2-40B4-BE49-F238E27FC236}">
              <a16:creationId xmlns:a16="http://schemas.microsoft.com/office/drawing/2014/main" id="{7E134C32-40C3-41E5-AC2C-66CF505BBE45}"/>
            </a:ext>
          </a:extLst>
        </xdr:cNvPr>
        <xdr:cNvPicPr>
          <a:picLocks noChangeAspect="1"/>
        </xdr:cNvPicPr>
      </xdr:nvPicPr>
      <xdr:blipFill>
        <a:blip xmlns:r="http://schemas.openxmlformats.org/officeDocument/2006/relationships" r:embed="rId5"/>
        <a:stretch>
          <a:fillRect/>
        </a:stretch>
      </xdr:blipFill>
      <xdr:spPr>
        <a:xfrm>
          <a:off x="7435850" y="2616200"/>
          <a:ext cx="3403600" cy="29464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495300</xdr:colOff>
      <xdr:row>0</xdr:row>
      <xdr:rowOff>146051</xdr:rowOff>
    </xdr:from>
    <xdr:to>
      <xdr:col>12</xdr:col>
      <xdr:colOff>1079500</xdr:colOff>
      <xdr:row>13</xdr:row>
      <xdr:rowOff>1</xdr:rowOff>
    </xdr:to>
    <mc:AlternateContent xmlns:mc="http://schemas.openxmlformats.org/markup-compatibility/2006">
      <mc:Choice xmlns:a14="http://schemas.microsoft.com/office/drawing/2010/main" Requires="a14">
        <xdr:graphicFrame macro="">
          <xdr:nvGraphicFramePr>
            <xdr:cNvPr id="2" name="Delivery_Status">
              <a:extLst>
                <a:ext uri="{FF2B5EF4-FFF2-40B4-BE49-F238E27FC236}">
                  <a16:creationId xmlns:a16="http://schemas.microsoft.com/office/drawing/2014/main" id="{34DDF481-DC5C-6F6A-5524-E05A0A582B19}"/>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dr:sp macro="" textlink="">
          <xdr:nvSpPr>
            <xdr:cNvPr id="0" name=""/>
            <xdr:cNvSpPr>
              <a:spLocks noTextEdit="1"/>
            </xdr:cNvSpPr>
          </xdr:nvSpPr>
          <xdr:spPr>
            <a:xfrm>
              <a:off x="23114000" y="146051"/>
              <a:ext cx="1828800" cy="2165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7</xdr:col>
      <xdr:colOff>260350</xdr:colOff>
      <xdr:row>977</xdr:row>
      <xdr:rowOff>73025</xdr:rowOff>
    </xdr:from>
    <xdr:to>
      <xdr:col>11</xdr:col>
      <xdr:colOff>622300</xdr:colOff>
      <xdr:row>992</xdr:row>
      <xdr:rowOff>149225</xdr:rowOff>
    </xdr:to>
    <xdr:graphicFrame macro="">
      <xdr:nvGraphicFramePr>
        <xdr:cNvPr id="2" name="Chart 1">
          <a:extLst>
            <a:ext uri="{FF2B5EF4-FFF2-40B4-BE49-F238E27FC236}">
              <a16:creationId xmlns:a16="http://schemas.microsoft.com/office/drawing/2014/main" id="{42F86F9D-9C35-C45D-D4E4-4548E5FA4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228600</xdr:colOff>
      <xdr:row>952</xdr:row>
      <xdr:rowOff>155575</xdr:rowOff>
    </xdr:from>
    <xdr:to>
      <xdr:col>10</xdr:col>
      <xdr:colOff>171450</xdr:colOff>
      <xdr:row>968</xdr:row>
      <xdr:rowOff>53975</xdr:rowOff>
    </xdr:to>
    <xdr:graphicFrame macro="">
      <xdr:nvGraphicFramePr>
        <xdr:cNvPr id="3" name="Chart 2">
          <a:extLst>
            <a:ext uri="{FF2B5EF4-FFF2-40B4-BE49-F238E27FC236}">
              <a16:creationId xmlns:a16="http://schemas.microsoft.com/office/drawing/2014/main" id="{344FE481-4DB3-B2F1-62AA-0A7A4BA65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gun Lawal" refreshedDate="46166.943988078703" createdVersion="8" refreshedVersion="8" minRefreshableVersion="3" recordCount="1000" xr:uid="{E2C48E51-3D97-4D56-9E89-27277394AAB1}">
  <cacheSource type="worksheet">
    <worksheetSource name="Supplier_Perf_Table"/>
  </cacheSource>
  <cacheFields count="41">
    <cacheField name="PO_ID" numFmtId="0">
      <sharedItems/>
    </cacheField>
    <cacheField name="Order_ID" numFmtId="0">
      <sharedItems/>
    </cacheField>
    <cacheField name="Order Date" numFmtId="14">
      <sharedItems containsSemiMixedTypes="0" containsNonDate="0" containsDate="1" containsString="0" minDate="2026-01-01T00:00:00" maxDate="2026-07-01T00:00:00"/>
    </cacheField>
    <cacheField name="Expected Delivery_Date" numFmtId="14">
      <sharedItems containsSemiMixedTypes="0" containsNonDate="0" containsDate="1" containsString="0" minDate="2026-01-05T00:00:00" maxDate="2026-07-22T00:00:00"/>
    </cacheField>
    <cacheField name="Actual_Delivery_Date" numFmtId="14">
      <sharedItems containsSemiMixedTypes="0" containsNonDate="0" containsDate="1" containsString="0" minDate="2026-01-03T00:00:00" maxDate="2026-07-30T00:00:00" count="198">
        <d v="2026-03-30T00:00:00"/>
        <d v="2026-03-01T00:00:00"/>
        <d v="2026-05-23T00:00:00"/>
        <d v="2026-05-05T00:00:00"/>
        <d v="2026-06-12T00:00:00"/>
        <d v="2026-05-18T00:00:00"/>
        <d v="2026-04-30T00:00:00"/>
        <d v="2026-03-17T00:00:00"/>
        <d v="2026-03-04T00:00:00"/>
        <d v="2026-06-07T00:00:00"/>
        <d v="2026-02-05T00:00:00"/>
        <d v="2026-04-04T00:00:00"/>
        <d v="2026-06-10T00:00:00"/>
        <d v="2026-05-31T00:00:00"/>
        <d v="2026-06-26T00:00:00"/>
        <d v="2026-03-11T00:00:00"/>
        <d v="2026-02-04T00:00:00"/>
        <d v="2026-03-05T00:00:00"/>
        <d v="2026-03-18T00:00:00"/>
        <d v="2026-04-25T00:00:00"/>
        <d v="2026-03-23T00:00:00"/>
        <d v="2026-02-22T00:00:00"/>
        <d v="2026-05-21T00:00:00"/>
        <d v="2026-02-20T00:00:00"/>
        <d v="2026-04-16T00:00:00"/>
        <d v="2026-04-29T00:00:00"/>
        <d v="2026-04-22T00:00:00"/>
        <d v="2026-06-27T00:00:00"/>
        <d v="2026-01-24T00:00:00"/>
        <d v="2026-03-24T00:00:00"/>
        <d v="2026-06-28T00:00:00"/>
        <d v="2026-05-28T00:00:00"/>
        <d v="2026-04-02T00:00:00"/>
        <d v="2026-07-02T00:00:00"/>
        <d v="2026-02-24T00:00:00"/>
        <d v="2026-02-18T00:00:00"/>
        <d v="2026-01-31T00:00:00"/>
        <d v="2026-06-29T00:00:00"/>
        <d v="2026-02-12T00:00:00"/>
        <d v="2026-06-24T00:00:00"/>
        <d v="2026-02-11T00:00:00"/>
        <d v="2026-04-06T00:00:00"/>
        <d v="2026-04-12T00:00:00"/>
        <d v="2026-07-09T00:00:00"/>
        <d v="2026-05-27T00:00:00"/>
        <d v="2026-05-16T00:00:00"/>
        <d v="2026-03-12T00:00:00"/>
        <d v="2026-03-27T00:00:00"/>
        <d v="2026-03-14T00:00:00"/>
        <d v="2026-02-28T00:00:00"/>
        <d v="2026-05-09T00:00:00"/>
        <d v="2026-04-26T00:00:00"/>
        <d v="2026-04-17T00:00:00"/>
        <d v="2026-03-13T00:00:00"/>
        <d v="2026-03-02T00:00:00"/>
        <d v="2026-07-05T00:00:00"/>
        <d v="2026-01-28T00:00:00"/>
        <d v="2026-05-08T00:00:00"/>
        <d v="2026-06-06T00:00:00"/>
        <d v="2026-04-23T00:00:00"/>
        <d v="2026-03-16T00:00:00"/>
        <d v="2026-02-25T00:00:00"/>
        <d v="2026-07-19T00:00:00"/>
        <d v="2026-06-01T00:00:00"/>
        <d v="2026-03-09T00:00:00"/>
        <d v="2026-05-20T00:00:00"/>
        <d v="2026-04-18T00:00:00"/>
        <d v="2026-06-18T00:00:00"/>
        <d v="2026-03-28T00:00:00"/>
        <d v="2026-07-17T00:00:00"/>
        <d v="2026-04-28T00:00:00"/>
        <d v="2026-03-21T00:00:00"/>
        <d v="2026-06-05T00:00:00"/>
        <d v="2026-05-11T00:00:00"/>
        <d v="2026-06-20T00:00:00"/>
        <d v="2026-02-23T00:00:00"/>
        <d v="2026-04-07T00:00:00"/>
        <d v="2026-04-14T00:00:00"/>
        <d v="2026-06-30T00:00:00"/>
        <d v="2026-07-06T00:00:00"/>
        <d v="2026-05-29T00:00:00"/>
        <d v="2026-06-17T00:00:00"/>
        <d v="2026-05-04T00:00:00"/>
        <d v="2026-07-08T00:00:00"/>
        <d v="2026-04-11T00:00:00"/>
        <d v="2026-03-10T00:00:00"/>
        <d v="2026-05-19T00:00:00"/>
        <d v="2026-01-21T00:00:00"/>
        <d v="2026-05-24T00:00:00"/>
        <d v="2026-01-18T00:00:00"/>
        <d v="2026-03-08T00:00:00"/>
        <d v="2026-01-19T00:00:00"/>
        <d v="2026-03-29T00:00:00"/>
        <d v="2026-01-30T00:00:00"/>
        <d v="2026-02-13T00:00:00"/>
        <d v="2026-07-14T00:00:00"/>
        <d v="2026-04-13T00:00:00"/>
        <d v="2026-06-03T00:00:00"/>
        <d v="2026-06-02T00:00:00"/>
        <d v="2026-07-03T00:00:00"/>
        <d v="2026-04-24T00:00:00"/>
        <d v="2026-02-15T00:00:00"/>
        <d v="2026-05-06T00:00:00"/>
        <d v="2026-02-16T00:00:00"/>
        <d v="2026-04-21T00:00:00"/>
        <d v="2026-02-01T00:00:00"/>
        <d v="2026-01-29T00:00:00"/>
        <d v="2026-02-10T00:00:00"/>
        <d v="2026-01-26T00:00:00"/>
        <d v="2026-07-12T00:00:00"/>
        <d v="2026-05-13T00:00:00"/>
        <d v="2026-06-09T00:00:00"/>
        <d v="2026-04-15T00:00:00"/>
        <d v="2026-05-14T00:00:00"/>
        <d v="2026-06-21T00:00:00"/>
        <d v="2026-04-10T00:00:00"/>
        <d v="2026-05-12T00:00:00"/>
        <d v="2026-05-01T00:00:00"/>
        <d v="2026-01-20T00:00:00"/>
        <d v="2026-02-14T00:00:00"/>
        <d v="2026-07-11T00:00:00"/>
        <d v="2026-06-16T00:00:00"/>
        <d v="2026-06-13T00:00:00"/>
        <d v="2026-05-22T00:00:00"/>
        <d v="2026-02-21T00:00:00"/>
        <d v="2026-02-27T00:00:00"/>
        <d v="2026-06-23T00:00:00"/>
        <d v="2026-06-15T00:00:00"/>
        <d v="2026-06-19T00:00:00"/>
        <d v="2026-02-09T00:00:00"/>
        <d v="2026-07-07T00:00:00"/>
        <d v="2026-02-19T00:00:00"/>
        <d v="2026-05-26T00:00:00"/>
        <d v="2026-03-22T00:00:00"/>
        <d v="2026-06-08T00:00:00"/>
        <d v="2026-01-23T00:00:00"/>
        <d v="2026-07-10T00:00:00"/>
        <d v="2026-05-15T00:00:00"/>
        <d v="2026-06-22T00:00:00"/>
        <d v="2026-05-03T00:00:00"/>
        <d v="2026-04-27T00:00:00"/>
        <d v="2026-07-18T00:00:00"/>
        <d v="2026-05-07T00:00:00"/>
        <d v="2026-01-17T00:00:00"/>
        <d v="2026-04-01T00:00:00"/>
        <d v="2026-04-19T00:00:00"/>
        <d v="2026-01-07T00:00:00"/>
        <d v="2026-02-03T00:00:00"/>
        <d v="2026-04-05T00:00:00"/>
        <d v="2026-03-31T00:00:00"/>
        <d v="2026-07-01T00:00:00"/>
        <d v="2026-05-17T00:00:00"/>
        <d v="2026-03-26T00:00:00"/>
        <d v="2026-01-27T00:00:00"/>
        <d v="2026-06-14T00:00:00"/>
        <d v="2026-06-11T00:00:00"/>
        <d v="2026-01-14T00:00:00"/>
        <d v="2026-05-02T00:00:00"/>
        <d v="2026-03-19T00:00:00"/>
        <d v="2026-03-07T00:00:00"/>
        <d v="2026-06-25T00:00:00"/>
        <d v="2026-04-08T00:00:00"/>
        <d v="2026-07-04T00:00:00"/>
        <d v="2026-06-04T00:00:00"/>
        <d v="2026-03-20T00:00:00"/>
        <d v="2026-04-03T00:00:00"/>
        <d v="2026-02-08T00:00:00"/>
        <d v="2026-01-25T00:00:00"/>
        <d v="2026-02-06T00:00:00"/>
        <d v="2026-02-17T00:00:00"/>
        <d v="2026-01-15T00:00:00"/>
        <d v="2026-05-10T00:00:00"/>
        <d v="2026-07-16T00:00:00"/>
        <d v="2026-07-15T00:00:00"/>
        <d v="2026-01-22T00:00:00"/>
        <d v="2026-03-06T00:00:00"/>
        <d v="2026-02-07T00:00:00"/>
        <d v="2026-04-20T00:00:00"/>
        <d v="2026-01-08T00:00:00"/>
        <d v="2026-07-20T00:00:00"/>
        <d v="2026-03-25T00:00:00"/>
        <d v="2026-02-26T00:00:00"/>
        <d v="2026-07-24T00:00:00"/>
        <d v="2026-01-09T00:00:00"/>
        <d v="2026-03-15T00:00:00"/>
        <d v="2026-07-29T00:00:00"/>
        <d v="2026-07-25T00:00:00"/>
        <d v="2026-04-09T00:00:00"/>
        <d v="2026-01-03T00:00:00"/>
        <d v="2026-01-05T00:00:00"/>
        <d v="2026-03-03T00:00:00"/>
        <d v="2026-02-02T00:00:00"/>
        <d v="2026-07-13T00:00:00"/>
        <d v="2026-01-16T00:00:00"/>
        <d v="2026-05-30T00:00:00"/>
        <d v="2026-01-13T00:00:00"/>
        <d v="2026-05-25T00:00:00"/>
        <d v="2026-07-21T00:00:00"/>
      </sharedItems>
      <fieldGroup par="40"/>
    </cacheField>
    <cacheField name="Supplier_ID" numFmtId="49">
      <sharedItems count="15">
        <s v="SUP-007"/>
        <s v="SUP-009"/>
        <s v="SUP-014"/>
        <s v="SUP-015"/>
        <s v="SUP-011"/>
        <s v="SUP-004"/>
        <s v="SUP-002"/>
        <s v="SUP-005"/>
        <s v="SUP-013"/>
        <s v="SUP-003"/>
        <s v="SUP-001"/>
        <s v="SUP-006"/>
        <s v="SUP-008"/>
        <s v="SUP-010"/>
        <s v="SUP-012"/>
      </sharedItems>
    </cacheField>
    <cacheField name="Supplier_Name" numFmtId="49">
      <sharedItems count="30">
        <s v="Dar"/>
        <s v="Mombasa"/>
        <s v="Kano"/>
        <s v="Kampala"/>
        <s v="Kigali"/>
        <s v="Nile"/>
        <s v="Kentech"/>
        <s v="Cape"/>
        <s v="Casablanca"/>
        <s v="Sahara"/>
        <s v="Primesteel"/>
        <s v="AccraAI"/>
        <s v="LagosPR"/>
        <s v="AddisFW"/>
        <s v="AbidjanCS"/>
        <s v="Dar Machinery Parts" u="1"/>
        <s v="Mombasa Electricals" u="1"/>
        <s v="Kano Industrial Traders" u="1"/>
        <s v="Kampala Packaging Hub" u="1"/>
        <s v="Kigali Precision Tools" u="1"/>
        <s v="Nile Textiles Co." u="1"/>
        <s v="Kentech Components" u="1"/>
        <s v="Cape Logistics Supplies" u="1"/>
        <s v="Casablanca Components" u="1"/>
        <s v="Sahara Packaging" u="1"/>
        <s v="Primesteel Limited" u="1"/>
        <s v="Accra Agro Inputs" u="1"/>
        <s v="Lagos Plastics &amp; Resin" u="1"/>
        <s v="Addis Fabric Works" u="1"/>
        <s v="Abidjan Chemical Supply" u="1"/>
      </sharedItems>
    </cacheField>
    <cacheField name="Supplier_Country" numFmtId="49">
      <sharedItems count="12">
        <s v="Tanzania"/>
        <s v="Kenya"/>
        <s v="Nigeria"/>
        <s v="Uganda"/>
        <s v="Rwanda"/>
        <s v="Egypt"/>
        <s v="South Africa"/>
        <s v="Morocco"/>
        <s v="Ghana"/>
        <s v="Ethiopia"/>
        <s v="Ivory Coast"/>
        <s v="Africa Region"/>
      </sharedItems>
    </cacheField>
    <cacheField name="Buyer_Location" numFmtId="49">
      <sharedItems count="9">
        <s v="Lagos DC"/>
        <s v="Kampala Warehouse"/>
        <s v="Accra Hub"/>
        <s v="Dar es Salaam Port"/>
        <s v="Kigali Assembly"/>
        <s v="Abuja Plant"/>
        <s v="Nairobi DC"/>
        <s v="Port Harcourt Warehouse"/>
        <s v="Cape Town Plant"/>
      </sharedItems>
    </cacheField>
    <cacheField name="Product_Category" numFmtId="49">
      <sharedItems count="7">
        <s v="Machinery Parts"/>
        <s v="Electronics"/>
        <s v="Industrial Supplies"/>
        <s v="Textiles"/>
        <s v="Packaging"/>
        <s v="Raw Materials"/>
        <s v="Metals"/>
      </sharedItems>
    </cacheField>
    <cacheField name="SKU" numFmtId="49">
      <sharedItems/>
    </cacheField>
    <cacheField name="Item_Description" numFmtId="49">
      <sharedItems/>
    </cacheField>
    <cacheField name="Unit_Cost" numFmtId="2">
      <sharedItems containsMixedTypes="1" containsNumber="1" minValue="3.24" maxValue="4773.3599999999997"/>
    </cacheField>
    <cacheField name="Currency" numFmtId="49">
      <sharedItems/>
    </cacheField>
    <cacheField name="Dollar Equivalent" numFmtId="165">
      <sharedItems containsSemiMixedTypes="0" containsString="0" containsNumber="1" minValue="2.7E-4" maxValue="1"/>
    </cacheField>
    <cacheField name="Unit_Cost in $" numFmtId="2">
      <sharedItems containsMixedTypes="1" containsNumber="1" minValue="7.8693999999999986E-3" maxValue="3782.1"/>
    </cacheField>
    <cacheField name="Order_Quantity" numFmtId="1">
      <sharedItems containsMixedTypes="1" containsNumber="1" containsInteger="1" minValue="50" maxValue="2000"/>
    </cacheField>
    <cacheField name="Ordered_Value" numFmtId="0">
      <sharedItems containsMixedTypes="1" containsNumber="1" minValue="0" maxValue="8654960"/>
    </cacheField>
    <cacheField name="Calculated_Order_Value" numFmtId="1">
      <sharedItems containsMixedTypes="1" containsNumber="1" minValue="1475.2500000000002" maxValue="8654960"/>
    </cacheField>
    <cacheField name="Ordered_Value in $" numFmtId="1">
      <sharedItems containsMixedTypes="1" containsNumber="1" minValue="0" maxValue="5524905"/>
    </cacheField>
    <cacheField name="Defective_Units" numFmtId="1">
      <sharedItems containsString="0" containsBlank="1" containsNumber="1" containsInteger="1" minValue="-1" maxValue="2002"/>
    </cacheField>
    <cacheField name="Defect_Rate" numFmtId="10">
      <sharedItems containsSemiMixedTypes="0" containsString="0" containsNumber="1" minValue="0" maxValue="0.16"/>
    </cacheField>
    <cacheField name="Lead_Time_Days" numFmtId="1">
      <sharedItems containsMixedTypes="1" containsNumber="1" containsInteger="1" minValue="-5" maxValue="35"/>
    </cacheField>
    <cacheField name="Calculated_Lead_Time2" numFmtId="1">
      <sharedItems containsSemiMixedTypes="0" containsString="0" containsNumber="1" containsInteger="1" minValue="-3" maxValue="82"/>
    </cacheField>
    <cacheField name="Promised_Lead_Time_Days" numFmtId="1">
      <sharedItems containsMixedTypes="1" containsNumber="1" containsInteger="1" minValue="1" maxValue="28"/>
    </cacheField>
    <cacheField name="Calculated_Expected_Lead_Time" numFmtId="1">
      <sharedItems containsSemiMixedTypes="0" containsString="0" containsNumber="1" containsInteger="1" minValue="1" maxValue="79"/>
    </cacheField>
    <cacheField name="Calculated_Lead_Time_Variance_Days" numFmtId="1">
      <sharedItems containsSemiMixedTypes="0" containsString="0" containsNumber="1" containsInteger="1" minValue="-16" maxValue="23"/>
    </cacheField>
    <cacheField name="Lead_Time_Variance_Days" numFmtId="1">
      <sharedItems containsString="0" containsBlank="1" containsNumber="1" containsInteger="1" minValue="-16" maxValue="23"/>
    </cacheField>
    <cacheField name="Delivery_Status" numFmtId="49">
      <sharedItems count="7">
        <s v="Severely Delayed"/>
        <s v="Late"/>
        <s v="On Time"/>
        <s v="Delayed"/>
        <s v="Very Late"/>
        <s v="Delivered Early"/>
        <s v="Invalid Lead Time"/>
      </sharedItems>
    </cacheField>
    <cacheField name="Quality_Status" numFmtId="49">
      <sharedItems count="6">
        <s v="Accepted"/>
        <s v="Hold"/>
        <s v="Partial Reject"/>
        <s v="Pending QC"/>
        <s v="Rejected"/>
        <s v="Not Stated"/>
      </sharedItems>
    </cacheField>
    <cacheField name="Invoice_Status" numFmtId="49">
      <sharedItems count="5">
        <s v="Pending"/>
        <s v="Matched"/>
        <s v="Disputed"/>
        <s v="Missing Invoice"/>
        <s v="Not Stated"/>
      </sharedItems>
    </cacheField>
    <cacheField name="Payment_Terms" numFmtId="49">
      <sharedItems count="6">
        <s v="Net 45"/>
        <s v="Not Stated"/>
        <s v="COD"/>
        <s v="Net 30"/>
        <s v="Advance"/>
        <s v="50% Advance / 50% Delivery"/>
      </sharedItems>
    </cacheField>
    <cacheField name="Shipping_Mode" numFmtId="49">
      <sharedItems count="6">
        <s v="Sea"/>
        <s v="Rail"/>
        <s v="Road"/>
        <s v="Not Stated"/>
        <s v="Courier"/>
        <s v="Air"/>
      </sharedItems>
    </cacheField>
    <cacheField name="Carrier" numFmtId="49">
      <sharedItems count="7">
        <s v="No Carrier Listed"/>
        <s v="Kuehne+Nagel"/>
        <s v="Bollore Logistics"/>
        <s v="DHL"/>
        <s v="Maersk"/>
        <s v="Local Truck Partner"/>
        <s v="GIG Logistics"/>
      </sharedItems>
    </cacheField>
    <cacheField name="Incoterm" numFmtId="49">
      <sharedItems count="6">
        <s v="DDP"/>
        <s v="EXW"/>
        <s v="FOB"/>
        <s v="CIF"/>
        <s v="N/A"/>
        <s v="DAP"/>
      </sharedItems>
    </cacheField>
    <cacheField name="Rejection_Reason" numFmtId="49">
      <sharedItems count="6">
        <s v="N/A"/>
        <s v="Damaged packaging"/>
        <s v="Missing certificate"/>
        <s v="Wrong specification"/>
        <s v="High defect rate"/>
        <s v="Late + defective"/>
      </sharedItems>
    </cacheField>
    <cacheField name="Supplier_Rating" numFmtId="2">
      <sharedItems containsSemiMixedTypes="0" containsString="0" containsNumber="1" minValue="-1" maxValue="6"/>
    </cacheField>
    <cacheField name="Data_Source" numFmtId="49">
      <sharedItems count="7">
        <s v="Supplier Portal"/>
        <s v="Legacy CSV"/>
        <s v="Email Invoice"/>
        <s v="ERP"/>
        <s v="API Feed"/>
        <s v="Manual Excel Upload"/>
        <s v="Warehouse Scan"/>
      </sharedItems>
    </cacheField>
    <cacheField name="Data_Quality_Notes" numFmtId="49">
      <sharedItems count="16">
        <s v="Late delivery"/>
        <s v="Late delivery; Quality issue"/>
        <s v="N/A"/>
        <s v="Quality issue"/>
        <s v="Invoice issue"/>
        <s v="Late delivery; Invoice issue"/>
        <s v="Late delivery; Quality issue; Invoice issue"/>
        <s v="Missing/invalid supplier ID; Late delivery; Invoice issue"/>
        <s v="Quality issue; Invoice issue"/>
        <s v="Missing/invalid supplier ID; Late delivery"/>
        <s v="Missing/invalid supplier ID; Late delivery; Quality issue"/>
        <s v="Missing/invalid supplier ID"/>
        <s v="Missing/invalid supplier ID; Invoice issue"/>
        <s v="Missing/invalid supplier ID; Late delivery; Quality issue; Invoice issue"/>
        <s v="Missing/invalid supplier ID; Quality issue; Invoice issue"/>
        <s v="Missing/invalid supplier ID; Quality issue"/>
      </sharedItems>
    </cacheField>
    <cacheField name="Percent of Defect on Total Order" numFmtId="0" formula="Defective_Units/Order_Quantity" databaseField="0"/>
    <cacheField name="Months (Actual_Delivery_Date)" numFmtId="0" databaseField="0">
      <fieldGroup base="4">
        <rangePr groupBy="months" startDate="2026-01-03T00:00:00" endDate="2026-07-30T00:00:00"/>
        <groupItems count="14">
          <s v="&lt;03/01/2026"/>
          <s v="Jan"/>
          <s v="Feb"/>
          <s v="Mar"/>
          <s v="Apr"/>
          <s v="May"/>
          <s v="Jun"/>
          <s v="Jul"/>
          <s v="Aug"/>
          <s v="Sep"/>
          <s v="Oct"/>
          <s v="Nov"/>
          <s v="Dec"/>
          <s v="&gt;30/07/2026"/>
        </groupItems>
      </fieldGroup>
    </cacheField>
  </cacheFields>
  <extLst>
    <ext xmlns:x14="http://schemas.microsoft.com/office/spreadsheetml/2009/9/main" uri="{725AE2AE-9491-48be-B2B4-4EB974FC3084}">
      <x14:pivotCacheDefinition pivotCacheId="1164846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O-2026-00001"/>
    <s v="ORD-585176"/>
    <d v="2026-02-28T00:00:00"/>
    <d v="2026-03-20T00:00:00"/>
    <x v="0"/>
    <x v="0"/>
    <x v="0"/>
    <x v="0"/>
    <x v="0"/>
    <x v="0"/>
    <s v="SKU-MAC-466"/>
    <s v="Hydraulic Hose"/>
    <n v="353.52"/>
    <s v="KES"/>
    <n v="7.7000000000000002E-3"/>
    <n v="2.7221039999999999"/>
    <n v="1500"/>
    <n v="530280"/>
    <n v="530280"/>
    <n v="4083.1559999999999"/>
    <n v="41"/>
    <n v="2.7300000000000001E-2"/>
    <s v=""/>
    <n v="30"/>
    <n v="20"/>
    <n v="20"/>
    <n v="10"/>
    <n v="10"/>
    <x v="0"/>
    <x v="0"/>
    <x v="0"/>
    <x v="0"/>
    <x v="0"/>
    <x v="0"/>
    <x v="0"/>
    <x v="0"/>
    <n v="2.2000000000000002"/>
    <x v="0"/>
    <x v="0"/>
  </r>
  <r>
    <s v="PO-2026-00001"/>
    <s v="ORD-317662"/>
    <d v="2026-02-13T00:00:00"/>
    <d v="2026-02-26T00:00:00"/>
    <x v="1"/>
    <x v="1"/>
    <x v="1"/>
    <x v="1"/>
    <x v="1"/>
    <x v="1"/>
    <s v="SKU-ELE-426"/>
    <s v="Power Adapter"/>
    <n v="24.24"/>
    <s v="ZAR"/>
    <n v="6.0999999999999999E-2"/>
    <n v="1.47864"/>
    <n v="100"/>
    <n v="2424"/>
    <n v="2424"/>
    <n v="147.864"/>
    <n v="0"/>
    <n v="0"/>
    <n v="16"/>
    <n v="16"/>
    <n v="13"/>
    <n v="13"/>
    <n v="3"/>
    <n v="3"/>
    <x v="1"/>
    <x v="0"/>
    <x v="0"/>
    <x v="1"/>
    <x v="1"/>
    <x v="1"/>
    <x v="1"/>
    <x v="0"/>
    <n v="5"/>
    <x v="1"/>
    <x v="0"/>
  </r>
  <r>
    <s v="PO-2026-00003"/>
    <s v="ORD-541564"/>
    <d v="2026-05-09T00:00:00"/>
    <d v="2026-05-18T00:00:00"/>
    <x v="2"/>
    <x v="2"/>
    <x v="2"/>
    <x v="2"/>
    <x v="2"/>
    <x v="2"/>
    <s v="SKU-IND-171"/>
    <s v="Filter Cartridge"/>
    <n v="690.99"/>
    <s v="USD"/>
    <n v="1"/>
    <n v="690.99"/>
    <n v="300"/>
    <n v="207297"/>
    <n v="207297"/>
    <n v="207297"/>
    <n v="5"/>
    <n v="1.67E-2"/>
    <n v="14"/>
    <n v="14"/>
    <n v="9"/>
    <n v="9"/>
    <n v="5"/>
    <n v="5"/>
    <x v="1"/>
    <x v="0"/>
    <x v="1"/>
    <x v="2"/>
    <x v="2"/>
    <x v="0"/>
    <x v="0"/>
    <x v="0"/>
    <n v="4.9000000000000004"/>
    <x v="0"/>
    <x v="0"/>
  </r>
  <r>
    <s v="PO-2026-00004"/>
    <s v="ORD-635943"/>
    <d v="2026-04-15T00:00:00"/>
    <d v="2026-04-27T00:00:00"/>
    <x v="3"/>
    <x v="3"/>
    <x v="3"/>
    <x v="3"/>
    <x v="3"/>
    <x v="3"/>
    <s v="SKU-TEX-310"/>
    <s v="Polyester Roll"/>
    <n v="375.45"/>
    <s v="USD"/>
    <n v="1"/>
    <n v="375.45"/>
    <n v="1000"/>
    <n v="375450"/>
    <n v="375450"/>
    <n v="375450"/>
    <n v="49"/>
    <n v="4.9000000000000002E-2"/>
    <n v="-5"/>
    <n v="20"/>
    <n v="12"/>
    <n v="12"/>
    <n v="8"/>
    <m/>
    <x v="0"/>
    <x v="1"/>
    <x v="0"/>
    <x v="2"/>
    <x v="0"/>
    <x v="0"/>
    <x v="0"/>
    <x v="1"/>
    <n v="3.3"/>
    <x v="2"/>
    <x v="1"/>
  </r>
  <r>
    <s v="PO-2026-00005"/>
    <s v="ORD-833742"/>
    <d v="2026-06-05T00:00:00"/>
    <d v="2026-06-18T00:00:00"/>
    <x v="4"/>
    <x v="4"/>
    <x v="4"/>
    <x v="4"/>
    <x v="4"/>
    <x v="0"/>
    <s v="SKU-MAC-288"/>
    <s v="Conveyor Belt"/>
    <n v="2996.25"/>
    <s v="GHS"/>
    <n v="8.8999999999999996E-2"/>
    <n v="266.66624999999999"/>
    <n v="75"/>
    <n v="224718.75"/>
    <n v="224718.75"/>
    <n v="19999.96875"/>
    <n v="0"/>
    <n v="0"/>
    <n v="7"/>
    <n v="7"/>
    <n v="13"/>
    <n v="13"/>
    <n v="-6"/>
    <n v="-6"/>
    <x v="2"/>
    <x v="0"/>
    <x v="1"/>
    <x v="3"/>
    <x v="3"/>
    <x v="2"/>
    <x v="1"/>
    <x v="0"/>
    <n v="3.4"/>
    <x v="2"/>
    <x v="2"/>
  </r>
  <r>
    <s v="PO-2026-00004"/>
    <s v="ORD-660938"/>
    <d v="2026-05-07T00:00:00"/>
    <d v="2026-05-21T00:00:00"/>
    <x v="5"/>
    <x v="5"/>
    <x v="5"/>
    <x v="5"/>
    <x v="5"/>
    <x v="2"/>
    <s v="SKU-IND-861"/>
    <s v="Safety Gloves"/>
    <n v="224.15"/>
    <s v="KES"/>
    <n v="7.7000000000000002E-3"/>
    <n v="1.7259550000000001"/>
    <n v="1000"/>
    <n v="224150"/>
    <n v="224150"/>
    <n v="1725.9550000000002"/>
    <n v="70"/>
    <n v="7.0000000000000007E-2"/>
    <n v="11"/>
    <n v="11"/>
    <n v="14"/>
    <n v="14"/>
    <n v="-3"/>
    <n v="-3"/>
    <x v="2"/>
    <x v="1"/>
    <x v="0"/>
    <x v="2"/>
    <x v="0"/>
    <x v="2"/>
    <x v="2"/>
    <x v="2"/>
    <n v="1.8"/>
    <x v="2"/>
    <x v="3"/>
  </r>
  <r>
    <s v="PO-2026-00007"/>
    <s v="ORD-717922"/>
    <d v="2026-04-08T00:00:00"/>
    <d v="2026-04-25T00:00:00"/>
    <x v="6"/>
    <x v="6"/>
    <x v="6"/>
    <x v="1"/>
    <x v="0"/>
    <x v="1"/>
    <s v="SKU-ELE-698"/>
    <s v="Power Adapter"/>
    <n v="3665.29"/>
    <s v="EGP"/>
    <n v="1.9E-2"/>
    <n v="69.640509999999992"/>
    <n v="1000"/>
    <n v="3665290"/>
    <n v="3665290"/>
    <n v="69640.509999999995"/>
    <n v="14"/>
    <n v="1.4E-2"/>
    <n v="22"/>
    <n v="22"/>
    <n v="17"/>
    <n v="17"/>
    <n v="5"/>
    <n v="5"/>
    <x v="0"/>
    <x v="0"/>
    <x v="1"/>
    <x v="3"/>
    <x v="4"/>
    <x v="2"/>
    <x v="2"/>
    <x v="0"/>
    <n v="3.4"/>
    <x v="3"/>
    <x v="0"/>
  </r>
  <r>
    <s v="PO-2026-00008"/>
    <s v="ORD-198520"/>
    <d v="2026-03-16T00:00:00"/>
    <d v="2026-04-01T00:00:00"/>
    <x v="7"/>
    <x v="3"/>
    <x v="3"/>
    <x v="3"/>
    <x v="4"/>
    <x v="4"/>
    <s v="SKU-PAC-104"/>
    <s v="Corrugated Box"/>
    <n v="719.98"/>
    <s v="EGP"/>
    <n v="1.9E-2"/>
    <n v="13.67962"/>
    <n v="1000"/>
    <n v="719980"/>
    <n v="719980"/>
    <n v="13679.619999999999"/>
    <n v="32"/>
    <n v="3.2000000000000001E-2"/>
    <n v="1"/>
    <n v="1"/>
    <n v="16"/>
    <n v="16"/>
    <n v="-15"/>
    <n v="-15"/>
    <x v="2"/>
    <x v="0"/>
    <x v="0"/>
    <x v="1"/>
    <x v="1"/>
    <x v="2"/>
    <x v="2"/>
    <x v="0"/>
    <n v="2.9"/>
    <x v="4"/>
    <x v="2"/>
  </r>
  <r>
    <s v="PO-2026-00009"/>
    <s v="ORD-346142"/>
    <d v="2026-02-16T00:00:00"/>
    <d v="2026-03-06T00:00:00"/>
    <x v="8"/>
    <x v="7"/>
    <x v="7"/>
    <x v="6"/>
    <x v="6"/>
    <x v="2"/>
    <s v="SKU-IND-637"/>
    <s v="Lubricant Drum"/>
    <n v="200.24"/>
    <s v="USD"/>
    <n v="1"/>
    <n v="200.24"/>
    <n v="500"/>
    <n v="100120"/>
    <n v="100120"/>
    <n v="100120"/>
    <n v="13"/>
    <n v="2.5999999999999999E-2"/>
    <n v="16"/>
    <n v="16"/>
    <n v="18"/>
    <n v="18"/>
    <n v="-2"/>
    <n v="-2"/>
    <x v="2"/>
    <x v="0"/>
    <x v="0"/>
    <x v="2"/>
    <x v="0"/>
    <x v="0"/>
    <x v="0"/>
    <x v="0"/>
    <n v="4.5999999999999996"/>
    <x v="2"/>
    <x v="2"/>
  </r>
  <r>
    <s v="PO-2026-00010"/>
    <s v="ORD-493495"/>
    <d v="2026-05-25T00:00:00"/>
    <d v="2026-06-07T00:00:00"/>
    <x v="9"/>
    <x v="6"/>
    <x v="6"/>
    <x v="1"/>
    <x v="6"/>
    <x v="1"/>
    <s v="SKU-ELE-651"/>
    <s v="Control Board"/>
    <n v="3659.46"/>
    <s v="KES"/>
    <n v="7.7000000000000002E-3"/>
    <n v="28.177842000000002"/>
    <n v="300"/>
    <n v="1097838"/>
    <n v="1097838"/>
    <n v="8453.3526000000002"/>
    <n v="7"/>
    <n v="2.3300000000000001E-2"/>
    <n v="13"/>
    <n v="13"/>
    <n v="13"/>
    <n v="13"/>
    <n v="0"/>
    <n v="0"/>
    <x v="2"/>
    <x v="0"/>
    <x v="2"/>
    <x v="1"/>
    <x v="5"/>
    <x v="3"/>
    <x v="1"/>
    <x v="0"/>
    <n v="2.2000000000000002"/>
    <x v="0"/>
    <x v="4"/>
  </r>
  <r>
    <s v="PO-2026-00011"/>
    <s v="ORD-901706"/>
    <d v="2026-01-19T00:00:00"/>
    <d v="2026-02-04T00:00:00"/>
    <x v="10"/>
    <x v="5"/>
    <x v="5"/>
    <x v="5"/>
    <x v="3"/>
    <x v="3"/>
    <s v="SKU-TEX-536"/>
    <s v="Polyester Roll"/>
    <n v="361.63"/>
    <s v="USD"/>
    <n v="1"/>
    <n v="361.63"/>
    <n v="2000"/>
    <n v="723260"/>
    <n v="723260"/>
    <n v="723260"/>
    <n v="102"/>
    <n v="5.0999999999999997E-2"/>
    <n v="17"/>
    <n v="17"/>
    <n v="16"/>
    <n v="16"/>
    <n v="1"/>
    <n v="1"/>
    <x v="1"/>
    <x v="1"/>
    <x v="0"/>
    <x v="3"/>
    <x v="1"/>
    <x v="4"/>
    <x v="3"/>
    <x v="2"/>
    <n v="3"/>
    <x v="5"/>
    <x v="1"/>
  </r>
  <r>
    <s v="PO-2026-00012"/>
    <s v="ORD-504910"/>
    <d v="2026-03-13T00:00:00"/>
    <d v="2026-03-30T00:00:00"/>
    <x v="11"/>
    <x v="8"/>
    <x v="8"/>
    <x v="1"/>
    <x v="5"/>
    <x v="1"/>
    <s v="SKU-ELE-179"/>
    <s v="LED Driver"/>
    <n v="2943"/>
    <s v="KES"/>
    <n v="7.7000000000000002E-3"/>
    <n v="22.661100000000001"/>
    <n v="50"/>
    <n v="147150"/>
    <n v="147150"/>
    <n v="1133.0550000000001"/>
    <n v="0"/>
    <n v="0"/>
    <n v="22"/>
    <n v="22"/>
    <n v="17"/>
    <n v="17"/>
    <n v="5"/>
    <n v="5"/>
    <x v="0"/>
    <x v="0"/>
    <x v="3"/>
    <x v="3"/>
    <x v="4"/>
    <x v="1"/>
    <x v="2"/>
    <x v="0"/>
    <n v="4.5"/>
    <x v="4"/>
    <x v="5"/>
  </r>
  <r>
    <s v="PO-2026-00013"/>
    <s v="ORD-105026"/>
    <d v="2026-04-06T00:00:00"/>
    <d v="2026-06-11T00:00:00"/>
    <x v="12"/>
    <x v="9"/>
    <x v="9"/>
    <x v="2"/>
    <x v="6"/>
    <x v="5"/>
    <s v="SKU-RAW-990"/>
    <s v="Chemical Additive"/>
    <n v="719.52"/>
    <s v="ZAR"/>
    <n v="6.0999999999999999E-2"/>
    <n v="43.890719999999995"/>
    <n v="1000"/>
    <n v="719520"/>
    <n v="719520"/>
    <n v="43890.720000000001"/>
    <n v="1"/>
    <n v="1E-3"/>
    <n v="6"/>
    <n v="65"/>
    <n v="7"/>
    <n v="66"/>
    <n v="-1"/>
    <m/>
    <x v="2"/>
    <x v="0"/>
    <x v="3"/>
    <x v="1"/>
    <x v="1"/>
    <x v="1"/>
    <x v="2"/>
    <x v="0"/>
    <n v="3.3"/>
    <x v="3"/>
    <x v="4"/>
  </r>
  <r>
    <s v="PO-2026-00014"/>
    <s v="ORD-659835"/>
    <d v="2026-05-23T00:00:00"/>
    <d v="2026-05-30T00:00:00"/>
    <x v="13"/>
    <x v="9"/>
    <x v="9"/>
    <x v="2"/>
    <x v="2"/>
    <x v="5"/>
    <s v="SKU-RAW-121"/>
    <s v="Chemical Additive"/>
    <n v="286.22000000000003"/>
    <s v="NGN"/>
    <n v="7.2999999999999996E-4"/>
    <n v="0.2089406"/>
    <n v="150"/>
    <n v="42933"/>
    <n v="42933.000000000007"/>
    <n v="31.341089999999998"/>
    <n v="2"/>
    <n v="1.3299999999999999E-2"/>
    <n v="8"/>
    <n v="8"/>
    <n v="7"/>
    <n v="7"/>
    <n v="1"/>
    <n v="1"/>
    <x v="1"/>
    <x v="0"/>
    <x v="0"/>
    <x v="3"/>
    <x v="2"/>
    <x v="2"/>
    <x v="2"/>
    <x v="0"/>
    <n v="4.2"/>
    <x v="5"/>
    <x v="0"/>
  </r>
  <r>
    <s v="PO-2026-00015"/>
    <s v="ORD-389548"/>
    <d v="2026-06-22T00:00:00"/>
    <d v="2026-06-24T00:00:00"/>
    <x v="14"/>
    <x v="10"/>
    <x v="10"/>
    <x v="2"/>
    <x v="4"/>
    <x v="6"/>
    <s v="SKU-MET-232"/>
    <s v="Aluminium Sheet"/>
    <n v="997.52"/>
    <s v="GHS"/>
    <n v="8.8999999999999996E-2"/>
    <n v="88.77928"/>
    <n v="2000"/>
    <n v="1995040"/>
    <n v="1995040"/>
    <n v="177558.56"/>
    <n v="31"/>
    <n v="1.55E-2"/>
    <n v="4"/>
    <n v="4"/>
    <n v="2"/>
    <n v="2"/>
    <n v="2"/>
    <n v="2"/>
    <x v="3"/>
    <x v="0"/>
    <x v="4"/>
    <x v="2"/>
    <x v="0"/>
    <x v="1"/>
    <x v="4"/>
    <x v="0"/>
    <n v="4"/>
    <x v="4"/>
    <x v="5"/>
  </r>
  <r>
    <s v="PO-2026-00016"/>
    <s v="ORD-899022"/>
    <d v="2026-05-17T00:00:00"/>
    <d v="2026-06-04T00:00:00"/>
    <x v="12"/>
    <x v="8"/>
    <x v="8"/>
    <x v="7"/>
    <x v="3"/>
    <x v="6"/>
    <s v="SKU-MET-608"/>
    <s v="Steel Coil"/>
    <n v="1754.18"/>
    <s v="MAD"/>
    <n v="0.11"/>
    <n v="192.9598"/>
    <n v="200"/>
    <n v="350836"/>
    <n v="350836"/>
    <n v="38591.96"/>
    <n v="6"/>
    <n v="0.03"/>
    <n v="24"/>
    <n v="24"/>
    <n v="18"/>
    <n v="18"/>
    <n v="6"/>
    <n v="6"/>
    <x v="0"/>
    <x v="0"/>
    <x v="2"/>
    <x v="0"/>
    <x v="2"/>
    <x v="5"/>
    <x v="2"/>
    <x v="0"/>
    <n v="2.1"/>
    <x v="4"/>
    <x v="5"/>
  </r>
  <r>
    <s v="PO-2026-00017"/>
    <s v="ORD-683817"/>
    <d v="2026-05-21T00:00:00"/>
    <d v="2026-06-04T00:00:00"/>
    <x v="12"/>
    <x v="0"/>
    <x v="0"/>
    <x v="0"/>
    <x v="7"/>
    <x v="0"/>
    <s v="SKU-MAC-888"/>
    <s v="Bearing Set"/>
    <n v="2499.94"/>
    <s v="GHS"/>
    <n v="8.8999999999999996E-2"/>
    <n v="222.49465999999998"/>
    <n v="200"/>
    <n v="499988"/>
    <n v="499988"/>
    <n v="44498.932000000001"/>
    <n v="5"/>
    <n v="2.5000000000000001E-2"/>
    <n v="20"/>
    <n v="20"/>
    <n v="14"/>
    <n v="14"/>
    <n v="6"/>
    <n v="6"/>
    <x v="0"/>
    <x v="0"/>
    <x v="1"/>
    <x v="2"/>
    <x v="4"/>
    <x v="5"/>
    <x v="2"/>
    <x v="0"/>
    <n v="2.5"/>
    <x v="4"/>
    <x v="0"/>
  </r>
  <r>
    <s v="PO-2026-00011"/>
    <s v="ORD-334714"/>
    <d v="2026-02-26T00:00:00"/>
    <d v="2026-03-10T00:00:00"/>
    <x v="15"/>
    <x v="3"/>
    <x v="3"/>
    <x v="3"/>
    <x v="6"/>
    <x v="0"/>
    <s v="SKU-MAC-913"/>
    <s v="Conveyor Belt"/>
    <n v="375.4"/>
    <s v="USD"/>
    <n v="1"/>
    <n v="375.4"/>
    <n v="200"/>
    <n v="75080"/>
    <n v="75080"/>
    <n v="75080"/>
    <n v="11"/>
    <n v="5.5E-2"/>
    <n v="13"/>
    <n v="13"/>
    <n v="12"/>
    <n v="12"/>
    <n v="1"/>
    <n v="1"/>
    <x v="1"/>
    <x v="1"/>
    <x v="3"/>
    <x v="0"/>
    <x v="1"/>
    <x v="0"/>
    <x v="2"/>
    <x v="3"/>
    <n v="1.5"/>
    <x v="6"/>
    <x v="6"/>
  </r>
  <r>
    <s v="PO-2026-00019"/>
    <s v="ORD-808592"/>
    <d v="2026-01-23T00:00:00"/>
    <d v="2026-02-03T00:00:00"/>
    <x v="16"/>
    <x v="6"/>
    <x v="6"/>
    <x v="1"/>
    <x v="3"/>
    <x v="1"/>
    <s v="SKU-ELE-297"/>
    <s v="Sensor Module"/>
    <n v="3315.83"/>
    <s v="USD"/>
    <n v="1"/>
    <n v="3315.83"/>
    <n v="50"/>
    <n v="165791.5"/>
    <n v="165791.5"/>
    <n v="165791.5"/>
    <n v="0"/>
    <n v="0"/>
    <n v="12"/>
    <n v="12"/>
    <n v="11"/>
    <n v="11"/>
    <n v="1"/>
    <n v="1"/>
    <x v="1"/>
    <x v="0"/>
    <x v="0"/>
    <x v="4"/>
    <x v="3"/>
    <x v="3"/>
    <x v="5"/>
    <x v="0"/>
    <n v="2.2000000000000002"/>
    <x v="5"/>
    <x v="0"/>
  </r>
  <r>
    <s v="PO-2026-00020"/>
    <s v="ORD-406468"/>
    <d v="2026-02-20T00:00:00"/>
    <d v="2026-03-01T00:00:00"/>
    <x v="17"/>
    <x v="3"/>
    <x v="3"/>
    <x v="3"/>
    <x v="0"/>
    <x v="0"/>
    <s v="SKU-MAC-761"/>
    <s v="Conveyor Belt"/>
    <n v="1685.89"/>
    <s v="KES"/>
    <n v="7.7000000000000002E-3"/>
    <n v="12.981353"/>
    <n v="750"/>
    <n v="1264417.5"/>
    <n v="1264417.5"/>
    <n v="9736.0147500000003"/>
    <n v="17"/>
    <n v="2.2700000000000001E-2"/>
    <n v="13"/>
    <n v="13"/>
    <n v="9"/>
    <n v="9"/>
    <n v="4"/>
    <n v="4"/>
    <x v="0"/>
    <x v="0"/>
    <x v="2"/>
    <x v="3"/>
    <x v="0"/>
    <x v="3"/>
    <x v="2"/>
    <x v="0"/>
    <n v="4.8"/>
    <x v="1"/>
    <x v="7"/>
  </r>
  <r>
    <s v="PO-2026-00021"/>
    <s v="ORD-968088"/>
    <d v="2026-03-14T00:00:00"/>
    <d v="2026-03-26T00:00:00"/>
    <x v="18"/>
    <x v="3"/>
    <x v="3"/>
    <x v="3"/>
    <x v="6"/>
    <x v="0"/>
    <s v="SKU-MAC-781"/>
    <s v="Gear Assembly"/>
    <n v="1181.69"/>
    <s v="EGP"/>
    <n v="1.9E-2"/>
    <n v="22.452110000000001"/>
    <n v="500"/>
    <n v="590845"/>
    <n v="590845"/>
    <n v="11226.055"/>
    <n v="6"/>
    <n v="1.2E-2"/>
    <n v="4"/>
    <n v="4"/>
    <n v="12"/>
    <n v="12"/>
    <n v="-8"/>
    <n v="-8"/>
    <x v="2"/>
    <x v="0"/>
    <x v="1"/>
    <x v="1"/>
    <x v="5"/>
    <x v="4"/>
    <x v="4"/>
    <x v="0"/>
    <n v="2.9"/>
    <x v="5"/>
    <x v="2"/>
  </r>
  <r>
    <s v="PO-2026-00022"/>
    <s v="ORD-964937"/>
    <d v="2026-03-30T00:00:00"/>
    <d v="2026-04-13T00:00:00"/>
    <x v="19"/>
    <x v="6"/>
    <x v="6"/>
    <x v="1"/>
    <x v="5"/>
    <x v="5"/>
    <s v="SKU-RAW-926"/>
    <s v="Polymer Resin"/>
    <s v=""/>
    <s v="KES"/>
    <n v="7.7000000000000002E-3"/>
    <s v=""/>
    <n v="750"/>
    <n v="359227.5"/>
    <e v="#VALUE!"/>
    <n v="2766.0517500000001"/>
    <m/>
    <n v="0"/>
    <n v="26"/>
    <n v="26"/>
    <n v="14"/>
    <n v="14"/>
    <n v="12"/>
    <n v="12"/>
    <x v="4"/>
    <x v="0"/>
    <x v="1"/>
    <x v="3"/>
    <x v="1"/>
    <x v="6"/>
    <x v="5"/>
    <x v="0"/>
    <n v="1.6"/>
    <x v="5"/>
    <x v="0"/>
  </r>
  <r>
    <s v="PO-2026-00023"/>
    <s v="ORD-282581"/>
    <d v="2026-03-01T00:00:00"/>
    <d v="2026-03-12T00:00:00"/>
    <x v="20"/>
    <x v="11"/>
    <x v="11"/>
    <x v="8"/>
    <x v="3"/>
    <x v="5"/>
    <s v="SKU-RAW-494"/>
    <s v="Chemical Additive"/>
    <n v="194.64"/>
    <s v="GHS"/>
    <n v="8.8999999999999996E-2"/>
    <n v="17.322959999999998"/>
    <n v="150"/>
    <n v="29196"/>
    <n v="29195.999999999996"/>
    <n v="2598.444"/>
    <n v="2"/>
    <n v="1.3299999999999999E-2"/>
    <n v="22"/>
    <n v="22"/>
    <n v="11"/>
    <n v="11"/>
    <n v="11"/>
    <n v="11"/>
    <x v="1"/>
    <x v="0"/>
    <x v="4"/>
    <x v="5"/>
    <x v="0"/>
    <x v="0"/>
    <x v="2"/>
    <x v="0"/>
    <n v="3"/>
    <x v="2"/>
    <x v="5"/>
  </r>
  <r>
    <s v="PO-2026-00024"/>
    <s v="ORD-661755"/>
    <d v="2026-02-14T00:00:00"/>
    <d v="2026-02-17T00:00:00"/>
    <x v="21"/>
    <x v="12"/>
    <x v="12"/>
    <x v="2"/>
    <x v="0"/>
    <x v="4"/>
    <s v="SKU-PAC-793"/>
    <s v="Shipping Carton"/>
    <n v="439.15"/>
    <s v="GHS"/>
    <n v="8.8999999999999996E-2"/>
    <n v="39.084349999999993"/>
    <n v="1500"/>
    <n v="658725"/>
    <n v="658725"/>
    <n v="58626.524999999994"/>
    <n v="15"/>
    <n v="0.01"/>
    <n v="8"/>
    <n v="8"/>
    <n v="3"/>
    <n v="3"/>
    <n v="5"/>
    <n v="5"/>
    <x v="4"/>
    <x v="0"/>
    <x v="4"/>
    <x v="2"/>
    <x v="3"/>
    <x v="1"/>
    <x v="4"/>
    <x v="0"/>
    <n v="2.7"/>
    <x v="2"/>
    <x v="5"/>
  </r>
  <r>
    <s v="PO-2026-00025"/>
    <s v="ORD-993058"/>
    <d v="2026-04-29T00:00:00"/>
    <d v="2026-05-13T00:00:00"/>
    <x v="22"/>
    <x v="7"/>
    <x v="7"/>
    <x v="6"/>
    <x v="3"/>
    <x v="2"/>
    <s v="SKU-IND-272"/>
    <s v="Filter Cartridge"/>
    <n v="747.31"/>
    <s v="NGN"/>
    <n v="7.2999999999999996E-4"/>
    <n v="0.54553629999999997"/>
    <n v="1000"/>
    <n v="747310"/>
    <n v="747310"/>
    <n v="545.53629999999998"/>
    <n v="14"/>
    <n v="1.4E-2"/>
    <n v="22"/>
    <n v="22"/>
    <n v="14"/>
    <n v="14"/>
    <n v="8"/>
    <n v="8"/>
    <x v="4"/>
    <x v="0"/>
    <x v="1"/>
    <x v="4"/>
    <x v="1"/>
    <x v="5"/>
    <x v="4"/>
    <x v="0"/>
    <n v="2.9"/>
    <x v="6"/>
    <x v="0"/>
  </r>
  <r>
    <s v="PO-2026-00026"/>
    <s v="ORD-554955"/>
    <d v="2026-01-27T00:00:00"/>
    <d v="2026-02-15T00:00:00"/>
    <x v="23"/>
    <x v="7"/>
    <x v="7"/>
    <x v="6"/>
    <x v="2"/>
    <x v="2"/>
    <s v="SKU-IND-780"/>
    <s v="Welding Rod"/>
    <n v="765.07"/>
    <s v="KES"/>
    <n v="7.7000000000000002E-3"/>
    <n v="5.8910390000000001"/>
    <n v="500"/>
    <n v="382535"/>
    <n v="382535"/>
    <n v="2945.5194999999999"/>
    <n v="6"/>
    <n v="1.2E-2"/>
    <n v="24"/>
    <n v="24"/>
    <n v="19"/>
    <n v="19"/>
    <n v="5"/>
    <n v="5"/>
    <x v="1"/>
    <x v="0"/>
    <x v="1"/>
    <x v="1"/>
    <x v="3"/>
    <x v="3"/>
    <x v="0"/>
    <x v="0"/>
    <n v="2.4"/>
    <x v="3"/>
    <x v="0"/>
  </r>
  <r>
    <s v="PO-2026-00027"/>
    <s v="ORD-922995"/>
    <d v="2026-04-05T00:00:00"/>
    <d v="2026-04-14T00:00:00"/>
    <x v="24"/>
    <x v="12"/>
    <x v="12"/>
    <x v="2"/>
    <x v="3"/>
    <x v="4"/>
    <s v="SKU-PAC-247"/>
    <s v="Plastic Film Roll"/>
    <n v="601.05999999999995"/>
    <s v="ZAR"/>
    <n v="6.0999999999999999E-2"/>
    <n v="36.664659999999998"/>
    <n v="100"/>
    <n v="60106"/>
    <n v="60105.999999999993"/>
    <n v="3666.4659999999999"/>
    <n v="2"/>
    <n v="0.02"/>
    <n v="11"/>
    <n v="11"/>
    <n v="9"/>
    <n v="9"/>
    <n v="2"/>
    <n v="2"/>
    <x v="3"/>
    <x v="0"/>
    <x v="0"/>
    <x v="1"/>
    <x v="5"/>
    <x v="4"/>
    <x v="5"/>
    <x v="0"/>
    <n v="4.7"/>
    <x v="0"/>
    <x v="0"/>
  </r>
  <r>
    <s v="PO-2026-00028"/>
    <s v="ORD-247297"/>
    <d v="2026-05-24T00:00:00"/>
    <d v="2026-06-11T00:00:00"/>
    <x v="13"/>
    <x v="1"/>
    <x v="1"/>
    <x v="1"/>
    <x v="6"/>
    <x v="1"/>
    <s v="SKU-ELE-420"/>
    <s v="Power Adapter"/>
    <n v="719.17"/>
    <s v="USD"/>
    <n v="1"/>
    <n v="719.17"/>
    <n v="500"/>
    <n v="359585"/>
    <n v="359585"/>
    <n v="359585"/>
    <n v="2"/>
    <n v="4.0000000000000001E-3"/>
    <n v="7"/>
    <n v="7"/>
    <s v=""/>
    <n v="18"/>
    <n v="-11"/>
    <n v="-11"/>
    <x v="2"/>
    <x v="0"/>
    <x v="0"/>
    <x v="2"/>
    <x v="2"/>
    <x v="4"/>
    <x v="0"/>
    <x v="0"/>
    <n v="3.6"/>
    <x v="1"/>
    <x v="2"/>
  </r>
  <r>
    <s v="PO-2026-00009"/>
    <s v="ORD-302588"/>
    <d v="2026-04-16T00:00:00"/>
    <d v="2026-04-26T00:00:00"/>
    <x v="25"/>
    <x v="13"/>
    <x v="13"/>
    <x v="9"/>
    <x v="2"/>
    <x v="3"/>
    <s v="SKU-TEX-685"/>
    <s v="Label Tape"/>
    <n v="230.96"/>
    <s v="NGN"/>
    <n v="7.2999999999999996E-4"/>
    <n v="0.1686008"/>
    <n v="750"/>
    <n v="173220"/>
    <n v="173220"/>
    <n v="126.45059999999999"/>
    <n v="17"/>
    <n v="2.2700000000000001E-2"/>
    <n v="13"/>
    <n v="13"/>
    <n v="10"/>
    <n v="10"/>
    <n v="3"/>
    <n v="3"/>
    <x v="1"/>
    <x v="0"/>
    <x v="1"/>
    <x v="3"/>
    <x v="0"/>
    <x v="3"/>
    <x v="2"/>
    <x v="0"/>
    <n v="3.9"/>
    <x v="2"/>
    <x v="0"/>
  </r>
  <r>
    <s v="PO-2026-00030"/>
    <s v="ORD-155259"/>
    <d v="2026-02-25T00:00:00"/>
    <d v="2026-03-09T00:00:00"/>
    <x v="17"/>
    <x v="2"/>
    <x v="2"/>
    <x v="2"/>
    <x v="8"/>
    <x v="2"/>
    <s v="SKU-IND-332"/>
    <s v="Lubricant Drum"/>
    <n v="606.01"/>
    <s v="EGP"/>
    <n v="1.9E-2"/>
    <n v="11.514189999999999"/>
    <n v="75"/>
    <n v="45450.75"/>
    <n v="45450.75"/>
    <n v="863.56425000000002"/>
    <n v="0"/>
    <n v="0"/>
    <n v="8"/>
    <n v="8"/>
    <n v="12"/>
    <n v="12"/>
    <n v="-4"/>
    <n v="-4"/>
    <x v="2"/>
    <x v="0"/>
    <x v="1"/>
    <x v="4"/>
    <x v="2"/>
    <x v="3"/>
    <x v="2"/>
    <x v="0"/>
    <n v="3.9"/>
    <x v="4"/>
    <x v="2"/>
  </r>
  <r>
    <s v="PO-2026-00020"/>
    <s v="ORD-478850"/>
    <d v="2026-04-22T00:00:00"/>
    <d v="2026-04-29T00:00:00"/>
    <x v="26"/>
    <x v="9"/>
    <x v="9"/>
    <x v="2"/>
    <x v="5"/>
    <x v="4"/>
    <s v="SKU-PAC-433"/>
    <s v="Bottle Caps"/>
    <n v="604.62"/>
    <s v="ZAR"/>
    <n v="6.0999999999999999E-2"/>
    <n v="36.881819999999998"/>
    <n v="2000"/>
    <n v="1209240"/>
    <n v="1209240"/>
    <n v="73763.64"/>
    <n v="26"/>
    <n v="1.2999999999999999E-2"/>
    <n v="0"/>
    <n v="0"/>
    <n v="7"/>
    <n v="7"/>
    <n v="-7"/>
    <n v="-7"/>
    <x v="2"/>
    <x v="0"/>
    <x v="2"/>
    <x v="1"/>
    <x v="0"/>
    <x v="4"/>
    <x v="2"/>
    <x v="0"/>
    <n v="2.5"/>
    <x v="1"/>
    <x v="4"/>
  </r>
  <r>
    <s v="PO-2026-00032"/>
    <s v="ORD-442501"/>
    <d v="2026-06-14T00:00:00"/>
    <d v="2026-06-25T00:00:00"/>
    <x v="27"/>
    <x v="13"/>
    <x v="13"/>
    <x v="9"/>
    <x v="8"/>
    <x v="5"/>
    <s v="SKU-RAW-691"/>
    <s v="Polymer Resin"/>
    <n v="139.41"/>
    <s v="NGN"/>
    <n v="7.2999999999999996E-4"/>
    <n v="0.10176929999999999"/>
    <n v="75"/>
    <n v="10455.75"/>
    <n v="10455.75"/>
    <n v="7.6326974999999999"/>
    <n v="0"/>
    <n v="0"/>
    <n v="13"/>
    <n v="13"/>
    <n v="11"/>
    <n v="11"/>
    <n v="2"/>
    <n v="2"/>
    <x v="1"/>
    <x v="0"/>
    <x v="1"/>
    <x v="0"/>
    <x v="1"/>
    <x v="0"/>
    <x v="2"/>
    <x v="0"/>
    <n v="2.5"/>
    <x v="0"/>
    <x v="0"/>
  </r>
  <r>
    <s v="PO-2026-00033"/>
    <s v="ORD-614551"/>
    <d v="2026-01-01T00:00:00"/>
    <d v="2026-01-05T00:00:00"/>
    <x v="28"/>
    <x v="10"/>
    <x v="10"/>
    <x v="2"/>
    <x v="1"/>
    <x v="6"/>
    <s v="SKU-MET-325"/>
    <s v="Rebar Bundle"/>
    <n v="1980.29"/>
    <s v="ZAR"/>
    <n v="6.0999999999999999E-2"/>
    <n v="120.79768999999999"/>
    <n v="150"/>
    <n v="297043.5"/>
    <n v="297043.5"/>
    <n v="18119.6535"/>
    <n v="0"/>
    <n v="0"/>
    <n v="23"/>
    <n v="23"/>
    <n v="4"/>
    <n v="4"/>
    <n v="19"/>
    <n v="19"/>
    <x v="1"/>
    <x v="0"/>
    <x v="1"/>
    <x v="2"/>
    <x v="0"/>
    <x v="6"/>
    <x v="2"/>
    <x v="0"/>
    <n v="2.9"/>
    <x v="2"/>
    <x v="0"/>
  </r>
  <r>
    <s v="PO-2026-00034"/>
    <s v="ORD-371681"/>
    <d v="2026-03-09T00:00:00"/>
    <d v="2026-03-19T00:00:00"/>
    <x v="29"/>
    <x v="14"/>
    <x v="14"/>
    <x v="10"/>
    <x v="8"/>
    <x v="3"/>
    <s v="SKU-TEX-695"/>
    <s v="Label Tape"/>
    <n v="84.39"/>
    <s v="NGN"/>
    <n v="7.2999999999999996E-4"/>
    <n v="6.1604699999999998E-2"/>
    <n v="200"/>
    <n v="16878"/>
    <n v="16878"/>
    <n v="12.32094"/>
    <n v="6"/>
    <n v="0.03"/>
    <n v="15"/>
    <n v="15"/>
    <n v="10"/>
    <n v="10"/>
    <n v="5"/>
    <n v="5"/>
    <x v="1"/>
    <x v="0"/>
    <x v="1"/>
    <x v="3"/>
    <x v="5"/>
    <x v="4"/>
    <x v="5"/>
    <x v="0"/>
    <n v="3.8"/>
    <x v="0"/>
    <x v="0"/>
  </r>
  <r>
    <s v="PO-2026-00035"/>
    <s v="ORD-501471"/>
    <d v="2026-06-10T00:00:00"/>
    <d v="2026-06-25T00:00:00"/>
    <x v="30"/>
    <x v="3"/>
    <x v="3"/>
    <x v="3"/>
    <x v="8"/>
    <x v="2"/>
    <s v="SKU-IND-561"/>
    <s v="Welding Rod"/>
    <n v="159.74"/>
    <s v="NGN"/>
    <n v="7.2999999999999996E-4"/>
    <n v="0.1166102"/>
    <n v="250"/>
    <n v="39935"/>
    <n v="39935"/>
    <n v="29.152549999999998"/>
    <n v="7"/>
    <n v="2.8000000000000001E-2"/>
    <n v="18"/>
    <n v="18"/>
    <n v="15"/>
    <n v="15"/>
    <n v="3"/>
    <n v="3"/>
    <x v="1"/>
    <x v="0"/>
    <x v="0"/>
    <x v="0"/>
    <x v="3"/>
    <x v="1"/>
    <x v="1"/>
    <x v="0"/>
    <n v="3.3"/>
    <x v="1"/>
    <x v="0"/>
  </r>
  <r>
    <s v="PO-2026-00036"/>
    <s v="ORD-772564"/>
    <d v="2026-05-07T00:00:00"/>
    <d v="2026-05-22T00:00:00"/>
    <x v="31"/>
    <x v="6"/>
    <x v="6"/>
    <x v="1"/>
    <x v="8"/>
    <x v="1"/>
    <s v="SKU-ELE-777"/>
    <s v="LED Driver"/>
    <n v="529.21"/>
    <s v="NGN"/>
    <n v="7.2999999999999996E-4"/>
    <n v="0.38632329999999998"/>
    <n v="50"/>
    <s v=""/>
    <n v="26460.5"/>
    <s v=""/>
    <n v="4"/>
    <n v="0.08"/>
    <n v="21"/>
    <n v="21"/>
    <s v=""/>
    <n v="15"/>
    <n v="6"/>
    <m/>
    <x v="0"/>
    <x v="1"/>
    <x v="3"/>
    <x v="1"/>
    <x v="5"/>
    <x v="1"/>
    <x v="4"/>
    <x v="2"/>
    <n v="1.5"/>
    <x v="3"/>
    <x v="6"/>
  </r>
  <r>
    <s v="PO-2026-00037"/>
    <s v="ORD-110526"/>
    <d v="2026-04-02T00:00:00"/>
    <d v="2026-04-06T00:00:00"/>
    <x v="32"/>
    <x v="10"/>
    <x v="10"/>
    <x v="2"/>
    <x v="0"/>
    <x v="6"/>
    <s v="SKU-MET-256"/>
    <s v="Copper Rod"/>
    <n v="952.66"/>
    <s v="USD"/>
    <n v="1"/>
    <n v="952.66"/>
    <n v="1500"/>
    <n v="1428990"/>
    <n v="1428990"/>
    <n v="1428990"/>
    <n v="30"/>
    <n v="0.02"/>
    <n v="0"/>
    <n v="0"/>
    <n v="4"/>
    <n v="4"/>
    <n v="-4"/>
    <n v="-4"/>
    <x v="5"/>
    <x v="0"/>
    <x v="0"/>
    <x v="4"/>
    <x v="4"/>
    <x v="2"/>
    <x v="2"/>
    <x v="0"/>
    <n v="3"/>
    <x v="6"/>
    <x v="2"/>
  </r>
  <r>
    <s v="PO-2026-00038"/>
    <s v="ORD-739791"/>
    <d v="2026-04-07T00:00:00"/>
    <d v="2026-04-22T00:00:00"/>
    <x v="6"/>
    <x v="6"/>
    <x v="6"/>
    <x v="1"/>
    <x v="3"/>
    <x v="1"/>
    <s v="SKU-ELE-619"/>
    <s v="Power Adapter"/>
    <n v="885.65"/>
    <s v="ZAR"/>
    <n v="6.0999999999999999E-2"/>
    <n v="54.024649999999994"/>
    <n v="500"/>
    <n v="442825"/>
    <n v="442825"/>
    <n v="27012.325000000001"/>
    <n v="8"/>
    <n v="1.6E-2"/>
    <n v="23"/>
    <n v="23"/>
    <n v="15"/>
    <n v="15"/>
    <n v="8"/>
    <n v="8"/>
    <x v="4"/>
    <x v="0"/>
    <x v="1"/>
    <x v="3"/>
    <x v="4"/>
    <x v="5"/>
    <x v="4"/>
    <x v="0"/>
    <n v="1.6"/>
    <x v="1"/>
    <x v="0"/>
  </r>
  <r>
    <s v="PO-2026-00039"/>
    <s v="ORD-934912"/>
    <d v="2026-05-10T00:00:00"/>
    <d v="2026-05-16T00:00:00"/>
    <x v="22"/>
    <x v="10"/>
    <x v="10"/>
    <x v="2"/>
    <x v="6"/>
    <x v="6"/>
    <s v="SKU-MET-507"/>
    <s v="Aluminium Sheet"/>
    <n v="3265.48"/>
    <s v="USD"/>
    <n v="1"/>
    <n v="3265.48"/>
    <n v="500"/>
    <n v="1632740"/>
    <n v="1632740"/>
    <n v="1632740"/>
    <n v="25"/>
    <n v="0.05"/>
    <n v="11"/>
    <n v="11"/>
    <n v="6"/>
    <n v="6"/>
    <n v="5"/>
    <n v="5"/>
    <x v="1"/>
    <x v="1"/>
    <x v="4"/>
    <x v="2"/>
    <x v="5"/>
    <x v="0"/>
    <x v="2"/>
    <x v="1"/>
    <n v="-1"/>
    <x v="0"/>
    <x v="6"/>
  </r>
  <r>
    <s v="PO-2026-00040"/>
    <s v="ORD-143438"/>
    <d v="2026-05-18T00:00:00"/>
    <d v="2026-05-31T00:00:00"/>
    <x v="9"/>
    <x v="1"/>
    <x v="1"/>
    <x v="1"/>
    <x v="2"/>
    <x v="1"/>
    <s v="SKU-ELE-591"/>
    <s v="Power Adapter"/>
    <n v="530.05999999999995"/>
    <s v="GHS"/>
    <n v="8.8999999999999996E-2"/>
    <n v="47.175339999999991"/>
    <n v="250"/>
    <n v="132515"/>
    <n v="132515"/>
    <n v="11793.834999999999"/>
    <n v="7"/>
    <n v="2.8000000000000001E-2"/>
    <n v="20"/>
    <n v="20"/>
    <n v="13"/>
    <n v="13"/>
    <n v="7"/>
    <n v="7"/>
    <x v="1"/>
    <x v="0"/>
    <x v="1"/>
    <x v="0"/>
    <x v="0"/>
    <x v="0"/>
    <x v="2"/>
    <x v="0"/>
    <n v="2.2000000000000002"/>
    <x v="2"/>
    <x v="0"/>
  </r>
  <r>
    <s v="PO-2026-00041"/>
    <s v="ORD-558816"/>
    <d v="2026-06-15T00:00:00"/>
    <d v="2026-07-02T00:00:00"/>
    <x v="33"/>
    <x v="5"/>
    <x v="5"/>
    <x v="5"/>
    <x v="7"/>
    <x v="3"/>
    <s v="SKU-TEX-651"/>
    <s v="Polyester Roll"/>
    <n v="785.86"/>
    <s v="EGP"/>
    <n v="1.9E-2"/>
    <n v="14.931340000000001"/>
    <n v="500"/>
    <n v="392930"/>
    <n v="392930"/>
    <n v="7465.67"/>
    <n v="26"/>
    <n v="5.1999999999999998E-2"/>
    <n v="17"/>
    <n v="17"/>
    <n v="17"/>
    <n v="17"/>
    <n v="0"/>
    <n v="0"/>
    <x v="2"/>
    <x v="1"/>
    <x v="2"/>
    <x v="4"/>
    <x v="3"/>
    <x v="2"/>
    <x v="4"/>
    <x v="4"/>
    <n v="1.2"/>
    <x v="3"/>
    <x v="8"/>
  </r>
  <r>
    <s v="PO-2026-00042"/>
    <s v="ORD-673944"/>
    <d v="2026-05-26T00:00:00"/>
    <d v="2026-05-30T00:00:00"/>
    <x v="9"/>
    <x v="9"/>
    <x v="9"/>
    <x v="2"/>
    <x v="5"/>
    <x v="4"/>
    <s v="SKU-PAC-153"/>
    <s v="Corrugated Box"/>
    <s v=""/>
    <s v="GHS"/>
    <n v="8.8999999999999996E-2"/>
    <s v=""/>
    <s v=""/>
    <n v="11792"/>
    <e v="#VALUE!"/>
    <n v="1049.4880000000001"/>
    <n v="0"/>
    <n v="0"/>
    <n v="12"/>
    <n v="12"/>
    <n v="4"/>
    <n v="4"/>
    <n v="8"/>
    <m/>
    <x v="1"/>
    <x v="0"/>
    <x v="0"/>
    <x v="4"/>
    <x v="2"/>
    <x v="2"/>
    <x v="4"/>
    <x v="0"/>
    <n v="3.3"/>
    <x v="1"/>
    <x v="0"/>
  </r>
  <r>
    <s v="PO-2026-00043"/>
    <s v="ORD-766386"/>
    <d v="2026-06-01T00:00:00"/>
    <d v="2026-06-21T00:00:00"/>
    <x v="30"/>
    <x v="5"/>
    <x v="5"/>
    <x v="5"/>
    <x v="3"/>
    <x v="3"/>
    <s v="SKU-TEX-976"/>
    <s v="Label Tape"/>
    <n v="72.87"/>
    <s v="NGN"/>
    <n v="7.2999999999999996E-4"/>
    <n v="5.3195100000000002E-2"/>
    <n v="750"/>
    <n v="54652.5"/>
    <n v="54652.5"/>
    <n v="39.896324999999997"/>
    <n v="30"/>
    <n v="0.04"/>
    <n v="27"/>
    <n v="27"/>
    <n v="20"/>
    <n v="20"/>
    <n v="7"/>
    <n v="7"/>
    <x v="0"/>
    <x v="0"/>
    <x v="2"/>
    <x v="3"/>
    <x v="2"/>
    <x v="4"/>
    <x v="0"/>
    <x v="0"/>
    <n v="1.4"/>
    <x v="1"/>
    <x v="5"/>
  </r>
  <r>
    <s v="PO-2026-00044"/>
    <s v="ORD-537224"/>
    <d v="2026-02-20T00:00:00"/>
    <d v="2026-03-03T00:00:00"/>
    <x v="34"/>
    <x v="11"/>
    <x v="11"/>
    <x v="8"/>
    <x v="3"/>
    <x v="5"/>
    <s v="SKU-RAW-659"/>
    <s v="Agro Binder"/>
    <n v="79.2"/>
    <s v="KES"/>
    <n v="7.7000000000000002E-3"/>
    <n v="0.60984000000000005"/>
    <n v="750"/>
    <n v="59400"/>
    <n v="59400"/>
    <n v="457.38"/>
    <n v="36"/>
    <n v="4.8000000000000001E-2"/>
    <n v="4"/>
    <n v="4"/>
    <n v="11"/>
    <n v="11"/>
    <n v="-7"/>
    <n v="-7"/>
    <x v="2"/>
    <x v="1"/>
    <x v="1"/>
    <x v="2"/>
    <x v="4"/>
    <x v="5"/>
    <x v="2"/>
    <x v="2"/>
    <n v="1.7"/>
    <x v="6"/>
    <x v="3"/>
  </r>
  <r>
    <s v="PO-2026-00045"/>
    <s v="ORD-525884"/>
    <d v="2026-05-06T00:00:00"/>
    <d v="2026-05-24T00:00:00"/>
    <x v="9"/>
    <x v="8"/>
    <x v="8"/>
    <x v="7"/>
    <x v="1"/>
    <x v="1"/>
    <s v="SKU-ELE-825"/>
    <s v="Power Adapter"/>
    <n v="2231.9299999999998"/>
    <s v="ZAR"/>
    <n v="6.0999999999999999E-2"/>
    <n v="136.14773"/>
    <n v="500"/>
    <n v="1115965"/>
    <n v="1115965"/>
    <n v="68073.865000000005"/>
    <n v="4"/>
    <n v="8.0000000000000002E-3"/>
    <n v="32"/>
    <n v="32"/>
    <n v="18"/>
    <n v="18"/>
    <n v="14"/>
    <n v="14"/>
    <x v="4"/>
    <x v="0"/>
    <x v="3"/>
    <x v="3"/>
    <x v="3"/>
    <x v="4"/>
    <x v="0"/>
    <x v="0"/>
    <n v="2"/>
    <x v="0"/>
    <x v="5"/>
  </r>
  <r>
    <s v="PO-2026-00046"/>
    <s v="ORD-721440"/>
    <d v="2026-02-06T00:00:00"/>
    <d v="2026-03-01T00:00:00"/>
    <x v="15"/>
    <x v="7"/>
    <x v="7"/>
    <x v="6"/>
    <x v="8"/>
    <x v="2"/>
    <s v="SKU-IND-280"/>
    <s v="Safety Gloves"/>
    <n v="211.15"/>
    <s v="ZAR"/>
    <n v="6.0999999999999999E-2"/>
    <n v="12.88015"/>
    <n v="2000"/>
    <n v="422300"/>
    <n v="422300"/>
    <n v="25760.3"/>
    <n v="9"/>
    <n v="4.4999999999999997E-3"/>
    <s v=""/>
    <n v="33"/>
    <n v="23"/>
    <n v="23"/>
    <n v="10"/>
    <n v="10"/>
    <x v="4"/>
    <x v="0"/>
    <x v="0"/>
    <x v="5"/>
    <x v="0"/>
    <x v="2"/>
    <x v="1"/>
    <x v="0"/>
    <n v="1.7"/>
    <x v="5"/>
    <x v="0"/>
  </r>
  <r>
    <s v="PO-2026-00047"/>
    <s v="ORD-758310"/>
    <d v="2026-01-23T00:00:00"/>
    <d v="2026-02-10T00:00:00"/>
    <x v="35"/>
    <x v="0"/>
    <x v="0"/>
    <x v="0"/>
    <x v="7"/>
    <x v="1"/>
    <s v="SKU-ELE-496"/>
    <s v="Sensor Module"/>
    <n v="2274.23"/>
    <s v="ZAR"/>
    <n v="6.0999999999999999E-2"/>
    <n v="138.72802999999999"/>
    <n v="200"/>
    <n v="454846"/>
    <n v="454846"/>
    <n v="27745.606"/>
    <n v="0"/>
    <n v="0"/>
    <n v="26"/>
    <n v="26"/>
    <n v="18"/>
    <n v="18"/>
    <n v="8"/>
    <m/>
    <x v="1"/>
    <x v="0"/>
    <x v="1"/>
    <x v="0"/>
    <x v="3"/>
    <x v="0"/>
    <x v="4"/>
    <x v="0"/>
    <n v="2"/>
    <x v="1"/>
    <x v="0"/>
  </r>
  <r>
    <s v="PO-2026-00048"/>
    <s v="ORD-353449"/>
    <d v="2026-01-10T00:00:00"/>
    <d v="2026-01-27T00:00:00"/>
    <x v="36"/>
    <x v="1"/>
    <x v="1"/>
    <x v="1"/>
    <x v="4"/>
    <x v="4"/>
    <s v="SKU-PAC-146"/>
    <s v="Shipping Carton"/>
    <n v="111.49"/>
    <s v="EGP"/>
    <n v="1.9E-2"/>
    <n v="2.1183099999999997"/>
    <n v="750"/>
    <n v="83617.5"/>
    <n v="83617.5"/>
    <n v="1588.7325000000001"/>
    <n v="32"/>
    <n v="4.2700000000000002E-2"/>
    <n v="21"/>
    <n v="21"/>
    <n v="17"/>
    <n v="17"/>
    <n v="4"/>
    <n v="4"/>
    <x v="4"/>
    <x v="1"/>
    <x v="0"/>
    <x v="2"/>
    <x v="1"/>
    <x v="3"/>
    <x v="0"/>
    <x v="1"/>
    <n v="3.2"/>
    <x v="0"/>
    <x v="1"/>
  </r>
  <r>
    <s v="PO-2026-00009"/>
    <s v="ORD-110052"/>
    <d v="2026-04-26T00:00:00"/>
    <d v="2026-05-05T00:00:00"/>
    <x v="3"/>
    <x v="10"/>
    <x v="10"/>
    <x v="2"/>
    <x v="1"/>
    <x v="0"/>
    <s v="SKU-MAC-832"/>
    <s v="Bearing Set"/>
    <n v="247.1"/>
    <s v="ZAR"/>
    <n v="6.0999999999999999E-2"/>
    <n v="15.0731"/>
    <n v="75"/>
    <n v="18532.5"/>
    <n v="18532.5"/>
    <n v="1130.4825000000001"/>
    <n v="1"/>
    <n v="1.3299999999999999E-2"/>
    <n v="9"/>
    <n v="9"/>
    <n v="9"/>
    <n v="9"/>
    <n v="0"/>
    <n v="0"/>
    <x v="5"/>
    <x v="0"/>
    <x v="2"/>
    <x v="0"/>
    <x v="0"/>
    <x v="4"/>
    <x v="0"/>
    <x v="0"/>
    <n v="3.8"/>
    <x v="2"/>
    <x v="4"/>
  </r>
  <r>
    <s v="PO-2026-00050"/>
    <s v="ORD-208395"/>
    <d v="2026-06-18T00:00:00"/>
    <d v="2026-07-02T00:00:00"/>
    <x v="37"/>
    <x v="11"/>
    <x v="11"/>
    <x v="8"/>
    <x v="6"/>
    <x v="4"/>
    <s v="SKU-PAC-769"/>
    <s v="Corrugated Box"/>
    <n v="496.7"/>
    <s v="EGP"/>
    <n v="1.9E-2"/>
    <n v="9.4372999999999987"/>
    <n v="75"/>
    <n v="37252.5"/>
    <n v="37252.5"/>
    <n v="707.79750000000001"/>
    <n v="0"/>
    <n v="0"/>
    <n v="11"/>
    <n v="11"/>
    <n v="14"/>
    <n v="14"/>
    <n v="-3"/>
    <n v="-3"/>
    <x v="2"/>
    <x v="0"/>
    <x v="4"/>
    <x v="2"/>
    <x v="5"/>
    <x v="0"/>
    <x v="0"/>
    <x v="0"/>
    <n v="3.3"/>
    <x v="1"/>
    <x v="4"/>
  </r>
  <r>
    <s v="PO-2026-00051"/>
    <s v="ORD-292989"/>
    <d v="2026-01-31T00:00:00"/>
    <d v="2026-02-08T00:00:00"/>
    <x v="38"/>
    <x v="11"/>
    <x v="11"/>
    <x v="8"/>
    <x v="1"/>
    <x v="5"/>
    <s v="SKU-RAW-117"/>
    <s v="Input Granules"/>
    <n v="672.03"/>
    <s v="USD"/>
    <n v="1"/>
    <n v="672.03"/>
    <n v="200"/>
    <n v="134406"/>
    <n v="134406"/>
    <n v="134406"/>
    <n v="3"/>
    <n v="1.4999999999999999E-2"/>
    <n v="12"/>
    <n v="12"/>
    <n v="8"/>
    <n v="8"/>
    <n v="4"/>
    <n v="4"/>
    <x v="0"/>
    <x v="0"/>
    <x v="1"/>
    <x v="3"/>
    <x v="5"/>
    <x v="4"/>
    <x v="3"/>
    <x v="0"/>
    <n v="2.6"/>
    <x v="1"/>
    <x v="0"/>
  </r>
  <r>
    <s v="PO-2026-00052"/>
    <s v="ORD-332376"/>
    <d v="2026-06-18T00:00:00"/>
    <d v="2026-06-28T00:00:00"/>
    <x v="39"/>
    <x v="3"/>
    <x v="3"/>
    <x v="3"/>
    <x v="5"/>
    <x v="4"/>
    <s v="SKU-PAC-365"/>
    <s v="Shipping Carton"/>
    <n v="766.08"/>
    <s v="EGP"/>
    <n v="1.9E-2"/>
    <n v="14.55552"/>
    <n v="75"/>
    <n v="57456"/>
    <n v="57456"/>
    <n v="1091.664"/>
    <n v="0"/>
    <n v="0"/>
    <n v="6"/>
    <n v="6"/>
    <n v="10"/>
    <n v="10"/>
    <n v="-4"/>
    <n v="-4"/>
    <x v="2"/>
    <x v="0"/>
    <x v="1"/>
    <x v="3"/>
    <x v="0"/>
    <x v="6"/>
    <x v="0"/>
    <x v="0"/>
    <n v="3.9"/>
    <x v="1"/>
    <x v="2"/>
  </r>
  <r>
    <s v="PO-2026-00053"/>
    <s v="ORD-850933"/>
    <d v="2026-01-13T00:00:00"/>
    <d v="2026-01-31T00:00:00"/>
    <x v="40"/>
    <x v="5"/>
    <x v="5"/>
    <x v="5"/>
    <x v="4"/>
    <x v="3"/>
    <s v="SKU-TEX-873"/>
    <s v="Polyester Roll"/>
    <n v="651.67999999999995"/>
    <s v="KES"/>
    <n v="7.7000000000000002E-3"/>
    <n v="5.0179359999999997"/>
    <n v="75"/>
    <n v="48876"/>
    <n v="48875.999999999993"/>
    <n v="376.34520000000003"/>
    <n v="0"/>
    <n v="0"/>
    <s v=""/>
    <n v="29"/>
    <n v="18"/>
    <n v="18"/>
    <n v="11"/>
    <n v="11"/>
    <x v="0"/>
    <x v="0"/>
    <x v="2"/>
    <x v="2"/>
    <x v="0"/>
    <x v="0"/>
    <x v="1"/>
    <x v="0"/>
    <n v="3.3"/>
    <x v="5"/>
    <x v="5"/>
  </r>
  <r>
    <s v="PO-2026-00054"/>
    <s v="ORD-187106"/>
    <d v="2026-03-25T00:00:00"/>
    <d v="2026-04-01T00:00:00"/>
    <x v="41"/>
    <x v="9"/>
    <x v="9"/>
    <x v="2"/>
    <x v="1"/>
    <x v="4"/>
    <s v="SKU-PAC-405"/>
    <s v="Shipping Carton"/>
    <n v="193.09"/>
    <s v="EGP"/>
    <n v="1.9E-2"/>
    <n v="3.6687099999999999"/>
    <n v="500"/>
    <n v="96545"/>
    <n v="96545"/>
    <n v="1834.355"/>
    <n v="0"/>
    <n v="0"/>
    <n v="12"/>
    <n v="12"/>
    <n v="7"/>
    <n v="7"/>
    <n v="5"/>
    <n v="5"/>
    <x v="4"/>
    <x v="0"/>
    <x v="4"/>
    <x v="3"/>
    <x v="2"/>
    <x v="3"/>
    <x v="3"/>
    <x v="0"/>
    <n v="4.2"/>
    <x v="4"/>
    <x v="5"/>
  </r>
  <r>
    <s v="PO-2026-00055"/>
    <s v="ORD-437184"/>
    <d v="2026-03-17T00:00:00"/>
    <d v="2026-04-03T00:00:00"/>
    <x v="42"/>
    <x v="8"/>
    <x v="8"/>
    <x v="7"/>
    <x v="7"/>
    <x v="5"/>
    <s v="SKU-RAW-221"/>
    <s v="Chemical Additive"/>
    <n v="745.01"/>
    <s v="ZAR"/>
    <n v="6.0999999999999999E-2"/>
    <n v="45.445609999999995"/>
    <n v="150"/>
    <n v="111751.5"/>
    <n v="111751.5"/>
    <n v="6816.8414999999995"/>
    <m/>
    <n v="6.7000000000000002E-3"/>
    <s v=""/>
    <n v="26"/>
    <n v="17"/>
    <n v="17"/>
    <n v="9"/>
    <n v="9"/>
    <x v="0"/>
    <x v="0"/>
    <x v="4"/>
    <x v="1"/>
    <x v="4"/>
    <x v="5"/>
    <x v="2"/>
    <x v="0"/>
    <n v="2.9"/>
    <x v="1"/>
    <x v="5"/>
  </r>
  <r>
    <s v="PO-2026-00056"/>
    <s v="ORD-407433"/>
    <d v="2026-05-13T00:00:00"/>
    <d v="2026-06-02T00:00:00"/>
    <x v="12"/>
    <x v="7"/>
    <x v="7"/>
    <x v="6"/>
    <x v="2"/>
    <x v="2"/>
    <s v="SKU-IND-470"/>
    <s v="Lubricant Drum"/>
    <n v="408.48"/>
    <s v="GHS"/>
    <n v="8.8999999999999996E-2"/>
    <n v="36.35472"/>
    <n v="1000"/>
    <n v="408480"/>
    <n v="408480"/>
    <n v="36354.720000000001"/>
    <n v="1016"/>
    <n v="1.4E-2"/>
    <n v="28"/>
    <n v="28"/>
    <n v="20"/>
    <n v="20"/>
    <n v="8"/>
    <n v="8"/>
    <x v="0"/>
    <x v="0"/>
    <x v="4"/>
    <x v="5"/>
    <x v="2"/>
    <x v="1"/>
    <x v="1"/>
    <x v="0"/>
    <n v="1.8"/>
    <x v="5"/>
    <x v="5"/>
  </r>
  <r>
    <s v="PO-2026-00057"/>
    <s v="ORD-915148"/>
    <d v="2026-06-16T00:00:00"/>
    <d v="2026-06-28T00:00:00"/>
    <x v="43"/>
    <x v="12"/>
    <x v="12"/>
    <x v="2"/>
    <x v="4"/>
    <x v="3"/>
    <s v="SKU-TEX-229"/>
    <s v="Uniform Material"/>
    <n v="507.98"/>
    <s v="GHS"/>
    <n v="8.8999999999999996E-2"/>
    <n v="45.21022"/>
    <n v="50"/>
    <n v="25399"/>
    <n v="25399"/>
    <n v="2260.511"/>
    <n v="3"/>
    <n v="0.06"/>
    <n v="23"/>
    <n v="23"/>
    <n v="12"/>
    <n v="12"/>
    <n v="11"/>
    <n v="11"/>
    <x v="1"/>
    <x v="1"/>
    <x v="1"/>
    <x v="3"/>
    <x v="5"/>
    <x v="5"/>
    <x v="4"/>
    <x v="4"/>
    <n v="3.4"/>
    <x v="1"/>
    <x v="1"/>
  </r>
  <r>
    <s v="PO-2026-00058"/>
    <s v="ORD-213254"/>
    <d v="2026-03-20T00:00:00"/>
    <d v="2026-03-31T00:00:00"/>
    <x v="0"/>
    <x v="1"/>
    <x v="1"/>
    <x v="1"/>
    <x v="5"/>
    <x v="2"/>
    <s v="SKU-IND-447"/>
    <s v="Safety Gloves"/>
    <n v="510.27"/>
    <s v="EGP"/>
    <n v="1.9E-2"/>
    <n v="9.6951299999999989"/>
    <n v="1000"/>
    <n v="510270"/>
    <n v="510270"/>
    <n v="9695.1299999999992"/>
    <n v="10"/>
    <n v="0.01"/>
    <n v="10"/>
    <n v="10"/>
    <n v="11"/>
    <n v="11"/>
    <n v="-1"/>
    <n v="-1"/>
    <x v="2"/>
    <x v="0"/>
    <x v="3"/>
    <x v="0"/>
    <x v="4"/>
    <x v="2"/>
    <x v="2"/>
    <x v="0"/>
    <n v="4.8"/>
    <x v="5"/>
    <x v="4"/>
  </r>
  <r>
    <s v="PO-2026-00059"/>
    <s v="ORD-458565"/>
    <d v="2026-05-08T00:00:00"/>
    <d v="2026-05-20T00:00:00"/>
    <x v="44"/>
    <x v="14"/>
    <x v="14"/>
    <x v="10"/>
    <x v="4"/>
    <x v="2"/>
    <s v="SKU-IND-690"/>
    <s v="Lubricant Drum"/>
    <n v="509.27"/>
    <s v="ZAR"/>
    <n v="6.0999999999999999E-2"/>
    <n v="31.065469999999998"/>
    <n v="750"/>
    <n v="381952.5"/>
    <n v="381952.5"/>
    <n v="23299.102500000001"/>
    <n v="56"/>
    <n v="7.4700000000000003E-2"/>
    <n v="19"/>
    <n v="19"/>
    <n v="12"/>
    <n v="12"/>
    <n v="7"/>
    <n v="7"/>
    <x v="0"/>
    <x v="1"/>
    <x v="0"/>
    <x v="4"/>
    <x v="5"/>
    <x v="4"/>
    <x v="0"/>
    <x v="4"/>
    <n v="1.3"/>
    <x v="2"/>
    <x v="1"/>
  </r>
  <r>
    <s v="PO-2026-00060"/>
    <s v="ORD-969273"/>
    <d v="2026-03-27T00:00:00"/>
    <d v="2026-04-01T00:00:00"/>
    <x v="11"/>
    <x v="9"/>
    <x v="9"/>
    <x v="2"/>
    <x v="2"/>
    <x v="4"/>
    <s v="SKU-PAC-844"/>
    <s v="Bottle Caps"/>
    <n v="693.41"/>
    <s v="NGN"/>
    <n v="7.2999999999999996E-4"/>
    <n v="0.50618929999999995"/>
    <n v="75"/>
    <n v="52005.75"/>
    <n v="52005.75"/>
    <n v="37.964197499999997"/>
    <n v="1"/>
    <n v="1.3299999999999999E-2"/>
    <n v="8"/>
    <n v="8"/>
    <n v="5"/>
    <n v="5"/>
    <n v="3"/>
    <n v="3"/>
    <x v="3"/>
    <x v="0"/>
    <x v="2"/>
    <x v="0"/>
    <x v="5"/>
    <x v="1"/>
    <x v="2"/>
    <x v="0"/>
    <n v="3.7"/>
    <x v="6"/>
    <x v="7"/>
  </r>
  <r>
    <s v="PO-2026-00061"/>
    <s v="ORD-643588"/>
    <d v="2026-06-14T00:00:00"/>
    <d v="2026-07-01T00:00:00"/>
    <x v="14"/>
    <x v="6"/>
    <x v="6"/>
    <x v="1"/>
    <x v="3"/>
    <x v="1"/>
    <s v="SKU-ELE-111"/>
    <s v="LED Driver"/>
    <n v="947.08"/>
    <s v="KES"/>
    <n v="7.7000000000000002E-3"/>
    <n v="7.2925160000000009"/>
    <n v="1000"/>
    <n v="0"/>
    <n v="947080"/>
    <n v="0"/>
    <n v="0"/>
    <n v="0"/>
    <n v="12"/>
    <n v="12"/>
    <s v=""/>
    <n v="17"/>
    <n v="-5"/>
    <m/>
    <x v="2"/>
    <x v="0"/>
    <x v="3"/>
    <x v="3"/>
    <x v="2"/>
    <x v="0"/>
    <x v="2"/>
    <x v="0"/>
    <n v="4.0999999999999996"/>
    <x v="4"/>
    <x v="4"/>
  </r>
  <r>
    <s v="PO-2026-00062"/>
    <s v="ORD-940008"/>
    <d v="2026-04-23T00:00:00"/>
    <d v="2026-05-02T00:00:00"/>
    <x v="45"/>
    <x v="4"/>
    <x v="4"/>
    <x v="4"/>
    <x v="6"/>
    <x v="5"/>
    <s v="SKU-RAW-644"/>
    <s v="Input Granules"/>
    <n v="515.38"/>
    <s v="NGN"/>
    <n v="7.2999999999999996E-4"/>
    <n v="0.37622739999999999"/>
    <n v="500"/>
    <n v="257690"/>
    <n v="257690"/>
    <n v="188.11369999999999"/>
    <n v="7"/>
    <n v="1.4E-2"/>
    <n v="23"/>
    <n v="23"/>
    <n v="9"/>
    <n v="9"/>
    <n v="14"/>
    <n v="14"/>
    <x v="4"/>
    <x v="0"/>
    <x v="3"/>
    <x v="0"/>
    <x v="3"/>
    <x v="4"/>
    <x v="2"/>
    <x v="0"/>
    <n v="1.6"/>
    <x v="4"/>
    <x v="5"/>
  </r>
  <r>
    <s v="PO-2026-00063"/>
    <s v="ORD-696299"/>
    <d v="2026-03-08T00:00:00"/>
    <d v="2026-03-20T00:00:00"/>
    <x v="46"/>
    <x v="12"/>
    <x v="12"/>
    <x v="2"/>
    <x v="6"/>
    <x v="4"/>
    <s v="SKU-PAC-156"/>
    <s v="Plastic Film Roll"/>
    <n v="611.26"/>
    <s v="KES"/>
    <n v="7.7000000000000002E-3"/>
    <n v="4.7067019999999999"/>
    <n v="2000"/>
    <n v="1222520"/>
    <n v="1222520"/>
    <n v="9413.4040000000005"/>
    <n v="64"/>
    <n v="3.2000000000000001E-2"/>
    <n v="4"/>
    <n v="4"/>
    <n v="12"/>
    <n v="12"/>
    <n v="-8"/>
    <n v="-8"/>
    <x v="5"/>
    <x v="0"/>
    <x v="1"/>
    <x v="5"/>
    <x v="0"/>
    <x v="5"/>
    <x v="2"/>
    <x v="0"/>
    <n v="2.2000000000000002"/>
    <x v="2"/>
    <x v="2"/>
  </r>
  <r>
    <s v="PO-2026-00064"/>
    <s v="ORD-967255"/>
    <d v="2026-03-04T00:00:00"/>
    <d v="2026-03-25T00:00:00"/>
    <x v="47"/>
    <x v="7"/>
    <x v="7"/>
    <x v="6"/>
    <x v="0"/>
    <x v="6"/>
    <s v="SKU-MET-435"/>
    <s v="Copper Rod"/>
    <n v="2046.47"/>
    <s v="ZAR"/>
    <n v="6.0999999999999999E-2"/>
    <n v="124.83467"/>
    <n v="750"/>
    <n v="1534852.5"/>
    <n v="1534852.5"/>
    <n v="93626.002500000002"/>
    <n v="24"/>
    <n v="3.2000000000000001E-2"/>
    <n v="23"/>
    <n v="23"/>
    <n v="21"/>
    <n v="21"/>
    <n v="2"/>
    <n v="2"/>
    <x v="3"/>
    <x v="0"/>
    <x v="2"/>
    <x v="5"/>
    <x v="2"/>
    <x v="6"/>
    <x v="1"/>
    <x v="0"/>
    <n v="3.8"/>
    <x v="1"/>
    <x v="5"/>
  </r>
  <r>
    <s v="PO-2026-00065"/>
    <s v="ORD-279301"/>
    <d v="2026-03-15T00:00:00"/>
    <d v="2026-03-24T00:00:00"/>
    <x v="48"/>
    <x v="12"/>
    <x v="12"/>
    <x v="2"/>
    <x v="4"/>
    <x v="4"/>
    <s v="SKU-PAC-291"/>
    <s v="Shipping Carton"/>
    <n v="454.03"/>
    <s v="GHS"/>
    <n v="8.8999999999999996E-2"/>
    <n v="40.408669999999994"/>
    <n v="1500"/>
    <n v="681045"/>
    <n v="681045"/>
    <n v="60613.004999999997"/>
    <n v="35"/>
    <n v="2.3300000000000001E-2"/>
    <n v="-1"/>
    <n v="-1"/>
    <n v="9"/>
    <n v="9"/>
    <n v="-10"/>
    <n v="-10"/>
    <x v="6"/>
    <x v="0"/>
    <x v="0"/>
    <x v="2"/>
    <x v="1"/>
    <x v="2"/>
    <x v="2"/>
    <x v="0"/>
    <n v="3.6"/>
    <x v="5"/>
    <x v="2"/>
  </r>
  <r>
    <s v="PO-2026-00066"/>
    <s v="ORD-297242"/>
    <d v="2026-02-18T00:00:00"/>
    <d v="2026-02-24T00:00:00"/>
    <x v="49"/>
    <x v="10"/>
    <x v="10"/>
    <x v="2"/>
    <x v="5"/>
    <x v="6"/>
    <s v="SKU-MET-860"/>
    <s v="Rebar Bundle"/>
    <n v="3062.64"/>
    <s v="NGN"/>
    <n v="7.2999999999999996E-4"/>
    <n v="2.2357271999999999"/>
    <n v="300"/>
    <n v="918792"/>
    <n v="918792"/>
    <n v="670.71816000000001"/>
    <n v="15"/>
    <n v="0.05"/>
    <n v="10"/>
    <n v="10"/>
    <n v="6"/>
    <n v="6"/>
    <n v="4"/>
    <n v="4"/>
    <x v="0"/>
    <x v="2"/>
    <x v="1"/>
    <x v="3"/>
    <x v="2"/>
    <x v="6"/>
    <x v="0"/>
    <x v="3"/>
    <n v="1.2"/>
    <x v="4"/>
    <x v="1"/>
  </r>
  <r>
    <s v="PO-2026-00067"/>
    <s v="ORD-302215"/>
    <d v="2026-04-25T00:00:00"/>
    <d v="2026-05-13T00:00:00"/>
    <x v="50"/>
    <x v="14"/>
    <x v="14"/>
    <x v="10"/>
    <x v="3"/>
    <x v="5"/>
    <s v="SKU-RAW-952"/>
    <s v="Chemical Additive"/>
    <n v="492.51"/>
    <s v="ZAR"/>
    <n v="6.0999999999999999E-2"/>
    <n v="30.043109999999999"/>
    <n v="200"/>
    <s v=""/>
    <n v="98502"/>
    <s v=""/>
    <n v="8"/>
    <n v="0.04"/>
    <n v="14"/>
    <n v="14"/>
    <n v="18"/>
    <n v="18"/>
    <n v="-4"/>
    <n v="-4"/>
    <x v="2"/>
    <x v="0"/>
    <x v="3"/>
    <x v="3"/>
    <x v="0"/>
    <x v="6"/>
    <x v="1"/>
    <x v="0"/>
    <n v="3"/>
    <x v="2"/>
    <x v="4"/>
  </r>
  <r>
    <s v="PO-2026-00068"/>
    <s v="ORD-128886"/>
    <d v="2026-03-09T00:00:00"/>
    <d v="2026-03-23T00:00:00"/>
    <x v="41"/>
    <x v="0"/>
    <x v="0"/>
    <x v="0"/>
    <x v="6"/>
    <x v="1"/>
    <s v="SKU-ELE-106"/>
    <s v="LED Driver"/>
    <n v="1944.57"/>
    <s v="USD"/>
    <n v="1"/>
    <n v="1944.57"/>
    <n v="750"/>
    <n v="1458427.5"/>
    <n v="1458427.5"/>
    <n v="1458427.5"/>
    <n v="62"/>
    <n v="8.2699999999999996E-2"/>
    <n v="28"/>
    <n v="28"/>
    <n v="14"/>
    <n v="14"/>
    <n v="14"/>
    <n v="14"/>
    <x v="4"/>
    <x v="1"/>
    <x v="2"/>
    <x v="4"/>
    <x v="1"/>
    <x v="2"/>
    <x v="4"/>
    <x v="5"/>
    <n v="3.2"/>
    <x v="1"/>
    <x v="6"/>
  </r>
  <r>
    <s v="PO-2026-00069"/>
    <s v="ORD-655280"/>
    <d v="2026-05-20T00:00:00"/>
    <d v="2026-05-25T00:00:00"/>
    <x v="13"/>
    <x v="3"/>
    <x v="3"/>
    <x v="3"/>
    <x v="5"/>
    <x v="3"/>
    <s v="SKU-TEX-145"/>
    <s v="Uniform Material"/>
    <n v="654.76"/>
    <s v="KES"/>
    <n v="7.7000000000000002E-3"/>
    <n v="5.041652"/>
    <n v="75"/>
    <n v="49107"/>
    <n v="49107"/>
    <n v="378.12389999999999"/>
    <n v="0"/>
    <n v="0"/>
    <n v="11"/>
    <n v="11"/>
    <n v="5"/>
    <n v="5"/>
    <n v="6"/>
    <n v="6"/>
    <x v="1"/>
    <x v="0"/>
    <x v="1"/>
    <x v="2"/>
    <x v="1"/>
    <x v="2"/>
    <x v="2"/>
    <x v="0"/>
    <n v="2.4"/>
    <x v="5"/>
    <x v="0"/>
  </r>
  <r>
    <s v="PO-2026-00070"/>
    <s v="ORD-862526"/>
    <d v="2026-04-04T00:00:00"/>
    <d v="2026-04-23T00:00:00"/>
    <x v="51"/>
    <x v="7"/>
    <x v="7"/>
    <x v="6"/>
    <x v="7"/>
    <x v="6"/>
    <s v="SKU-MET-661"/>
    <s v="Copper Rod"/>
    <n v="1111.1400000000001"/>
    <s v="NGN"/>
    <n v="7.2999999999999996E-4"/>
    <n v="0.81113220000000008"/>
    <n v="150"/>
    <n v="166671"/>
    <n v="166671.00000000003"/>
    <n v="121.66982999999999"/>
    <n v="8"/>
    <n v="5.33E-2"/>
    <n v="22"/>
    <n v="22"/>
    <n v="19"/>
    <n v="19"/>
    <n v="3"/>
    <n v="3"/>
    <x v="3"/>
    <x v="1"/>
    <x v="0"/>
    <x v="2"/>
    <x v="0"/>
    <x v="2"/>
    <x v="1"/>
    <x v="2"/>
    <n v="2.1"/>
    <x v="2"/>
    <x v="1"/>
  </r>
  <r>
    <s v="PO-2026-00071"/>
    <s v="ORD-905279"/>
    <d v="2026-04-08T00:00:00"/>
    <d v="2026-04-15T00:00:00"/>
    <x v="52"/>
    <x v="10"/>
    <x v="10"/>
    <x v="2"/>
    <x v="0"/>
    <x v="2"/>
    <s v="SKU-IND-126"/>
    <s v="Safety Gloves"/>
    <n v="566.91"/>
    <s v="EGP"/>
    <n v="1.9E-2"/>
    <n v="10.771289999999999"/>
    <n v="1000"/>
    <n v="566910"/>
    <n v="566910"/>
    <n v="10771.289999999999"/>
    <n v="13"/>
    <n v="1.2999999999999999E-2"/>
    <n v="9"/>
    <n v="9"/>
    <n v="7"/>
    <n v="7"/>
    <n v="2"/>
    <n v="2"/>
    <x v="1"/>
    <x v="0"/>
    <x v="1"/>
    <x v="2"/>
    <x v="0"/>
    <x v="6"/>
    <x v="1"/>
    <x v="0"/>
    <n v="4.7"/>
    <x v="6"/>
    <x v="0"/>
  </r>
  <r>
    <s v="PO-2026-00072"/>
    <s v="ORD-173077"/>
    <d v="2026-02-21T00:00:00"/>
    <d v="2026-03-07T00:00:00"/>
    <x v="53"/>
    <x v="4"/>
    <x v="4"/>
    <x v="4"/>
    <x v="8"/>
    <x v="5"/>
    <s v="SKU-RAW-315"/>
    <s v="Agro Binder"/>
    <n v="220.12"/>
    <s v="USD"/>
    <n v="1"/>
    <n v="220.12"/>
    <n v="200"/>
    <n v="0"/>
    <n v="44024"/>
    <n v="0"/>
    <n v="0"/>
    <n v="0"/>
    <n v="20"/>
    <n v="20"/>
    <n v="14"/>
    <n v="14"/>
    <n v="6"/>
    <n v="6"/>
    <x v="4"/>
    <x v="0"/>
    <x v="1"/>
    <x v="4"/>
    <x v="1"/>
    <x v="6"/>
    <x v="5"/>
    <x v="0"/>
    <n v="2.6"/>
    <x v="1"/>
    <x v="9"/>
  </r>
  <r>
    <s v="PO-2026-00073"/>
    <s v="ORD-119658"/>
    <d v="2026-02-21T00:00:00"/>
    <d v="2026-02-28T00:00:00"/>
    <x v="54"/>
    <x v="12"/>
    <x v="12"/>
    <x v="2"/>
    <x v="5"/>
    <x v="6"/>
    <s v="SKU-MET-182"/>
    <s v="Rebar Bundle"/>
    <n v="926.37"/>
    <s v="GHS"/>
    <n v="8.8999999999999996E-2"/>
    <n v="82.446929999999995"/>
    <n v="750"/>
    <n v="694777.5"/>
    <n v="694777.5"/>
    <n v="61835.197499999995"/>
    <n v="11"/>
    <n v="1.47E-2"/>
    <n v="9"/>
    <n v="9"/>
    <n v="7"/>
    <n v="7"/>
    <n v="2"/>
    <n v="2"/>
    <x v="3"/>
    <x v="0"/>
    <x v="1"/>
    <x v="2"/>
    <x v="3"/>
    <x v="1"/>
    <x v="5"/>
    <x v="0"/>
    <n v="3.8"/>
    <x v="1"/>
    <x v="0"/>
  </r>
  <r>
    <s v="PO-2026-00074"/>
    <s v="ORD-696495"/>
    <d v="2026-06-16T00:00:00"/>
    <d v="2026-06-27T00:00:00"/>
    <x v="55"/>
    <x v="5"/>
    <x v="5"/>
    <x v="5"/>
    <x v="0"/>
    <x v="3"/>
    <s v="SKU-TEX-541"/>
    <s v="Polyester Roll"/>
    <n v="50.87"/>
    <s v="ZAR"/>
    <n v="6.0999999999999999E-2"/>
    <n v="3.1030699999999998"/>
    <n v="200"/>
    <n v="10174"/>
    <n v="10174"/>
    <n v="620.61400000000003"/>
    <n v="14"/>
    <n v="7.0000000000000007E-2"/>
    <n v="19"/>
    <n v="19"/>
    <n v="11"/>
    <n v="11"/>
    <n v="8"/>
    <n v="8"/>
    <x v="0"/>
    <x v="1"/>
    <x v="1"/>
    <x v="3"/>
    <x v="0"/>
    <x v="6"/>
    <x v="2"/>
    <x v="3"/>
    <n v="2"/>
    <x v="5"/>
    <x v="10"/>
  </r>
  <r>
    <s v="PO-2026-00075"/>
    <s v="ORD-796722"/>
    <d v="2026-01-04T00:00:00"/>
    <d v="2026-01-23T00:00:00"/>
    <x v="56"/>
    <x v="5"/>
    <x v="5"/>
    <x v="5"/>
    <x v="2"/>
    <x v="3"/>
    <s v="SKU-TEX-356"/>
    <s v="Polyester Roll"/>
    <n v="762.04"/>
    <s v="NGN"/>
    <n v="7.2999999999999996E-4"/>
    <n v="0.55628919999999993"/>
    <n v="75"/>
    <n v="57153"/>
    <n v="57153"/>
    <n v="41.721689999999995"/>
    <n v="4"/>
    <n v="5.33E-2"/>
    <n v="24"/>
    <n v="24"/>
    <n v="19"/>
    <n v="19"/>
    <n v="5"/>
    <n v="5"/>
    <x v="4"/>
    <x v="1"/>
    <x v="3"/>
    <x v="5"/>
    <x v="3"/>
    <x v="2"/>
    <x v="5"/>
    <x v="3"/>
    <n v="1.2"/>
    <x v="6"/>
    <x v="6"/>
  </r>
  <r>
    <s v="PO-2026-00076"/>
    <s v="ORD-871588"/>
    <d v="2026-04-30T00:00:00"/>
    <d v="2026-05-15T00:00:00"/>
    <x v="57"/>
    <x v="4"/>
    <x v="4"/>
    <x v="4"/>
    <x v="3"/>
    <x v="5"/>
    <s v="SKU-RAW-645"/>
    <s v="Agro Binder"/>
    <n v="174.82"/>
    <s v="KES"/>
    <n v="7.7000000000000002E-3"/>
    <n v="1.346114"/>
    <n v="300"/>
    <n v="52446"/>
    <n v="52446"/>
    <n v="403.83420000000001"/>
    <n v="1"/>
    <n v="3.3E-3"/>
    <n v="8"/>
    <n v="8"/>
    <n v="15"/>
    <n v="15"/>
    <n v="-7"/>
    <n v="-7"/>
    <x v="2"/>
    <x v="0"/>
    <x v="2"/>
    <x v="2"/>
    <x v="2"/>
    <x v="6"/>
    <x v="3"/>
    <x v="0"/>
    <n v="2.8"/>
    <x v="5"/>
    <x v="4"/>
  </r>
  <r>
    <s v="PO-2026-00077"/>
    <s v="ORD-542680"/>
    <d v="2026-05-14T00:00:00"/>
    <d v="2026-05-26T00:00:00"/>
    <x v="58"/>
    <x v="13"/>
    <x v="13"/>
    <x v="9"/>
    <x v="5"/>
    <x v="3"/>
    <s v="SKU-TEX-779"/>
    <s v="Polyester Roll"/>
    <s v=""/>
    <s v="USD"/>
    <n v="1"/>
    <s v=""/>
    <n v="75"/>
    <n v="61232.25"/>
    <e v="#VALUE!"/>
    <n v="61232.25"/>
    <n v="3"/>
    <n v="0.04"/>
    <n v="23"/>
    <n v="23"/>
    <n v="12"/>
    <n v="12"/>
    <n v="11"/>
    <n v="11"/>
    <x v="1"/>
    <x v="3"/>
    <x v="1"/>
    <x v="2"/>
    <x v="2"/>
    <x v="0"/>
    <x v="5"/>
    <x v="0"/>
    <n v="3.1"/>
    <x v="0"/>
    <x v="0"/>
  </r>
  <r>
    <s v="PO-2026-00078"/>
    <s v="ORD-887701"/>
    <d v="2026-05-08T00:00:00"/>
    <d v="2026-05-17T00:00:00"/>
    <x v="22"/>
    <x v="12"/>
    <x v="12"/>
    <x v="2"/>
    <x v="0"/>
    <x v="4"/>
    <s v="SKU-PAC-249"/>
    <s v="Plastic Film Roll"/>
    <n v="845.54"/>
    <s v="GHS"/>
    <n v="8.8999999999999996E-2"/>
    <n v="75.253059999999991"/>
    <n v="250"/>
    <n v="211385"/>
    <n v="211385"/>
    <n v="18813.264999999999"/>
    <n v="15"/>
    <n v="0.06"/>
    <n v="13"/>
    <n v="13"/>
    <n v="9"/>
    <n v="9"/>
    <n v="4"/>
    <n v="4"/>
    <x v="1"/>
    <x v="2"/>
    <x v="0"/>
    <x v="5"/>
    <x v="5"/>
    <x v="4"/>
    <x v="5"/>
    <x v="3"/>
    <n v="2.2000000000000002"/>
    <x v="4"/>
    <x v="1"/>
  </r>
  <r>
    <s v="PO-2026-00079"/>
    <s v="ORD-330695"/>
    <d v="2026-05-17T00:00:00"/>
    <d v="2026-05-26T00:00:00"/>
    <x v="9"/>
    <x v="6"/>
    <x v="6"/>
    <x v="1"/>
    <x v="8"/>
    <x v="1"/>
    <s v="SKU-ELE-609"/>
    <s v="Control Board"/>
    <n v="765.1"/>
    <s v="USD"/>
    <n v="1"/>
    <n v="765.1"/>
    <n v="250"/>
    <n v="191275"/>
    <n v="191275"/>
    <n v="191275"/>
    <n v="4"/>
    <n v="1.6E-2"/>
    <n v="21"/>
    <n v="21"/>
    <n v="9"/>
    <n v="9"/>
    <n v="12"/>
    <n v="12"/>
    <x v="4"/>
    <x v="0"/>
    <x v="0"/>
    <x v="3"/>
    <x v="1"/>
    <x v="5"/>
    <x v="3"/>
    <x v="0"/>
    <n v="4"/>
    <x v="0"/>
    <x v="0"/>
  </r>
  <r>
    <s v="PO-2026-00080"/>
    <s v="ORD-273658"/>
    <d v="2026-04-01T00:00:00"/>
    <d v="2026-04-16T00:00:00"/>
    <x v="59"/>
    <x v="14"/>
    <x v="14"/>
    <x v="10"/>
    <x v="5"/>
    <x v="0"/>
    <s v="SKU-MAC-953"/>
    <s v="Conveyor Belt"/>
    <n v="2573.38"/>
    <s v="KES"/>
    <n v="7.7000000000000002E-3"/>
    <n v="19.815026000000003"/>
    <n v="1500"/>
    <n v="3860070"/>
    <n v="3860070"/>
    <n v="29722.539000000001"/>
    <n v="63"/>
    <n v="4.2000000000000003E-2"/>
    <n v="22"/>
    <n v="22"/>
    <n v="15"/>
    <n v="15"/>
    <n v="7"/>
    <n v="7"/>
    <x v="4"/>
    <x v="2"/>
    <x v="2"/>
    <x v="3"/>
    <x v="5"/>
    <x v="6"/>
    <x v="2"/>
    <x v="1"/>
    <n v="2.7"/>
    <x v="3"/>
    <x v="6"/>
  </r>
  <r>
    <s v="PO-2026-00081"/>
    <s v="ORD-575754"/>
    <d v="2026-02-24T00:00:00"/>
    <d v="2026-03-10T00:00:00"/>
    <x v="60"/>
    <x v="14"/>
    <x v="14"/>
    <x v="10"/>
    <x v="5"/>
    <x v="5"/>
    <s v="SKU-RAW-364"/>
    <s v="Polymer Resin"/>
    <n v="378.31"/>
    <s v="NGN"/>
    <n v="7.2999999999999996E-4"/>
    <n v="0.27616629999999998"/>
    <n v="100"/>
    <n v="37831"/>
    <n v="37831"/>
    <n v="27.616629999999997"/>
    <n v="5"/>
    <n v="0.05"/>
    <n v="20"/>
    <n v="20"/>
    <n v="14"/>
    <n v="14"/>
    <n v="6"/>
    <n v="6"/>
    <x v="0"/>
    <x v="2"/>
    <x v="1"/>
    <x v="0"/>
    <x v="1"/>
    <x v="4"/>
    <x v="3"/>
    <x v="3"/>
    <n v="2.7"/>
    <x v="1"/>
    <x v="1"/>
  </r>
  <r>
    <s v="PO-2026-00082"/>
    <s v="ORD-305839"/>
    <d v="2026-02-05T00:00:00"/>
    <d v="2026-03-01T00:00:00"/>
    <x v="61"/>
    <x v="13"/>
    <x v="13"/>
    <x v="9"/>
    <x v="7"/>
    <x v="3"/>
    <s v="SKU-TEX-369"/>
    <s v="Label Tape"/>
    <n v="590.41999999999996"/>
    <s v="GHS"/>
    <n v="8.8999999999999996E-2"/>
    <n v="52.547379999999997"/>
    <n v="150"/>
    <n v="88563"/>
    <n v="88563"/>
    <n v="7882.107"/>
    <n v="10"/>
    <n v="6.6699999999999995E-2"/>
    <n v="20"/>
    <n v="20"/>
    <n v="24"/>
    <n v="24"/>
    <n v="-4"/>
    <n v="-4"/>
    <x v="2"/>
    <x v="4"/>
    <x v="2"/>
    <x v="3"/>
    <x v="1"/>
    <x v="2"/>
    <x v="0"/>
    <x v="1"/>
    <n v="1.6"/>
    <x v="6"/>
    <x v="8"/>
  </r>
  <r>
    <s v="PO-2026-00083"/>
    <s v="ORD-306086"/>
    <d v="2026-02-19T00:00:00"/>
    <d v="2026-02-28T00:00:00"/>
    <x v="54"/>
    <x v="3"/>
    <x v="3"/>
    <x v="3"/>
    <x v="8"/>
    <x v="4"/>
    <s v="SKU-PAC-468"/>
    <s v="Shipping Carton"/>
    <n v="418.25"/>
    <s v="ZAR"/>
    <n v="6.0999999999999999E-2"/>
    <n v="25.513249999999999"/>
    <n v="1500"/>
    <n v="627375"/>
    <n v="627375"/>
    <n v="38269.875"/>
    <n v="15"/>
    <n v="0.01"/>
    <n v="11"/>
    <n v="11"/>
    <n v="9"/>
    <n v="9"/>
    <n v="2"/>
    <n v="2"/>
    <x v="3"/>
    <x v="0"/>
    <x v="1"/>
    <x v="1"/>
    <x v="1"/>
    <x v="6"/>
    <x v="2"/>
    <x v="0"/>
    <n v="5"/>
    <x v="4"/>
    <x v="0"/>
  </r>
  <r>
    <s v="PO-2026-00084"/>
    <s v="ORD-566941"/>
    <d v="2026-06-21T00:00:00"/>
    <d v="2026-07-06T00:00:00"/>
    <x v="62"/>
    <x v="1"/>
    <x v="1"/>
    <x v="1"/>
    <x v="0"/>
    <x v="1"/>
    <s v="SKU-ELE-699"/>
    <s v="LED Driver"/>
    <n v="2522.6799999999998"/>
    <s v="USD"/>
    <n v="1"/>
    <n v="2522.6799999999998"/>
    <n v="2000"/>
    <n v="5045360"/>
    <n v="5045360"/>
    <n v="5045360"/>
    <n v="78"/>
    <n v="3.9E-2"/>
    <n v="28"/>
    <n v="28"/>
    <n v="15"/>
    <n v="15"/>
    <n v="13"/>
    <n v="13"/>
    <x v="4"/>
    <x v="0"/>
    <x v="1"/>
    <x v="1"/>
    <x v="1"/>
    <x v="3"/>
    <x v="2"/>
    <x v="0"/>
    <n v="2.1"/>
    <x v="5"/>
    <x v="0"/>
  </r>
  <r>
    <s v="PO-2026-00085"/>
    <s v="ORD-844455"/>
    <d v="2026-05-20T00:00:00"/>
    <d v="2026-05-31T00:00:00"/>
    <x v="63"/>
    <x v="12"/>
    <x v="12"/>
    <x v="2"/>
    <x v="1"/>
    <x v="4"/>
    <s v="SKU-PAC-527"/>
    <s v="Bottle Caps"/>
    <n v="66.13"/>
    <s v="GHS"/>
    <n v="8.8999999999999996E-2"/>
    <n v="5.8855699999999995"/>
    <n v="100"/>
    <n v="6613"/>
    <n v="6613"/>
    <n v="588.55700000000002"/>
    <n v="4"/>
    <n v="0.04"/>
    <n v="12"/>
    <n v="12"/>
    <n v="11"/>
    <n v="11"/>
    <n v="1"/>
    <n v="1"/>
    <x v="3"/>
    <x v="0"/>
    <x v="1"/>
    <x v="1"/>
    <x v="5"/>
    <x v="1"/>
    <x v="1"/>
    <x v="0"/>
    <n v="4.5999999999999996"/>
    <x v="6"/>
    <x v="0"/>
  </r>
  <r>
    <s v="PO-2026-00086"/>
    <s v="ORD-525335"/>
    <d v="2026-02-22T00:00:00"/>
    <d v="2026-03-13T00:00:00"/>
    <x v="64"/>
    <x v="13"/>
    <x v="13"/>
    <x v="9"/>
    <x v="2"/>
    <x v="5"/>
    <s v="SKU-RAW-710"/>
    <s v="Chemical Additive"/>
    <n v="549.09"/>
    <s v="NGN"/>
    <n v="7.2999999999999996E-4"/>
    <n v="0.40083570000000002"/>
    <n v="75"/>
    <s v=""/>
    <n v="41181.75"/>
    <s v=""/>
    <n v="1"/>
    <n v="1.3299999999999999E-2"/>
    <n v="15"/>
    <n v="15"/>
    <n v="19"/>
    <n v="19"/>
    <n v="-4"/>
    <n v="-4"/>
    <x v="2"/>
    <x v="0"/>
    <x v="4"/>
    <x v="2"/>
    <x v="4"/>
    <x v="3"/>
    <x v="4"/>
    <x v="0"/>
    <n v="3.1"/>
    <x v="6"/>
    <x v="4"/>
  </r>
  <r>
    <s v="PO-2026-00087"/>
    <s v="ORD-491744"/>
    <d v="2026-02-05T00:00:00"/>
    <d v="2026-02-11T00:00:00"/>
    <x v="38"/>
    <x v="9"/>
    <x v="9"/>
    <x v="2"/>
    <x v="8"/>
    <x v="4"/>
    <s v="SKU-PAC-309"/>
    <s v="Shipping Carton"/>
    <n v="100.73"/>
    <s v="GHS"/>
    <n v="8.8999999999999996E-2"/>
    <n v="8.9649699999999992"/>
    <n v="150"/>
    <n v="15109.5"/>
    <n v="15109.5"/>
    <n v="1344.7455"/>
    <n v="1"/>
    <n v="6.7000000000000002E-3"/>
    <n v="7"/>
    <n v="7"/>
    <n v="6"/>
    <n v="6"/>
    <n v="1"/>
    <n v="1"/>
    <x v="1"/>
    <x v="0"/>
    <x v="0"/>
    <x v="0"/>
    <x v="3"/>
    <x v="3"/>
    <x v="2"/>
    <x v="0"/>
    <n v="4.5"/>
    <x v="2"/>
    <x v="0"/>
  </r>
  <r>
    <s v="PO-2026-00088"/>
    <s v="ORD-137293"/>
    <d v="2026-03-07T00:00:00"/>
    <d v="2026-03-16T00:00:00"/>
    <x v="17"/>
    <x v="11"/>
    <x v="11"/>
    <x v="8"/>
    <x v="6"/>
    <x v="5"/>
    <s v="SKU-RAW-780"/>
    <s v="Input Granules"/>
    <n v="669.06"/>
    <s v="NGN"/>
    <n v="7.2999999999999996E-4"/>
    <n v="0.48841379999999995"/>
    <n v="150"/>
    <n v="100359"/>
    <n v="100358.99999999999"/>
    <n v="73.262069999999994"/>
    <n v="12"/>
    <n v="0.08"/>
    <n v="-2"/>
    <n v="-2"/>
    <n v="9"/>
    <n v="9"/>
    <n v="-11"/>
    <n v="-11"/>
    <x v="6"/>
    <x v="1"/>
    <x v="1"/>
    <x v="5"/>
    <x v="0"/>
    <x v="3"/>
    <x v="1"/>
    <x v="3"/>
    <n v="1.5"/>
    <x v="6"/>
    <x v="3"/>
  </r>
  <r>
    <s v="PO-2026-00089"/>
    <s v="ORD-863842"/>
    <d v="2026-05-27T00:00:00"/>
    <d v="2026-06-18T00:00:00"/>
    <x v="4"/>
    <x v="5"/>
    <x v="5"/>
    <x v="5"/>
    <x v="1"/>
    <x v="1"/>
    <s v="SKU-ELE-202"/>
    <s v="Sensor Module"/>
    <n v="1217.06"/>
    <s v="ZAR"/>
    <n v="6.0999999999999999E-2"/>
    <n v="74.240659999999991"/>
    <n v="100"/>
    <n v="121706"/>
    <n v="121706"/>
    <n v="7424.0659999999998"/>
    <n v="8"/>
    <n v="0.08"/>
    <n v="16"/>
    <n v="16"/>
    <n v="22"/>
    <n v="22"/>
    <n v="-6"/>
    <n v="-6"/>
    <x v="2"/>
    <x v="4"/>
    <x v="1"/>
    <x v="3"/>
    <x v="5"/>
    <x v="6"/>
    <x v="2"/>
    <x v="4"/>
    <n v="1.2"/>
    <x v="6"/>
    <x v="3"/>
  </r>
  <r>
    <s v="PO-2026-00090"/>
    <s v="ORD-641131"/>
    <d v="2026-04-20T00:00:00"/>
    <d v="2026-05-07T00:00:00"/>
    <x v="65"/>
    <x v="5"/>
    <x v="5"/>
    <x v="1"/>
    <x v="5"/>
    <x v="3"/>
    <s v="SKU-TEX-884"/>
    <s v="Uniform Material"/>
    <n v="459.96"/>
    <s v="KES"/>
    <n v="7.7000000000000002E-3"/>
    <n v="3.5416919999999998"/>
    <n v="1000"/>
    <n v="459960"/>
    <n v="459960"/>
    <n v="3541.692"/>
    <n v="26"/>
    <n v="2.5999999999999999E-2"/>
    <n v="30"/>
    <n v="30"/>
    <n v="17"/>
    <n v="17"/>
    <n v="13"/>
    <n v="13"/>
    <x v="0"/>
    <x v="0"/>
    <x v="0"/>
    <x v="4"/>
    <x v="2"/>
    <x v="1"/>
    <x v="2"/>
    <x v="0"/>
    <n v="1.7"/>
    <x v="5"/>
    <x v="0"/>
  </r>
  <r>
    <s v="PO-2026-00091"/>
    <s v="ORD-674114"/>
    <d v="2026-01-07T00:00:00"/>
    <d v="2026-01-14T00:00:00"/>
    <x v="28"/>
    <x v="4"/>
    <x v="4"/>
    <x v="4"/>
    <x v="3"/>
    <x v="2"/>
    <s v="SKU-IND-452"/>
    <s v="Lubricant Drum"/>
    <n v="384.61"/>
    <s v="GHS"/>
    <n v="8.8999999999999996E-2"/>
    <n v="34.230289999999997"/>
    <n v="200"/>
    <s v=""/>
    <n v="76922"/>
    <s v=""/>
    <n v="3"/>
    <n v="1.4999999999999999E-2"/>
    <n v="17"/>
    <n v="17"/>
    <n v="7"/>
    <n v="7"/>
    <n v="10"/>
    <m/>
    <x v="1"/>
    <x v="0"/>
    <x v="2"/>
    <x v="0"/>
    <x v="4"/>
    <x v="0"/>
    <x v="5"/>
    <x v="0"/>
    <n v="1.3"/>
    <x v="2"/>
    <x v="5"/>
  </r>
  <r>
    <s v="PO-2026-00092"/>
    <s v="ORD-792581"/>
    <d v="2026-03-29T00:00:00"/>
    <d v="2026-04-13T00:00:00"/>
    <x v="66"/>
    <x v="5"/>
    <x v="5"/>
    <x v="5"/>
    <x v="1"/>
    <x v="3"/>
    <s v="SKU-TEX-216"/>
    <s v="Polyester Roll"/>
    <n v="708.45"/>
    <s v="USD"/>
    <n v="1"/>
    <n v="708.45"/>
    <n v="100"/>
    <n v="70845"/>
    <n v="70845"/>
    <n v="70845"/>
    <n v="8"/>
    <n v="0.08"/>
    <n v="20"/>
    <n v="20"/>
    <n v="15"/>
    <n v="15"/>
    <n v="5"/>
    <n v="5"/>
    <x v="0"/>
    <x v="1"/>
    <x v="3"/>
    <x v="3"/>
    <x v="2"/>
    <x v="0"/>
    <x v="2"/>
    <x v="5"/>
    <n v="1.9"/>
    <x v="6"/>
    <x v="6"/>
  </r>
  <r>
    <s v="PO-2026-00093"/>
    <s v="ORD-464395"/>
    <d v="2026-05-27T00:00:00"/>
    <d v="2026-06-11T00:00:00"/>
    <x v="67"/>
    <x v="3"/>
    <x v="3"/>
    <x v="3"/>
    <x v="4"/>
    <x v="1"/>
    <s v="SKU-ELE-244"/>
    <s v="LED Driver"/>
    <n v="1304.82"/>
    <s v="KES"/>
    <n v="7.7000000000000002E-3"/>
    <n v="10.047114000000001"/>
    <n v="1000"/>
    <n v="1304820"/>
    <n v="1304820"/>
    <n v="10047.114"/>
    <n v="12"/>
    <n v="1.2E-2"/>
    <n v="22"/>
    <n v="22"/>
    <n v="15"/>
    <n v="15"/>
    <n v="7"/>
    <m/>
    <x v="4"/>
    <x v="0"/>
    <x v="1"/>
    <x v="5"/>
    <x v="2"/>
    <x v="1"/>
    <x v="2"/>
    <x v="0"/>
    <n v="3.1"/>
    <x v="4"/>
    <x v="0"/>
  </r>
  <r>
    <s v="PO-2026-00094"/>
    <s v="ORD-492610"/>
    <d v="2026-05-15T00:00:00"/>
    <d v="2026-05-29T00:00:00"/>
    <x v="58"/>
    <x v="14"/>
    <x v="14"/>
    <x v="10"/>
    <x v="2"/>
    <x v="3"/>
    <s v="SKU-TEX-284"/>
    <s v="Polyester Roll"/>
    <n v="273.17"/>
    <s v="GHS"/>
    <n v="8.8999999999999996E-2"/>
    <n v="24.31213"/>
    <n v="150"/>
    <n v="40975.5"/>
    <n v="40975.5"/>
    <n v="3646.8194999999996"/>
    <n v="9"/>
    <n v="0.06"/>
    <n v="22"/>
    <n v="22"/>
    <n v="14"/>
    <n v="14"/>
    <n v="8"/>
    <n v="8"/>
    <x v="4"/>
    <x v="2"/>
    <x v="1"/>
    <x v="5"/>
    <x v="2"/>
    <x v="6"/>
    <x v="2"/>
    <x v="1"/>
    <n v="3.3"/>
    <x v="2"/>
    <x v="1"/>
  </r>
  <r>
    <s v="PO-2026-00026"/>
    <s v="ORD-792815"/>
    <d v="2026-03-12T00:00:00"/>
    <d v="2026-03-16T00:00:00"/>
    <x v="68"/>
    <x v="10"/>
    <x v="10"/>
    <x v="2"/>
    <x v="1"/>
    <x v="6"/>
    <s v="SKU-MET-990"/>
    <s v="Steel Coil"/>
    <n v="2775.85"/>
    <s v="KES"/>
    <n v="7.7000000000000002E-3"/>
    <n v="21.374044999999999"/>
    <n v="2000"/>
    <n v="5551700"/>
    <n v="5551700"/>
    <n v="42748.090000000004"/>
    <n v="50"/>
    <n v="2.5000000000000001E-2"/>
    <n v="16"/>
    <n v="16"/>
    <n v="4"/>
    <n v="4"/>
    <n v="12"/>
    <n v="12"/>
    <x v="4"/>
    <x v="0"/>
    <x v="3"/>
    <x v="3"/>
    <x v="4"/>
    <x v="4"/>
    <x v="4"/>
    <x v="0"/>
    <n v="3.1"/>
    <x v="1"/>
    <x v="5"/>
  </r>
  <r>
    <s v="PO-2026-00096"/>
    <s v="ORD-392182"/>
    <d v="2026-06-30T00:00:00"/>
    <d v="2026-07-19T00:00:00"/>
    <x v="69"/>
    <x v="7"/>
    <x v="7"/>
    <x v="6"/>
    <x v="2"/>
    <x v="2"/>
    <s v="SKU-IND-511"/>
    <s v="Filter Cartridge"/>
    <n v="835.05"/>
    <s v="EGP"/>
    <n v="1.9E-2"/>
    <n v="15.865949999999998"/>
    <n v="500"/>
    <n v="417525"/>
    <n v="417525"/>
    <n v="7932.9749999999995"/>
    <n v="12"/>
    <n v="2.4E-2"/>
    <n v="17"/>
    <n v="17"/>
    <n v="19"/>
    <n v="19"/>
    <n v="-2"/>
    <n v="-2"/>
    <x v="2"/>
    <x v="0"/>
    <x v="2"/>
    <x v="3"/>
    <x v="3"/>
    <x v="1"/>
    <x v="4"/>
    <x v="0"/>
    <n v="3.2"/>
    <x v="0"/>
    <x v="4"/>
  </r>
  <r>
    <s v="PO-2026-00097"/>
    <s v="ORD-626891"/>
    <d v="2026-03-01T00:00:00"/>
    <d v="2026-03-26T00:00:00"/>
    <x v="18"/>
    <x v="0"/>
    <x v="0"/>
    <x v="0"/>
    <x v="8"/>
    <x v="2"/>
    <s v="SKU-IND-332"/>
    <s v="Filter Cartridge"/>
    <n v="613.12"/>
    <s v="NGN"/>
    <n v="7.2999999999999996E-4"/>
    <n v="0.44757759999999996"/>
    <s v=""/>
    <n v="613120"/>
    <e v="#VALUE!"/>
    <n v="447.57759999999996"/>
    <n v="33"/>
    <n v="3.3000000000000002E-2"/>
    <n v="17"/>
    <n v="17"/>
    <n v="25"/>
    <n v="25"/>
    <n v="-8"/>
    <n v="-8"/>
    <x v="2"/>
    <x v="0"/>
    <x v="2"/>
    <x v="0"/>
    <x v="2"/>
    <x v="0"/>
    <x v="3"/>
    <x v="0"/>
    <n v="4.5"/>
    <x v="3"/>
    <x v="4"/>
  </r>
  <r>
    <s v="PO-2026-00098"/>
    <s v="ORD-324311"/>
    <d v="2026-04-18T00:00:00"/>
    <d v="2026-04-25T00:00:00"/>
    <x v="70"/>
    <x v="2"/>
    <x v="2"/>
    <x v="2"/>
    <x v="5"/>
    <x v="4"/>
    <s v="SKU-PAC-781"/>
    <s v="Bottle Caps"/>
    <n v="577.04"/>
    <s v="USD"/>
    <n v="1"/>
    <n v="577.04"/>
    <s v=""/>
    <n v="0"/>
    <e v="#VALUE!"/>
    <n v="0"/>
    <n v="30"/>
    <n v="0.04"/>
    <n v="10"/>
    <n v="10"/>
    <n v="7"/>
    <n v="7"/>
    <n v="3"/>
    <n v="3"/>
    <x v="3"/>
    <x v="0"/>
    <x v="1"/>
    <x v="5"/>
    <x v="3"/>
    <x v="2"/>
    <x v="2"/>
    <x v="0"/>
    <n v="2.5"/>
    <x v="5"/>
    <x v="0"/>
  </r>
  <r>
    <s v="PO-2026-00099"/>
    <s v="ORD-765302"/>
    <d v="2026-03-10T00:00:00"/>
    <d v="2026-03-23T00:00:00"/>
    <x v="71"/>
    <x v="4"/>
    <x v="4"/>
    <x v="4"/>
    <x v="8"/>
    <x v="0"/>
    <s v="SKU-MAC-561"/>
    <s v="Gear Assembly"/>
    <n v="371.15"/>
    <s v="KES"/>
    <n v="7.7000000000000002E-3"/>
    <n v="2.8578549999999998"/>
    <n v="300"/>
    <n v="111345"/>
    <n v="111345"/>
    <n v="857.35649999999998"/>
    <n v="9"/>
    <n v="0.03"/>
    <n v="11"/>
    <n v="11"/>
    <n v="13"/>
    <n v="13"/>
    <n v="-2"/>
    <n v="-2"/>
    <x v="2"/>
    <x v="0"/>
    <x v="1"/>
    <x v="4"/>
    <x v="3"/>
    <x v="0"/>
    <x v="2"/>
    <x v="0"/>
    <n v="4.9000000000000004"/>
    <x v="4"/>
    <x v="2"/>
  </r>
  <r>
    <s v="PO-2026-00100"/>
    <s v="ORD-829773"/>
    <d v="2026-05-14T00:00:00"/>
    <d v="2026-06-07T00:00:00"/>
    <x v="72"/>
    <x v="7"/>
    <x v="7"/>
    <x v="6"/>
    <x v="5"/>
    <x v="2"/>
    <s v="SKU-IND-547"/>
    <s v="Safety Gloves"/>
    <n v="260.92"/>
    <s v="KES"/>
    <n v="7.7000000000000002E-3"/>
    <n v="2.0090840000000001"/>
    <n v="750"/>
    <s v=""/>
    <n v="195690"/>
    <s v=""/>
    <n v="24"/>
    <n v="3.2000000000000001E-2"/>
    <n v="-5"/>
    <n v="22"/>
    <n v="24"/>
    <n v="24"/>
    <n v="-2"/>
    <n v="-2"/>
    <x v="5"/>
    <x v="0"/>
    <x v="1"/>
    <x v="1"/>
    <x v="5"/>
    <x v="6"/>
    <x v="2"/>
    <x v="0"/>
    <n v="2.2999999999999998"/>
    <x v="3"/>
    <x v="2"/>
  </r>
  <r>
    <s v="PO-2026-00101"/>
    <s v="ORD-445539"/>
    <d v="2026-04-18T00:00:00"/>
    <d v="2026-05-08T00:00:00"/>
    <x v="73"/>
    <x v="0"/>
    <x v="0"/>
    <x v="0"/>
    <x v="8"/>
    <x v="0"/>
    <s v="SKU-MAC-498"/>
    <s v="Bearing Set"/>
    <n v="48.22"/>
    <s v="NGN"/>
    <n v="7.2999999999999996E-4"/>
    <n v="3.5200599999999999E-2"/>
    <n v="75"/>
    <n v="3616.5"/>
    <n v="3616.5"/>
    <n v="2.6400449999999998"/>
    <n v="1"/>
    <n v="1.3299999999999999E-2"/>
    <n v="23"/>
    <n v="23"/>
    <n v="20"/>
    <n v="20"/>
    <n v="3"/>
    <n v="3"/>
    <x v="3"/>
    <x v="0"/>
    <x v="0"/>
    <x v="0"/>
    <x v="0"/>
    <x v="2"/>
    <x v="3"/>
    <x v="0"/>
    <n v="3.8"/>
    <x v="6"/>
    <x v="0"/>
  </r>
  <r>
    <s v="PO-2026-00102"/>
    <s v="ORD-763327"/>
    <d v="2026-02-17T00:00:00"/>
    <d v="2026-03-05T00:00:00"/>
    <x v="15"/>
    <x v="13"/>
    <x v="13"/>
    <x v="9"/>
    <x v="2"/>
    <x v="3"/>
    <s v="SKU-TEX-228"/>
    <s v="Uniform Material"/>
    <n v="742.53"/>
    <s v="ZAR"/>
    <n v="6.0999999999999999E-2"/>
    <n v="45.294329999999995"/>
    <n v="750"/>
    <n v="556897.5"/>
    <n v="556897.5"/>
    <n v="33970.747499999998"/>
    <n v="8"/>
    <n v="1.0699999999999999E-2"/>
    <n v="22"/>
    <n v="22"/>
    <n v="16"/>
    <n v="16"/>
    <n v="6"/>
    <n v="6"/>
    <x v="0"/>
    <x v="0"/>
    <x v="0"/>
    <x v="1"/>
    <x v="3"/>
    <x v="5"/>
    <x v="5"/>
    <x v="0"/>
    <n v="2.4"/>
    <x v="6"/>
    <x v="0"/>
  </r>
  <r>
    <s v="PO-2026-00103"/>
    <s v="ORD-659181"/>
    <d v="2026-01-03T00:00:00"/>
    <d v="2026-01-22T00:00:00"/>
    <x v="28"/>
    <x v="5"/>
    <x v="5"/>
    <x v="5"/>
    <x v="7"/>
    <x v="1"/>
    <s v="SKU-ELE-794"/>
    <s v="LED Driver"/>
    <n v="3304.33"/>
    <s v="GHS"/>
    <n v="8.8999999999999996E-2"/>
    <n v="294.08536999999995"/>
    <n v="200"/>
    <n v="660866"/>
    <n v="660866"/>
    <n v="58817.074000000001"/>
    <n v="8"/>
    <n v="0.04"/>
    <n v="21"/>
    <n v="21"/>
    <n v="19"/>
    <n v="19"/>
    <n v="2"/>
    <n v="2"/>
    <x v="3"/>
    <x v="0"/>
    <x v="1"/>
    <x v="3"/>
    <x v="3"/>
    <x v="6"/>
    <x v="0"/>
    <x v="0"/>
    <n v="2.2000000000000002"/>
    <x v="2"/>
    <x v="0"/>
  </r>
  <r>
    <s v="PO-2026-00104"/>
    <s v="ORD-346784"/>
    <d v="2026-06-07T00:00:00"/>
    <d v="2026-06-13T00:00:00"/>
    <x v="74"/>
    <x v="10"/>
    <x v="10"/>
    <x v="2"/>
    <x v="8"/>
    <x v="0"/>
    <s v="SKU-MAC-973"/>
    <s v="Gear Assembly"/>
    <n v="3792.89"/>
    <s v="EGP"/>
    <n v="1.9E-2"/>
    <n v="72.064909999999998"/>
    <n v="1500"/>
    <n v="5689335"/>
    <n v="5689335"/>
    <n v="108097.36499999999"/>
    <n v="0"/>
    <n v="0"/>
    <n v="13"/>
    <n v="13"/>
    <n v="6"/>
    <n v="6"/>
    <n v="7"/>
    <n v="7"/>
    <x v="4"/>
    <x v="0"/>
    <x v="1"/>
    <x v="1"/>
    <x v="3"/>
    <x v="2"/>
    <x v="0"/>
    <x v="0"/>
    <n v="2.2000000000000002"/>
    <x v="5"/>
    <x v="0"/>
  </r>
  <r>
    <s v="PO-2026-00105"/>
    <s v="ORD-387776"/>
    <d v="2026-02-05T00:00:00"/>
    <d v="2026-02-17T00:00:00"/>
    <x v="75"/>
    <x v="4"/>
    <x v="4"/>
    <x v="4"/>
    <x v="8"/>
    <x v="0"/>
    <s v="SKU-MAC-550"/>
    <s v="Hydraulic Hose"/>
    <n v="1630.49"/>
    <s v="ZAR"/>
    <n v="6.0999999999999999E-2"/>
    <n v="99.459890000000001"/>
    <n v="300"/>
    <n v="489147"/>
    <n v="489147"/>
    <n v="29837.967000000001"/>
    <n v="6"/>
    <n v="0.02"/>
    <n v="18"/>
    <n v="18"/>
    <n v="12"/>
    <n v="12"/>
    <n v="6"/>
    <n v="6"/>
    <x v="4"/>
    <x v="3"/>
    <x v="4"/>
    <x v="0"/>
    <x v="3"/>
    <x v="4"/>
    <x v="1"/>
    <x v="0"/>
    <n v="-1"/>
    <x v="5"/>
    <x v="5"/>
  </r>
  <r>
    <s v="PO-2026-00106"/>
    <s v="ORD-468451"/>
    <d v="2026-03-20T00:00:00"/>
    <d v="2026-04-06T00:00:00"/>
    <x v="76"/>
    <x v="14"/>
    <x v="14"/>
    <x v="10"/>
    <x v="6"/>
    <x v="5"/>
    <s v="SKU-RAW-986"/>
    <s v="Chemical Additive"/>
    <n v="265.45999999999998"/>
    <s v="KES"/>
    <n v="7.7000000000000002E-3"/>
    <n v="2.0440419999999997"/>
    <n v="150"/>
    <n v="39819"/>
    <n v="39819"/>
    <n v="306.60630000000003"/>
    <n v="5"/>
    <n v="3.3300000000000003E-2"/>
    <n v="18"/>
    <n v="18"/>
    <n v="17"/>
    <n v="17"/>
    <n v="1"/>
    <n v="1"/>
    <x v="1"/>
    <x v="0"/>
    <x v="0"/>
    <x v="0"/>
    <x v="0"/>
    <x v="5"/>
    <x v="0"/>
    <x v="0"/>
    <n v="2.9"/>
    <x v="2"/>
    <x v="0"/>
  </r>
  <r>
    <s v="PO-2026-00107"/>
    <s v="ORD-238229"/>
    <d v="2026-05-08T00:00:00"/>
    <d v="2026-05-21T00:00:00"/>
    <x v="65"/>
    <x v="11"/>
    <x v="11"/>
    <x v="8"/>
    <x v="0"/>
    <x v="5"/>
    <s v="SKU-RAW-546"/>
    <s v="Polymer Resin"/>
    <n v="555.45000000000005"/>
    <s v="GHS"/>
    <n v="8.8999999999999996E-2"/>
    <n v="49.435050000000004"/>
    <n v="250"/>
    <n v="138862.5"/>
    <n v="138862.5"/>
    <n v="12358.762499999999"/>
    <n v="0"/>
    <n v="0"/>
    <n v="12"/>
    <n v="12"/>
    <n v="13"/>
    <n v="13"/>
    <n v="-1"/>
    <n v="-1"/>
    <x v="5"/>
    <x v="0"/>
    <x v="0"/>
    <x v="0"/>
    <x v="4"/>
    <x v="0"/>
    <x v="0"/>
    <x v="0"/>
    <n v="2.8"/>
    <x v="2"/>
    <x v="2"/>
  </r>
  <r>
    <s v="PO-2026-00108"/>
    <s v="ORD-903981"/>
    <d v="2026-04-17T00:00:00"/>
    <d v="2026-04-21T00:00:00"/>
    <x v="77"/>
    <x v="12"/>
    <x v="12"/>
    <x v="2"/>
    <x v="8"/>
    <x v="4"/>
    <s v="SKU-PAC-751"/>
    <s v="Shipping Carton"/>
    <n v="731.64"/>
    <s v="NGN"/>
    <n v="7.2999999999999996E-4"/>
    <n v="0.53409719999999994"/>
    <n v="2000"/>
    <n v="1463280"/>
    <n v="1463280"/>
    <n v="1068.1943999999999"/>
    <m/>
    <n v="0"/>
    <n v="-3"/>
    <n v="-3"/>
    <n v="4"/>
    <n v="4"/>
    <n v="-7"/>
    <n v="-7"/>
    <x v="6"/>
    <x v="0"/>
    <x v="1"/>
    <x v="0"/>
    <x v="3"/>
    <x v="2"/>
    <x v="3"/>
    <x v="0"/>
    <n v="4.5999999999999996"/>
    <x v="0"/>
    <x v="2"/>
  </r>
  <r>
    <s v="PO-2026-00109"/>
    <s v="ORD-238121"/>
    <d v="2026-06-27T00:00:00"/>
    <d v="2026-07-03T00:00:00"/>
    <x v="78"/>
    <x v="9"/>
    <x v="9"/>
    <x v="2"/>
    <x v="4"/>
    <x v="6"/>
    <s v="SKU-MET-195"/>
    <s v="Aluminium Sheet"/>
    <n v="770.28"/>
    <s v="NGN"/>
    <n v="7.2999999999999996E-4"/>
    <n v="0.56230439999999993"/>
    <n v="1000"/>
    <n v="770280"/>
    <n v="770280"/>
    <n v="562.30439999999999"/>
    <n v="14"/>
    <n v="1.4E-2"/>
    <n v="3"/>
    <n v="3"/>
    <n v="6"/>
    <n v="6"/>
    <n v="-3"/>
    <n v="-3"/>
    <x v="2"/>
    <x v="0"/>
    <x v="0"/>
    <x v="3"/>
    <x v="4"/>
    <x v="4"/>
    <x v="0"/>
    <x v="0"/>
    <n v="2.5"/>
    <x v="2"/>
    <x v="2"/>
  </r>
  <r>
    <s v="PO-2026-00110"/>
    <s v="ORD-912447"/>
    <d v="2026-06-20T00:00:00"/>
    <d v="2026-07-04T00:00:00"/>
    <x v="79"/>
    <x v="14"/>
    <x v="14"/>
    <x v="10"/>
    <x v="8"/>
    <x v="5"/>
    <s v="SKU-RAW-171"/>
    <s v="Chemical Additive"/>
    <n v="413.91"/>
    <s v="EGP"/>
    <n v="1.9E-2"/>
    <n v="7.8642900000000004"/>
    <n v="1000"/>
    <n v="413910"/>
    <n v="413910"/>
    <n v="7864.29"/>
    <n v="7"/>
    <n v="7.0000000000000001E-3"/>
    <n v="16"/>
    <n v="16"/>
    <n v="14"/>
    <n v="14"/>
    <n v="2"/>
    <n v="2"/>
    <x v="1"/>
    <x v="0"/>
    <x v="4"/>
    <x v="4"/>
    <x v="0"/>
    <x v="5"/>
    <x v="2"/>
    <x v="0"/>
    <n v="4.3"/>
    <x v="4"/>
    <x v="5"/>
  </r>
  <r>
    <s v="PO-2026-00111"/>
    <s v="ORD-723443"/>
    <d v="2026-05-13T00:00:00"/>
    <d v="2026-06-04T00:00:00"/>
    <x v="80"/>
    <x v="6"/>
    <x v="6"/>
    <x v="1"/>
    <x v="3"/>
    <x v="1"/>
    <s v="SKU-ELE-940"/>
    <s v="LED Driver"/>
    <n v="1773.73"/>
    <s v="KES"/>
    <n v="7.7000000000000002E-3"/>
    <n v="13.657721"/>
    <n v="300"/>
    <n v="532119"/>
    <n v="532119"/>
    <n v="4097.3163000000004"/>
    <n v="5"/>
    <n v="1.67E-2"/>
    <n v="16"/>
    <n v="16"/>
    <n v="22"/>
    <n v="22"/>
    <n v="-6"/>
    <n v="-6"/>
    <x v="5"/>
    <x v="0"/>
    <x v="2"/>
    <x v="2"/>
    <x v="5"/>
    <x v="6"/>
    <x v="2"/>
    <x v="0"/>
    <n v="3.7"/>
    <x v="1"/>
    <x v="4"/>
  </r>
  <r>
    <s v="PO-2026-00112"/>
    <s v="ORD-941435"/>
    <d v="2026-03-31T00:00:00"/>
    <d v="2026-04-11T00:00:00"/>
    <x v="26"/>
    <x v="6"/>
    <x v="6"/>
    <x v="1"/>
    <x v="6"/>
    <x v="1"/>
    <s v="SKU-ELE-962"/>
    <s v="Power Adapter"/>
    <n v="1713.32"/>
    <s v="EGP"/>
    <n v="1.9E-2"/>
    <n v="32.553080000000001"/>
    <n v="200"/>
    <n v="342664"/>
    <n v="342664"/>
    <n v="6510.616"/>
    <n v="7"/>
    <n v="3.5000000000000003E-2"/>
    <n v="22"/>
    <n v="22"/>
    <n v="11"/>
    <n v="11"/>
    <n v="11"/>
    <n v="11"/>
    <x v="4"/>
    <x v="5"/>
    <x v="0"/>
    <x v="2"/>
    <x v="1"/>
    <x v="4"/>
    <x v="4"/>
    <x v="0"/>
    <n v="3"/>
    <x v="2"/>
    <x v="0"/>
  </r>
  <r>
    <s v="PO-2026-00113"/>
    <s v="ORD-976196"/>
    <d v="2026-06-18T00:00:00"/>
    <d v="2026-07-06T00:00:00"/>
    <x v="37"/>
    <x v="14"/>
    <x v="14"/>
    <x v="10"/>
    <x v="1"/>
    <x v="5"/>
    <s v="SKU-RAW-209"/>
    <s v="Chemical Additive"/>
    <n v="516.5"/>
    <s v="NGN"/>
    <n v="7.2999999999999996E-4"/>
    <n v="0.37704499999999996"/>
    <n v="200"/>
    <n v="103300"/>
    <n v="103300"/>
    <n v="75.408999999999992"/>
    <n v="7"/>
    <n v="3.5000000000000003E-2"/>
    <n v="11"/>
    <n v="11"/>
    <n v="18"/>
    <n v="18"/>
    <n v="-7"/>
    <n v="-7"/>
    <x v="2"/>
    <x v="0"/>
    <x v="1"/>
    <x v="2"/>
    <x v="4"/>
    <x v="0"/>
    <x v="2"/>
    <x v="0"/>
    <n v="2.5"/>
    <x v="1"/>
    <x v="2"/>
  </r>
  <r>
    <s v="PO-2026-00114"/>
    <s v="ORD-661252"/>
    <d v="2026-06-05T00:00:00"/>
    <d v="2026-06-16T00:00:00"/>
    <x v="81"/>
    <x v="1"/>
    <x v="1"/>
    <x v="1"/>
    <x v="4"/>
    <x v="1"/>
    <s v="SKU-ELE-719"/>
    <s v="Power Adapter"/>
    <n v="768.03"/>
    <s v="EGP"/>
    <n v="1.9E-2"/>
    <n v="14.592569999999998"/>
    <n v="750"/>
    <n v="576022.5"/>
    <n v="576022.5"/>
    <n v="10944.4275"/>
    <n v="61"/>
    <n v="8.1299999999999997E-2"/>
    <n v="12"/>
    <n v="12"/>
    <n v="11"/>
    <n v="11"/>
    <n v="1"/>
    <n v="1"/>
    <x v="3"/>
    <x v="4"/>
    <x v="0"/>
    <x v="3"/>
    <x v="0"/>
    <x v="6"/>
    <x v="5"/>
    <x v="4"/>
    <n v="2.6"/>
    <x v="5"/>
    <x v="1"/>
  </r>
  <r>
    <s v="PO-2026-00115"/>
    <s v="ORD-929791"/>
    <d v="2026-04-13T00:00:00"/>
    <d v="2026-05-05T00:00:00"/>
    <x v="82"/>
    <x v="0"/>
    <x v="0"/>
    <x v="0"/>
    <x v="7"/>
    <x v="0"/>
    <s v="SKU-MAC-900"/>
    <s v="Bearing Set"/>
    <n v="1648.46"/>
    <s v="EGP"/>
    <n v="1.9E-2"/>
    <n v="31.320740000000001"/>
    <n v="250"/>
    <n v="412115"/>
    <n v="412115"/>
    <n v="7830.1849999999995"/>
    <n v="0"/>
    <n v="0"/>
    <n v="21"/>
    <n v="21"/>
    <n v="22"/>
    <n v="22"/>
    <n v="-1"/>
    <n v="-1"/>
    <x v="2"/>
    <x v="0"/>
    <x v="1"/>
    <x v="3"/>
    <x v="0"/>
    <x v="3"/>
    <x v="5"/>
    <x v="0"/>
    <n v="3.9"/>
    <x v="6"/>
    <x v="2"/>
  </r>
  <r>
    <s v="PO-2026-00116"/>
    <s v="ORD-777552"/>
    <d v="2026-03-04T00:00:00"/>
    <d v="2026-03-17T00:00:00"/>
    <x v="11"/>
    <x v="5"/>
    <x v="5"/>
    <x v="5"/>
    <x v="1"/>
    <x v="3"/>
    <s v="SKU-TEX-392"/>
    <s v="Polyester Roll"/>
    <n v="412.3"/>
    <s v="EGP"/>
    <n v="1.9E-2"/>
    <n v="7.8337000000000003"/>
    <n v="300"/>
    <n v="123690"/>
    <n v="123690"/>
    <n v="2350.11"/>
    <n v="17"/>
    <n v="5.67E-2"/>
    <n v="31"/>
    <n v="31"/>
    <s v=""/>
    <n v="13"/>
    <n v="18"/>
    <n v="18"/>
    <x v="1"/>
    <x v="4"/>
    <x v="4"/>
    <x v="5"/>
    <x v="0"/>
    <x v="0"/>
    <x v="2"/>
    <x v="5"/>
    <n v="3.3"/>
    <x v="5"/>
    <x v="6"/>
  </r>
  <r>
    <s v="PO-2026-00117"/>
    <s v="ORD-540710"/>
    <d v="2026-05-04T00:00:00"/>
    <d v="2026-05-19T00:00:00"/>
    <x v="65"/>
    <x v="13"/>
    <x v="13"/>
    <x v="9"/>
    <x v="8"/>
    <x v="3"/>
    <s v="SKU-TEX-870"/>
    <s v="Uniform Material"/>
    <n v="705.22"/>
    <s v="ZAR"/>
    <n v="6.0999999999999999E-2"/>
    <n v="43.018419999999999"/>
    <n v="100"/>
    <n v="70522"/>
    <n v="70522"/>
    <n v="4301.8419999999996"/>
    <n v="3"/>
    <n v="0.03"/>
    <n v="16"/>
    <n v="16"/>
    <n v="15"/>
    <n v="15"/>
    <n v="1"/>
    <n v="1"/>
    <x v="1"/>
    <x v="0"/>
    <x v="0"/>
    <x v="0"/>
    <x v="0"/>
    <x v="4"/>
    <x v="4"/>
    <x v="0"/>
    <n v="2.9"/>
    <x v="5"/>
    <x v="0"/>
  </r>
  <r>
    <s v="PO-2026-00118"/>
    <s v="ORD-655433"/>
    <d v="2026-06-22T00:00:00"/>
    <d v="2026-07-04T00:00:00"/>
    <x v="83"/>
    <x v="3"/>
    <x v="3"/>
    <x v="3"/>
    <x v="5"/>
    <x v="4"/>
    <s v="SKU-PAC-907"/>
    <s v="Corrugated Box"/>
    <n v="473.06"/>
    <s v="USD"/>
    <n v="1"/>
    <n v="473.06"/>
    <n v="1500"/>
    <n v="709590"/>
    <n v="709590"/>
    <n v="709590"/>
    <n v="48"/>
    <n v="3.2000000000000001E-2"/>
    <n v="16"/>
    <n v="16"/>
    <n v="12"/>
    <n v="12"/>
    <n v="4"/>
    <n v="4"/>
    <x v="4"/>
    <x v="0"/>
    <x v="1"/>
    <x v="5"/>
    <x v="0"/>
    <x v="0"/>
    <x v="2"/>
    <x v="0"/>
    <n v="3.8"/>
    <x v="3"/>
    <x v="0"/>
  </r>
  <r>
    <s v="PO-2026-00119"/>
    <s v="ORD-479412"/>
    <d v="2026-06-27T00:00:00"/>
    <d v="2026-07-08T00:00:00"/>
    <x v="83"/>
    <x v="12"/>
    <x v="12"/>
    <x v="2"/>
    <x v="3"/>
    <x v="4"/>
    <s v="SKU-PAC-591"/>
    <s v="Bottle Caps"/>
    <n v="113.24"/>
    <s v="GHS"/>
    <n v="8.8999999999999996E-2"/>
    <n v="10.078359999999998"/>
    <n v="200"/>
    <n v="22648"/>
    <n v="22648"/>
    <n v="2015.6719999999998"/>
    <n v="4"/>
    <n v="0.02"/>
    <n v="11"/>
    <n v="11"/>
    <n v="11"/>
    <n v="11"/>
    <n v="0"/>
    <n v="0"/>
    <x v="2"/>
    <x v="0"/>
    <x v="3"/>
    <x v="4"/>
    <x v="1"/>
    <x v="0"/>
    <x v="5"/>
    <x v="0"/>
    <n v="2.8"/>
    <x v="4"/>
    <x v="4"/>
  </r>
  <r>
    <s v="PO-2026-00120"/>
    <s v="ORD-973170"/>
    <d v="2026-03-21T00:00:00"/>
    <d v="2026-04-02T00:00:00"/>
    <x v="84"/>
    <x v="13"/>
    <x v="13"/>
    <x v="9"/>
    <x v="4"/>
    <x v="3"/>
    <s v="SKU-TEX-813"/>
    <s v="Polyester Roll"/>
    <n v="267.02999999999997"/>
    <s v="ZAR"/>
    <n v="6.0999999999999999E-2"/>
    <n v="16.288829999999997"/>
    <n v="1000"/>
    <n v="267030"/>
    <n v="267030"/>
    <n v="16288.83"/>
    <n v="57"/>
    <n v="5.7000000000000002E-2"/>
    <n v="21"/>
    <n v="21"/>
    <n v="12"/>
    <n v="12"/>
    <n v="9"/>
    <n v="9"/>
    <x v="0"/>
    <x v="1"/>
    <x v="1"/>
    <x v="3"/>
    <x v="2"/>
    <x v="1"/>
    <x v="2"/>
    <x v="5"/>
    <n v="2.7"/>
    <x v="0"/>
    <x v="1"/>
  </r>
  <r>
    <s v="PO-2026-00121"/>
    <s v="ORD-566281"/>
    <d v="2026-02-13T00:00:00"/>
    <d v="2026-03-04T00:00:00"/>
    <x v="85"/>
    <x v="14"/>
    <x v="14"/>
    <x v="10"/>
    <x v="7"/>
    <x v="5"/>
    <s v="SKU-RAW-994"/>
    <s v="Agro Binder"/>
    <n v="560.95000000000005"/>
    <s v="KES"/>
    <n v="7.7000000000000002E-3"/>
    <n v="4.3193150000000005"/>
    <n v="75"/>
    <n v="42071.25"/>
    <n v="42071.25"/>
    <n v="323.94862499999999"/>
    <n v="6"/>
    <n v="0.08"/>
    <n v="25"/>
    <n v="25"/>
    <n v="19"/>
    <n v="19"/>
    <n v="6"/>
    <n v="6"/>
    <x v="4"/>
    <x v="1"/>
    <x v="0"/>
    <x v="4"/>
    <x v="0"/>
    <x v="6"/>
    <x v="5"/>
    <x v="4"/>
    <n v="1.9"/>
    <x v="2"/>
    <x v="1"/>
  </r>
  <r>
    <s v="PO-2026-00122"/>
    <s v="ORD-583699"/>
    <d v="2026-02-26T00:00:00"/>
    <d v="2026-03-16T00:00:00"/>
    <x v="54"/>
    <x v="14"/>
    <x v="14"/>
    <x v="10"/>
    <x v="2"/>
    <x v="0"/>
    <s v="SKU-MAC-167"/>
    <s v="Conveyor Belt"/>
    <n v="1457.99"/>
    <s v="EGP"/>
    <n v="1.9E-2"/>
    <n v="27.701809999999998"/>
    <n v="2000"/>
    <n v="2915980"/>
    <n v="2915980"/>
    <n v="55403.619999999995"/>
    <n v="0"/>
    <n v="0"/>
    <n v="4"/>
    <n v="4"/>
    <n v="18"/>
    <n v="18"/>
    <n v="-14"/>
    <m/>
    <x v="2"/>
    <x v="0"/>
    <x v="1"/>
    <x v="1"/>
    <x v="0"/>
    <x v="0"/>
    <x v="1"/>
    <x v="0"/>
    <n v="3.5"/>
    <x v="2"/>
    <x v="2"/>
  </r>
  <r>
    <s v="PO-2026-00123"/>
    <s v="ORD-211720"/>
    <d v="2026-04-29T00:00:00"/>
    <d v="2026-05-21T00:00:00"/>
    <x v="86"/>
    <x v="7"/>
    <x v="7"/>
    <x v="6"/>
    <x v="3"/>
    <x v="2"/>
    <s v="SKU-IND-914"/>
    <s v="Welding Rod"/>
    <n v="71.16"/>
    <s v="ZAR"/>
    <n v="6.0999999999999999E-2"/>
    <n v="4.3407599999999995"/>
    <n v="1000"/>
    <n v="71160"/>
    <n v="71160"/>
    <n v="4340.76"/>
    <n v="2"/>
    <n v="2E-3"/>
    <n v="20"/>
    <n v="20"/>
    <n v="22"/>
    <n v="22"/>
    <n v="-2"/>
    <n v="-2"/>
    <x v="2"/>
    <x v="0"/>
    <x v="2"/>
    <x v="0"/>
    <x v="1"/>
    <x v="3"/>
    <x v="2"/>
    <x v="0"/>
    <n v="3"/>
    <x v="6"/>
    <x v="4"/>
  </r>
  <r>
    <s v="PO-2026-00124"/>
    <s v="ORD-518754"/>
    <d v="2026-01-01T00:00:00"/>
    <d v="2026-01-23T00:00:00"/>
    <x v="87"/>
    <x v="14"/>
    <x v="14"/>
    <x v="10"/>
    <x v="4"/>
    <x v="2"/>
    <s v="SKU-IND-903"/>
    <s v="Lubricant Drum"/>
    <n v="229.38"/>
    <s v="ZAR"/>
    <n v="6.0999999999999999E-2"/>
    <n v="13.992179999999999"/>
    <n v="300"/>
    <n v="68814"/>
    <n v="68814"/>
    <n v="4197.6539999999995"/>
    <n v="20"/>
    <n v="6.6699999999999995E-2"/>
    <n v="20"/>
    <n v="20"/>
    <n v="22"/>
    <n v="22"/>
    <n v="-2"/>
    <n v="-2"/>
    <x v="5"/>
    <x v="1"/>
    <x v="1"/>
    <x v="4"/>
    <x v="2"/>
    <x v="0"/>
    <x v="5"/>
    <x v="2"/>
    <n v="1.9"/>
    <x v="1"/>
    <x v="3"/>
  </r>
  <r>
    <s v="PO-2026-00125"/>
    <s v="ORD-309315"/>
    <d v="2026-05-13T00:00:00"/>
    <d v="2026-05-17T00:00:00"/>
    <x v="88"/>
    <x v="9"/>
    <x v="9"/>
    <x v="2"/>
    <x v="7"/>
    <x v="4"/>
    <s v="SKU-PAC-788"/>
    <s v="Bottle Caps"/>
    <n v="401.97"/>
    <s v="USD"/>
    <n v="1"/>
    <n v="401.97"/>
    <n v="250"/>
    <n v="100492.5"/>
    <n v="100492.5"/>
    <n v="100492.5"/>
    <n v="0"/>
    <n v="0"/>
    <n v="11"/>
    <n v="11"/>
    <n v="4"/>
    <n v="4"/>
    <n v="7"/>
    <n v="7"/>
    <x v="0"/>
    <x v="0"/>
    <x v="1"/>
    <x v="2"/>
    <x v="5"/>
    <x v="4"/>
    <x v="1"/>
    <x v="0"/>
    <n v="1.9"/>
    <x v="5"/>
    <x v="0"/>
  </r>
  <r>
    <s v="PO-2026-00126"/>
    <s v="ORD-717082"/>
    <d v="2026-01-04T00:00:00"/>
    <d v="2026-01-19T00:00:00"/>
    <x v="89"/>
    <x v="13"/>
    <x v="13"/>
    <x v="9"/>
    <x v="1"/>
    <x v="3"/>
    <s v="SKU-TEX-918"/>
    <s v="Cotton Fabric"/>
    <n v="553.29999999999995"/>
    <s v="USD"/>
    <n v="1"/>
    <n v="553.29999999999995"/>
    <n v="750"/>
    <n v="414975"/>
    <n v="414974.99999999994"/>
    <n v="414975"/>
    <n v="10"/>
    <n v="1.3299999999999999E-2"/>
    <n v="14"/>
    <n v="14"/>
    <n v="15"/>
    <n v="15"/>
    <n v="-1"/>
    <n v="-1"/>
    <x v="2"/>
    <x v="0"/>
    <x v="1"/>
    <x v="0"/>
    <x v="0"/>
    <x v="3"/>
    <x v="1"/>
    <x v="0"/>
    <n v="4.8"/>
    <x v="0"/>
    <x v="2"/>
  </r>
  <r>
    <s v="PO-2026-00127"/>
    <s v="ORD-114066"/>
    <d v="2026-02-01T00:00:00"/>
    <d v="2026-02-04T00:00:00"/>
    <x v="36"/>
    <x v="10"/>
    <x v="10"/>
    <x v="2"/>
    <x v="0"/>
    <x v="6"/>
    <s v="SKU-MET-638"/>
    <s v="Steel Coil"/>
    <n v="430.98"/>
    <s v="USD"/>
    <n v="1"/>
    <n v="430.98"/>
    <n v="300"/>
    <n v="129294"/>
    <n v="129294"/>
    <n v="129294"/>
    <n v="1"/>
    <n v="3.3E-3"/>
    <n v="-1"/>
    <n v="-1"/>
    <n v="3"/>
    <n v="3"/>
    <n v="-4"/>
    <n v="-4"/>
    <x v="6"/>
    <x v="0"/>
    <x v="4"/>
    <x v="5"/>
    <x v="2"/>
    <x v="2"/>
    <x v="4"/>
    <x v="0"/>
    <n v="4"/>
    <x v="6"/>
    <x v="4"/>
  </r>
  <r>
    <s v="PO-2026-00128"/>
    <s v="ORD-987667"/>
    <d v="2026-02-13T00:00:00"/>
    <d v="2026-02-26T00:00:00"/>
    <x v="90"/>
    <x v="4"/>
    <x v="4"/>
    <x v="4"/>
    <x v="2"/>
    <x v="0"/>
    <s v="SKU-MAC-313"/>
    <s v="Hydraulic Hose"/>
    <n v="3700.65"/>
    <s v="NGN"/>
    <n v="7.2999999999999996E-4"/>
    <n v="2.7014744999999998"/>
    <n v="300"/>
    <n v="1110195"/>
    <n v="1110195"/>
    <n v="810.44234999999992"/>
    <n v="13"/>
    <n v="4.3299999999999998E-2"/>
    <n v="23"/>
    <n v="23"/>
    <n v="13"/>
    <n v="13"/>
    <n v="10"/>
    <n v="10"/>
    <x v="0"/>
    <x v="2"/>
    <x v="1"/>
    <x v="3"/>
    <x v="4"/>
    <x v="4"/>
    <x v="0"/>
    <x v="1"/>
    <n v="1.4"/>
    <x v="0"/>
    <x v="1"/>
  </r>
  <r>
    <s v="PO-2026-00007"/>
    <s v="ORD-609029"/>
    <d v="2026-01-01T00:00:00"/>
    <d v="2026-01-17T00:00:00"/>
    <x v="91"/>
    <x v="3"/>
    <x v="3"/>
    <x v="3"/>
    <x v="6"/>
    <x v="4"/>
    <s v="SKU-PAC-465"/>
    <s v="Shipping Carton"/>
    <n v="205.98"/>
    <s v="EGP"/>
    <n v="1.9E-2"/>
    <n v="3.9136199999999999"/>
    <n v="50"/>
    <n v="10299"/>
    <n v="10299"/>
    <n v="195.68099999999998"/>
    <n v="0"/>
    <n v="0"/>
    <n v="18"/>
    <n v="18"/>
    <n v="16"/>
    <n v="16"/>
    <n v="2"/>
    <n v="2"/>
    <x v="1"/>
    <x v="0"/>
    <x v="3"/>
    <x v="3"/>
    <x v="3"/>
    <x v="0"/>
    <x v="3"/>
    <x v="0"/>
    <n v="2.7"/>
    <x v="4"/>
    <x v="5"/>
  </r>
  <r>
    <s v="PO-2026-00130"/>
    <s v="ORD-121070"/>
    <d v="2026-03-23T00:00:00"/>
    <d v="2026-03-31T00:00:00"/>
    <x v="92"/>
    <x v="12"/>
    <x v="12"/>
    <x v="2"/>
    <x v="5"/>
    <x v="4"/>
    <s v="SKU-PAC-674"/>
    <s v="Bottle Caps"/>
    <n v="499.59"/>
    <s v="ZAR"/>
    <n v="6.0999999999999999E-2"/>
    <n v="30.474989999999998"/>
    <n v="750"/>
    <n v="374692.5"/>
    <n v="374692.5"/>
    <n v="22856.2425"/>
    <n v="0"/>
    <n v="0"/>
    <n v="6"/>
    <n v="6"/>
    <n v="8"/>
    <n v="8"/>
    <n v="-2"/>
    <n v="-2"/>
    <x v="2"/>
    <x v="0"/>
    <x v="1"/>
    <x v="1"/>
    <x v="2"/>
    <x v="6"/>
    <x v="5"/>
    <x v="0"/>
    <n v="2.1"/>
    <x v="0"/>
    <x v="2"/>
  </r>
  <r>
    <s v="PO-2026-00131"/>
    <s v="ORD-776119"/>
    <d v="2026-03-29T00:00:00"/>
    <d v="2026-04-19T00:00:00"/>
    <x v="24"/>
    <x v="7"/>
    <x v="7"/>
    <x v="6"/>
    <x v="2"/>
    <x v="0"/>
    <s v="SKU-MAC-777"/>
    <s v="Conveyor Belt"/>
    <n v="2127.5100000000002"/>
    <s v="GHS"/>
    <n v="8.8999999999999996E-2"/>
    <n v="189.34839000000002"/>
    <n v="750"/>
    <n v="1595632.5"/>
    <n v="1595632.5000000002"/>
    <n v="142011.29249999998"/>
    <n v="-1"/>
    <n v="2.6700000000000002E-2"/>
    <n v="18"/>
    <n v="18"/>
    <n v="21"/>
    <n v="21"/>
    <n v="-3"/>
    <n v="-3"/>
    <x v="2"/>
    <x v="0"/>
    <x v="0"/>
    <x v="3"/>
    <x v="3"/>
    <x v="6"/>
    <x v="5"/>
    <x v="0"/>
    <n v="3"/>
    <x v="0"/>
    <x v="2"/>
  </r>
  <r>
    <s v="PO-2026-00132"/>
    <s v="ORD-605984"/>
    <d v="2026-01-05T00:00:00"/>
    <d v="2026-01-09T00:00:00"/>
    <x v="91"/>
    <x v="12"/>
    <x v="12"/>
    <x v="2"/>
    <x v="1"/>
    <x v="2"/>
    <s v="SKU-IND-320"/>
    <s v="Lubricant Drum"/>
    <n v="232.72"/>
    <s v="GHS"/>
    <n v="8.8999999999999996E-2"/>
    <n v="20.71208"/>
    <n v="50"/>
    <n v="11636"/>
    <n v="11636"/>
    <n v="1035.604"/>
    <n v="0"/>
    <n v="0"/>
    <n v="14"/>
    <n v="14"/>
    <n v="4"/>
    <n v="4"/>
    <n v="10"/>
    <n v="10"/>
    <x v="1"/>
    <x v="0"/>
    <x v="0"/>
    <x v="0"/>
    <x v="5"/>
    <x v="0"/>
    <x v="1"/>
    <x v="0"/>
    <n v="1.3"/>
    <x v="5"/>
    <x v="0"/>
  </r>
  <r>
    <s v="PO-2026-00133"/>
    <s v="ORD-832467"/>
    <d v="2026-04-05T00:00:00"/>
    <d v="2026-04-17T00:00:00"/>
    <x v="77"/>
    <x v="3"/>
    <x v="3"/>
    <x v="3"/>
    <x v="3"/>
    <x v="4"/>
    <s v="SKU-PAC-506"/>
    <s v="Plastic Film Roll"/>
    <n v="801.78"/>
    <s v="GHS"/>
    <n v="8.8999999999999996E-2"/>
    <n v="71.358419999999995"/>
    <n v="150"/>
    <n v="120267"/>
    <n v="120267"/>
    <n v="10703.762999999999"/>
    <n v="169"/>
    <n v="2.6700000000000002E-2"/>
    <n v="9"/>
    <n v="9"/>
    <n v="12"/>
    <n v="12"/>
    <n v="-3"/>
    <n v="-3"/>
    <x v="5"/>
    <x v="0"/>
    <x v="1"/>
    <x v="1"/>
    <x v="1"/>
    <x v="3"/>
    <x v="2"/>
    <x v="0"/>
    <n v="3.7"/>
    <x v="3"/>
    <x v="2"/>
  </r>
  <r>
    <s v="PO-2026-00134"/>
    <s v="ORD-366041"/>
    <d v="2026-04-17T00:00:00"/>
    <d v="2026-04-30T00:00:00"/>
    <x v="50"/>
    <x v="1"/>
    <x v="1"/>
    <x v="6"/>
    <x v="1"/>
    <x v="6"/>
    <s v="SKU-MET-567"/>
    <s v="Steel Coil"/>
    <n v="91.9"/>
    <s v="ZAR"/>
    <n v="6.0999999999999999E-2"/>
    <n v="5.6059000000000001"/>
    <n v="75"/>
    <n v="6892.5"/>
    <n v="6892.5"/>
    <n v="420.4425"/>
    <n v="3"/>
    <n v="0.04"/>
    <n v="22"/>
    <n v="22"/>
    <n v="13"/>
    <n v="13"/>
    <n v="9"/>
    <n v="9"/>
    <x v="0"/>
    <x v="0"/>
    <x v="1"/>
    <x v="0"/>
    <x v="5"/>
    <x v="2"/>
    <x v="4"/>
    <x v="0"/>
    <n v="1.1000000000000001"/>
    <x v="3"/>
    <x v="0"/>
  </r>
  <r>
    <s v="PO-2026-00135"/>
    <s v="ORD-189108"/>
    <d v="2026-01-16T00:00:00"/>
    <d v="2026-02-06T00:00:00"/>
    <x v="93"/>
    <x v="13"/>
    <x v="13"/>
    <x v="9"/>
    <x v="1"/>
    <x v="4"/>
    <s v="SKU-PAC-641"/>
    <s v="Shipping Carton"/>
    <n v="382.23"/>
    <s v="NGN"/>
    <n v="7.2999999999999996E-4"/>
    <n v="0.2790279"/>
    <n v="1500"/>
    <n v="573345"/>
    <n v="573345"/>
    <n v="418.54184999999995"/>
    <n v="44"/>
    <n v="2.93E-2"/>
    <n v="14"/>
    <n v="14"/>
    <n v="21"/>
    <n v="21"/>
    <n v="-7"/>
    <n v="-7"/>
    <x v="2"/>
    <x v="0"/>
    <x v="1"/>
    <x v="3"/>
    <x v="0"/>
    <x v="6"/>
    <x v="3"/>
    <x v="0"/>
    <n v="3.2"/>
    <x v="6"/>
    <x v="2"/>
  </r>
  <r>
    <s v="PO-2026-00136"/>
    <s v="ORD-356961"/>
    <d v="2026-02-03T00:00:00"/>
    <d v="2026-02-08T00:00:00"/>
    <x v="94"/>
    <x v="9"/>
    <x v="9"/>
    <x v="2"/>
    <x v="6"/>
    <x v="4"/>
    <s v="SKU-PAC-110"/>
    <s v="Plastic Film Roll"/>
    <n v="164.82"/>
    <s v="NGN"/>
    <n v="7.2999999999999996E-4"/>
    <n v="0.12031859999999998"/>
    <n v="75"/>
    <n v="12361.5"/>
    <n v="12361.5"/>
    <n v="9.0238949999999996"/>
    <n v="3"/>
    <n v="0.04"/>
    <n v="10"/>
    <n v="10"/>
    <n v="5"/>
    <n v="5"/>
    <n v="5"/>
    <n v="5"/>
    <x v="1"/>
    <x v="0"/>
    <x v="1"/>
    <x v="1"/>
    <x v="2"/>
    <x v="3"/>
    <x v="0"/>
    <x v="0"/>
    <n v="2.2999999999999998"/>
    <x v="4"/>
    <x v="0"/>
  </r>
  <r>
    <s v="PO-2026-00137"/>
    <s v="ORD-691939"/>
    <d v="2026-06-30T00:00:00"/>
    <d v="2026-07-08T00:00:00"/>
    <x v="95"/>
    <x v="11"/>
    <x v="11"/>
    <x v="8"/>
    <x v="5"/>
    <x v="6"/>
    <s v="SKU-MET-642"/>
    <s v="Steel Coil"/>
    <n v="346.46"/>
    <s v="EGP"/>
    <n v="1.9E-2"/>
    <n v="6.5827399999999994"/>
    <n v="2000"/>
    <n v="692920"/>
    <n v="692920"/>
    <n v="13165.48"/>
    <n v="49"/>
    <n v="2.4500000000000001E-2"/>
    <n v="14"/>
    <n v="14"/>
    <n v="8"/>
    <n v="8"/>
    <n v="6"/>
    <n v="6"/>
    <x v="4"/>
    <x v="0"/>
    <x v="1"/>
    <x v="2"/>
    <x v="2"/>
    <x v="5"/>
    <x v="5"/>
    <x v="0"/>
    <n v="2.7"/>
    <x v="1"/>
    <x v="0"/>
  </r>
  <r>
    <s v="PO-2026-00138"/>
    <s v="ORD-548619"/>
    <d v="2026-04-03T00:00:00"/>
    <d v="2026-04-14T00:00:00"/>
    <x v="32"/>
    <x v="12"/>
    <x v="12"/>
    <x v="8"/>
    <x v="8"/>
    <x v="4"/>
    <s v="SKU-PAC-233"/>
    <s v="Plastic Film Roll"/>
    <n v="342.13"/>
    <s v="GHS"/>
    <n v="8.8999999999999996E-2"/>
    <n v="30.449569999999998"/>
    <n v="2000"/>
    <n v="684260"/>
    <n v="684260"/>
    <n v="60899.14"/>
    <n v="4"/>
    <n v="2E-3"/>
    <n v="-1"/>
    <n v="-1"/>
    <n v="11"/>
    <n v="11"/>
    <n v="-12"/>
    <n v="-12"/>
    <x v="6"/>
    <x v="0"/>
    <x v="2"/>
    <x v="2"/>
    <x v="0"/>
    <x v="6"/>
    <x v="0"/>
    <x v="0"/>
    <n v="2.5"/>
    <x v="5"/>
    <x v="4"/>
  </r>
  <r>
    <s v="PO-2026-00139"/>
    <s v="ORD-691673"/>
    <d v="2026-04-04T00:00:00"/>
    <d v="2026-04-13T00:00:00"/>
    <x v="96"/>
    <x v="10"/>
    <x v="10"/>
    <x v="2"/>
    <x v="3"/>
    <x v="6"/>
    <s v="SKU-MET-478"/>
    <s v="Copper Rod"/>
    <n v="4168.6899999999996"/>
    <s v="ZAR"/>
    <n v="6.0999999999999999E-2"/>
    <n v="254.29008999999996"/>
    <n v="1000"/>
    <n v="4168690"/>
    <n v="4168689.9999999995"/>
    <n v="254290.09"/>
    <n v="0"/>
    <n v="0"/>
    <n v="9"/>
    <n v="9"/>
    <n v="9"/>
    <n v="9"/>
    <n v="0"/>
    <n v="0"/>
    <x v="2"/>
    <x v="0"/>
    <x v="1"/>
    <x v="5"/>
    <x v="5"/>
    <x v="2"/>
    <x v="5"/>
    <x v="0"/>
    <n v="3.1"/>
    <x v="0"/>
    <x v="2"/>
  </r>
  <r>
    <s v="PO-2026-00140"/>
    <s v="ORD-839287"/>
    <d v="2026-05-24T00:00:00"/>
    <d v="2026-06-06T00:00:00"/>
    <x v="97"/>
    <x v="6"/>
    <x v="6"/>
    <x v="1"/>
    <x v="8"/>
    <x v="0"/>
    <s v="SKU-MAC-899"/>
    <s v="Conveyor Belt"/>
    <n v="1592.15"/>
    <s v="EGP"/>
    <n v="1.9E-2"/>
    <n v="30.25085"/>
    <n v="500"/>
    <n v="796075"/>
    <n v="796075"/>
    <n v="15125.424999999999"/>
    <n v="7"/>
    <n v="1.4E-2"/>
    <n v="10"/>
    <n v="10"/>
    <n v="13"/>
    <n v="13"/>
    <n v="-3"/>
    <n v="-3"/>
    <x v="2"/>
    <x v="0"/>
    <x v="0"/>
    <x v="1"/>
    <x v="0"/>
    <x v="6"/>
    <x v="5"/>
    <x v="0"/>
    <n v="4"/>
    <x v="4"/>
    <x v="2"/>
  </r>
  <r>
    <s v="PO-2026-00141"/>
    <s v="ORD-703354"/>
    <d v="2026-05-13T00:00:00"/>
    <d v="2026-05-21T00:00:00"/>
    <x v="98"/>
    <x v="10"/>
    <x v="10"/>
    <x v="2"/>
    <x v="6"/>
    <x v="6"/>
    <s v="SKU-MET-123"/>
    <s v="Steel Coil"/>
    <n v="1882.68"/>
    <s v="GHS"/>
    <n v="8.8999999999999996E-2"/>
    <n v="167.55851999999999"/>
    <n v="150"/>
    <n v="282402"/>
    <n v="282402"/>
    <n v="25133.777999999998"/>
    <n v="-1"/>
    <n v="0"/>
    <n v="20"/>
    <n v="20"/>
    <n v="8"/>
    <n v="8"/>
    <n v="12"/>
    <n v="12"/>
    <x v="0"/>
    <x v="0"/>
    <x v="2"/>
    <x v="3"/>
    <x v="1"/>
    <x v="0"/>
    <x v="0"/>
    <x v="0"/>
    <n v="2.5"/>
    <x v="2"/>
    <x v="5"/>
  </r>
  <r>
    <s v="PO-2026-00142"/>
    <s v="ORD-913550"/>
    <d v="2026-05-22T00:00:00"/>
    <d v="2026-06-06T00:00:00"/>
    <x v="58"/>
    <x v="4"/>
    <x v="4"/>
    <x v="4"/>
    <x v="3"/>
    <x v="0"/>
    <s v="SKU-MAC-457"/>
    <s v="Hydraulic Hose"/>
    <n v="854.71"/>
    <s v="GHS"/>
    <n v="8.8999999999999996E-2"/>
    <n v="76.069190000000006"/>
    <n v="1000"/>
    <n v="854710"/>
    <n v="854710"/>
    <n v="76069.19"/>
    <n v="9"/>
    <n v="8.9999999999999993E-3"/>
    <n v="15"/>
    <n v="15"/>
    <n v="15"/>
    <n v="15"/>
    <n v="0"/>
    <n v="0"/>
    <x v="2"/>
    <x v="0"/>
    <x v="1"/>
    <x v="4"/>
    <x v="0"/>
    <x v="2"/>
    <x v="2"/>
    <x v="0"/>
    <n v="4.5999999999999996"/>
    <x v="3"/>
    <x v="2"/>
  </r>
  <r>
    <s v="PO-2026-00143"/>
    <s v="ORD-481156"/>
    <d v="2026-06-21T00:00:00"/>
    <d v="2026-06-30T00:00:00"/>
    <x v="99"/>
    <x v="10"/>
    <x v="10"/>
    <x v="2"/>
    <x v="1"/>
    <x v="6"/>
    <s v="SKU-MET-987"/>
    <s v="Copper Rod"/>
    <n v="1950.02"/>
    <s v="GHS"/>
    <n v="8.8999999999999996E-2"/>
    <n v="173.55177999999998"/>
    <n v="200"/>
    <n v="390004"/>
    <n v="390004"/>
    <n v="34710.356"/>
    <n v="1"/>
    <n v="5.0000000000000001E-3"/>
    <n v="12"/>
    <n v="12"/>
    <n v="9"/>
    <n v="9"/>
    <n v="3"/>
    <n v="3"/>
    <x v="3"/>
    <x v="0"/>
    <x v="0"/>
    <x v="3"/>
    <x v="0"/>
    <x v="0"/>
    <x v="0"/>
    <x v="0"/>
    <n v="3"/>
    <x v="2"/>
    <x v="0"/>
  </r>
  <r>
    <s v="PO-2026-00144"/>
    <s v="ORD-674038"/>
    <d v="2026-04-07T00:00:00"/>
    <d v="2026-04-20T00:00:00"/>
    <x v="100"/>
    <x v="1"/>
    <x v="1"/>
    <x v="1"/>
    <x v="2"/>
    <x v="1"/>
    <s v="SKU-ELE-767"/>
    <s v="Control Board"/>
    <n v="2244.2199999999998"/>
    <s v="EGP"/>
    <n v="1.9E-2"/>
    <n v="42.640179999999994"/>
    <n v="2000"/>
    <n v="4488440"/>
    <n v="4488440"/>
    <n v="85280.36"/>
    <n v="182"/>
    <n v="9.0999999999999998E-2"/>
    <n v="17"/>
    <n v="17"/>
    <n v="13"/>
    <n v="13"/>
    <n v="4"/>
    <n v="4"/>
    <x v="0"/>
    <x v="1"/>
    <x v="4"/>
    <x v="5"/>
    <x v="2"/>
    <x v="4"/>
    <x v="0"/>
    <x v="3"/>
    <n v="2.6"/>
    <x v="4"/>
    <x v="6"/>
  </r>
  <r>
    <s v="PO-2026-00145"/>
    <s v="ORD-358213"/>
    <d v="2026-04-26T00:00:00"/>
    <d v="2026-05-21T00:00:00"/>
    <x v="5"/>
    <x v="14"/>
    <x v="14"/>
    <x v="10"/>
    <x v="5"/>
    <x v="5"/>
    <s v="SKU-RAW-793"/>
    <s v="Polymer Resin"/>
    <n v="146.22"/>
    <s v="ZAR"/>
    <n v="6.0999999999999999E-2"/>
    <n v="8.9194200000000006"/>
    <n v="200"/>
    <n v="29244"/>
    <n v="29244"/>
    <n v="1783.884"/>
    <n v="3"/>
    <n v="1.4999999999999999E-2"/>
    <n v="22"/>
    <n v="22"/>
    <n v="25"/>
    <n v="25"/>
    <n v="-3"/>
    <n v="-3"/>
    <x v="2"/>
    <x v="0"/>
    <x v="0"/>
    <x v="3"/>
    <x v="0"/>
    <x v="4"/>
    <x v="2"/>
    <x v="0"/>
    <n v="4.4000000000000004"/>
    <x v="4"/>
    <x v="2"/>
  </r>
  <r>
    <s v="PO-2026-00146"/>
    <s v="ORD-659277"/>
    <d v="2026-06-21T00:00:00"/>
    <d v="2026-07-09T00:00:00"/>
    <x v="14"/>
    <x v="5"/>
    <x v="5"/>
    <x v="5"/>
    <x v="6"/>
    <x v="3"/>
    <s v="SKU-TEX-177"/>
    <s v="Uniform Material"/>
    <n v="526.02"/>
    <s v="KES"/>
    <n v="7.7000000000000002E-3"/>
    <n v="4.0503539999999996"/>
    <n v="50"/>
    <n v="26301"/>
    <n v="26301"/>
    <n v="202.51770000000002"/>
    <n v="2"/>
    <n v="0.04"/>
    <n v="5"/>
    <n v="5"/>
    <n v="18"/>
    <n v="18"/>
    <n v="-13"/>
    <n v="-13"/>
    <x v="2"/>
    <x v="0"/>
    <x v="3"/>
    <x v="5"/>
    <x v="3"/>
    <x v="5"/>
    <x v="2"/>
    <x v="0"/>
    <n v="3.7"/>
    <x v="5"/>
    <x v="4"/>
  </r>
  <r>
    <s v="PO-2026-00147"/>
    <s v="ORD-185938"/>
    <d v="2026-02-07T00:00:00"/>
    <d v="2026-02-15T00:00:00"/>
    <x v="101"/>
    <x v="11"/>
    <x v="11"/>
    <x v="8"/>
    <x v="6"/>
    <x v="5"/>
    <s v="SKU-RAW-975"/>
    <s v="Polymer Resin"/>
    <n v="722.99"/>
    <s v="KES"/>
    <n v="7.7000000000000002E-3"/>
    <n v="5.5670229999999998"/>
    <n v="300"/>
    <n v="216897"/>
    <n v="216897"/>
    <n v="1670.1069"/>
    <n v="14"/>
    <n v="4.6699999999999998E-2"/>
    <n v="8"/>
    <n v="8"/>
    <n v="8"/>
    <n v="8"/>
    <n v="0"/>
    <n v="0"/>
    <x v="2"/>
    <x v="2"/>
    <x v="2"/>
    <x v="3"/>
    <x v="2"/>
    <x v="1"/>
    <x v="5"/>
    <x v="5"/>
    <n v="2.4"/>
    <x v="2"/>
    <x v="8"/>
  </r>
  <r>
    <s v="PO-2026-00148"/>
    <s v="ORD-248276"/>
    <d v="2026-05-21T00:00:00"/>
    <d v="2026-05-29T00:00:00"/>
    <x v="80"/>
    <x v="10"/>
    <x v="10"/>
    <x v="2"/>
    <x v="1"/>
    <x v="6"/>
    <s v="SKU-MET-931"/>
    <s v="Steel Coil"/>
    <n v="1208.25"/>
    <s v="NGN"/>
    <n v="7.2999999999999996E-4"/>
    <n v="0.88202249999999993"/>
    <n v="50"/>
    <n v="60412.5"/>
    <n v="60412.5"/>
    <n v="44.101124999999996"/>
    <n v="1"/>
    <n v="0.02"/>
    <n v="8"/>
    <n v="8"/>
    <n v="8"/>
    <n v="8"/>
    <n v="0"/>
    <n v="0"/>
    <x v="5"/>
    <x v="0"/>
    <x v="1"/>
    <x v="4"/>
    <x v="1"/>
    <x v="3"/>
    <x v="0"/>
    <x v="0"/>
    <n v="4.8"/>
    <x v="0"/>
    <x v="11"/>
  </r>
  <r>
    <s v="PO-2026-00149"/>
    <s v="ORD-738489"/>
    <d v="2026-05-01T00:00:00"/>
    <d v="2026-05-13T00:00:00"/>
    <x v="2"/>
    <x v="3"/>
    <x v="3"/>
    <x v="3"/>
    <x v="0"/>
    <x v="4"/>
    <s v="SKU-PAC-338"/>
    <s v="Shipping Carton"/>
    <n v="311.49"/>
    <s v="ZAR"/>
    <n v="6.0999999999999999E-2"/>
    <n v="19.000890000000002"/>
    <n v="250"/>
    <n v="77872.5"/>
    <n v="77872.5"/>
    <n v="4750.2224999999999"/>
    <n v="4"/>
    <n v="1.6E-2"/>
    <n v="22"/>
    <n v="22"/>
    <n v="12"/>
    <n v="12"/>
    <n v="10"/>
    <m/>
    <x v="1"/>
    <x v="0"/>
    <x v="0"/>
    <x v="2"/>
    <x v="0"/>
    <x v="0"/>
    <x v="1"/>
    <x v="0"/>
    <n v="1.9"/>
    <x v="0"/>
    <x v="0"/>
  </r>
  <r>
    <s v="PO-2026-00150"/>
    <s v="ORD-412475"/>
    <d v="2026-04-15T00:00:00"/>
    <d v="2026-05-03T00:00:00"/>
    <x v="102"/>
    <x v="7"/>
    <x v="7"/>
    <x v="6"/>
    <x v="7"/>
    <x v="1"/>
    <s v="SKU-ELE-793"/>
    <s v="Sensor Module"/>
    <n v="814.56"/>
    <s v="KES"/>
    <n v="7.7000000000000002E-3"/>
    <n v="6.2721119999999999"/>
    <n v="50"/>
    <n v="40728"/>
    <n v="40728"/>
    <n v="313.60560000000004"/>
    <n v="2"/>
    <n v="0.04"/>
    <n v="21"/>
    <n v="21"/>
    <n v="18"/>
    <n v="18"/>
    <n v="3"/>
    <n v="3"/>
    <x v="3"/>
    <x v="0"/>
    <x v="1"/>
    <x v="2"/>
    <x v="4"/>
    <x v="1"/>
    <x v="3"/>
    <x v="0"/>
    <n v="3.4"/>
    <x v="3"/>
    <x v="0"/>
  </r>
  <r>
    <s v="PO-2026-00151"/>
    <s v="ORD-348558"/>
    <d v="2026-02-03T00:00:00"/>
    <d v="2026-02-08T00:00:00"/>
    <x v="103"/>
    <x v="2"/>
    <x v="2"/>
    <x v="2"/>
    <x v="4"/>
    <x v="2"/>
    <s v="SKU-IND-458"/>
    <s v="Welding Rod"/>
    <n v="83.53"/>
    <s v="GHS"/>
    <n v="8.8999999999999996E-2"/>
    <n v="7.4341699999999999"/>
    <n v="300"/>
    <n v="25059"/>
    <n v="25059"/>
    <n v="2230.2509999999997"/>
    <n v="3"/>
    <n v="0.01"/>
    <n v="13"/>
    <n v="13"/>
    <n v="5"/>
    <n v="5"/>
    <n v="8"/>
    <n v="8"/>
    <x v="1"/>
    <x v="0"/>
    <x v="1"/>
    <x v="3"/>
    <x v="5"/>
    <x v="0"/>
    <x v="2"/>
    <x v="0"/>
    <n v="1.1000000000000001"/>
    <x v="6"/>
    <x v="0"/>
  </r>
  <r>
    <s v="PO-2026-00152"/>
    <s v="ORD-177200"/>
    <d v="2026-04-04T00:00:00"/>
    <d v="2026-04-21T00:00:00"/>
    <x v="104"/>
    <x v="5"/>
    <x v="5"/>
    <x v="5"/>
    <x v="8"/>
    <x v="3"/>
    <s v="SKU-TEX-399"/>
    <s v="Uniform Material"/>
    <n v="270.43"/>
    <s v="GHS"/>
    <n v="8.8999999999999996E-2"/>
    <n v="24.068269999999998"/>
    <n v="750"/>
    <n v="202822.5"/>
    <n v="202822.5"/>
    <n v="18051.202499999999"/>
    <n v="34"/>
    <n v="4.53E-2"/>
    <n v="17"/>
    <n v="17"/>
    <n v="17"/>
    <n v="17"/>
    <n v="0"/>
    <n v="0"/>
    <x v="2"/>
    <x v="1"/>
    <x v="1"/>
    <x v="2"/>
    <x v="1"/>
    <x v="1"/>
    <x v="2"/>
    <x v="1"/>
    <n v="1.4"/>
    <x v="3"/>
    <x v="3"/>
  </r>
  <r>
    <s v="PO-2026-00153"/>
    <s v="ORD-140757"/>
    <d v="2026-01-31T00:00:00"/>
    <d v="2026-02-04T00:00:00"/>
    <x v="105"/>
    <x v="9"/>
    <x v="9"/>
    <x v="2"/>
    <x v="4"/>
    <x v="4"/>
    <s v="SKU-PAC-892"/>
    <s v="Plastic Film Roll"/>
    <n v="371.94"/>
    <s v="NGN"/>
    <n v="7.2999999999999996E-4"/>
    <n v="0.27151619999999999"/>
    <n v="200"/>
    <n v="74388"/>
    <n v="74388"/>
    <n v="54.303239999999995"/>
    <n v="0"/>
    <n v="0"/>
    <n v="-5"/>
    <n v="1"/>
    <n v="4"/>
    <n v="4"/>
    <n v="-3"/>
    <n v="-3"/>
    <x v="2"/>
    <x v="0"/>
    <x v="2"/>
    <x v="3"/>
    <x v="2"/>
    <x v="3"/>
    <x v="4"/>
    <x v="0"/>
    <n v="2.2999999999999998"/>
    <x v="0"/>
    <x v="4"/>
  </r>
  <r>
    <s v="PO-2026-00154"/>
    <s v="ORD-422188"/>
    <d v="2026-01-11T00:00:00"/>
    <d v="2026-01-28T00:00:00"/>
    <x v="106"/>
    <x v="13"/>
    <x v="13"/>
    <x v="9"/>
    <x v="1"/>
    <x v="0"/>
    <s v="SKU-MAC-812"/>
    <s v="Hydraulic Hose"/>
    <n v="4357.76"/>
    <s v="KES"/>
    <n v="7.7000000000000002E-3"/>
    <n v="33.554752000000001"/>
    <n v="250"/>
    <n v="1089440"/>
    <n v="1089440"/>
    <n v="8388.6880000000001"/>
    <n v="19"/>
    <n v="7.5999999999999998E-2"/>
    <n v="18"/>
    <n v="18"/>
    <n v="17"/>
    <n v="17"/>
    <n v="1"/>
    <n v="1"/>
    <x v="1"/>
    <x v="2"/>
    <x v="0"/>
    <x v="3"/>
    <x v="3"/>
    <x v="1"/>
    <x v="2"/>
    <x v="4"/>
    <n v="2.2999999999999998"/>
    <x v="1"/>
    <x v="1"/>
  </r>
  <r>
    <s v="PO-2026-00155"/>
    <s v="ORD-467522"/>
    <d v="2026-04-03T00:00:00"/>
    <d v="2026-04-20T00:00:00"/>
    <x v="59"/>
    <x v="13"/>
    <x v="13"/>
    <x v="9"/>
    <x v="1"/>
    <x v="3"/>
    <s v="SKU-TEX-588"/>
    <s v="Label Tape"/>
    <n v="171.95"/>
    <s v="NGN"/>
    <n v="7.2999999999999996E-4"/>
    <n v="0.12552349999999998"/>
    <n v="75"/>
    <n v="12896.25"/>
    <n v="12896.25"/>
    <n v="9.4142624999999995"/>
    <n v="0"/>
    <n v="0"/>
    <n v="20"/>
    <n v="20"/>
    <n v="17"/>
    <n v="17"/>
    <n v="3"/>
    <n v="3"/>
    <x v="1"/>
    <x v="0"/>
    <x v="1"/>
    <x v="3"/>
    <x v="4"/>
    <x v="0"/>
    <x v="1"/>
    <x v="0"/>
    <n v="2.8"/>
    <x v="4"/>
    <x v="0"/>
  </r>
  <r>
    <s v="PO-2026-00138"/>
    <s v="ORD-636286"/>
    <d v="2026-03-21T00:00:00"/>
    <d v="2026-03-28T00:00:00"/>
    <x v="84"/>
    <x v="11"/>
    <x v="11"/>
    <x v="8"/>
    <x v="7"/>
    <x v="5"/>
    <s v="SKU-RAW-262"/>
    <s v="Chemical Additive"/>
    <n v="592.52"/>
    <s v="ZAR"/>
    <n v="6.0999999999999999E-2"/>
    <n v="36.143719999999995"/>
    <n v="150"/>
    <n v="88878"/>
    <n v="88878"/>
    <n v="5421.558"/>
    <n v="3"/>
    <n v="0.02"/>
    <n v="21"/>
    <n v="21"/>
    <n v="7"/>
    <n v="7"/>
    <n v="14"/>
    <n v="14"/>
    <x v="1"/>
    <x v="0"/>
    <x v="1"/>
    <x v="5"/>
    <x v="1"/>
    <x v="2"/>
    <x v="2"/>
    <x v="0"/>
    <n v="2.5"/>
    <x v="4"/>
    <x v="0"/>
  </r>
  <r>
    <s v="PO-2026-00157"/>
    <s v="ORD-738240"/>
    <d v="2026-01-26T00:00:00"/>
    <d v="2026-02-08T00:00:00"/>
    <x v="107"/>
    <x v="3"/>
    <x v="3"/>
    <x v="3"/>
    <x v="7"/>
    <x v="4"/>
    <s v="SKU-PAC-602"/>
    <s v="Shipping Carton"/>
    <n v="492.61"/>
    <s v="ZAR"/>
    <n v="6.0999999999999999E-2"/>
    <n v="30.049209999999999"/>
    <n v="1000"/>
    <n v="492610"/>
    <n v="492610"/>
    <n v="30049.21"/>
    <n v="53"/>
    <n v="5.2999999999999999E-2"/>
    <n v="15"/>
    <n v="15"/>
    <n v="13"/>
    <n v="13"/>
    <n v="2"/>
    <n v="2"/>
    <x v="1"/>
    <x v="2"/>
    <x v="3"/>
    <x v="1"/>
    <x v="5"/>
    <x v="4"/>
    <x v="5"/>
    <x v="3"/>
    <n v="2.4"/>
    <x v="0"/>
    <x v="6"/>
  </r>
  <r>
    <s v="PO-2026-00158"/>
    <s v="ORD-716412"/>
    <d v="2026-04-05T00:00:00"/>
    <d v="2026-04-20T00:00:00"/>
    <x v="24"/>
    <x v="4"/>
    <x v="4"/>
    <x v="4"/>
    <x v="3"/>
    <x v="0"/>
    <s v="SKU-MAC-653"/>
    <s v="Gear Assembly"/>
    <n v="3385.95"/>
    <s v="USD"/>
    <n v="1"/>
    <n v="3385.95"/>
    <n v="75"/>
    <n v="253946.25"/>
    <n v="253946.25"/>
    <n v="253946.25"/>
    <n v="0"/>
    <n v="0"/>
    <n v="11"/>
    <n v="11"/>
    <n v="15"/>
    <n v="15"/>
    <n v="-4"/>
    <n v="-4"/>
    <x v="2"/>
    <x v="0"/>
    <x v="1"/>
    <x v="4"/>
    <x v="5"/>
    <x v="3"/>
    <x v="4"/>
    <x v="0"/>
    <n v="4.7"/>
    <x v="1"/>
    <x v="2"/>
  </r>
  <r>
    <s v="PO-2026-00159"/>
    <s v="ORD-258270"/>
    <d v="2026-01-08T00:00:00"/>
    <d v="2026-01-16T00:00:00"/>
    <x v="108"/>
    <x v="14"/>
    <x v="14"/>
    <x v="10"/>
    <x v="3"/>
    <x v="5"/>
    <s v="SKU-RAW-757"/>
    <s v="Input Granules"/>
    <n v="428.1"/>
    <s v="GHS"/>
    <n v="8.8999999999999996E-2"/>
    <n v="38.100900000000003"/>
    <n v="150"/>
    <n v="64215"/>
    <n v="64215"/>
    <n v="5715.1349999999993"/>
    <n v="2"/>
    <n v="1.3299999999999999E-2"/>
    <n v="18"/>
    <n v="18"/>
    <n v="8"/>
    <n v="8"/>
    <n v="10"/>
    <n v="10"/>
    <x v="4"/>
    <x v="0"/>
    <x v="1"/>
    <x v="3"/>
    <x v="5"/>
    <x v="6"/>
    <x v="2"/>
    <x v="0"/>
    <n v="2.7"/>
    <x v="2"/>
    <x v="0"/>
  </r>
  <r>
    <s v="PO-2026-00160"/>
    <s v="ORD-237662"/>
    <d v="2026-06-22T00:00:00"/>
    <d v="2026-07-07T00:00:00"/>
    <x v="109"/>
    <x v="13"/>
    <x v="13"/>
    <x v="9"/>
    <x v="3"/>
    <x v="3"/>
    <s v="SKU-TEX-793"/>
    <s v="Cotton Fabric"/>
    <n v="671.88"/>
    <s v="USD"/>
    <n v="1"/>
    <n v="671.88"/>
    <n v="100"/>
    <n v="67188"/>
    <n v="67188"/>
    <n v="67188"/>
    <n v="6"/>
    <n v="0.06"/>
    <n v="20"/>
    <n v="20"/>
    <n v="15"/>
    <n v="15"/>
    <n v="5"/>
    <n v="5"/>
    <x v="0"/>
    <x v="4"/>
    <x v="1"/>
    <x v="1"/>
    <x v="0"/>
    <x v="6"/>
    <x v="4"/>
    <x v="2"/>
    <n v="1.1000000000000001"/>
    <x v="4"/>
    <x v="1"/>
  </r>
  <r>
    <s v="PO-2026-00161"/>
    <s v="ORD-148514"/>
    <d v="2026-05-02T00:00:00"/>
    <d v="2026-05-10T00:00:00"/>
    <x v="110"/>
    <x v="10"/>
    <x v="10"/>
    <x v="2"/>
    <x v="6"/>
    <x v="6"/>
    <s v="SKU-MET-118"/>
    <s v="Aluminium Sheet"/>
    <n v="1931.94"/>
    <s v="ZAR"/>
    <n v="6.0999999999999999E-2"/>
    <n v="117.84834000000001"/>
    <n v="150"/>
    <n v="289791"/>
    <n v="289791"/>
    <n v="17677.251"/>
    <n v="3"/>
    <n v="0.02"/>
    <n v="11"/>
    <n v="11"/>
    <n v="8"/>
    <n v="8"/>
    <n v="3"/>
    <n v="3"/>
    <x v="3"/>
    <x v="0"/>
    <x v="1"/>
    <x v="2"/>
    <x v="3"/>
    <x v="0"/>
    <x v="0"/>
    <x v="0"/>
    <n v="4.3"/>
    <x v="0"/>
    <x v="0"/>
  </r>
  <r>
    <s v="PO-2026-00162"/>
    <s v="ORD-181339"/>
    <d v="2026-05-20T00:00:00"/>
    <d v="2026-06-06T00:00:00"/>
    <x v="111"/>
    <x v="13"/>
    <x v="13"/>
    <x v="9"/>
    <x v="6"/>
    <x v="3"/>
    <s v="SKU-TEX-930"/>
    <s v="Label Tape"/>
    <n v="172.54"/>
    <s v="NGN"/>
    <n v="7.2999999999999996E-4"/>
    <n v="0.12595419999999999"/>
    <n v="75"/>
    <n v="12940.5"/>
    <n v="12940.5"/>
    <n v="9.4465649999999997"/>
    <n v="-1"/>
    <n v="0.04"/>
    <n v="20"/>
    <n v="20"/>
    <n v="17"/>
    <n v="17"/>
    <n v="3"/>
    <m/>
    <x v="1"/>
    <x v="0"/>
    <x v="1"/>
    <x v="0"/>
    <x v="0"/>
    <x v="0"/>
    <x v="0"/>
    <x v="0"/>
    <n v="2.5"/>
    <x v="3"/>
    <x v="0"/>
  </r>
  <r>
    <s v="PO-2026-00163"/>
    <s v="ORD-413250"/>
    <d v="2026-03-10T00:00:00"/>
    <d v="2026-03-20T00:00:00"/>
    <x v="71"/>
    <x v="4"/>
    <x v="4"/>
    <x v="4"/>
    <x v="5"/>
    <x v="0"/>
    <s v="SKU-MAC-383"/>
    <s v="Hydraulic Hose"/>
    <n v="233.97"/>
    <s v="GHS"/>
    <n v="8.8999999999999996E-2"/>
    <n v="20.823329999999999"/>
    <n v="250"/>
    <n v="58492.5"/>
    <n v="58492.5"/>
    <n v="5205.8324999999995"/>
    <n v="3"/>
    <n v="1.2E-2"/>
    <n v="11"/>
    <n v="11"/>
    <n v="10"/>
    <n v="10"/>
    <n v="1"/>
    <n v="1"/>
    <x v="1"/>
    <x v="0"/>
    <x v="0"/>
    <x v="1"/>
    <x v="3"/>
    <x v="3"/>
    <x v="2"/>
    <x v="0"/>
    <n v="2.9"/>
    <x v="1"/>
    <x v="0"/>
  </r>
  <r>
    <s v="PO-2026-00164"/>
    <s v="ORD-663459"/>
    <d v="2026-02-21T00:00:00"/>
    <d v="2026-03-12T00:00:00"/>
    <x v="60"/>
    <x v="5"/>
    <x v="5"/>
    <x v="5"/>
    <x v="2"/>
    <x v="3"/>
    <s v="SKU-TEX-941"/>
    <s v="Cotton Fabric"/>
    <n v="832.63"/>
    <s v="NGN"/>
    <n v="7.2999999999999996E-4"/>
    <n v="0.60781989999999997"/>
    <n v="750"/>
    <n v="624472.5"/>
    <n v="624472.5"/>
    <n v="455.86492499999997"/>
    <m/>
    <n v="4.2700000000000002E-2"/>
    <n v="23"/>
    <n v="23"/>
    <n v="19"/>
    <n v="19"/>
    <n v="4"/>
    <n v="4"/>
    <x v="0"/>
    <x v="4"/>
    <x v="1"/>
    <x v="4"/>
    <x v="4"/>
    <x v="5"/>
    <x v="2"/>
    <x v="5"/>
    <n v="2.9"/>
    <x v="0"/>
    <x v="1"/>
  </r>
  <r>
    <s v="PO-2026-00165"/>
    <s v="ORD-890009"/>
    <d v="2026-05-19T00:00:00"/>
    <d v="2026-06-11T00:00:00"/>
    <x v="12"/>
    <x v="0"/>
    <x v="0"/>
    <x v="0"/>
    <x v="7"/>
    <x v="0"/>
    <s v="SKU-MAC-766"/>
    <s v="Gear Assembly"/>
    <n v="1351.08"/>
    <s v="EGP"/>
    <n v="1.9E-2"/>
    <n v="25.670519999999996"/>
    <n v="1500"/>
    <n v="2026620"/>
    <n v="2026620"/>
    <n v="38505.78"/>
    <n v="77"/>
    <n v="5.1299999999999998E-2"/>
    <n v="22"/>
    <n v="22"/>
    <n v="23"/>
    <n v="23"/>
    <n v="-1"/>
    <n v="-1"/>
    <x v="2"/>
    <x v="1"/>
    <x v="1"/>
    <x v="2"/>
    <x v="3"/>
    <x v="4"/>
    <x v="4"/>
    <x v="2"/>
    <n v="3.3"/>
    <x v="2"/>
    <x v="3"/>
  </r>
  <r>
    <s v="PO-2026-00166"/>
    <s v="ORD-823235"/>
    <d v="2026-04-01T00:00:00"/>
    <d v="2026-04-08T00:00:00"/>
    <x v="112"/>
    <x v="11"/>
    <x v="11"/>
    <x v="8"/>
    <x v="8"/>
    <x v="5"/>
    <s v="SKU-RAW-819"/>
    <s v="Agro Binder"/>
    <n v="138.83000000000001"/>
    <s v="USD"/>
    <n v="1"/>
    <n v="138.83000000000001"/>
    <n v="50"/>
    <n v="6941.5"/>
    <n v="6941.5000000000009"/>
    <n v="6941.5"/>
    <n v="2"/>
    <n v="0.04"/>
    <n v="-5"/>
    <n v="14"/>
    <n v="7"/>
    <n v="7"/>
    <n v="7"/>
    <n v="7"/>
    <x v="1"/>
    <x v="0"/>
    <x v="4"/>
    <x v="3"/>
    <x v="5"/>
    <x v="6"/>
    <x v="1"/>
    <x v="0"/>
    <n v="2.5"/>
    <x v="5"/>
    <x v="5"/>
  </r>
  <r>
    <s v="PO-2026-00167"/>
    <s v="ORD-215074"/>
    <d v="2026-04-25T00:00:00"/>
    <d v="2026-05-13T00:00:00"/>
    <x v="113"/>
    <x v="8"/>
    <x v="8"/>
    <x v="7"/>
    <x v="8"/>
    <x v="1"/>
    <s v="SKU-ELE-874"/>
    <s v="LED Driver"/>
    <n v="1363.85"/>
    <s v="EGP"/>
    <n v="1.9E-2"/>
    <n v="25.913149999999998"/>
    <n v="150"/>
    <n v="204577.5"/>
    <n v="204577.5"/>
    <n v="3886.9724999999999"/>
    <n v="3"/>
    <n v="0.02"/>
    <n v="19"/>
    <n v="19"/>
    <n v="18"/>
    <n v="18"/>
    <n v="1"/>
    <n v="1"/>
    <x v="1"/>
    <x v="0"/>
    <x v="3"/>
    <x v="3"/>
    <x v="4"/>
    <x v="5"/>
    <x v="3"/>
    <x v="0"/>
    <n v="4.3"/>
    <x v="4"/>
    <x v="5"/>
  </r>
  <r>
    <s v="PO-2026-00168"/>
    <s v="ORD-268673"/>
    <d v="2026-02-05T00:00:00"/>
    <d v="2026-02-15T00:00:00"/>
    <x v="40"/>
    <x v="4"/>
    <x v="4"/>
    <x v="4"/>
    <x v="7"/>
    <x v="0"/>
    <s v="SKU-MAC-701"/>
    <s v="Hydraulic Hose"/>
    <n v="1273.6300000000001"/>
    <s v="ZAR"/>
    <n v="6.0999999999999999E-2"/>
    <n v="77.691430000000011"/>
    <n v="750"/>
    <n v="955222.5"/>
    <n v="955222.50000000012"/>
    <n v="58268.572500000002"/>
    <n v="13"/>
    <n v="1.7299999999999999E-2"/>
    <n v="6"/>
    <n v="6"/>
    <n v="10"/>
    <n v="10"/>
    <n v="-4"/>
    <n v="-4"/>
    <x v="2"/>
    <x v="0"/>
    <x v="0"/>
    <x v="4"/>
    <x v="1"/>
    <x v="3"/>
    <x v="4"/>
    <x v="0"/>
    <n v="3.7"/>
    <x v="3"/>
    <x v="2"/>
  </r>
  <r>
    <s v="PO-2026-00082"/>
    <s v="ORD-701150"/>
    <d v="2026-03-24T00:00:00"/>
    <d v="2026-04-03T00:00:00"/>
    <x v="42"/>
    <x v="2"/>
    <x v="2"/>
    <x v="2"/>
    <x v="6"/>
    <x v="2"/>
    <s v="SKU-IND-294"/>
    <s v="Welding Rod"/>
    <n v="455.88"/>
    <s v="USD"/>
    <n v="1"/>
    <n v="455.88"/>
    <n v="50"/>
    <n v="22794"/>
    <n v="22794"/>
    <n v="22794"/>
    <n v="4"/>
    <n v="0.08"/>
    <n v="19"/>
    <n v="19"/>
    <n v="10"/>
    <n v="10"/>
    <n v="9"/>
    <n v="9"/>
    <x v="1"/>
    <x v="4"/>
    <x v="3"/>
    <x v="2"/>
    <x v="5"/>
    <x v="5"/>
    <x v="5"/>
    <x v="5"/>
    <n v="1.2"/>
    <x v="2"/>
    <x v="6"/>
  </r>
  <r>
    <s v="PO-2026-00170"/>
    <s v="ORD-772963"/>
    <d v="2026-06-06T00:00:00"/>
    <d v="2026-06-18T00:00:00"/>
    <x v="114"/>
    <x v="3"/>
    <x v="3"/>
    <x v="3"/>
    <x v="0"/>
    <x v="4"/>
    <s v="SKU-PAC-225"/>
    <s v="Plastic Film Roll"/>
    <n v="72.14"/>
    <s v="GHS"/>
    <n v="8.8999999999999996E-2"/>
    <n v="6.4204599999999994"/>
    <n v="500"/>
    <n v="36070"/>
    <n v="36070"/>
    <n v="3210.23"/>
    <n v="17"/>
    <n v="3.4000000000000002E-2"/>
    <n v="15"/>
    <n v="15"/>
    <n v="12"/>
    <n v="12"/>
    <n v="3"/>
    <n v="3"/>
    <x v="1"/>
    <x v="0"/>
    <x v="1"/>
    <x v="0"/>
    <x v="4"/>
    <x v="0"/>
    <x v="3"/>
    <x v="0"/>
    <n v="2.8"/>
    <x v="4"/>
    <x v="0"/>
  </r>
  <r>
    <s v="PO-2026-00171"/>
    <s v="ORD-907541"/>
    <d v="2026-05-03T00:00:00"/>
    <d v="2026-05-11T00:00:00"/>
    <x v="65"/>
    <x v="11"/>
    <x v="11"/>
    <x v="8"/>
    <x v="1"/>
    <x v="5"/>
    <s v="SKU-RAW-550"/>
    <s v="Polymer Resin"/>
    <s v=""/>
    <s v="EGP"/>
    <n v="1.9E-2"/>
    <s v=""/>
    <n v="1500"/>
    <n v="770490"/>
    <e v="#VALUE!"/>
    <n v="14639.31"/>
    <n v="18"/>
    <n v="1.2E-2"/>
    <n v="17"/>
    <n v="17"/>
    <n v="8"/>
    <n v="8"/>
    <n v="9"/>
    <n v="9"/>
    <x v="1"/>
    <x v="0"/>
    <x v="3"/>
    <x v="2"/>
    <x v="1"/>
    <x v="0"/>
    <x v="4"/>
    <x v="0"/>
    <n v="1.3"/>
    <x v="6"/>
    <x v="5"/>
  </r>
  <r>
    <s v="PO-2026-00172"/>
    <s v="ORD-254493"/>
    <d v="2026-03-29T00:00:00"/>
    <d v="2026-04-06T00:00:00"/>
    <x v="92"/>
    <x v="9"/>
    <x v="9"/>
    <x v="2"/>
    <x v="2"/>
    <x v="4"/>
    <s v="SKU-PAC-227"/>
    <s v="Shipping Carton"/>
    <n v="128.77000000000001"/>
    <s v="EGP"/>
    <n v="1.9E-2"/>
    <n v="2.4466300000000003"/>
    <n v="75"/>
    <n v="9657.75"/>
    <n v="9657.75"/>
    <n v="183.49725000000001"/>
    <n v="0"/>
    <n v="0"/>
    <n v="0"/>
    <n v="0"/>
    <n v="8"/>
    <n v="8"/>
    <n v="-8"/>
    <n v="-8"/>
    <x v="2"/>
    <x v="0"/>
    <x v="0"/>
    <x v="1"/>
    <x v="0"/>
    <x v="4"/>
    <x v="3"/>
    <x v="0"/>
    <n v="5"/>
    <x v="0"/>
    <x v="2"/>
  </r>
  <r>
    <s v="PO-2026-00173"/>
    <s v="ORD-805230"/>
    <d v="2026-03-08T00:00:00"/>
    <d v="2026-03-22T00:00:00"/>
    <x v="71"/>
    <x v="6"/>
    <x v="6"/>
    <x v="1"/>
    <x v="7"/>
    <x v="2"/>
    <s v="SKU-IND-252"/>
    <s v="Welding Rod"/>
    <n v="462.15"/>
    <s v="NGN"/>
    <n v="7.2999999999999996E-4"/>
    <n v="0.33736949999999999"/>
    <n v="250"/>
    <n v="115537.5"/>
    <n v="115537.5"/>
    <n v="84.34237499999999"/>
    <n v="-1"/>
    <n v="2.8000000000000001E-2"/>
    <n v="13"/>
    <n v="13"/>
    <n v="14"/>
    <n v="14"/>
    <n v="-1"/>
    <n v="-1"/>
    <x v="2"/>
    <x v="0"/>
    <x v="1"/>
    <x v="3"/>
    <x v="0"/>
    <x v="0"/>
    <x v="3"/>
    <x v="0"/>
    <n v="4.0999999999999996"/>
    <x v="2"/>
    <x v="2"/>
  </r>
  <r>
    <s v="PO-2026-00174"/>
    <s v="ORD-382567"/>
    <d v="2026-03-24T00:00:00"/>
    <d v="2026-04-02T00:00:00"/>
    <x v="115"/>
    <x v="13"/>
    <x v="13"/>
    <x v="9"/>
    <x v="7"/>
    <x v="3"/>
    <s v="SKU-TEX-747"/>
    <s v="Uniform Material"/>
    <n v="502.45"/>
    <s v="NGN"/>
    <n v="7.2999999999999996E-4"/>
    <n v="0.36678849999999996"/>
    <n v="75"/>
    <n v="37683.75"/>
    <n v="37683.75"/>
    <n v="27.509137499999998"/>
    <n v="0"/>
    <n v="0"/>
    <n v="17"/>
    <n v="17"/>
    <n v="9"/>
    <n v="9"/>
    <n v="8"/>
    <n v="8"/>
    <x v="0"/>
    <x v="0"/>
    <x v="3"/>
    <x v="2"/>
    <x v="5"/>
    <x v="0"/>
    <x v="1"/>
    <x v="0"/>
    <n v="2.7"/>
    <x v="0"/>
    <x v="5"/>
  </r>
  <r>
    <s v="PO-2026-00175"/>
    <s v="ORD-980485"/>
    <d v="2026-05-23T00:00:00"/>
    <d v="2026-05-30T00:00:00"/>
    <x v="72"/>
    <x v="2"/>
    <x v="2"/>
    <x v="2"/>
    <x v="4"/>
    <x v="2"/>
    <s v="SKU-IND-987"/>
    <s v="Welding Rod"/>
    <n v="93.48"/>
    <s v="ZAR"/>
    <n v="6.0999999999999999E-2"/>
    <n v="5.70228"/>
    <n v="1500"/>
    <n v="140220"/>
    <n v="140220"/>
    <n v="8553.42"/>
    <n v="46"/>
    <n v="3.0700000000000002E-2"/>
    <n v="13"/>
    <n v="13"/>
    <n v="7"/>
    <n v="7"/>
    <n v="6"/>
    <n v="6"/>
    <x v="1"/>
    <x v="0"/>
    <x v="1"/>
    <x v="3"/>
    <x v="0"/>
    <x v="1"/>
    <x v="0"/>
    <x v="0"/>
    <n v="3.2"/>
    <x v="0"/>
    <x v="0"/>
  </r>
  <r>
    <s v="PO-2026-00176"/>
    <s v="ORD-638196"/>
    <d v="2026-06-12T00:00:00"/>
    <d v="2026-06-27T00:00:00"/>
    <x v="27"/>
    <x v="8"/>
    <x v="8"/>
    <x v="11"/>
    <x v="4"/>
    <x v="1"/>
    <s v="SKU-ELE-127"/>
    <s v="LED Driver"/>
    <n v="57.32"/>
    <s v="ZAR"/>
    <n v="6.0999999999999999E-2"/>
    <n v="3.4965199999999999"/>
    <n v="150"/>
    <n v="8598"/>
    <n v="8598"/>
    <n v="524.47799999999995"/>
    <n v="0"/>
    <n v="0"/>
    <n v="15"/>
    <n v="15"/>
    <n v="15"/>
    <n v="15"/>
    <n v="0"/>
    <n v="0"/>
    <x v="5"/>
    <x v="0"/>
    <x v="1"/>
    <x v="5"/>
    <x v="4"/>
    <x v="0"/>
    <x v="2"/>
    <x v="0"/>
    <n v="4.3"/>
    <x v="1"/>
    <x v="2"/>
  </r>
  <r>
    <s v="PO-2026-00177"/>
    <s v="ORD-688790"/>
    <d v="2026-03-07T00:00:00"/>
    <d v="2026-03-28T00:00:00"/>
    <x v="41"/>
    <x v="7"/>
    <x v="7"/>
    <x v="6"/>
    <x v="3"/>
    <x v="2"/>
    <s v="SKU-IND-942"/>
    <s v="Filter Cartridge"/>
    <n v="544.92999999999995"/>
    <s v="GHS"/>
    <n v="8.8999999999999996E-2"/>
    <n v="48.498769999999993"/>
    <n v="200"/>
    <n v="108986"/>
    <n v="108985.99999999999"/>
    <n v="9699.753999999999"/>
    <n v="1"/>
    <n v="5.0000000000000001E-3"/>
    <n v="30"/>
    <n v="30"/>
    <n v="21"/>
    <n v="21"/>
    <n v="9"/>
    <n v="9"/>
    <x v="0"/>
    <x v="0"/>
    <x v="0"/>
    <x v="4"/>
    <x v="3"/>
    <x v="6"/>
    <x v="1"/>
    <x v="0"/>
    <n v="3.2"/>
    <x v="2"/>
    <x v="0"/>
  </r>
  <r>
    <s v="PO-2026-00178"/>
    <s v="ORD-601962"/>
    <d v="2026-02-06T00:00:00"/>
    <d v="2026-03-06T00:00:00"/>
    <x v="21"/>
    <x v="7"/>
    <x v="7"/>
    <x v="6"/>
    <x v="3"/>
    <x v="2"/>
    <s v="SKU-IND-198"/>
    <s v="Safety Gloves"/>
    <n v="819.91"/>
    <s v="KES"/>
    <n v="7.7000000000000002E-3"/>
    <n v="6.313307"/>
    <n v="150"/>
    <n v="122986.5"/>
    <n v="122986.5"/>
    <n v="946.99605000000008"/>
    <n v="4"/>
    <n v="2.6700000000000002E-2"/>
    <n v="16"/>
    <n v="16"/>
    <n v="28"/>
    <n v="28"/>
    <n v="-12"/>
    <n v="-12"/>
    <x v="5"/>
    <x v="0"/>
    <x v="1"/>
    <x v="3"/>
    <x v="2"/>
    <x v="2"/>
    <x v="4"/>
    <x v="0"/>
    <n v="4"/>
    <x v="6"/>
    <x v="11"/>
  </r>
  <r>
    <s v="PO-2026-00179"/>
    <s v="ORD-389988"/>
    <d v="2026-04-17T00:00:00"/>
    <d v="2026-05-05T00:00:00"/>
    <x v="116"/>
    <x v="13"/>
    <x v="13"/>
    <x v="9"/>
    <x v="4"/>
    <x v="4"/>
    <s v="SKU-PAC-894"/>
    <s v="Shipping Carton"/>
    <n v="344.74"/>
    <s v="GHS"/>
    <n v="8.8999999999999996E-2"/>
    <n v="30.68186"/>
    <n v="1500"/>
    <n v="517110"/>
    <n v="517110"/>
    <n v="46022.79"/>
    <n v="42"/>
    <n v="2.8000000000000001E-2"/>
    <n v="25"/>
    <n v="25"/>
    <n v="18"/>
    <n v="18"/>
    <n v="7"/>
    <n v="7"/>
    <x v="1"/>
    <x v="0"/>
    <x v="1"/>
    <x v="2"/>
    <x v="3"/>
    <x v="5"/>
    <x v="0"/>
    <x v="0"/>
    <n v="3.2"/>
    <x v="0"/>
    <x v="0"/>
  </r>
  <r>
    <s v="PO-2026-00180"/>
    <s v="ORD-655340"/>
    <d v="2026-04-09T00:00:00"/>
    <d v="2026-04-16T00:00:00"/>
    <x v="41"/>
    <x v="2"/>
    <x v="2"/>
    <x v="2"/>
    <x v="8"/>
    <x v="3"/>
    <s v="SKU-TEX-760"/>
    <s v="Cotton Fabric"/>
    <n v="744.73"/>
    <s v="NGN"/>
    <n v="7.2999999999999996E-4"/>
    <n v="0.54365289999999999"/>
    <n v="150"/>
    <n v="111709.5"/>
    <n v="111709.5"/>
    <n v="81.547934999999995"/>
    <n v="2"/>
    <n v="1.3299999999999999E-2"/>
    <n v="-3"/>
    <n v="-3"/>
    <n v="7"/>
    <n v="7"/>
    <n v="-10"/>
    <n v="-10"/>
    <x v="6"/>
    <x v="0"/>
    <x v="0"/>
    <x v="0"/>
    <x v="0"/>
    <x v="0"/>
    <x v="2"/>
    <x v="0"/>
    <n v="2.4"/>
    <x v="4"/>
    <x v="2"/>
  </r>
  <r>
    <s v="PO-2026-00181"/>
    <s v="ORD-392557"/>
    <d v="2026-01-28T00:00:00"/>
    <d v="2026-02-01T00:00:00"/>
    <x v="35"/>
    <x v="12"/>
    <x v="12"/>
    <x v="2"/>
    <x v="0"/>
    <x v="4"/>
    <s v="SKU-PAC-937"/>
    <s v="Plastic Film Roll"/>
    <n v="81.02"/>
    <s v="NGN"/>
    <n v="7.2999999999999996E-4"/>
    <n v="5.9144599999999992E-2"/>
    <n v="300"/>
    <n v="24306"/>
    <n v="24306"/>
    <n v="17.743379999999998"/>
    <n v="0"/>
    <n v="0"/>
    <n v="21"/>
    <n v="21"/>
    <n v="4"/>
    <n v="4"/>
    <n v="17"/>
    <n v="17"/>
    <x v="1"/>
    <x v="0"/>
    <x v="1"/>
    <x v="3"/>
    <x v="0"/>
    <x v="2"/>
    <x v="2"/>
    <x v="0"/>
    <n v="2.2000000000000002"/>
    <x v="3"/>
    <x v="0"/>
  </r>
  <r>
    <s v="PO-2026-00182"/>
    <s v="ORD-766488"/>
    <d v="2026-01-11T00:00:00"/>
    <d v="2026-01-25T00:00:00"/>
    <x v="56"/>
    <x v="4"/>
    <x v="4"/>
    <x v="4"/>
    <x v="4"/>
    <x v="0"/>
    <s v="SKU-MAC-349"/>
    <s v="Conveyor Belt"/>
    <n v="978.42"/>
    <s v="GHS"/>
    <n v="8.8999999999999996E-2"/>
    <n v="87.079379999999986"/>
    <n v="250"/>
    <n v="244605"/>
    <n v="244605"/>
    <n v="21769.844999999998"/>
    <n v="5"/>
    <n v="0.02"/>
    <n v="17"/>
    <n v="17"/>
    <n v="14"/>
    <n v="14"/>
    <n v="3"/>
    <n v="3"/>
    <x v="1"/>
    <x v="0"/>
    <x v="1"/>
    <x v="5"/>
    <x v="4"/>
    <x v="0"/>
    <x v="3"/>
    <x v="0"/>
    <n v="4.9000000000000004"/>
    <x v="0"/>
    <x v="0"/>
  </r>
  <r>
    <s v="PO-2026-00183"/>
    <s v="ORD-969128"/>
    <d v="2026-04-17T00:00:00"/>
    <d v="2026-05-09T00:00:00"/>
    <x v="117"/>
    <x v="7"/>
    <x v="7"/>
    <x v="6"/>
    <x v="4"/>
    <x v="2"/>
    <s v="SKU-IND-580"/>
    <s v="Filter Cartridge"/>
    <n v="621.41"/>
    <s v="KES"/>
    <n v="7.7000000000000002E-3"/>
    <n v="4.7848569999999997"/>
    <n v="150"/>
    <n v="93211.5"/>
    <n v="93211.5"/>
    <n v="717.72855000000004"/>
    <n v="4"/>
    <n v="2.6700000000000002E-2"/>
    <n v="14"/>
    <n v="14"/>
    <n v="22"/>
    <n v="22"/>
    <n v="-8"/>
    <n v="-8"/>
    <x v="2"/>
    <x v="0"/>
    <x v="2"/>
    <x v="3"/>
    <x v="2"/>
    <x v="4"/>
    <x v="2"/>
    <x v="0"/>
    <n v="3"/>
    <x v="4"/>
    <x v="4"/>
  </r>
  <r>
    <s v="PO-2026-00184"/>
    <s v="ORD-781940"/>
    <d v="2026-04-24T00:00:00"/>
    <d v="2026-05-07T00:00:00"/>
    <x v="102"/>
    <x v="5"/>
    <x v="5"/>
    <x v="5"/>
    <x v="7"/>
    <x v="3"/>
    <s v="SKU-TEX-901"/>
    <s v="Cotton Fabric"/>
    <n v="529.65"/>
    <s v="KES"/>
    <n v="7.7000000000000002E-3"/>
    <n v="4.0783050000000003"/>
    <n v="100"/>
    <n v="52965"/>
    <n v="52965"/>
    <n v="407.83050000000003"/>
    <n v="3"/>
    <n v="0.03"/>
    <n v="12"/>
    <n v="12"/>
    <n v="13"/>
    <n v="13"/>
    <n v="-1"/>
    <n v="-1"/>
    <x v="5"/>
    <x v="0"/>
    <x v="1"/>
    <x v="5"/>
    <x v="0"/>
    <x v="3"/>
    <x v="4"/>
    <x v="0"/>
    <n v="4.9000000000000004"/>
    <x v="2"/>
    <x v="2"/>
  </r>
  <r>
    <s v="PO-2026-00185"/>
    <s v="ORD-774919"/>
    <d v="2026-04-08T00:00:00"/>
    <d v="2026-04-20T00:00:00"/>
    <x v="59"/>
    <x v="5"/>
    <x v="5"/>
    <x v="5"/>
    <x v="5"/>
    <x v="3"/>
    <s v="SKU-TEX-963"/>
    <s v="Label Tape"/>
    <n v="3.24"/>
    <s v="EGP"/>
    <n v="1.9E-2"/>
    <n v="6.1560000000000004E-2"/>
    <n v="1000"/>
    <n v="3240"/>
    <n v="3240"/>
    <n v="61.559999999999995"/>
    <n v="8"/>
    <n v="8.0000000000000002E-3"/>
    <n v="15"/>
    <n v="15"/>
    <n v="12"/>
    <n v="12"/>
    <n v="3"/>
    <n v="3"/>
    <x v="3"/>
    <x v="0"/>
    <x v="2"/>
    <x v="3"/>
    <x v="2"/>
    <x v="2"/>
    <x v="2"/>
    <x v="0"/>
    <n v="2.4"/>
    <x v="2"/>
    <x v="5"/>
  </r>
  <r>
    <s v="PO-2026-00186"/>
    <s v="ORD-552753"/>
    <d v="2026-04-22T00:00:00"/>
    <d v="2026-05-08T00:00:00"/>
    <x v="102"/>
    <x v="4"/>
    <x v="4"/>
    <x v="4"/>
    <x v="3"/>
    <x v="0"/>
    <s v="SKU-MAC-852"/>
    <s v="Hydraulic Hose"/>
    <n v="1440.86"/>
    <s v="NGN"/>
    <n v="7.2999999999999996E-4"/>
    <n v="1.0518277999999999"/>
    <n v="1500"/>
    <n v="2161290"/>
    <n v="2161290"/>
    <n v="1577.7416999999998"/>
    <n v="34"/>
    <n v="2.2700000000000001E-2"/>
    <s v=""/>
    <n v="14"/>
    <n v="16"/>
    <n v="16"/>
    <n v="-2"/>
    <n v="-2"/>
    <x v="5"/>
    <x v="0"/>
    <x v="1"/>
    <x v="4"/>
    <x v="0"/>
    <x v="0"/>
    <x v="2"/>
    <x v="0"/>
    <n v="3.8"/>
    <x v="4"/>
    <x v="2"/>
  </r>
  <r>
    <s v="PO-2026-00187"/>
    <s v="ORD-144952"/>
    <d v="2026-06-09T00:00:00"/>
    <d v="2026-07-02T00:00:00"/>
    <x v="37"/>
    <x v="8"/>
    <x v="8"/>
    <x v="7"/>
    <x v="2"/>
    <x v="1"/>
    <s v="SKU-ELE-667"/>
    <s v="Control Board"/>
    <n v="1945.81"/>
    <s v="NGN"/>
    <n v="7.2999999999999996E-4"/>
    <n v="1.4204412999999998"/>
    <n v="300"/>
    <n v="583743"/>
    <n v="583743"/>
    <n v="426.13238999999999"/>
    <n v="4"/>
    <n v="1.3299999999999999E-2"/>
    <n v="20"/>
    <n v="20"/>
    <n v="23"/>
    <n v="23"/>
    <n v="-3"/>
    <n v="-3"/>
    <x v="2"/>
    <x v="0"/>
    <x v="0"/>
    <x v="0"/>
    <x v="4"/>
    <x v="3"/>
    <x v="1"/>
    <x v="0"/>
    <n v="2.5"/>
    <x v="6"/>
    <x v="2"/>
  </r>
  <r>
    <s v="PO-2026-00188"/>
    <s v="ORD-880367"/>
    <d v="2026-01-17T00:00:00"/>
    <d v="2026-01-21T00:00:00"/>
    <x v="118"/>
    <x v="2"/>
    <x v="2"/>
    <x v="2"/>
    <x v="4"/>
    <x v="2"/>
    <s v="SKU-IND-870"/>
    <s v="Safety Gloves"/>
    <n v="110.45"/>
    <s v="USD"/>
    <n v="1"/>
    <n v="110.45"/>
    <n v="1000"/>
    <n v="110450"/>
    <n v="110450"/>
    <n v="110450"/>
    <n v="49"/>
    <n v="4.9000000000000002E-2"/>
    <n v="3"/>
    <n v="3"/>
    <n v="4"/>
    <n v="4"/>
    <n v="-1"/>
    <n v="-1"/>
    <x v="2"/>
    <x v="4"/>
    <x v="1"/>
    <x v="0"/>
    <x v="4"/>
    <x v="2"/>
    <x v="2"/>
    <x v="2"/>
    <n v="1.5"/>
    <x v="6"/>
    <x v="3"/>
  </r>
  <r>
    <s v="PO-2026-00189"/>
    <s v="ORD-627585"/>
    <d v="2026-03-20T00:00:00"/>
    <d v="2026-04-01T00:00:00"/>
    <x v="32"/>
    <x v="10"/>
    <x v="10"/>
    <x v="2"/>
    <x v="1"/>
    <x v="6"/>
    <s v="SKU-MET-396"/>
    <s v="Rebar Bundle"/>
    <n v="2488.17"/>
    <s v="USD"/>
    <n v="1"/>
    <n v="2488.17"/>
    <n v="1500"/>
    <n v="0"/>
    <n v="3732255"/>
    <n v="0"/>
    <n v="13"/>
    <n v="8.6999999999999994E-3"/>
    <n v="-5"/>
    <n v="13"/>
    <n v="12"/>
    <n v="12"/>
    <n v="1"/>
    <n v="1"/>
    <x v="3"/>
    <x v="0"/>
    <x v="1"/>
    <x v="4"/>
    <x v="0"/>
    <x v="3"/>
    <x v="1"/>
    <x v="0"/>
    <n v="4.9000000000000004"/>
    <x v="2"/>
    <x v="0"/>
  </r>
  <r>
    <s v="PO-2026-00190"/>
    <s v="ORD-798129"/>
    <d v="2026-06-27T00:00:00"/>
    <d v="2026-07-05T00:00:00"/>
    <x v="30"/>
    <x v="2"/>
    <x v="2"/>
    <x v="2"/>
    <x v="4"/>
    <x v="4"/>
    <s v="SKU-PAC-291"/>
    <s v="Bottle Caps"/>
    <n v="21.47"/>
    <s v="NGN"/>
    <n v="7.2999999999999996E-4"/>
    <n v="1.5673099999999999E-2"/>
    <n v="750"/>
    <n v="16102.5"/>
    <n v="16102.5"/>
    <n v="11.754824999999999"/>
    <n v="5"/>
    <n v="6.7000000000000002E-3"/>
    <n v="1"/>
    <n v="1"/>
    <n v="8"/>
    <n v="8"/>
    <n v="-7"/>
    <n v="-7"/>
    <x v="2"/>
    <x v="0"/>
    <x v="1"/>
    <x v="5"/>
    <x v="4"/>
    <x v="4"/>
    <x v="4"/>
    <x v="0"/>
    <n v="3.1"/>
    <x v="0"/>
    <x v="2"/>
  </r>
  <r>
    <s v="PO-2026-00191"/>
    <s v="ORD-433496"/>
    <d v="2026-01-28T00:00:00"/>
    <d v="2026-02-11T00:00:00"/>
    <x v="119"/>
    <x v="2"/>
    <x v="2"/>
    <x v="2"/>
    <x v="4"/>
    <x v="2"/>
    <s v="SKU-IND-837"/>
    <s v="Filter Cartridge"/>
    <n v="235.32"/>
    <s v="NGN"/>
    <n v="7.2999999999999996E-4"/>
    <n v="0.17178359999999998"/>
    <n v="250"/>
    <n v="58830"/>
    <n v="58830"/>
    <n v="42.945899999999995"/>
    <n v="7"/>
    <n v="2.8000000000000001E-2"/>
    <n v="17"/>
    <n v="17"/>
    <n v="14"/>
    <n v="14"/>
    <n v="3"/>
    <n v="3"/>
    <x v="3"/>
    <x v="0"/>
    <x v="0"/>
    <x v="3"/>
    <x v="0"/>
    <x v="0"/>
    <x v="4"/>
    <x v="0"/>
    <n v="2.2000000000000002"/>
    <x v="0"/>
    <x v="0"/>
  </r>
  <r>
    <s v="PO-2026-00192"/>
    <s v="ORD-236915"/>
    <d v="2026-05-21T00:00:00"/>
    <d v="2026-06-01T00:00:00"/>
    <x v="58"/>
    <x v="3"/>
    <x v="3"/>
    <x v="3"/>
    <x v="3"/>
    <x v="4"/>
    <s v="SKU-PAC-268"/>
    <s v="Shipping Carton"/>
    <n v="411.5"/>
    <s v="ZAR"/>
    <n v="6.0999999999999999E-2"/>
    <n v="25.101499999999998"/>
    <n v="250"/>
    <n v="102875"/>
    <n v="102875"/>
    <n v="6275.375"/>
    <n v="-1"/>
    <n v="3.2000000000000001E-2"/>
    <n v="-5"/>
    <n v="16"/>
    <n v="11"/>
    <n v="11"/>
    <n v="5"/>
    <m/>
    <x v="1"/>
    <x v="0"/>
    <x v="1"/>
    <x v="3"/>
    <x v="2"/>
    <x v="0"/>
    <x v="0"/>
    <x v="0"/>
    <n v="3.4"/>
    <x v="6"/>
    <x v="0"/>
  </r>
  <r>
    <s v="PO-2026-00193"/>
    <s v="ORD-801033"/>
    <d v="2026-02-04T00:00:00"/>
    <d v="2026-02-24T00:00:00"/>
    <x v="103"/>
    <x v="1"/>
    <x v="1"/>
    <x v="1"/>
    <x v="2"/>
    <x v="5"/>
    <s v="SKU-RAW-684"/>
    <s v="Chemical Additive"/>
    <n v="686.71"/>
    <s v="NGN"/>
    <n v="7.2999999999999996E-4"/>
    <n v="0.50129829999999997"/>
    <n v="50"/>
    <n v="34335.5"/>
    <n v="34335.5"/>
    <n v="25.064914999999999"/>
    <n v="4"/>
    <n v="0.08"/>
    <n v="12"/>
    <n v="12"/>
    <n v="20"/>
    <n v="20"/>
    <n v="-8"/>
    <n v="-8"/>
    <x v="2"/>
    <x v="4"/>
    <x v="1"/>
    <x v="0"/>
    <x v="0"/>
    <x v="0"/>
    <x v="2"/>
    <x v="3"/>
    <n v="3.2"/>
    <x v="1"/>
    <x v="3"/>
  </r>
  <r>
    <s v="PO-2026-00194"/>
    <s v="ORD-699820"/>
    <d v="2026-06-04T00:00:00"/>
    <d v="2026-06-17T00:00:00"/>
    <x v="74"/>
    <x v="11"/>
    <x v="11"/>
    <x v="8"/>
    <x v="8"/>
    <x v="5"/>
    <s v="SKU-RAW-926"/>
    <s v="Agro Binder"/>
    <n v="224.87"/>
    <s v="GHS"/>
    <n v="8.8999999999999996E-2"/>
    <n v="20.01343"/>
    <n v="250"/>
    <n v="56217.5"/>
    <n v="56217.5"/>
    <n v="5003.3575000000001"/>
    <n v="8"/>
    <n v="3.2000000000000001E-2"/>
    <n v="16"/>
    <n v="16"/>
    <n v="13"/>
    <n v="13"/>
    <n v="3"/>
    <n v="3"/>
    <x v="1"/>
    <x v="0"/>
    <x v="0"/>
    <x v="4"/>
    <x v="4"/>
    <x v="3"/>
    <x v="4"/>
    <x v="0"/>
    <n v="4.0999999999999996"/>
    <x v="4"/>
    <x v="0"/>
  </r>
  <r>
    <s v="PO-2026-00195"/>
    <s v="ORD-410182"/>
    <d v="2026-03-13T00:00:00"/>
    <d v="2026-04-02T00:00:00"/>
    <x v="76"/>
    <x v="7"/>
    <x v="7"/>
    <x v="6"/>
    <x v="3"/>
    <x v="2"/>
    <s v="SKU-IND-795"/>
    <s v="Lubricant Drum"/>
    <n v="248.35"/>
    <s v="KES"/>
    <n v="7.7000000000000002E-3"/>
    <n v="1.9122950000000001"/>
    <n v="250"/>
    <n v="62087.5"/>
    <n v="62087.5"/>
    <n v="478.07375000000002"/>
    <n v="256"/>
    <n v="1.2E-2"/>
    <n v="25"/>
    <n v="25"/>
    <n v="20"/>
    <n v="20"/>
    <n v="5"/>
    <n v="5"/>
    <x v="0"/>
    <x v="0"/>
    <x v="0"/>
    <x v="5"/>
    <x v="2"/>
    <x v="1"/>
    <x v="3"/>
    <x v="0"/>
    <n v="3.7"/>
    <x v="3"/>
    <x v="0"/>
  </r>
  <r>
    <s v="PO-2026-00196"/>
    <s v="ORD-518712"/>
    <d v="2026-01-19T00:00:00"/>
    <d v="2026-01-28T00:00:00"/>
    <x v="106"/>
    <x v="3"/>
    <x v="3"/>
    <x v="3"/>
    <x v="1"/>
    <x v="4"/>
    <s v="SKU-PAC-897"/>
    <s v="Bottle Caps"/>
    <n v="460.76"/>
    <s v="KES"/>
    <n v="7.7000000000000002E-3"/>
    <n v="3.5478520000000002"/>
    <n v="1500"/>
    <n v="691140"/>
    <n v="691140"/>
    <n v="5321.7780000000002"/>
    <m/>
    <n v="6.8000000000000005E-2"/>
    <n v="10"/>
    <n v="10"/>
    <n v="9"/>
    <n v="9"/>
    <n v="1"/>
    <n v="1"/>
    <x v="3"/>
    <x v="2"/>
    <x v="0"/>
    <x v="5"/>
    <x v="2"/>
    <x v="4"/>
    <x v="2"/>
    <x v="5"/>
    <n v="2.2000000000000002"/>
    <x v="2"/>
    <x v="1"/>
  </r>
  <r>
    <s v="PO-2026-00197"/>
    <s v="ORD-127178"/>
    <d v="2026-05-10T00:00:00"/>
    <d v="2026-05-29T00:00:00"/>
    <x v="88"/>
    <x v="4"/>
    <x v="4"/>
    <x v="4"/>
    <x v="2"/>
    <x v="6"/>
    <s v="SKU-MET-490"/>
    <s v="Aluminium Sheet"/>
    <n v="1799.68"/>
    <s v="KES"/>
    <n v="7.7000000000000002E-3"/>
    <n v="13.857536000000001"/>
    <n v="2000"/>
    <n v="3599360"/>
    <n v="3599360"/>
    <n v="27715.072"/>
    <n v="78"/>
    <n v="3.9E-2"/>
    <n v="14"/>
    <n v="14"/>
    <n v="19"/>
    <n v="19"/>
    <n v="-5"/>
    <n v="-5"/>
    <x v="2"/>
    <x v="0"/>
    <x v="4"/>
    <x v="5"/>
    <x v="5"/>
    <x v="0"/>
    <x v="0"/>
    <x v="0"/>
    <n v="4.5999999999999996"/>
    <x v="5"/>
    <x v="4"/>
  </r>
  <r>
    <s v="PO-2026-00198"/>
    <s v="ORD-160669"/>
    <d v="2026-05-07T00:00:00"/>
    <d v="2026-05-14T00:00:00"/>
    <x v="2"/>
    <x v="3"/>
    <x v="3"/>
    <x v="3"/>
    <x v="6"/>
    <x v="4"/>
    <s v="SKU-PAC-146"/>
    <s v="Shipping Carton"/>
    <n v="555.27"/>
    <s v="EGP"/>
    <n v="1.9E-2"/>
    <n v="10.550129999999999"/>
    <n v="500"/>
    <n v="277635"/>
    <n v="277635"/>
    <n v="5275.0649999999996"/>
    <n v="26"/>
    <n v="5.1999999999999998E-2"/>
    <n v="16"/>
    <n v="16"/>
    <n v="7"/>
    <n v="7"/>
    <n v="9"/>
    <n v="9"/>
    <x v="4"/>
    <x v="2"/>
    <x v="4"/>
    <x v="0"/>
    <x v="4"/>
    <x v="4"/>
    <x v="2"/>
    <x v="5"/>
    <n v="1.5"/>
    <x v="4"/>
    <x v="6"/>
  </r>
  <r>
    <s v="PO-2026-00199"/>
    <s v="ORD-334489"/>
    <d v="2026-03-20T00:00:00"/>
    <d v="2026-03-30T00:00:00"/>
    <x v="0"/>
    <x v="12"/>
    <x v="12"/>
    <x v="2"/>
    <x v="6"/>
    <x v="3"/>
    <s v="SKU-TEX-662"/>
    <s v="Polyester Roll"/>
    <n v="132.44"/>
    <s v="NGN"/>
    <n v="7.2999999999999996E-4"/>
    <n v="9.6681199999999995E-2"/>
    <n v="2000"/>
    <n v="264880"/>
    <n v="264880"/>
    <n v="193.36239999999998"/>
    <n v="32"/>
    <n v="1.6E-2"/>
    <n v="10"/>
    <n v="10"/>
    <n v="10"/>
    <n v="10"/>
    <n v="0"/>
    <n v="0"/>
    <x v="2"/>
    <x v="0"/>
    <x v="0"/>
    <x v="5"/>
    <x v="2"/>
    <x v="6"/>
    <x v="0"/>
    <x v="0"/>
    <n v="3.6"/>
    <x v="0"/>
    <x v="2"/>
  </r>
  <r>
    <s v="PO-2026-00200"/>
    <s v="ORD-615055"/>
    <d v="2026-04-23T00:00:00"/>
    <d v="2026-05-09T00:00:00"/>
    <x v="110"/>
    <x v="8"/>
    <x v="8"/>
    <x v="7"/>
    <x v="0"/>
    <x v="1"/>
    <s v="SKU-ELE-570"/>
    <s v="Sensor Module"/>
    <n v="1529.16"/>
    <s v="USD"/>
    <n v="1"/>
    <n v="1529.16"/>
    <n v="250"/>
    <n v="382290"/>
    <n v="382290"/>
    <n v="382290"/>
    <n v="4"/>
    <n v="1.6E-2"/>
    <s v=""/>
    <n v="20"/>
    <n v="16"/>
    <n v="16"/>
    <n v="4"/>
    <n v="4"/>
    <x v="0"/>
    <x v="0"/>
    <x v="4"/>
    <x v="3"/>
    <x v="2"/>
    <x v="6"/>
    <x v="4"/>
    <x v="0"/>
    <n v="4.9000000000000004"/>
    <x v="5"/>
    <x v="5"/>
  </r>
  <r>
    <s v="PO-2026-00201"/>
    <s v="ORD-589497"/>
    <d v="2026-03-21T00:00:00"/>
    <d v="2026-04-07T00:00:00"/>
    <x v="42"/>
    <x v="4"/>
    <x v="4"/>
    <x v="4"/>
    <x v="6"/>
    <x v="0"/>
    <s v="SKU-MAC-179"/>
    <s v="Hydraulic Hose"/>
    <n v="1390.45"/>
    <s v="ZAR"/>
    <n v="6.0999999999999999E-2"/>
    <n v="84.817450000000008"/>
    <n v="250"/>
    <n v="347612.5"/>
    <n v="347612.5"/>
    <n v="21204.362499999999"/>
    <n v="7"/>
    <n v="2.8000000000000001E-2"/>
    <n v="-5"/>
    <n v="22"/>
    <n v="17"/>
    <n v="17"/>
    <n v="5"/>
    <n v="5"/>
    <x v="1"/>
    <x v="0"/>
    <x v="1"/>
    <x v="4"/>
    <x v="2"/>
    <x v="1"/>
    <x v="4"/>
    <x v="0"/>
    <n v="3.7"/>
    <x v="0"/>
    <x v="0"/>
  </r>
  <r>
    <s v="PO-2026-00202"/>
    <s v="ORD-611036"/>
    <d v="2026-04-15T00:00:00"/>
    <d v="2026-04-26T00:00:00"/>
    <x v="52"/>
    <x v="12"/>
    <x v="12"/>
    <x v="2"/>
    <x v="7"/>
    <x v="0"/>
    <s v="SKU-MAC-775"/>
    <s v="Bearing Set"/>
    <n v="1186.1300000000001"/>
    <s v="EGP"/>
    <n v="1.9E-2"/>
    <n v="22.536470000000001"/>
    <n v="300"/>
    <n v="355839"/>
    <n v="355839.00000000006"/>
    <n v="6760.9409999999998"/>
    <n v="6"/>
    <n v="0.02"/>
    <n v="2"/>
    <n v="2"/>
    <n v="11"/>
    <n v="11"/>
    <n v="-9"/>
    <n v="-9"/>
    <x v="5"/>
    <x v="0"/>
    <x v="1"/>
    <x v="4"/>
    <x v="2"/>
    <x v="0"/>
    <x v="2"/>
    <x v="0"/>
    <n v="5"/>
    <x v="4"/>
    <x v="2"/>
  </r>
  <r>
    <s v="PO-2026-00203"/>
    <s v="ORD-234193"/>
    <d v="2026-06-28T00:00:00"/>
    <d v="2026-07-06T00:00:00"/>
    <x v="120"/>
    <x v="6"/>
    <x v="6"/>
    <x v="1"/>
    <x v="2"/>
    <x v="1"/>
    <s v="SKU-ELE-732"/>
    <s v="Sensor Module"/>
    <s v=""/>
    <s v="KES"/>
    <n v="7.7000000000000002E-3"/>
    <s v=""/>
    <n v="300"/>
    <n v="148392"/>
    <e v="#VALUE!"/>
    <n v="1142.6184000000001"/>
    <n v="7"/>
    <n v="2.3300000000000001E-2"/>
    <n v="13"/>
    <n v="13"/>
    <n v="8"/>
    <n v="8"/>
    <n v="5"/>
    <n v="5"/>
    <x v="1"/>
    <x v="0"/>
    <x v="4"/>
    <x v="4"/>
    <x v="2"/>
    <x v="1"/>
    <x v="4"/>
    <x v="0"/>
    <n v="3.1"/>
    <x v="1"/>
    <x v="5"/>
  </r>
  <r>
    <s v="PO-2026-00204"/>
    <s v="ORD-470590"/>
    <d v="2026-03-07T00:00:00"/>
    <d v="2026-03-30T00:00:00"/>
    <x v="11"/>
    <x v="0"/>
    <x v="0"/>
    <x v="0"/>
    <x v="7"/>
    <x v="0"/>
    <s v="SKU-MAC-192"/>
    <s v="Gear Assembly"/>
    <n v="3183.99"/>
    <s v="ZAR"/>
    <n v="6.0999999999999999E-2"/>
    <n v="194.22338999999999"/>
    <n v="250"/>
    <n v="795997.5"/>
    <n v="795997.5"/>
    <n v="48555.847499999996"/>
    <n v="17"/>
    <n v="6.8000000000000005E-2"/>
    <n v="28"/>
    <n v="28"/>
    <n v="23"/>
    <n v="23"/>
    <n v="5"/>
    <n v="5"/>
    <x v="4"/>
    <x v="4"/>
    <x v="1"/>
    <x v="5"/>
    <x v="2"/>
    <x v="0"/>
    <x v="3"/>
    <x v="3"/>
    <n v="1.5"/>
    <x v="6"/>
    <x v="1"/>
  </r>
  <r>
    <s v="PO-2026-00205"/>
    <s v="ORD-773712"/>
    <d v="2026-05-12T00:00:00"/>
    <d v="2026-05-23T00:00:00"/>
    <x v="98"/>
    <x v="2"/>
    <x v="2"/>
    <x v="2"/>
    <x v="0"/>
    <x v="2"/>
    <s v="SKU-IND-848"/>
    <s v="Welding Rod"/>
    <n v="127.6"/>
    <s v="NGN"/>
    <n v="7.2999999999999996E-4"/>
    <n v="9.3147999999999995E-2"/>
    <n v="300"/>
    <n v="38280"/>
    <n v="38280"/>
    <n v="27.944399999999998"/>
    <n v="6"/>
    <n v="0.02"/>
    <n v="21"/>
    <n v="21"/>
    <n v="11"/>
    <n v="11"/>
    <n v="10"/>
    <n v="10"/>
    <x v="1"/>
    <x v="0"/>
    <x v="1"/>
    <x v="3"/>
    <x v="4"/>
    <x v="0"/>
    <x v="1"/>
    <x v="0"/>
    <n v="1.1000000000000001"/>
    <x v="4"/>
    <x v="0"/>
  </r>
  <r>
    <s v="PO-2026-00206"/>
    <s v="ORD-557768"/>
    <d v="2026-01-12T00:00:00"/>
    <d v="2026-01-24T00:00:00"/>
    <x v="16"/>
    <x v="6"/>
    <x v="6"/>
    <x v="1"/>
    <x v="4"/>
    <x v="1"/>
    <s v="SKU-ELE-145"/>
    <s v="Sensor Module"/>
    <n v="1027.75"/>
    <s v="GHS"/>
    <n v="8.8999999999999996E-2"/>
    <n v="91.469749999999991"/>
    <n v="300"/>
    <n v="308325"/>
    <n v="308325"/>
    <n v="27440.924999999999"/>
    <n v="7"/>
    <n v="2.3300000000000001E-2"/>
    <n v="23"/>
    <n v="23"/>
    <n v="12"/>
    <n v="12"/>
    <n v="11"/>
    <n v="11"/>
    <x v="4"/>
    <x v="0"/>
    <x v="4"/>
    <x v="1"/>
    <x v="4"/>
    <x v="2"/>
    <x v="2"/>
    <x v="0"/>
    <n v="1.7"/>
    <x v="6"/>
    <x v="5"/>
  </r>
  <r>
    <s v="PO-2026-00207"/>
    <s v="ORD-359829"/>
    <d v="2026-05-06T00:00:00"/>
    <d v="2026-05-14T00:00:00"/>
    <x v="86"/>
    <x v="12"/>
    <x v="12"/>
    <x v="2"/>
    <x v="2"/>
    <x v="4"/>
    <s v="SKU-PAC-856"/>
    <s v="Bottle Caps"/>
    <n v="781.9"/>
    <s v="GHS"/>
    <n v="8.8999999999999996E-2"/>
    <n v="69.589099999999988"/>
    <n v="50"/>
    <n v="39095"/>
    <n v="39095"/>
    <n v="3479.4549999999999"/>
    <n v="3"/>
    <n v="0.06"/>
    <n v="13"/>
    <n v="13"/>
    <n v="8"/>
    <n v="8"/>
    <n v="5"/>
    <n v="5"/>
    <x v="4"/>
    <x v="4"/>
    <x v="1"/>
    <x v="4"/>
    <x v="0"/>
    <x v="0"/>
    <x v="0"/>
    <x v="2"/>
    <n v="2"/>
    <x v="3"/>
    <x v="1"/>
  </r>
  <r>
    <s v="PO-2026-00208"/>
    <s v="ORD-647419"/>
    <d v="2026-06-23T00:00:00"/>
    <d v="2026-07-07T00:00:00"/>
    <x v="83"/>
    <x v="12"/>
    <x v="12"/>
    <x v="2"/>
    <x v="3"/>
    <x v="6"/>
    <s v="SKU-MET-821"/>
    <s v="Copper Rod"/>
    <n v="686.41"/>
    <s v="ZAR"/>
    <n v="6.0999999999999999E-2"/>
    <n v="41.871009999999998"/>
    <n v="250"/>
    <n v="171602.5"/>
    <n v="171602.5"/>
    <n v="10467.752500000001"/>
    <n v="3"/>
    <n v="1.2E-2"/>
    <n v="15"/>
    <n v="15"/>
    <n v="14"/>
    <n v="14"/>
    <n v="1"/>
    <n v="1"/>
    <x v="3"/>
    <x v="0"/>
    <x v="1"/>
    <x v="0"/>
    <x v="2"/>
    <x v="1"/>
    <x v="0"/>
    <x v="0"/>
    <n v="5"/>
    <x v="4"/>
    <x v="0"/>
  </r>
  <r>
    <s v="PO-2026-00209"/>
    <s v="ORD-600850"/>
    <d v="2026-04-06T00:00:00"/>
    <d v="2026-04-14T00:00:00"/>
    <x v="52"/>
    <x v="12"/>
    <x v="12"/>
    <x v="2"/>
    <x v="8"/>
    <x v="4"/>
    <s v="SKU-PAC-609"/>
    <s v="Shipping Carton"/>
    <n v="628.58000000000004"/>
    <s v="USD"/>
    <n v="1"/>
    <n v="628.58000000000004"/>
    <n v="250"/>
    <n v="157145"/>
    <n v="157145"/>
    <n v="157145"/>
    <m/>
    <n v="1.6E-2"/>
    <n v="11"/>
    <n v="11"/>
    <n v="8"/>
    <n v="8"/>
    <n v="3"/>
    <n v="3"/>
    <x v="1"/>
    <x v="0"/>
    <x v="1"/>
    <x v="3"/>
    <x v="5"/>
    <x v="4"/>
    <x v="3"/>
    <x v="0"/>
    <n v="3.7"/>
    <x v="2"/>
    <x v="0"/>
  </r>
  <r>
    <s v="PO-2026-00210"/>
    <s v="ORD-476504"/>
    <d v="2026-02-06T00:00:00"/>
    <d v="2026-02-20T00:00:00"/>
    <x v="107"/>
    <x v="11"/>
    <x v="11"/>
    <x v="8"/>
    <x v="8"/>
    <x v="5"/>
    <s v="SKU-RAW-383"/>
    <s v="Input Granules"/>
    <n v="221.08"/>
    <s v="KES"/>
    <n v="7.7000000000000002E-3"/>
    <n v="1.7023160000000002"/>
    <n v="1000"/>
    <n v="221080"/>
    <n v="221080"/>
    <n v="1702.316"/>
    <n v="28"/>
    <n v="2.8000000000000001E-2"/>
    <n v="4"/>
    <n v="4"/>
    <n v="14"/>
    <n v="14"/>
    <n v="-10"/>
    <n v="-10"/>
    <x v="2"/>
    <x v="0"/>
    <x v="1"/>
    <x v="4"/>
    <x v="2"/>
    <x v="0"/>
    <x v="2"/>
    <x v="0"/>
    <n v="2.8"/>
    <x v="0"/>
    <x v="2"/>
  </r>
  <r>
    <s v="PO-2026-00211"/>
    <s v="ORD-712656"/>
    <d v="2026-05-13T00:00:00"/>
    <d v="2026-05-21T00:00:00"/>
    <x v="88"/>
    <x v="9"/>
    <x v="9"/>
    <x v="2"/>
    <x v="2"/>
    <x v="4"/>
    <s v="SKU-PAC-457"/>
    <s v="Bottle Caps"/>
    <n v="340.05"/>
    <s v="USD"/>
    <n v="1"/>
    <n v="340.05"/>
    <n v="100"/>
    <n v="34005"/>
    <n v="34005"/>
    <n v="34005"/>
    <n v="0"/>
    <n v="0"/>
    <n v="11"/>
    <n v="11"/>
    <n v="8"/>
    <n v="8"/>
    <n v="3"/>
    <n v="3"/>
    <x v="3"/>
    <x v="0"/>
    <x v="1"/>
    <x v="4"/>
    <x v="0"/>
    <x v="0"/>
    <x v="0"/>
    <x v="0"/>
    <n v="4.7"/>
    <x v="4"/>
    <x v="0"/>
  </r>
  <r>
    <s v="PO-2026-00212"/>
    <s v="ORD-798501"/>
    <d v="2026-05-21T00:00:00"/>
    <d v="2026-06-09T00:00:00"/>
    <x v="121"/>
    <x v="13"/>
    <x v="13"/>
    <x v="9"/>
    <x v="5"/>
    <x v="2"/>
    <s v="SKU-IND-231"/>
    <s v="Welding Rod"/>
    <n v="228.08"/>
    <s v="KES"/>
    <n v="7.7000000000000002E-3"/>
    <n v="1.7562160000000002"/>
    <n v="500"/>
    <n v="114040"/>
    <n v="114040"/>
    <n v="878.10800000000006"/>
    <n v="27"/>
    <n v="5.3999999999999999E-2"/>
    <s v=""/>
    <n v="26"/>
    <n v="19"/>
    <n v="19"/>
    <n v="7"/>
    <n v="7"/>
    <x v="0"/>
    <x v="2"/>
    <x v="1"/>
    <x v="0"/>
    <x v="2"/>
    <x v="2"/>
    <x v="1"/>
    <x v="3"/>
    <n v="2.2999999999999998"/>
    <x v="4"/>
    <x v="1"/>
  </r>
  <r>
    <s v="PO-2026-00213"/>
    <s v="ORD-805249"/>
    <d v="2026-02-10T00:00:00"/>
    <d v="2026-02-25T00:00:00"/>
    <x v="54"/>
    <x v="14"/>
    <x v="14"/>
    <x v="10"/>
    <x v="2"/>
    <x v="0"/>
    <s v="SKU-MAC-453"/>
    <s v="Conveyor Belt"/>
    <n v="689.94"/>
    <s v="EGP"/>
    <n v="1.9E-2"/>
    <n v="13.10886"/>
    <n v="50"/>
    <n v="34497"/>
    <n v="34497"/>
    <n v="655.44299999999998"/>
    <n v="0"/>
    <n v="0"/>
    <n v="20"/>
    <n v="20"/>
    <n v="15"/>
    <n v="15"/>
    <n v="5"/>
    <n v="5"/>
    <x v="4"/>
    <x v="5"/>
    <x v="0"/>
    <x v="3"/>
    <x v="2"/>
    <x v="2"/>
    <x v="2"/>
    <x v="0"/>
    <n v="3.2"/>
    <x v="3"/>
    <x v="0"/>
  </r>
  <r>
    <s v="PO-2026-00214"/>
    <s v="ORD-874311"/>
    <d v="2026-06-08T00:00:00"/>
    <d v="2026-06-21T00:00:00"/>
    <x v="74"/>
    <x v="10"/>
    <x v="10"/>
    <x v="2"/>
    <x v="1"/>
    <x v="6"/>
    <s v="SKU-MET-513"/>
    <s v="Rebar Bundle"/>
    <n v="2400.58"/>
    <s v="NGN"/>
    <n v="7.2999999999999996E-4"/>
    <n v="1.7524233999999999"/>
    <n v="150"/>
    <n v="360087"/>
    <n v="360087"/>
    <n v="262.86350999999996"/>
    <n v="6"/>
    <n v="0.04"/>
    <n v="12"/>
    <n v="12"/>
    <n v="13"/>
    <n v="13"/>
    <n v="-1"/>
    <n v="-1"/>
    <x v="2"/>
    <x v="0"/>
    <x v="1"/>
    <x v="2"/>
    <x v="0"/>
    <x v="2"/>
    <x v="5"/>
    <x v="0"/>
    <n v="4.2"/>
    <x v="5"/>
    <x v="2"/>
  </r>
  <r>
    <s v="PO-2026-00215"/>
    <s v="ORD-894776"/>
    <d v="2026-05-29T00:00:00"/>
    <d v="2026-06-16T00:00:00"/>
    <x v="122"/>
    <x v="14"/>
    <x v="14"/>
    <x v="10"/>
    <x v="3"/>
    <x v="5"/>
    <s v="SKU-RAW-789"/>
    <s v="Input Granules"/>
    <n v="134.11000000000001"/>
    <s v="ZAR"/>
    <n v="6.0999999999999999E-2"/>
    <n v="8.1807100000000013"/>
    <n v="75"/>
    <n v="10058.25"/>
    <n v="10058.250000000002"/>
    <n v="613.55324999999993"/>
    <n v="0"/>
    <n v="0"/>
    <n v="15"/>
    <n v="15"/>
    <n v="18"/>
    <n v="18"/>
    <n v="-3"/>
    <n v="-3"/>
    <x v="2"/>
    <x v="0"/>
    <x v="1"/>
    <x v="3"/>
    <x v="1"/>
    <x v="1"/>
    <x v="4"/>
    <x v="0"/>
    <n v="4.2"/>
    <x v="5"/>
    <x v="2"/>
  </r>
  <r>
    <s v="PO-2026-00216"/>
    <s v="ORD-302707"/>
    <d v="2026-05-13T00:00:00"/>
    <d v="2026-05-17T00:00:00"/>
    <x v="123"/>
    <x v="9"/>
    <x v="9"/>
    <x v="2"/>
    <x v="1"/>
    <x v="4"/>
    <s v="SKU-PAC-373"/>
    <s v="Corrugated Box"/>
    <n v="155.88999999999999"/>
    <s v="EGP"/>
    <n v="1.9E-2"/>
    <n v="2.9619099999999996"/>
    <n v="50"/>
    <n v="7794.5"/>
    <n v="7794.4999999999991"/>
    <n v="148.09549999999999"/>
    <n v="0"/>
    <n v="0"/>
    <n v="9"/>
    <n v="9"/>
    <n v="4"/>
    <n v="4"/>
    <n v="5"/>
    <n v="5"/>
    <x v="1"/>
    <x v="0"/>
    <x v="4"/>
    <x v="3"/>
    <x v="4"/>
    <x v="5"/>
    <x v="5"/>
    <x v="0"/>
    <n v="2.8"/>
    <x v="3"/>
    <x v="5"/>
  </r>
  <r>
    <s v="PO-2026-00217"/>
    <s v="ORD-301040"/>
    <d v="2026-02-15T00:00:00"/>
    <d v="2026-02-28T00:00:00"/>
    <x v="124"/>
    <x v="6"/>
    <x v="6"/>
    <x v="1"/>
    <x v="0"/>
    <x v="1"/>
    <s v="SKU-ELE-684"/>
    <s v="LED Driver"/>
    <n v="363.68"/>
    <s v="EGP"/>
    <n v="1.9E-2"/>
    <n v="6.9099199999999996"/>
    <n v="500"/>
    <n v="181840"/>
    <n v="181840"/>
    <n v="3454.96"/>
    <n v="6"/>
    <n v="1.2E-2"/>
    <n v="6"/>
    <n v="6"/>
    <n v="13"/>
    <n v="13"/>
    <n v="-7"/>
    <n v="-7"/>
    <x v="5"/>
    <x v="0"/>
    <x v="3"/>
    <x v="5"/>
    <x v="0"/>
    <x v="0"/>
    <x v="4"/>
    <x v="0"/>
    <n v="3.4"/>
    <x v="3"/>
    <x v="4"/>
  </r>
  <r>
    <s v="PO-2026-00218"/>
    <s v="ORD-897206"/>
    <d v="2026-04-02T00:00:00"/>
    <d v="2026-04-13T00:00:00"/>
    <x v="25"/>
    <x v="1"/>
    <x v="1"/>
    <x v="1"/>
    <x v="0"/>
    <x v="1"/>
    <s v="SKU-ELE-958"/>
    <s v="Control Board"/>
    <n v="1785.71"/>
    <s v="KES"/>
    <n v="7.7000000000000002E-3"/>
    <n v="13.749967000000002"/>
    <n v="1500"/>
    <n v="2678565"/>
    <n v="2678565"/>
    <n v="20624.950499999999"/>
    <n v="40"/>
    <n v="2.6700000000000002E-2"/>
    <n v="27"/>
    <n v="27"/>
    <n v="11"/>
    <n v="11"/>
    <n v="16"/>
    <n v="16"/>
    <x v="1"/>
    <x v="0"/>
    <x v="1"/>
    <x v="3"/>
    <x v="2"/>
    <x v="1"/>
    <x v="2"/>
    <x v="0"/>
    <n v="4"/>
    <x v="6"/>
    <x v="0"/>
  </r>
  <r>
    <s v="PO-2026-00219"/>
    <s v="ORD-747377"/>
    <d v="2026-02-21T00:00:00"/>
    <d v="2026-02-22T00:00:00"/>
    <x v="125"/>
    <x v="9"/>
    <x v="9"/>
    <x v="2"/>
    <x v="4"/>
    <x v="4"/>
    <s v="SKU-PAC-566"/>
    <s v="Plastic Film Roll"/>
    <n v="340.17"/>
    <s v="KES"/>
    <n v="7.7000000000000002E-3"/>
    <n v="2.6193090000000003"/>
    <n v="150"/>
    <n v="51025.5"/>
    <n v="51025.5"/>
    <n v="392.89635000000004"/>
    <n v="0"/>
    <n v="0"/>
    <n v="6"/>
    <n v="6"/>
    <n v="1"/>
    <n v="1"/>
    <n v="5"/>
    <n v="5"/>
    <x v="4"/>
    <x v="0"/>
    <x v="3"/>
    <x v="1"/>
    <x v="2"/>
    <x v="2"/>
    <x v="2"/>
    <x v="0"/>
    <n v="2.8"/>
    <x v="3"/>
    <x v="5"/>
  </r>
  <r>
    <s v="PO-2026-00220"/>
    <s v="ORD-920573"/>
    <d v="2026-06-10T00:00:00"/>
    <d v="2026-06-22T00:00:00"/>
    <x v="78"/>
    <x v="11"/>
    <x v="11"/>
    <x v="8"/>
    <x v="3"/>
    <x v="2"/>
    <s v="SKU-IND-961"/>
    <s v="Filter Cartridge"/>
    <n v="636.94000000000005"/>
    <s v="KES"/>
    <n v="7.7000000000000002E-3"/>
    <n v="4.9044380000000007"/>
    <n v="200"/>
    <n v="127388"/>
    <n v="127388.00000000001"/>
    <n v="980.88760000000002"/>
    <n v="5"/>
    <n v="2.5000000000000001E-2"/>
    <n v="20"/>
    <n v="20"/>
    <n v="12"/>
    <n v="12"/>
    <n v="8"/>
    <n v="8"/>
    <x v="4"/>
    <x v="0"/>
    <x v="1"/>
    <x v="4"/>
    <x v="0"/>
    <x v="2"/>
    <x v="0"/>
    <x v="0"/>
    <n v="1.2"/>
    <x v="4"/>
    <x v="0"/>
  </r>
  <r>
    <s v="PO-2026-00221"/>
    <s v="ORD-165623"/>
    <d v="2026-02-17T00:00:00"/>
    <d v="2026-03-02T00:00:00"/>
    <x v="8"/>
    <x v="8"/>
    <x v="8"/>
    <x v="7"/>
    <x v="2"/>
    <x v="1"/>
    <s v="SKU-ELE-205"/>
    <s v="Sensor Module"/>
    <n v="503.43"/>
    <s v="NGN"/>
    <n v="7.2999999999999996E-4"/>
    <n v="0.36750389999999999"/>
    <n v="150"/>
    <n v="75514.5"/>
    <n v="75514.5"/>
    <n v="55.125584999999994"/>
    <n v="0"/>
    <n v="0"/>
    <n v="15"/>
    <n v="15"/>
    <n v="13"/>
    <n v="13"/>
    <n v="2"/>
    <n v="2"/>
    <x v="1"/>
    <x v="0"/>
    <x v="1"/>
    <x v="3"/>
    <x v="1"/>
    <x v="5"/>
    <x v="2"/>
    <x v="0"/>
    <n v="2.4"/>
    <x v="0"/>
    <x v="0"/>
  </r>
  <r>
    <s v="PO-2026-00222"/>
    <s v="ORD-347405"/>
    <d v="2026-02-16T00:00:00"/>
    <d v="2026-03-07T00:00:00"/>
    <x v="17"/>
    <x v="14"/>
    <x v="14"/>
    <x v="10"/>
    <x v="6"/>
    <x v="5"/>
    <s v="SKU-RAW-419"/>
    <s v="Input Granules"/>
    <n v="116.54"/>
    <s v="KES"/>
    <n v="7.7000000000000002E-3"/>
    <n v="0.8973580000000001"/>
    <n v="1000"/>
    <n v="116540"/>
    <n v="116540"/>
    <n v="897.35800000000006"/>
    <n v="45"/>
    <n v="4.4999999999999998E-2"/>
    <n v="17"/>
    <n v="17"/>
    <n v="19"/>
    <n v="19"/>
    <n v="-2"/>
    <n v="-2"/>
    <x v="5"/>
    <x v="4"/>
    <x v="0"/>
    <x v="0"/>
    <x v="4"/>
    <x v="4"/>
    <x v="4"/>
    <x v="4"/>
    <n v="3.3"/>
    <x v="3"/>
    <x v="3"/>
  </r>
  <r>
    <s v="PO-2026-00223"/>
    <s v="ORD-171283"/>
    <d v="2026-05-15T00:00:00"/>
    <d v="2026-06-02T00:00:00"/>
    <x v="9"/>
    <x v="7"/>
    <x v="7"/>
    <x v="6"/>
    <x v="5"/>
    <x v="2"/>
    <s v="SKU-IND-807"/>
    <s v="Filter Cartridge"/>
    <n v="392.72"/>
    <s v="ZAR"/>
    <n v="6.0999999999999999E-2"/>
    <n v="23.955920000000003"/>
    <n v="1000"/>
    <n v="392720"/>
    <n v="392720"/>
    <n v="23955.919999999998"/>
    <n v="0"/>
    <n v="0"/>
    <n v="23"/>
    <n v="23"/>
    <n v="18"/>
    <n v="18"/>
    <n v="5"/>
    <n v="5"/>
    <x v="1"/>
    <x v="0"/>
    <x v="1"/>
    <x v="1"/>
    <x v="4"/>
    <x v="0"/>
    <x v="1"/>
    <x v="0"/>
    <n v="4.2"/>
    <x v="4"/>
    <x v="0"/>
  </r>
  <r>
    <s v="PO-2026-00224"/>
    <s v="ORD-392206"/>
    <d v="2026-06-09T00:00:00"/>
    <d v="2026-06-21T00:00:00"/>
    <x v="126"/>
    <x v="14"/>
    <x v="14"/>
    <x v="10"/>
    <x v="6"/>
    <x v="5"/>
    <s v="SKU-RAW-761"/>
    <s v="Polymer Resin"/>
    <n v="71.02"/>
    <s v="GHS"/>
    <n v="8.8999999999999996E-2"/>
    <n v="6.3207799999999992"/>
    <n v="75"/>
    <n v="5326.5"/>
    <n v="5326.5"/>
    <n v="474.05849999999998"/>
    <m/>
    <n v="0.08"/>
    <n v="14"/>
    <n v="14"/>
    <n v="12"/>
    <n v="12"/>
    <n v="2"/>
    <n v="2"/>
    <x v="1"/>
    <x v="1"/>
    <x v="3"/>
    <x v="4"/>
    <x v="2"/>
    <x v="4"/>
    <x v="2"/>
    <x v="2"/>
    <n v="2.7"/>
    <x v="6"/>
    <x v="6"/>
  </r>
  <r>
    <s v="PO-2026-00225"/>
    <s v="ORD-838482"/>
    <d v="2026-05-27T00:00:00"/>
    <d v="2026-06-04T00:00:00"/>
    <x v="127"/>
    <x v="3"/>
    <x v="3"/>
    <x v="3"/>
    <x v="4"/>
    <x v="4"/>
    <s v="SKU-PAC-957"/>
    <s v="Shipping Carton"/>
    <n v="36.909999999999997"/>
    <s v="GHS"/>
    <n v="8.8999999999999996E-2"/>
    <n v="3.2849899999999996"/>
    <n v="200"/>
    <n v="7382"/>
    <n v="7381.9999999999991"/>
    <n v="656.99799999999993"/>
    <n v="3"/>
    <n v="1.4999999999999999E-2"/>
    <n v="19"/>
    <n v="19"/>
    <n v="8"/>
    <n v="8"/>
    <n v="11"/>
    <n v="11"/>
    <x v="4"/>
    <x v="0"/>
    <x v="3"/>
    <x v="4"/>
    <x v="2"/>
    <x v="0"/>
    <x v="4"/>
    <x v="0"/>
    <n v="1.6"/>
    <x v="0"/>
    <x v="5"/>
  </r>
  <r>
    <s v="PO-2026-00226"/>
    <s v="ORD-148772"/>
    <d v="2026-01-29T00:00:00"/>
    <d v="2026-02-11T00:00:00"/>
    <x v="23"/>
    <x v="1"/>
    <x v="1"/>
    <x v="1"/>
    <x v="7"/>
    <x v="1"/>
    <s v="SKU-ELE-705"/>
    <s v="Power Adapter"/>
    <n v="3485.18"/>
    <s v="ZAR"/>
    <n v="6.0999999999999999E-2"/>
    <n v="212.59598"/>
    <n v="250"/>
    <n v="871295"/>
    <n v="871295"/>
    <n v="53148.994999999995"/>
    <n v="5"/>
    <n v="0.02"/>
    <n v="22"/>
    <n v="22"/>
    <n v="13"/>
    <n v="13"/>
    <n v="9"/>
    <n v="9"/>
    <x v="1"/>
    <x v="0"/>
    <x v="1"/>
    <x v="4"/>
    <x v="2"/>
    <x v="2"/>
    <x v="4"/>
    <x v="0"/>
    <n v="2.8"/>
    <x v="4"/>
    <x v="0"/>
  </r>
  <r>
    <s v="PO-2026-00227"/>
    <s v="ORD-793690"/>
    <d v="2026-03-19T00:00:00"/>
    <d v="2026-04-04T00:00:00"/>
    <x v="32"/>
    <x v="14"/>
    <x v="14"/>
    <x v="10"/>
    <x v="5"/>
    <x v="5"/>
    <s v="SKU-RAW-701"/>
    <s v="Chemical Additive"/>
    <n v="481.79"/>
    <s v="USD"/>
    <n v="1"/>
    <n v="481.79"/>
    <n v="75"/>
    <n v="36134.25"/>
    <n v="36134.25"/>
    <n v="36134.25"/>
    <n v="0"/>
    <n v="0"/>
    <n v="14"/>
    <n v="14"/>
    <n v="16"/>
    <n v="16"/>
    <n v="-2"/>
    <n v="-2"/>
    <x v="2"/>
    <x v="0"/>
    <x v="0"/>
    <x v="4"/>
    <x v="0"/>
    <x v="3"/>
    <x v="1"/>
    <x v="0"/>
    <n v="3.6"/>
    <x v="1"/>
    <x v="2"/>
  </r>
  <r>
    <s v="PO-2026-00228"/>
    <s v="ORD-401861"/>
    <d v="2026-01-27T00:00:00"/>
    <d v="2026-02-15T00:00:00"/>
    <x v="10"/>
    <x v="14"/>
    <x v="14"/>
    <x v="10"/>
    <x v="6"/>
    <x v="5"/>
    <s v="SKU-RAW-451"/>
    <s v="Chemical Additive"/>
    <n v="591.91999999999996"/>
    <s v="EGP"/>
    <n v="1.9E-2"/>
    <n v="11.246479999999998"/>
    <n v="100"/>
    <n v="59192"/>
    <n v="59191.999999999993"/>
    <n v="1124.6479999999999"/>
    <n v="8"/>
    <n v="0.08"/>
    <n v="9"/>
    <n v="9"/>
    <n v="19"/>
    <n v="19"/>
    <n v="-10"/>
    <n v="-10"/>
    <x v="2"/>
    <x v="1"/>
    <x v="2"/>
    <x v="0"/>
    <x v="5"/>
    <x v="5"/>
    <x v="2"/>
    <x v="3"/>
    <n v="2.6"/>
    <x v="4"/>
    <x v="8"/>
  </r>
  <r>
    <s v="PO-2026-00229"/>
    <s v="ORD-770394"/>
    <d v="2026-05-28T00:00:00"/>
    <d v="2026-06-09T00:00:00"/>
    <x v="128"/>
    <x v="14"/>
    <x v="14"/>
    <x v="10"/>
    <x v="4"/>
    <x v="5"/>
    <s v="SKU-RAW-976"/>
    <s v="Agro Binder"/>
    <n v="456.04"/>
    <s v="NGN"/>
    <n v="7.2999999999999996E-4"/>
    <n v="0.33290920000000002"/>
    <n v="200"/>
    <n v="91208"/>
    <n v="91208"/>
    <n v="66.58184"/>
    <n v="11"/>
    <n v="5.5E-2"/>
    <n v="22"/>
    <n v="22"/>
    <n v="12"/>
    <n v="12"/>
    <n v="10"/>
    <n v="10"/>
    <x v="1"/>
    <x v="4"/>
    <x v="4"/>
    <x v="3"/>
    <x v="4"/>
    <x v="0"/>
    <x v="5"/>
    <x v="2"/>
    <n v="1.2"/>
    <x v="4"/>
    <x v="6"/>
  </r>
  <r>
    <s v="PO-2026-00230"/>
    <s v="ORD-824506"/>
    <d v="2026-01-24T00:00:00"/>
    <d v="2026-02-01T00:00:00"/>
    <x v="129"/>
    <x v="2"/>
    <x v="2"/>
    <x v="2"/>
    <x v="3"/>
    <x v="2"/>
    <s v="SKU-IND-452"/>
    <s v="Lubricant Drum"/>
    <n v="100.37"/>
    <s v="GHS"/>
    <n v="8.8999999999999996E-2"/>
    <n v="8.9329300000000007"/>
    <n v="200"/>
    <n v="20074"/>
    <n v="20074"/>
    <n v="1786.586"/>
    <n v="7"/>
    <n v="3.5000000000000003E-2"/>
    <n v="16"/>
    <n v="16"/>
    <n v="8"/>
    <n v="8"/>
    <n v="8"/>
    <n v="8"/>
    <x v="1"/>
    <x v="0"/>
    <x v="1"/>
    <x v="4"/>
    <x v="0"/>
    <x v="0"/>
    <x v="3"/>
    <x v="0"/>
    <n v="2.2999999999999998"/>
    <x v="4"/>
    <x v="0"/>
  </r>
  <r>
    <s v="PO-2026-00231"/>
    <s v="ORD-298169"/>
    <d v="2026-03-10T00:00:00"/>
    <d v="2026-03-25T00:00:00"/>
    <x v="0"/>
    <x v="13"/>
    <x v="13"/>
    <x v="9"/>
    <x v="4"/>
    <x v="3"/>
    <s v="SKU-TEX-339"/>
    <s v="Cotton Fabric"/>
    <n v="549.07000000000005"/>
    <s v="KES"/>
    <n v="7.7000000000000002E-3"/>
    <n v="4.2278390000000003"/>
    <n v="75"/>
    <n v="41180.25"/>
    <n v="41180.250000000007"/>
    <n v="317.08792499999998"/>
    <n v="78"/>
    <n v="2.6700000000000002E-2"/>
    <n v="20"/>
    <n v="20"/>
    <n v="15"/>
    <n v="15"/>
    <n v="5"/>
    <m/>
    <x v="4"/>
    <x v="3"/>
    <x v="2"/>
    <x v="5"/>
    <x v="0"/>
    <x v="5"/>
    <x v="3"/>
    <x v="0"/>
    <n v="2.5"/>
    <x v="3"/>
    <x v="5"/>
  </r>
  <r>
    <s v="PO-2026-00232"/>
    <s v="ORD-307484"/>
    <d v="2026-06-25T00:00:00"/>
    <d v="2026-07-14T00:00:00"/>
    <x v="95"/>
    <x v="8"/>
    <x v="8"/>
    <x v="7"/>
    <x v="2"/>
    <x v="1"/>
    <s v="SKU-ELE-872"/>
    <s v="Power Adapter"/>
    <n v="1349.03"/>
    <s v="GHS"/>
    <n v="8.8999999999999996E-2"/>
    <n v="120.06366999999999"/>
    <n v="100"/>
    <n v="134903"/>
    <n v="134903"/>
    <n v="12006.367"/>
    <n v="0"/>
    <n v="0"/>
    <n v="19"/>
    <n v="19"/>
    <n v="19"/>
    <n v="19"/>
    <n v="0"/>
    <n v="0"/>
    <x v="2"/>
    <x v="0"/>
    <x v="0"/>
    <x v="5"/>
    <x v="2"/>
    <x v="5"/>
    <x v="3"/>
    <x v="0"/>
    <n v="2.9"/>
    <x v="3"/>
    <x v="11"/>
  </r>
  <r>
    <s v="PO-2026-00233"/>
    <s v="ORD-437375"/>
    <d v="2026-03-25T00:00:00"/>
    <d v="2026-04-14T00:00:00"/>
    <x v="42"/>
    <x v="0"/>
    <x v="0"/>
    <x v="0"/>
    <x v="7"/>
    <x v="0"/>
    <s v="SKU-MAC-904"/>
    <s v="Hydraulic Hose"/>
    <n v="1018.84"/>
    <s v="GHS"/>
    <n v="8.8999999999999996E-2"/>
    <n v="90.676760000000002"/>
    <n v="150"/>
    <n v="152826"/>
    <n v="152826"/>
    <n v="13601.513999999999"/>
    <n v="0"/>
    <n v="0"/>
    <n v="18"/>
    <n v="18"/>
    <n v="20"/>
    <n v="20"/>
    <n v="-2"/>
    <n v="-2"/>
    <x v="2"/>
    <x v="0"/>
    <x v="1"/>
    <x v="0"/>
    <x v="2"/>
    <x v="4"/>
    <x v="4"/>
    <x v="0"/>
    <n v="4.2"/>
    <x v="5"/>
    <x v="2"/>
  </r>
  <r>
    <s v="PO-2026-00234"/>
    <s v="ORD-515669"/>
    <d v="2026-06-22T00:00:00"/>
    <d v="2026-07-03T00:00:00"/>
    <x v="130"/>
    <x v="2"/>
    <x v="2"/>
    <x v="2"/>
    <x v="1"/>
    <x v="3"/>
    <s v="SKU-TEX-803"/>
    <s v="Cotton Fabric"/>
    <n v="128.74"/>
    <s v="NGN"/>
    <n v="7.2999999999999996E-4"/>
    <n v="9.39802E-2"/>
    <n v="50"/>
    <n v="6437"/>
    <n v="6437"/>
    <n v="4.6990099999999995"/>
    <m/>
    <n v="0"/>
    <n v="15"/>
    <n v="15"/>
    <n v="11"/>
    <n v="11"/>
    <n v="4"/>
    <n v="4"/>
    <x v="4"/>
    <x v="0"/>
    <x v="4"/>
    <x v="0"/>
    <x v="5"/>
    <x v="2"/>
    <x v="1"/>
    <x v="0"/>
    <n v="4.5"/>
    <x v="0"/>
    <x v="5"/>
  </r>
  <r>
    <s v="PO-2026-00235"/>
    <s v="ORD-492268"/>
    <d v="2026-04-10T00:00:00"/>
    <d v="2026-04-23T00:00:00"/>
    <x v="59"/>
    <x v="4"/>
    <x v="4"/>
    <x v="4"/>
    <x v="8"/>
    <x v="1"/>
    <s v="SKU-ELE-459"/>
    <s v="Sensor Module"/>
    <n v="412.52"/>
    <s v="NGN"/>
    <n v="7.2999999999999996E-4"/>
    <n v="0.30113959999999995"/>
    <n v="1500"/>
    <n v="618780"/>
    <n v="618780"/>
    <n v="451.70939999999996"/>
    <n v="32"/>
    <n v="2.1299999999999999E-2"/>
    <n v="20"/>
    <n v="13"/>
    <n v="13"/>
    <n v="13"/>
    <n v="0"/>
    <m/>
    <x v="4"/>
    <x v="0"/>
    <x v="3"/>
    <x v="3"/>
    <x v="1"/>
    <x v="4"/>
    <x v="0"/>
    <x v="0"/>
    <n v="1.2"/>
    <x v="1"/>
    <x v="5"/>
  </r>
  <r>
    <s v="PO-2026-00236"/>
    <s v="ORD-205555"/>
    <d v="2026-04-09T00:00:00"/>
    <d v="2026-04-17T00:00:00"/>
    <x v="84"/>
    <x v="10"/>
    <x v="10"/>
    <x v="2"/>
    <x v="1"/>
    <x v="6"/>
    <s v="SKU-MET-537"/>
    <s v="Rebar Bundle"/>
    <n v="2337.6799999999998"/>
    <s v="ZAR"/>
    <n v="6.0999999999999999E-2"/>
    <n v="142.59848"/>
    <n v="2000"/>
    <n v="4675360"/>
    <n v="4675360"/>
    <n v="285196.96000000002"/>
    <n v="48"/>
    <n v="2.4E-2"/>
    <n v="2"/>
    <n v="2"/>
    <n v="8"/>
    <n v="8"/>
    <n v="-6"/>
    <n v="-6"/>
    <x v="2"/>
    <x v="0"/>
    <x v="2"/>
    <x v="2"/>
    <x v="3"/>
    <x v="3"/>
    <x v="4"/>
    <x v="0"/>
    <n v="2.8"/>
    <x v="6"/>
    <x v="4"/>
  </r>
  <r>
    <s v="PO-2026-00237"/>
    <s v="ORD-755320"/>
    <d v="2026-04-07T00:00:00"/>
    <d v="2026-04-28T00:00:00"/>
    <x v="117"/>
    <x v="8"/>
    <x v="8"/>
    <x v="7"/>
    <x v="1"/>
    <x v="1"/>
    <s v="SKU-ELE-979"/>
    <s v="Control Board"/>
    <n v="1248.3599999999999"/>
    <s v="GHS"/>
    <n v="8.8999999999999996E-2"/>
    <n v="111.10403999999998"/>
    <n v="75"/>
    <n v="93627"/>
    <n v="93626.999999999985"/>
    <n v="8332.8029999999999"/>
    <n v="0"/>
    <n v="0"/>
    <n v="24"/>
    <n v="24"/>
    <n v="21"/>
    <n v="21"/>
    <n v="3"/>
    <n v="3"/>
    <x v="1"/>
    <x v="0"/>
    <x v="1"/>
    <x v="3"/>
    <x v="3"/>
    <x v="4"/>
    <x v="0"/>
    <x v="0"/>
    <n v="2.2999999999999998"/>
    <x v="1"/>
    <x v="0"/>
  </r>
  <r>
    <s v="PO-2026-00238"/>
    <s v="ORD-840438"/>
    <d v="2026-02-07T00:00:00"/>
    <d v="2026-02-20T00:00:00"/>
    <x v="38"/>
    <x v="4"/>
    <x v="4"/>
    <x v="4"/>
    <x v="2"/>
    <x v="0"/>
    <s v="SKU-MAC-807"/>
    <s v="Conveyor Belt"/>
    <n v="155.13"/>
    <s v="EGP"/>
    <n v="1.9E-2"/>
    <n v="2.94747"/>
    <n v="75"/>
    <n v="11634.75"/>
    <n v="11634.75"/>
    <n v="221.06025"/>
    <n v="0"/>
    <n v="0"/>
    <n v="5"/>
    <n v="5"/>
    <n v="13"/>
    <n v="13"/>
    <n v="-8"/>
    <n v="-8"/>
    <x v="2"/>
    <x v="3"/>
    <x v="4"/>
    <x v="2"/>
    <x v="4"/>
    <x v="0"/>
    <x v="2"/>
    <x v="0"/>
    <n v="2.4"/>
    <x v="5"/>
    <x v="4"/>
  </r>
  <r>
    <s v="PO-2026-00054"/>
    <s v="ORD-823300"/>
    <d v="2026-01-28T00:00:00"/>
    <d v="2026-02-07T00:00:00"/>
    <x v="131"/>
    <x v="3"/>
    <x v="3"/>
    <x v="3"/>
    <x v="1"/>
    <x v="4"/>
    <s v="SKU-PAC-361"/>
    <s v="Shipping Carton"/>
    <n v="296.38"/>
    <s v="GHS"/>
    <n v="8.8999999999999996E-2"/>
    <n v="26.37782"/>
    <n v="250"/>
    <n v="74095"/>
    <n v="74095"/>
    <n v="6594.4549999999999"/>
    <n v="7"/>
    <n v="2.8000000000000001E-2"/>
    <n v="22"/>
    <n v="22"/>
    <n v="10"/>
    <n v="10"/>
    <n v="12"/>
    <n v="12"/>
    <x v="1"/>
    <x v="0"/>
    <x v="1"/>
    <x v="0"/>
    <x v="4"/>
    <x v="3"/>
    <x v="1"/>
    <x v="0"/>
    <n v="2.2999999999999998"/>
    <x v="4"/>
    <x v="0"/>
  </r>
  <r>
    <s v="PO-2026-00240"/>
    <s v="ORD-236609"/>
    <d v="2026-05-15T00:00:00"/>
    <d v="2026-06-01T00:00:00"/>
    <x v="132"/>
    <x v="6"/>
    <x v="6"/>
    <x v="1"/>
    <x v="0"/>
    <x v="1"/>
    <s v="SKU-ELE-114"/>
    <s v="Sensor Module"/>
    <s v=""/>
    <s v="KES"/>
    <n v="7.7000000000000002E-3"/>
    <s v=""/>
    <n v="150"/>
    <n v="653884.5"/>
    <e v="#VALUE!"/>
    <n v="5034.9106499999998"/>
    <n v="4"/>
    <n v="2.6700000000000002E-2"/>
    <n v="11"/>
    <n v="11"/>
    <n v="17"/>
    <n v="17"/>
    <n v="-6"/>
    <n v="-6"/>
    <x v="2"/>
    <x v="0"/>
    <x v="3"/>
    <x v="1"/>
    <x v="4"/>
    <x v="6"/>
    <x v="3"/>
    <x v="0"/>
    <n v="3.1"/>
    <x v="2"/>
    <x v="4"/>
  </r>
  <r>
    <s v="PO-2026-00241"/>
    <s v="ORD-521075"/>
    <d v="2026-01-30T00:00:00"/>
    <d v="2026-02-23T00:00:00"/>
    <x v="23"/>
    <x v="13"/>
    <x v="13"/>
    <x v="9"/>
    <x v="5"/>
    <x v="5"/>
    <s v="SKU-RAW-879"/>
    <s v="Agro Binder"/>
    <n v="28.79"/>
    <s v="KES"/>
    <n v="7.7000000000000002E-3"/>
    <n v="0.22168299999999999"/>
    <n v="750"/>
    <n v="21592.5"/>
    <n v="21592.5"/>
    <n v="166.26224999999999"/>
    <n v="52"/>
    <n v="6.93E-2"/>
    <n v="21"/>
    <n v="21"/>
    <n v="24"/>
    <n v="24"/>
    <n v="-3"/>
    <n v="-3"/>
    <x v="2"/>
    <x v="1"/>
    <x v="3"/>
    <x v="4"/>
    <x v="2"/>
    <x v="1"/>
    <x v="2"/>
    <x v="1"/>
    <n v="3.1"/>
    <x v="0"/>
    <x v="8"/>
  </r>
  <r>
    <s v="PO-2026-00242"/>
    <s v="ORD-895165"/>
    <d v="2026-03-18T00:00:00"/>
    <d v="2026-04-07T00:00:00"/>
    <x v="133"/>
    <x v="8"/>
    <x v="8"/>
    <x v="7"/>
    <x v="4"/>
    <x v="1"/>
    <s v="SKU-ELE-763"/>
    <s v="Sensor Module"/>
    <n v="1447.49"/>
    <s v="MAD"/>
    <n v="0.11"/>
    <n v="159.22390000000001"/>
    <n v="100"/>
    <n v="144749"/>
    <n v="144749"/>
    <n v="15922.39"/>
    <m/>
    <n v="0.01"/>
    <n v="4"/>
    <n v="4"/>
    <n v="20"/>
    <n v="20"/>
    <n v="-16"/>
    <n v="-16"/>
    <x v="5"/>
    <x v="0"/>
    <x v="1"/>
    <x v="5"/>
    <x v="0"/>
    <x v="3"/>
    <x v="3"/>
    <x v="0"/>
    <n v="4"/>
    <x v="3"/>
    <x v="2"/>
  </r>
  <r>
    <s v="PO-2026-00243"/>
    <s v="ORD-988815"/>
    <d v="2026-05-21T00:00:00"/>
    <d v="2026-06-03T00:00:00"/>
    <x v="134"/>
    <x v="3"/>
    <x v="3"/>
    <x v="3"/>
    <x v="3"/>
    <x v="4"/>
    <s v="SKU-PAC-295"/>
    <s v="Shipping Carton"/>
    <n v="695.68"/>
    <s v="KES"/>
    <n v="7.7000000000000002E-3"/>
    <n v="5.3567359999999997"/>
    <n v="150"/>
    <n v="104352"/>
    <n v="104351.99999999999"/>
    <n v="803.5104"/>
    <n v="0"/>
    <n v="0"/>
    <n v="18"/>
    <n v="18"/>
    <n v="13"/>
    <n v="13"/>
    <n v="5"/>
    <n v="5"/>
    <x v="1"/>
    <x v="0"/>
    <x v="1"/>
    <x v="1"/>
    <x v="0"/>
    <x v="0"/>
    <x v="0"/>
    <x v="0"/>
    <n v="3.4"/>
    <x v="0"/>
    <x v="9"/>
  </r>
  <r>
    <s v="PO-2026-00244"/>
    <s v="ORD-546908"/>
    <d v="2026-01-20T00:00:00"/>
    <d v="2026-02-02T00:00:00"/>
    <x v="135"/>
    <x v="11"/>
    <x v="11"/>
    <x v="8"/>
    <x v="8"/>
    <x v="5"/>
    <s v="SKU-RAW-401"/>
    <s v="Agro Binder"/>
    <n v="645.74"/>
    <s v="NGN"/>
    <n v="7.2999999999999996E-4"/>
    <n v="0.47139019999999998"/>
    <n v="750"/>
    <n v="484305"/>
    <n v="484305"/>
    <n v="353.54264999999998"/>
    <n v="0"/>
    <n v="0"/>
    <n v="3"/>
    <n v="3"/>
    <n v="13"/>
    <n v="13"/>
    <n v="-10"/>
    <n v="-10"/>
    <x v="5"/>
    <x v="0"/>
    <x v="1"/>
    <x v="0"/>
    <x v="1"/>
    <x v="5"/>
    <x v="1"/>
    <x v="0"/>
    <n v="3.2"/>
    <x v="4"/>
    <x v="2"/>
  </r>
  <r>
    <s v="PO-2026-00245"/>
    <s v="ORD-128750"/>
    <d v="2026-03-22T00:00:00"/>
    <d v="2026-04-05T00:00:00"/>
    <x v="24"/>
    <x v="6"/>
    <x v="6"/>
    <x v="1"/>
    <x v="3"/>
    <x v="1"/>
    <s v="SKU-ELE-645"/>
    <s v="Control Board"/>
    <n v="1902.59"/>
    <s v="NGN"/>
    <n v="7.2999999999999996E-4"/>
    <n v="1.3888906999999999"/>
    <n v="300"/>
    <n v="570777"/>
    <n v="570777"/>
    <n v="416.66720999999995"/>
    <n v="6"/>
    <n v="0.02"/>
    <n v="25"/>
    <n v="25"/>
    <n v="14"/>
    <n v="14"/>
    <n v="11"/>
    <n v="11"/>
    <x v="0"/>
    <x v="0"/>
    <x v="1"/>
    <x v="5"/>
    <x v="4"/>
    <x v="4"/>
    <x v="2"/>
    <x v="0"/>
    <n v="3.4"/>
    <x v="6"/>
    <x v="0"/>
  </r>
  <r>
    <s v="PO-2026-00246"/>
    <s v="ORD-881203"/>
    <d v="2026-01-21T00:00:00"/>
    <d v="2026-01-27T00:00:00"/>
    <x v="91"/>
    <x v="9"/>
    <x v="9"/>
    <x v="2"/>
    <x v="2"/>
    <x v="4"/>
    <s v="SKU-PAC-923"/>
    <s v="Corrugated Box"/>
    <n v="273.17"/>
    <s v="ZAR"/>
    <n v="6.0999999999999999E-2"/>
    <n v="16.66337"/>
    <n v="2000"/>
    <n v="546340"/>
    <n v="546340"/>
    <n v="33326.74"/>
    <n v="36"/>
    <n v="1.7999999999999999E-2"/>
    <n v="-2"/>
    <n v="-2"/>
    <n v="6"/>
    <n v="6"/>
    <n v="-8"/>
    <n v="-8"/>
    <x v="6"/>
    <x v="0"/>
    <x v="0"/>
    <x v="2"/>
    <x v="2"/>
    <x v="5"/>
    <x v="4"/>
    <x v="0"/>
    <n v="2.5"/>
    <x v="1"/>
    <x v="2"/>
  </r>
  <r>
    <s v="PO-2026-00247"/>
    <s v="ORD-665869"/>
    <d v="2026-02-08T00:00:00"/>
    <d v="2026-02-18T00:00:00"/>
    <x v="21"/>
    <x v="2"/>
    <x v="2"/>
    <x v="2"/>
    <x v="1"/>
    <x v="2"/>
    <s v="SKU-IND-863"/>
    <s v="Welding Rod"/>
    <n v="507.39"/>
    <s v="EGP"/>
    <n v="1.9E-2"/>
    <n v="9.6404099999999993"/>
    <n v="250"/>
    <n v="126847.5"/>
    <n v="126847.5"/>
    <n v="2410.1025"/>
    <n v="17"/>
    <n v="6.8000000000000005E-2"/>
    <n v="14"/>
    <n v="14"/>
    <n v="10"/>
    <n v="10"/>
    <n v="4"/>
    <n v="4"/>
    <x v="0"/>
    <x v="1"/>
    <x v="1"/>
    <x v="3"/>
    <x v="1"/>
    <x v="6"/>
    <x v="4"/>
    <x v="5"/>
    <n v="2.5"/>
    <x v="6"/>
    <x v="1"/>
  </r>
  <r>
    <s v="PO-2026-00248"/>
    <s v="ORD-310076"/>
    <d v="2026-02-03T00:00:00"/>
    <d v="2026-02-17T00:00:00"/>
    <x v="119"/>
    <x v="6"/>
    <x v="6"/>
    <x v="1"/>
    <x v="6"/>
    <x v="1"/>
    <s v="SKU-ELE-546"/>
    <s v="LED Driver"/>
    <n v="766.02"/>
    <s v="NGN"/>
    <n v="7.2999999999999996E-4"/>
    <n v="0.55919459999999999"/>
    <n v="150"/>
    <n v="114903"/>
    <n v="114903"/>
    <n v="83.879189999999994"/>
    <n v="2"/>
    <n v="1.3299999999999999E-2"/>
    <n v="11"/>
    <n v="11"/>
    <n v="14"/>
    <n v="14"/>
    <n v="-3"/>
    <n v="-3"/>
    <x v="5"/>
    <x v="0"/>
    <x v="2"/>
    <x v="0"/>
    <x v="0"/>
    <x v="5"/>
    <x v="3"/>
    <x v="0"/>
    <n v="3.2"/>
    <x v="3"/>
    <x v="4"/>
  </r>
  <r>
    <s v="PO-2026-00249"/>
    <s v="ORD-253358"/>
    <d v="2026-06-27T00:00:00"/>
    <d v="2026-07-10T00:00:00"/>
    <x v="136"/>
    <x v="1"/>
    <x v="1"/>
    <x v="1"/>
    <x v="3"/>
    <x v="1"/>
    <s v="SKU-ELE-863"/>
    <s v="Sensor Module"/>
    <n v="184.92"/>
    <s v="GHS"/>
    <n v="8.8999999999999996E-2"/>
    <n v="16.457879999999999"/>
    <n v="150"/>
    <n v="27738"/>
    <n v="27737.999999999996"/>
    <n v="2468.6819999999998"/>
    <n v="0"/>
    <n v="0"/>
    <n v="13"/>
    <n v="13"/>
    <n v="13"/>
    <n v="13"/>
    <n v="0"/>
    <n v="0"/>
    <x v="2"/>
    <x v="0"/>
    <x v="1"/>
    <x v="5"/>
    <x v="4"/>
    <x v="3"/>
    <x v="2"/>
    <x v="0"/>
    <n v="4.3"/>
    <x v="3"/>
    <x v="2"/>
  </r>
  <r>
    <s v="PO-2026-00250"/>
    <s v="ORD-547427"/>
    <d v="2026-01-19T00:00:00"/>
    <d v="2026-02-03T00:00:00"/>
    <x v="105"/>
    <x v="1"/>
    <x v="1"/>
    <x v="1"/>
    <x v="2"/>
    <x v="1"/>
    <s v="SKU-ELE-238"/>
    <s v="Sensor Module"/>
    <n v="383.28"/>
    <s v="KES"/>
    <n v="7.7000000000000002E-3"/>
    <n v="2.9512559999999999"/>
    <n v="100"/>
    <n v="38328"/>
    <n v="38328"/>
    <n v="295.12560000000002"/>
    <n v="10"/>
    <n v="0.1"/>
    <n v="-5"/>
    <n v="13"/>
    <n v="15"/>
    <n v="15"/>
    <n v="-2"/>
    <n v="-2"/>
    <x v="5"/>
    <x v="4"/>
    <x v="2"/>
    <x v="1"/>
    <x v="4"/>
    <x v="5"/>
    <x v="1"/>
    <x v="2"/>
    <n v="3.2"/>
    <x v="4"/>
    <x v="8"/>
  </r>
  <r>
    <s v="PO-2026-00251"/>
    <s v="ORD-879581"/>
    <d v="2026-01-22T00:00:00"/>
    <d v="2026-02-08T00:00:00"/>
    <x v="119"/>
    <x v="13"/>
    <x v="13"/>
    <x v="9"/>
    <x v="3"/>
    <x v="3"/>
    <s v="SKU-TEX-484"/>
    <s v="Cotton Fabric"/>
    <n v="84.51"/>
    <s v="NGN"/>
    <n v="7.2999999999999996E-4"/>
    <n v="6.1692299999999999E-2"/>
    <n v="1000"/>
    <n v="84510"/>
    <n v="84510"/>
    <n v="61.692299999999996"/>
    <n v="35"/>
    <n v="3.5000000000000003E-2"/>
    <n v="23"/>
    <n v="23"/>
    <n v="17"/>
    <n v="17"/>
    <n v="6"/>
    <n v="6"/>
    <x v="0"/>
    <x v="0"/>
    <x v="1"/>
    <x v="3"/>
    <x v="1"/>
    <x v="2"/>
    <x v="5"/>
    <x v="0"/>
    <n v="1.4"/>
    <x v="3"/>
    <x v="0"/>
  </r>
  <r>
    <s v="PO-2026-00252"/>
    <s v="ORD-356979"/>
    <d v="2026-06-02T00:00:00"/>
    <d v="2026-06-18T00:00:00"/>
    <x v="58"/>
    <x v="10"/>
    <x v="10"/>
    <x v="2"/>
    <x v="3"/>
    <x v="6"/>
    <s v="SKU-MET-946"/>
    <s v="Steel Coil"/>
    <n v="63.24"/>
    <s v="NGN"/>
    <n v="7.2999999999999996E-4"/>
    <n v="4.6165199999999997E-2"/>
    <n v="2000"/>
    <n v="126480"/>
    <n v="126480"/>
    <n v="92.330399999999997"/>
    <n v="22"/>
    <n v="1.0999999999999999E-2"/>
    <n v="4"/>
    <n v="4"/>
    <n v="16"/>
    <n v="16"/>
    <n v="-12"/>
    <n v="-12"/>
    <x v="2"/>
    <x v="0"/>
    <x v="4"/>
    <x v="2"/>
    <x v="1"/>
    <x v="0"/>
    <x v="4"/>
    <x v="0"/>
    <n v="3.9"/>
    <x v="6"/>
    <x v="4"/>
  </r>
  <r>
    <s v="PO-2026-00253"/>
    <s v="ORD-743363"/>
    <d v="2026-01-12T00:00:00"/>
    <d v="2026-01-28T00:00:00"/>
    <x v="36"/>
    <x v="1"/>
    <x v="1"/>
    <x v="1"/>
    <x v="5"/>
    <x v="1"/>
    <s v="SKU-ELE-476"/>
    <s v="Power Adapter"/>
    <n v="2555.3200000000002"/>
    <s v="ZAR"/>
    <n v="6.0999999999999999E-2"/>
    <n v="155.87452000000002"/>
    <n v="2000"/>
    <n v="5110640"/>
    <n v="5110640"/>
    <n v="311749.03999999998"/>
    <n v="20"/>
    <n v="0.01"/>
    <n v="19"/>
    <n v="19"/>
    <n v="16"/>
    <n v="16"/>
    <n v="3"/>
    <n v="3"/>
    <x v="1"/>
    <x v="0"/>
    <x v="4"/>
    <x v="1"/>
    <x v="1"/>
    <x v="4"/>
    <x v="1"/>
    <x v="0"/>
    <n v="3.5"/>
    <x v="2"/>
    <x v="5"/>
  </r>
  <r>
    <s v="PO-2026-00254"/>
    <s v="ORD-556103"/>
    <d v="2026-04-24T00:00:00"/>
    <d v="2026-05-17T00:00:00"/>
    <x v="137"/>
    <x v="7"/>
    <x v="7"/>
    <x v="6"/>
    <x v="8"/>
    <x v="2"/>
    <s v="SKU-IND-863"/>
    <s v="Filter Cartridge"/>
    <n v="604.49"/>
    <s v="EGP"/>
    <n v="1.9E-2"/>
    <n v="11.48531"/>
    <n v="500"/>
    <n v="302245"/>
    <n v="302245"/>
    <n v="5742.6549999999997"/>
    <n v="4"/>
    <n v="8.0000000000000002E-3"/>
    <n v="21"/>
    <n v="21"/>
    <n v="23"/>
    <n v="23"/>
    <n v="-2"/>
    <n v="-2"/>
    <x v="2"/>
    <x v="0"/>
    <x v="0"/>
    <x v="4"/>
    <x v="1"/>
    <x v="0"/>
    <x v="2"/>
    <x v="0"/>
    <n v="3"/>
    <x v="1"/>
    <x v="2"/>
  </r>
  <r>
    <s v="PO-2026-00255"/>
    <s v="ORD-935357"/>
    <d v="2026-06-13T00:00:00"/>
    <d v="2026-06-24T00:00:00"/>
    <x v="138"/>
    <x v="10"/>
    <x v="10"/>
    <x v="2"/>
    <x v="1"/>
    <x v="6"/>
    <s v="SKU-MET-230"/>
    <s v="Copper Rod"/>
    <n v="1078.68"/>
    <s v="EGP"/>
    <n v="1.9E-2"/>
    <n v="20.49492"/>
    <n v="200"/>
    <n v="215736"/>
    <n v="215736"/>
    <n v="4098.9839999999995"/>
    <n v="7"/>
    <n v="3.5000000000000003E-2"/>
    <n v="9"/>
    <n v="9"/>
    <n v="11"/>
    <n v="11"/>
    <n v="-2"/>
    <n v="-2"/>
    <x v="2"/>
    <x v="0"/>
    <x v="0"/>
    <x v="2"/>
    <x v="5"/>
    <x v="0"/>
    <x v="1"/>
    <x v="0"/>
    <n v="3.7"/>
    <x v="5"/>
    <x v="2"/>
  </r>
  <r>
    <s v="PO-2026-00256"/>
    <s v="ORD-230559"/>
    <d v="2026-04-23T00:00:00"/>
    <d v="2026-05-02T00:00:00"/>
    <x v="139"/>
    <x v="10"/>
    <x v="10"/>
    <x v="2"/>
    <x v="0"/>
    <x v="6"/>
    <s v="SKU-MET-360"/>
    <s v="Aluminium Sheet"/>
    <n v="486.11"/>
    <s v="NGN"/>
    <n v="7.2999999999999996E-4"/>
    <n v="0.35486030000000002"/>
    <n v="250"/>
    <n v="121527.5"/>
    <n v="121527.5"/>
    <n v="88.715074999999999"/>
    <n v="8"/>
    <n v="3.2000000000000001E-2"/>
    <n v="10"/>
    <n v="10"/>
    <n v="9"/>
    <n v="9"/>
    <n v="1"/>
    <n v="1"/>
    <x v="3"/>
    <x v="0"/>
    <x v="3"/>
    <x v="1"/>
    <x v="0"/>
    <x v="4"/>
    <x v="2"/>
    <x v="0"/>
    <n v="3.7"/>
    <x v="1"/>
    <x v="5"/>
  </r>
  <r>
    <s v="PO-2026-00257"/>
    <s v="ORD-990786"/>
    <d v="2026-01-05T00:00:00"/>
    <d v="2026-01-20T00:00:00"/>
    <x v="108"/>
    <x v="1"/>
    <x v="1"/>
    <x v="1"/>
    <x v="3"/>
    <x v="1"/>
    <s v="SKU-ELE-656"/>
    <s v="Sensor Module"/>
    <n v="627.47"/>
    <s v="KES"/>
    <n v="7.7000000000000002E-3"/>
    <n v="4.8315190000000001"/>
    <n v="1000"/>
    <n v="627470"/>
    <n v="627470"/>
    <n v="4831.5190000000002"/>
    <n v="8"/>
    <n v="8.0000000000000002E-3"/>
    <n v="-5"/>
    <n v="21"/>
    <n v="15"/>
    <n v="15"/>
    <n v="6"/>
    <n v="6"/>
    <x v="0"/>
    <x v="0"/>
    <x v="0"/>
    <x v="3"/>
    <x v="2"/>
    <x v="1"/>
    <x v="5"/>
    <x v="0"/>
    <n v="1.6"/>
    <x v="4"/>
    <x v="0"/>
  </r>
  <r>
    <s v="PO-2026-00258"/>
    <s v="ORD-415125"/>
    <d v="2026-01-04T00:00:00"/>
    <d v="2026-01-12T00:00:00"/>
    <x v="28"/>
    <x v="6"/>
    <x v="6"/>
    <x v="1"/>
    <x v="1"/>
    <x v="1"/>
    <s v="SKU-ELE-976"/>
    <s v="LED Driver"/>
    <n v="2233.25"/>
    <s v="KES"/>
    <n v="7.7000000000000002E-3"/>
    <n v="17.196024999999999"/>
    <n v="500"/>
    <n v="1116625"/>
    <n v="1116625"/>
    <n v="8598.0125000000007"/>
    <n v="1"/>
    <n v="2E-3"/>
    <n v="20"/>
    <n v="20"/>
    <n v="8"/>
    <n v="8"/>
    <n v="12"/>
    <n v="12"/>
    <x v="0"/>
    <x v="3"/>
    <x v="1"/>
    <x v="1"/>
    <x v="0"/>
    <x v="5"/>
    <x v="0"/>
    <x v="0"/>
    <n v="3.3"/>
    <x v="6"/>
    <x v="0"/>
  </r>
  <r>
    <s v="PO-2026-00259"/>
    <s v="ORD-345116"/>
    <d v="2026-06-06T00:00:00"/>
    <d v="2026-06-13T00:00:00"/>
    <x v="121"/>
    <x v="10"/>
    <x v="10"/>
    <x v="2"/>
    <x v="4"/>
    <x v="6"/>
    <s v="SKU-MET-731"/>
    <s v="Copper Rod"/>
    <n v="1261.67"/>
    <s v="KES"/>
    <n v="7.7000000000000002E-3"/>
    <n v="9.7148590000000006"/>
    <n v="1500"/>
    <n v="1892505"/>
    <n v="1892505"/>
    <n v="14572.288500000001"/>
    <n v="34"/>
    <n v="2.2700000000000001E-2"/>
    <n v="10"/>
    <n v="10"/>
    <n v="7"/>
    <n v="7"/>
    <n v="3"/>
    <n v="3"/>
    <x v="1"/>
    <x v="0"/>
    <x v="0"/>
    <x v="1"/>
    <x v="2"/>
    <x v="2"/>
    <x v="4"/>
    <x v="0"/>
    <n v="3.3"/>
    <x v="0"/>
    <x v="0"/>
  </r>
  <r>
    <s v="PO-2026-00260"/>
    <s v="ORD-334263"/>
    <d v="2026-06-12T00:00:00"/>
    <d v="2026-06-26T00:00:00"/>
    <x v="37"/>
    <x v="1"/>
    <x v="1"/>
    <x v="1"/>
    <x v="3"/>
    <x v="1"/>
    <s v="SKU-ELE-298"/>
    <s v="Control Board"/>
    <s v=""/>
    <s v="EGP"/>
    <n v="1.9E-2"/>
    <s v=""/>
    <n v="750"/>
    <n v="3663525"/>
    <e v="#VALUE!"/>
    <n v="69606.974999999991"/>
    <n v="0"/>
    <n v="0"/>
    <n v="17"/>
    <n v="17"/>
    <n v="14"/>
    <n v="14"/>
    <n v="3"/>
    <n v="3"/>
    <x v="3"/>
    <x v="5"/>
    <x v="2"/>
    <x v="2"/>
    <x v="1"/>
    <x v="2"/>
    <x v="4"/>
    <x v="0"/>
    <n v="3.9"/>
    <x v="2"/>
    <x v="5"/>
  </r>
  <r>
    <s v="PO-2026-00171"/>
    <s v="ORD-854265"/>
    <d v="2026-05-30T00:00:00"/>
    <d v="2026-06-14T00:00:00"/>
    <x v="81"/>
    <x v="13"/>
    <x v="13"/>
    <x v="9"/>
    <x v="0"/>
    <x v="2"/>
    <s v="SKU-IND-245"/>
    <s v="Lubricant Drum"/>
    <s v=""/>
    <s v="EGP"/>
    <n v="1.9E-2"/>
    <s v=""/>
    <n v="200"/>
    <n v="143498"/>
    <e v="#VALUE!"/>
    <n v="2726.462"/>
    <n v="10"/>
    <n v="0.05"/>
    <n v="18"/>
    <n v="18"/>
    <n v="15"/>
    <n v="15"/>
    <n v="3"/>
    <n v="3"/>
    <x v="1"/>
    <x v="1"/>
    <x v="1"/>
    <x v="0"/>
    <x v="1"/>
    <x v="2"/>
    <x v="2"/>
    <x v="3"/>
    <n v="4"/>
    <x v="4"/>
    <x v="1"/>
  </r>
  <r>
    <s v="PO-2026-00262"/>
    <s v="ORD-616297"/>
    <d v="2026-04-01T00:00:00"/>
    <d v="2026-04-09T00:00:00"/>
    <x v="112"/>
    <x v="12"/>
    <x v="12"/>
    <x v="2"/>
    <x v="7"/>
    <x v="0"/>
    <s v="SKU-MAC-452"/>
    <s v="Bearing Set"/>
    <n v="551.54999999999995"/>
    <s v="ZAR"/>
    <n v="6.0999999999999999E-2"/>
    <n v="33.644549999999995"/>
    <n v="200"/>
    <n v="110310"/>
    <n v="110309.99999999999"/>
    <n v="6728.91"/>
    <n v="0"/>
    <n v="0"/>
    <n v="14"/>
    <n v="14"/>
    <n v="8"/>
    <n v="8"/>
    <n v="6"/>
    <n v="6"/>
    <x v="4"/>
    <x v="0"/>
    <x v="0"/>
    <x v="3"/>
    <x v="5"/>
    <x v="4"/>
    <x v="2"/>
    <x v="0"/>
    <n v="2.5"/>
    <x v="4"/>
    <x v="0"/>
  </r>
  <r>
    <s v="PO-2026-00263"/>
    <s v="ORD-166468"/>
    <d v="2026-01-26T00:00:00"/>
    <d v="2026-02-11T00:00:00"/>
    <x v="103"/>
    <x v="1"/>
    <x v="1"/>
    <x v="1"/>
    <x v="5"/>
    <x v="1"/>
    <s v="SKU-ELE-951"/>
    <s v="LED Driver"/>
    <n v="3782.1"/>
    <s v="USD"/>
    <n v="1"/>
    <n v="3782.1"/>
    <n v="50"/>
    <n v="189105"/>
    <n v="189105"/>
    <n v="189105"/>
    <n v="2"/>
    <n v="0.04"/>
    <n v="21"/>
    <n v="21"/>
    <n v="16"/>
    <n v="16"/>
    <n v="5"/>
    <n v="5"/>
    <x v="0"/>
    <x v="0"/>
    <x v="1"/>
    <x v="3"/>
    <x v="3"/>
    <x v="2"/>
    <x v="1"/>
    <x v="0"/>
    <n v="3.4"/>
    <x v="6"/>
    <x v="0"/>
  </r>
  <r>
    <s v="PO-2026-00264"/>
    <s v="ORD-559493"/>
    <d v="2026-03-03T00:00:00"/>
    <d v="2026-03-18T00:00:00"/>
    <x v="20"/>
    <x v="13"/>
    <x v="13"/>
    <x v="9"/>
    <x v="1"/>
    <x v="3"/>
    <s v="SKU-TEX-503"/>
    <s v="Cotton Fabric"/>
    <n v="329.62"/>
    <s v="GHS"/>
    <n v="8.8999999999999996E-2"/>
    <n v="29.336179999999999"/>
    <n v="75"/>
    <n v="24721.5"/>
    <n v="24721.5"/>
    <n v="2200.2134999999998"/>
    <n v="1"/>
    <n v="1.3299999999999999E-2"/>
    <n v="20"/>
    <n v="20"/>
    <n v="15"/>
    <n v="15"/>
    <n v="5"/>
    <n v="5"/>
    <x v="1"/>
    <x v="0"/>
    <x v="1"/>
    <x v="3"/>
    <x v="5"/>
    <x v="0"/>
    <x v="2"/>
    <x v="0"/>
    <n v="3.8"/>
    <x v="5"/>
    <x v="0"/>
  </r>
  <r>
    <s v="PO-2026-00265"/>
    <s v="ORD-174333"/>
    <d v="2026-04-16T00:00:00"/>
    <d v="2026-04-21T00:00:00"/>
    <x v="140"/>
    <x v="12"/>
    <x v="12"/>
    <x v="2"/>
    <x v="1"/>
    <x v="4"/>
    <s v="SKU-PAC-275"/>
    <s v="Bottle Caps"/>
    <n v="517.46"/>
    <s v="EGP"/>
    <n v="1.9E-2"/>
    <n v="9.8317399999999999"/>
    <n v="75"/>
    <n v="38809.5"/>
    <n v="38809.5"/>
    <n v="737.38049999999998"/>
    <n v="0"/>
    <n v="0"/>
    <n v="11"/>
    <n v="11"/>
    <n v="5"/>
    <n v="5"/>
    <n v="6"/>
    <n v="6"/>
    <x v="1"/>
    <x v="0"/>
    <x v="1"/>
    <x v="4"/>
    <x v="4"/>
    <x v="4"/>
    <x v="1"/>
    <x v="0"/>
    <n v="2.5"/>
    <x v="0"/>
    <x v="0"/>
  </r>
  <r>
    <s v="PO-2026-00266"/>
    <s v="ORD-901459"/>
    <d v="2026-06-28T00:00:00"/>
    <d v="2026-07-12T00:00:00"/>
    <x v="141"/>
    <x v="6"/>
    <x v="6"/>
    <x v="1"/>
    <x v="3"/>
    <x v="1"/>
    <s v="SKU-ELE-980"/>
    <s v="LED Driver"/>
    <n v="939.88"/>
    <s v="GHS"/>
    <n v="8.8999999999999996E-2"/>
    <n v="83.649319999999989"/>
    <n v="500"/>
    <n v="469940"/>
    <n v="469940"/>
    <n v="41824.659999999996"/>
    <n v="11"/>
    <n v="2.1999999999999999E-2"/>
    <n v="20"/>
    <n v="20"/>
    <n v="14"/>
    <n v="14"/>
    <n v="6"/>
    <n v="6"/>
    <x v="0"/>
    <x v="0"/>
    <x v="1"/>
    <x v="0"/>
    <x v="4"/>
    <x v="2"/>
    <x v="3"/>
    <x v="0"/>
    <n v="-1"/>
    <x v="4"/>
    <x v="0"/>
  </r>
  <r>
    <s v="PO-2026-00267"/>
    <s v="ORD-345716"/>
    <d v="2026-01-27T00:00:00"/>
    <d v="2026-02-09T00:00:00"/>
    <x v="94"/>
    <x v="13"/>
    <x v="13"/>
    <x v="9"/>
    <x v="7"/>
    <x v="1"/>
    <s v="SKU-ELE-651"/>
    <s v="LED Driver"/>
    <n v="1710.65"/>
    <s v="GHS"/>
    <n v="8.8999999999999996E-2"/>
    <n v="152.24785"/>
    <n v="250"/>
    <n v="427662.5"/>
    <n v="427662.5"/>
    <n v="38061.962500000001"/>
    <n v="4"/>
    <n v="1.6E-2"/>
    <n v="17"/>
    <n v="17"/>
    <n v="13"/>
    <n v="13"/>
    <n v="4"/>
    <n v="4"/>
    <x v="0"/>
    <x v="0"/>
    <x v="1"/>
    <x v="1"/>
    <x v="0"/>
    <x v="3"/>
    <x v="3"/>
    <x v="0"/>
    <n v="4.3"/>
    <x v="5"/>
    <x v="0"/>
  </r>
  <r>
    <s v="PO-2026-00268"/>
    <s v="ORD-407964"/>
    <d v="2026-04-11T00:00:00"/>
    <d v="2026-04-29T00:00:00"/>
    <x v="139"/>
    <x v="14"/>
    <x v="14"/>
    <x v="10"/>
    <x v="6"/>
    <x v="3"/>
    <s v="SKU-TEX-858"/>
    <s v="Uniform Material"/>
    <n v="715.37"/>
    <s v="NGN"/>
    <n v="7.2999999999999996E-4"/>
    <n v="0.52222009999999996"/>
    <n v="500"/>
    <n v="357685"/>
    <n v="357685"/>
    <n v="261.11005"/>
    <n v="7"/>
    <n v="1.4E-2"/>
    <n v="22"/>
    <n v="22"/>
    <n v="18"/>
    <n v="18"/>
    <n v="4"/>
    <n v="4"/>
    <x v="0"/>
    <x v="0"/>
    <x v="0"/>
    <x v="4"/>
    <x v="1"/>
    <x v="0"/>
    <x v="3"/>
    <x v="0"/>
    <n v="6"/>
    <x v="0"/>
    <x v="0"/>
  </r>
  <r>
    <s v="PO-2026-00269"/>
    <s v="ORD-173862"/>
    <d v="2026-04-10T00:00:00"/>
    <d v="2026-05-02T00:00:00"/>
    <x v="142"/>
    <x v="7"/>
    <x v="7"/>
    <x v="6"/>
    <x v="5"/>
    <x v="2"/>
    <s v="SKU-IND-644"/>
    <s v="Welding Rod"/>
    <n v="376.29"/>
    <s v="EGP"/>
    <n v="1.9E-2"/>
    <n v="7.1495100000000003"/>
    <n v="1500"/>
    <n v="564435"/>
    <n v="564435"/>
    <n v="10724.264999999999"/>
    <n v="32"/>
    <n v="2.1299999999999999E-2"/>
    <n v="27"/>
    <n v="27"/>
    <n v="22"/>
    <n v="22"/>
    <n v="5"/>
    <n v="5"/>
    <x v="0"/>
    <x v="0"/>
    <x v="4"/>
    <x v="1"/>
    <x v="5"/>
    <x v="0"/>
    <x v="5"/>
    <x v="0"/>
    <n v="3.4"/>
    <x v="6"/>
    <x v="5"/>
  </r>
  <r>
    <s v="PO-2026-00270"/>
    <s v="ORD-769823"/>
    <d v="2026-05-21T00:00:00"/>
    <d v="2026-06-07T00:00:00"/>
    <x v="126"/>
    <x v="7"/>
    <x v="7"/>
    <x v="6"/>
    <x v="8"/>
    <x v="2"/>
    <s v="SKU-IND-420"/>
    <s v="Filter Cartridge"/>
    <n v="154.01"/>
    <s v="KES"/>
    <n v="7.7000000000000002E-3"/>
    <n v="1.1858770000000001"/>
    <n v="250"/>
    <n v="38502.5"/>
    <n v="38502.5"/>
    <n v="296.46924999999999"/>
    <n v="0"/>
    <n v="0"/>
    <n v="33"/>
    <n v="33"/>
    <n v="17"/>
    <n v="17"/>
    <n v="16"/>
    <n v="16"/>
    <x v="0"/>
    <x v="0"/>
    <x v="2"/>
    <x v="1"/>
    <x v="0"/>
    <x v="1"/>
    <x v="5"/>
    <x v="0"/>
    <n v="1.5"/>
    <x v="2"/>
    <x v="5"/>
  </r>
  <r>
    <s v="PO-2026-00271"/>
    <s v="ORD-466457"/>
    <d v="2026-01-08T00:00:00"/>
    <d v="2026-01-13T00:00:00"/>
    <x v="143"/>
    <x v="12"/>
    <x v="12"/>
    <x v="2"/>
    <x v="7"/>
    <x v="2"/>
    <s v="SKU-IND-157"/>
    <s v="Filter Cartridge"/>
    <n v="343.65"/>
    <s v="USD"/>
    <n v="1"/>
    <n v="343.65"/>
    <n v="200"/>
    <n v="68730"/>
    <n v="68730"/>
    <n v="68730"/>
    <n v="4"/>
    <n v="0.02"/>
    <n v="9"/>
    <n v="9"/>
    <n v="5"/>
    <n v="5"/>
    <n v="4"/>
    <m/>
    <x v="0"/>
    <x v="5"/>
    <x v="0"/>
    <x v="1"/>
    <x v="3"/>
    <x v="0"/>
    <x v="3"/>
    <x v="0"/>
    <n v="4.3"/>
    <x v="0"/>
    <x v="0"/>
  </r>
  <r>
    <s v="PO-2026-00272"/>
    <s v="ORD-804214"/>
    <d v="2026-03-18T00:00:00"/>
    <d v="2026-03-27T00:00:00"/>
    <x v="144"/>
    <x v="6"/>
    <x v="6"/>
    <x v="1"/>
    <x v="4"/>
    <x v="0"/>
    <s v="SKU-MAC-994"/>
    <s v="Conveyor Belt"/>
    <n v="1600.77"/>
    <s v="NGN"/>
    <n v="7.2999999999999996E-4"/>
    <n v="1.1685620999999999"/>
    <n v="2000"/>
    <n v="3201540"/>
    <n v="3201540"/>
    <n v="2337.1241999999997"/>
    <n v="6"/>
    <n v="3.0000000000000001E-3"/>
    <n v="14"/>
    <n v="14"/>
    <n v="9"/>
    <n v="9"/>
    <n v="5"/>
    <n v="5"/>
    <x v="1"/>
    <x v="0"/>
    <x v="2"/>
    <x v="3"/>
    <x v="0"/>
    <x v="0"/>
    <x v="2"/>
    <x v="0"/>
    <n v="4"/>
    <x v="6"/>
    <x v="5"/>
  </r>
  <r>
    <s v="PO-2026-00273"/>
    <s v="ORD-924678"/>
    <d v="2026-04-12T00:00:00"/>
    <d v="2026-05-02T00:00:00"/>
    <x v="51"/>
    <x v="7"/>
    <x v="7"/>
    <x v="6"/>
    <x v="7"/>
    <x v="2"/>
    <s v="SKU-IND-709"/>
    <s v="Filter Cartridge"/>
    <n v="284.68"/>
    <s v="EGP"/>
    <n v="1.9E-2"/>
    <n v="5.4089200000000002"/>
    <n v="100"/>
    <s v=""/>
    <n v="28468"/>
    <s v=""/>
    <n v="1"/>
    <n v="0.01"/>
    <n v="14"/>
    <n v="14"/>
    <n v="20"/>
    <n v="20"/>
    <n v="-6"/>
    <n v="-6"/>
    <x v="5"/>
    <x v="0"/>
    <x v="1"/>
    <x v="4"/>
    <x v="2"/>
    <x v="2"/>
    <x v="2"/>
    <x v="0"/>
    <n v="2.2999999999999998"/>
    <x v="4"/>
    <x v="2"/>
  </r>
  <r>
    <s v="PO-2026-00274"/>
    <s v="ORD-387254"/>
    <d v="2026-02-13T00:00:00"/>
    <d v="2026-03-04T00:00:00"/>
    <x v="8"/>
    <x v="0"/>
    <x v="0"/>
    <x v="0"/>
    <x v="1"/>
    <x v="0"/>
    <s v="SKU-MAC-840"/>
    <s v="Hydraulic Hose"/>
    <n v="3649.15"/>
    <s v="NGN"/>
    <n v="7.2999999999999996E-4"/>
    <n v="2.6638794999999997"/>
    <n v="250"/>
    <n v="912287.5"/>
    <n v="912287.5"/>
    <n v="665.969875"/>
    <n v="15"/>
    <n v="0.06"/>
    <s v=""/>
    <n v="19"/>
    <n v="19"/>
    <n v="19"/>
    <n v="0"/>
    <n v="0"/>
    <x v="5"/>
    <x v="4"/>
    <x v="4"/>
    <x v="5"/>
    <x v="2"/>
    <x v="0"/>
    <x v="5"/>
    <x v="1"/>
    <n v="3.4"/>
    <x v="5"/>
    <x v="8"/>
  </r>
  <r>
    <s v="PO-2026-00275"/>
    <s v="ORD-671134"/>
    <d v="2026-02-04T00:00:00"/>
    <d v="2026-02-06T00:00:00"/>
    <x v="94"/>
    <x v="10"/>
    <x v="10"/>
    <x v="2"/>
    <x v="5"/>
    <x v="6"/>
    <s v="SKU-MET-329"/>
    <s v="Copper Rod"/>
    <n v="2058.6"/>
    <s v="USD"/>
    <n v="1"/>
    <n v="2058.6"/>
    <n v="1500"/>
    <n v="3087900"/>
    <n v="3087900"/>
    <n v="3087900"/>
    <n v="41"/>
    <n v="2.7300000000000001E-2"/>
    <n v="9"/>
    <n v="9"/>
    <s v=""/>
    <n v="2"/>
    <n v="7"/>
    <n v="7"/>
    <x v="4"/>
    <x v="0"/>
    <x v="4"/>
    <x v="3"/>
    <x v="0"/>
    <x v="4"/>
    <x v="2"/>
    <x v="0"/>
    <n v="3"/>
    <x v="4"/>
    <x v="5"/>
  </r>
  <r>
    <s v="PO-2026-00276"/>
    <s v="ORD-426584"/>
    <d v="2026-03-15T00:00:00"/>
    <d v="2026-03-26T00:00:00"/>
    <x v="71"/>
    <x v="3"/>
    <x v="3"/>
    <x v="3"/>
    <x v="8"/>
    <x v="5"/>
    <s v="SKU-RAW-768"/>
    <s v="Chemical Additive"/>
    <n v="392.74"/>
    <s v="GHS"/>
    <n v="8.8999999999999996E-2"/>
    <n v="34.953859999999999"/>
    <n v="250"/>
    <n v="98185"/>
    <n v="98185"/>
    <n v="8738.4650000000001"/>
    <n v="5"/>
    <n v="0.02"/>
    <s v=""/>
    <n v="6"/>
    <n v="11"/>
    <n v="11"/>
    <n v="-5"/>
    <n v="-5"/>
    <x v="5"/>
    <x v="0"/>
    <x v="0"/>
    <x v="1"/>
    <x v="0"/>
    <x v="0"/>
    <x v="1"/>
    <x v="0"/>
    <n v="3.9"/>
    <x v="4"/>
    <x v="2"/>
  </r>
  <r>
    <s v="PO-2026-00277"/>
    <s v="ORD-131413"/>
    <d v="2026-04-06T00:00:00"/>
    <d v="2026-04-19T00:00:00"/>
    <x v="52"/>
    <x v="11"/>
    <x v="11"/>
    <x v="8"/>
    <x v="7"/>
    <x v="5"/>
    <s v="SKU-RAW-523"/>
    <s v="Polymer Resin"/>
    <n v="243.8"/>
    <s v="ZAR"/>
    <n v="6.0999999999999999E-2"/>
    <n v="14.8718"/>
    <n v="750"/>
    <n v="182850"/>
    <n v="182850"/>
    <n v="11153.85"/>
    <n v="16"/>
    <n v="2.1299999999999999E-2"/>
    <n v="11"/>
    <n v="11"/>
    <n v="13"/>
    <n v="13"/>
    <n v="-2"/>
    <n v="-2"/>
    <x v="2"/>
    <x v="0"/>
    <x v="1"/>
    <x v="1"/>
    <x v="1"/>
    <x v="4"/>
    <x v="4"/>
    <x v="0"/>
    <n v="3.1"/>
    <x v="6"/>
    <x v="2"/>
  </r>
  <r>
    <s v="PO-2026-00278"/>
    <s v="ORD-505720"/>
    <d v="2026-05-07T00:00:00"/>
    <d v="2026-05-14T00:00:00"/>
    <x v="88"/>
    <x v="2"/>
    <x v="2"/>
    <x v="2"/>
    <x v="2"/>
    <x v="2"/>
    <s v="SKU-IND-969"/>
    <s v="Lubricant Drum"/>
    <n v="748.93"/>
    <s v="USD"/>
    <n v="1"/>
    <n v="748.93"/>
    <n v="150"/>
    <n v="112339.5"/>
    <n v="112339.49999999999"/>
    <n v="112339.5"/>
    <n v="5"/>
    <n v="3.3300000000000003E-2"/>
    <n v="17"/>
    <n v="17"/>
    <n v="7"/>
    <n v="7"/>
    <n v="10"/>
    <n v="10"/>
    <x v="0"/>
    <x v="0"/>
    <x v="3"/>
    <x v="0"/>
    <x v="5"/>
    <x v="6"/>
    <x v="4"/>
    <x v="0"/>
    <n v="3.1"/>
    <x v="5"/>
    <x v="5"/>
  </r>
  <r>
    <s v="PO-2026-00279"/>
    <s v="ORD-563071"/>
    <d v="2026-02-18T00:00:00"/>
    <d v="2026-02-23T00:00:00"/>
    <x v="21"/>
    <x v="9"/>
    <x v="9"/>
    <x v="2"/>
    <x v="7"/>
    <x v="4"/>
    <s v="SKU-PAC-950"/>
    <s v="Shipping Carton"/>
    <n v="620.35"/>
    <s v="ZAR"/>
    <n v="6.0999999999999999E-2"/>
    <n v="37.841349999999998"/>
    <n v="250"/>
    <n v="155087.5"/>
    <n v="155087.5"/>
    <n v="9460.3374999999996"/>
    <n v="2"/>
    <n v="8.0000000000000002E-3"/>
    <n v="4"/>
    <n v="4"/>
    <n v="5"/>
    <n v="5"/>
    <n v="-1"/>
    <n v="-1"/>
    <x v="2"/>
    <x v="0"/>
    <x v="2"/>
    <x v="0"/>
    <x v="1"/>
    <x v="3"/>
    <x v="4"/>
    <x v="0"/>
    <n v="3.7"/>
    <x v="6"/>
    <x v="4"/>
  </r>
  <r>
    <s v="PO-2026-00280"/>
    <s v="ORD-702179"/>
    <d v="2026-04-16T00:00:00"/>
    <d v="2026-05-12T00:00:00"/>
    <x v="73"/>
    <x v="0"/>
    <x v="0"/>
    <x v="0"/>
    <x v="4"/>
    <x v="0"/>
    <s v="SKU-MAC-757"/>
    <s v="Hydraulic Hose"/>
    <n v="2890.21"/>
    <s v="USD"/>
    <n v="1"/>
    <n v="2890.21"/>
    <n v="300"/>
    <n v="867063"/>
    <n v="867063"/>
    <n v="867063"/>
    <n v="-1"/>
    <n v="9.6699999999999994E-2"/>
    <n v="25"/>
    <n v="25"/>
    <n v="26"/>
    <n v="26"/>
    <n v="-1"/>
    <n v="-1"/>
    <x v="2"/>
    <x v="1"/>
    <x v="0"/>
    <x v="2"/>
    <x v="0"/>
    <x v="3"/>
    <x v="2"/>
    <x v="1"/>
    <n v="2.2000000000000002"/>
    <x v="1"/>
    <x v="3"/>
  </r>
  <r>
    <s v="PO-2026-00281"/>
    <s v="ORD-242341"/>
    <d v="2026-04-05T00:00:00"/>
    <d v="2026-04-08T00:00:00"/>
    <x v="77"/>
    <x v="9"/>
    <x v="9"/>
    <x v="2"/>
    <x v="5"/>
    <x v="4"/>
    <s v="SKU-PAC-645"/>
    <s v="Shipping Carton"/>
    <n v="736.39"/>
    <s v="ZAR"/>
    <n v="6.0999999999999999E-2"/>
    <n v="44.919789999999999"/>
    <n v="150"/>
    <n v="110458.5"/>
    <n v="110458.5"/>
    <n v="6737.9684999999999"/>
    <n v="3"/>
    <n v="0.02"/>
    <n v="9"/>
    <n v="9"/>
    <n v="3"/>
    <n v="3"/>
    <n v="6"/>
    <n v="6"/>
    <x v="1"/>
    <x v="0"/>
    <x v="2"/>
    <x v="3"/>
    <x v="5"/>
    <x v="4"/>
    <x v="3"/>
    <x v="0"/>
    <n v="3.1"/>
    <x v="5"/>
    <x v="5"/>
  </r>
  <r>
    <s v="PO-2026-00013"/>
    <s v="ORD-653604"/>
    <d v="2026-04-06T00:00:00"/>
    <d v="2026-04-23T00:00:00"/>
    <x v="19"/>
    <x v="13"/>
    <x v="13"/>
    <x v="9"/>
    <x v="1"/>
    <x v="3"/>
    <s v="SKU-TEX-835"/>
    <s v="Uniform Material"/>
    <n v="688.68"/>
    <s v="GHS"/>
    <n v="8.8999999999999996E-2"/>
    <n v="61.292519999999996"/>
    <n v="150"/>
    <n v="103302"/>
    <n v="103301.99999999999"/>
    <n v="9193.8779999999988"/>
    <n v="7"/>
    <n v="4.6699999999999998E-2"/>
    <n v="19"/>
    <n v="19"/>
    <n v="17"/>
    <n v="17"/>
    <n v="2"/>
    <n v="2"/>
    <x v="1"/>
    <x v="1"/>
    <x v="4"/>
    <x v="4"/>
    <x v="3"/>
    <x v="4"/>
    <x v="2"/>
    <x v="3"/>
    <n v="1.3"/>
    <x v="3"/>
    <x v="6"/>
  </r>
  <r>
    <s v="PO-2026-00283"/>
    <s v="ORD-911170"/>
    <d v="2026-06-11T00:00:00"/>
    <d v="2026-06-18T00:00:00"/>
    <x v="27"/>
    <x v="4"/>
    <x v="4"/>
    <x v="1"/>
    <x v="2"/>
    <x v="0"/>
    <s v="SKU-MAC-408"/>
    <s v="Bearing Set"/>
    <n v="4318.28"/>
    <s v="KES"/>
    <n v="7.7000000000000002E-3"/>
    <n v="33.250756000000003"/>
    <s v=""/>
    <n v="1079570"/>
    <e v="#VALUE!"/>
    <n v="8312.6890000000003"/>
    <n v="2"/>
    <n v="8.0000000000000002E-3"/>
    <n v="16"/>
    <n v="16"/>
    <n v="7"/>
    <n v="7"/>
    <n v="9"/>
    <n v="9"/>
    <x v="1"/>
    <x v="0"/>
    <x v="1"/>
    <x v="3"/>
    <x v="2"/>
    <x v="4"/>
    <x v="4"/>
    <x v="0"/>
    <n v="1.9"/>
    <x v="0"/>
    <x v="0"/>
  </r>
  <r>
    <s v="PO-2026-00284"/>
    <s v="ORD-261765"/>
    <d v="2026-01-23T00:00:00"/>
    <d v="2026-01-29T00:00:00"/>
    <x v="108"/>
    <x v="10"/>
    <x v="10"/>
    <x v="2"/>
    <x v="3"/>
    <x v="6"/>
    <s v="SKU-MET-322"/>
    <s v="Copper Rod"/>
    <n v="1683.52"/>
    <s v="KES"/>
    <n v="7.7000000000000002E-3"/>
    <n v="12.963104"/>
    <n v="1500"/>
    <n v="2525280"/>
    <n v="2525280"/>
    <n v="19444.655999999999"/>
    <n v="38"/>
    <n v="2.53E-2"/>
    <n v="3"/>
    <n v="3"/>
    <n v="6"/>
    <n v="6"/>
    <n v="-3"/>
    <n v="-3"/>
    <x v="5"/>
    <x v="0"/>
    <x v="4"/>
    <x v="3"/>
    <x v="3"/>
    <x v="0"/>
    <x v="4"/>
    <x v="0"/>
    <n v="2.5"/>
    <x v="0"/>
    <x v="4"/>
  </r>
  <r>
    <s v="PO-2026-00285"/>
    <s v="ORD-999255"/>
    <d v="2026-04-11T00:00:00"/>
    <d v="2026-04-29T00:00:00"/>
    <x v="51"/>
    <x v="14"/>
    <x v="14"/>
    <x v="10"/>
    <x v="1"/>
    <x v="5"/>
    <s v="SKU-RAW-760"/>
    <s v="Input Granules"/>
    <n v="85.6"/>
    <s v="EGP"/>
    <n v="1.9E-2"/>
    <n v="1.6263999999999998"/>
    <n v="150"/>
    <n v="12840"/>
    <n v="12840"/>
    <n v="243.96"/>
    <n v="1"/>
    <n v="6.7000000000000002E-3"/>
    <n v="15"/>
    <n v="15"/>
    <n v="18"/>
    <n v="18"/>
    <n v="-3"/>
    <m/>
    <x v="2"/>
    <x v="0"/>
    <x v="1"/>
    <x v="0"/>
    <x v="1"/>
    <x v="0"/>
    <x v="4"/>
    <x v="0"/>
    <n v="3.3"/>
    <x v="4"/>
    <x v="11"/>
  </r>
  <r>
    <s v="PO-2026-00286"/>
    <s v="ORD-293219"/>
    <d v="2026-06-02T00:00:00"/>
    <d v="2026-06-23T00:00:00"/>
    <x v="27"/>
    <x v="5"/>
    <x v="5"/>
    <x v="5"/>
    <x v="8"/>
    <x v="3"/>
    <s v="SKU-TEX-498"/>
    <s v="Uniform Material"/>
    <n v="653.33000000000004"/>
    <s v="USD"/>
    <n v="1"/>
    <n v="653.33000000000004"/>
    <n v="500"/>
    <n v="326665"/>
    <n v="326665"/>
    <n v="326665"/>
    <n v="6"/>
    <n v="1.2E-2"/>
    <n v="25"/>
    <n v="25"/>
    <n v="21"/>
    <n v="21"/>
    <n v="4"/>
    <n v="4"/>
    <x v="1"/>
    <x v="0"/>
    <x v="0"/>
    <x v="4"/>
    <x v="5"/>
    <x v="6"/>
    <x v="1"/>
    <x v="0"/>
    <n v="2.2999999999999998"/>
    <x v="5"/>
    <x v="0"/>
  </r>
  <r>
    <s v="PO-2026-00287"/>
    <s v="ORD-881567"/>
    <d v="2026-06-27T00:00:00"/>
    <d v="2026-07-05T00:00:00"/>
    <x v="130"/>
    <x v="12"/>
    <x v="12"/>
    <x v="2"/>
    <x v="6"/>
    <x v="4"/>
    <s v="SKU-PAC-349"/>
    <s v="Bottle Caps"/>
    <n v="733.63"/>
    <s v="NGN"/>
    <n v="7.2999999999999996E-4"/>
    <n v="0.53554990000000002"/>
    <n v="300"/>
    <n v="220089"/>
    <n v="220089"/>
    <n v="160.66496999999998"/>
    <m/>
    <n v="2.3300000000000001E-2"/>
    <n v="10"/>
    <n v="10"/>
    <n v="8"/>
    <n v="8"/>
    <n v="2"/>
    <n v="2"/>
    <x v="3"/>
    <x v="0"/>
    <x v="2"/>
    <x v="4"/>
    <x v="4"/>
    <x v="4"/>
    <x v="0"/>
    <x v="0"/>
    <n v="-1"/>
    <x v="0"/>
    <x v="5"/>
  </r>
  <r>
    <s v="PO-2026-00288"/>
    <s v="ORD-710428"/>
    <d v="2026-06-18T00:00:00"/>
    <d v="2026-06-25T00:00:00"/>
    <x v="83"/>
    <x v="9"/>
    <x v="9"/>
    <x v="2"/>
    <x v="1"/>
    <x v="4"/>
    <s v="SKU-PAC-439"/>
    <s v="Corrugated Box"/>
    <n v="547.79"/>
    <s v="GHS"/>
    <n v="8.8999999999999996E-2"/>
    <n v="48.753309999999992"/>
    <n v="250"/>
    <n v="136947.5"/>
    <n v="136947.5"/>
    <n v="12188.327499999999"/>
    <n v="1"/>
    <n v="4.0000000000000001E-3"/>
    <n v="20"/>
    <n v="20"/>
    <n v="7"/>
    <n v="7"/>
    <n v="13"/>
    <n v="13"/>
    <x v="4"/>
    <x v="0"/>
    <x v="1"/>
    <x v="1"/>
    <x v="4"/>
    <x v="5"/>
    <x v="2"/>
    <x v="0"/>
    <n v="2.4"/>
    <x v="3"/>
    <x v="0"/>
  </r>
  <r>
    <s v="PO-2026-00289"/>
    <s v="ORD-289825"/>
    <d v="2026-02-11T00:00:00"/>
    <d v="2026-02-20T00:00:00"/>
    <x v="34"/>
    <x v="4"/>
    <x v="4"/>
    <x v="4"/>
    <x v="1"/>
    <x v="4"/>
    <s v="SKU-PAC-643"/>
    <s v="Bottle Caps"/>
    <n v="34.130000000000003"/>
    <s v="USD"/>
    <n v="1"/>
    <n v="34.130000000000003"/>
    <n v="150"/>
    <n v="5119.5"/>
    <n v="5119.5"/>
    <n v="5119.5"/>
    <n v="2"/>
    <n v="1.3299999999999999E-2"/>
    <n v="13"/>
    <n v="13"/>
    <n v="9"/>
    <n v="9"/>
    <n v="4"/>
    <n v="4"/>
    <x v="0"/>
    <x v="0"/>
    <x v="1"/>
    <x v="2"/>
    <x v="4"/>
    <x v="6"/>
    <x v="0"/>
    <x v="0"/>
    <n v="2.6"/>
    <x v="4"/>
    <x v="0"/>
  </r>
  <r>
    <s v="PO-2026-00290"/>
    <s v="ORD-836702"/>
    <d v="2026-02-02T00:00:00"/>
    <d v="2026-02-22T00:00:00"/>
    <x v="101"/>
    <x v="8"/>
    <x v="8"/>
    <x v="7"/>
    <x v="2"/>
    <x v="1"/>
    <s v="SKU-ELE-652"/>
    <s v="Control Board"/>
    <n v="4437.2299999999996"/>
    <s v="NGN"/>
    <n v="7.2999999999999996E-4"/>
    <n v="3.2391778999999996"/>
    <n v="250"/>
    <n v="1109307.5"/>
    <n v="1109307.5"/>
    <n v="809.79447499999992"/>
    <n v="9"/>
    <n v="3.5999999999999997E-2"/>
    <n v="13"/>
    <n v="13"/>
    <n v="20"/>
    <n v="20"/>
    <n v="-7"/>
    <n v="-7"/>
    <x v="2"/>
    <x v="0"/>
    <x v="4"/>
    <x v="1"/>
    <x v="4"/>
    <x v="5"/>
    <x v="5"/>
    <x v="0"/>
    <n v="4.2"/>
    <x v="2"/>
    <x v="4"/>
  </r>
  <r>
    <s v="PO-2026-00291"/>
    <s v="ORD-307646"/>
    <d v="2026-03-24T00:00:00"/>
    <d v="2026-04-12T00:00:00"/>
    <x v="145"/>
    <x v="0"/>
    <x v="0"/>
    <x v="0"/>
    <x v="3"/>
    <x v="0"/>
    <s v="SKU-MAC-957"/>
    <s v="Bearing Set"/>
    <n v="1182.99"/>
    <s v="EGP"/>
    <n v="1.9E-2"/>
    <n v="22.47681"/>
    <n v="75"/>
    <n v="88724.25"/>
    <n v="88724.25"/>
    <n v="1685.7607499999999"/>
    <n v="2"/>
    <n v="2.6700000000000002E-2"/>
    <n v="26"/>
    <n v="26"/>
    <n v="19"/>
    <n v="19"/>
    <n v="7"/>
    <n v="7"/>
    <x v="1"/>
    <x v="3"/>
    <x v="2"/>
    <x v="1"/>
    <x v="1"/>
    <x v="0"/>
    <x v="5"/>
    <x v="0"/>
    <n v="2.4"/>
    <x v="1"/>
    <x v="5"/>
  </r>
  <r>
    <s v="PO-2026-00292"/>
    <s v="ORD-852941"/>
    <d v="2026-01-11T00:00:00"/>
    <d v="2026-01-20T00:00:00"/>
    <x v="93"/>
    <x v="6"/>
    <x v="6"/>
    <x v="1"/>
    <x v="0"/>
    <x v="1"/>
    <s v="SKU-ELE-273"/>
    <s v="Sensor Module"/>
    <n v="1023.23"/>
    <s v="GHS"/>
    <n v="8.8999999999999996E-2"/>
    <n v="91.06747"/>
    <n v="100"/>
    <n v="102323"/>
    <n v="102323"/>
    <n v="9106.7469999999994"/>
    <n v="1"/>
    <n v="0.01"/>
    <n v="19"/>
    <n v="19"/>
    <n v="9"/>
    <n v="9"/>
    <n v="10"/>
    <n v="10"/>
    <x v="1"/>
    <x v="0"/>
    <x v="0"/>
    <x v="0"/>
    <x v="2"/>
    <x v="0"/>
    <x v="2"/>
    <x v="0"/>
    <n v="1.1000000000000001"/>
    <x v="3"/>
    <x v="0"/>
  </r>
  <r>
    <s v="PO-2026-00293"/>
    <s v="ORD-247494"/>
    <d v="2026-06-25T00:00:00"/>
    <d v="2026-07-01T00:00:00"/>
    <x v="83"/>
    <x v="12"/>
    <x v="12"/>
    <x v="2"/>
    <x v="6"/>
    <x v="6"/>
    <s v="SKU-MET-321"/>
    <s v="Copper Rod"/>
    <n v="325.68"/>
    <s v="KES"/>
    <n v="7.7000000000000002E-3"/>
    <n v="2.507736"/>
    <n v="1500"/>
    <n v="488520"/>
    <n v="488520"/>
    <n v="3761.6040000000003"/>
    <n v="12"/>
    <n v="8.0000000000000002E-3"/>
    <n v="13"/>
    <n v="13"/>
    <n v="6"/>
    <n v="6"/>
    <n v="7"/>
    <n v="7"/>
    <x v="0"/>
    <x v="0"/>
    <x v="3"/>
    <x v="4"/>
    <x v="2"/>
    <x v="1"/>
    <x v="3"/>
    <x v="0"/>
    <n v="2.2999999999999998"/>
    <x v="5"/>
    <x v="5"/>
  </r>
  <r>
    <s v="PO-2026-00294"/>
    <s v="ORD-709743"/>
    <d v="2026-03-14T00:00:00"/>
    <d v="2026-04-04T00:00:00"/>
    <x v="11"/>
    <x v="0"/>
    <x v="0"/>
    <x v="0"/>
    <x v="0"/>
    <x v="5"/>
    <s v="SKU-RAW-970"/>
    <s v="Input Granules"/>
    <n v="19.670000000000002"/>
    <s v="EGP"/>
    <n v="1.9E-2"/>
    <n v="0.37373000000000001"/>
    <n v="75"/>
    <n v="1475.25"/>
    <n v="1475.2500000000002"/>
    <n v="28.02975"/>
    <n v="0"/>
    <n v="0"/>
    <n v="21"/>
    <n v="21"/>
    <n v="21"/>
    <n v="21"/>
    <n v="0"/>
    <n v="0"/>
    <x v="2"/>
    <x v="0"/>
    <x v="1"/>
    <x v="0"/>
    <x v="3"/>
    <x v="0"/>
    <x v="5"/>
    <x v="0"/>
    <n v="4.4000000000000004"/>
    <x v="3"/>
    <x v="2"/>
  </r>
  <r>
    <s v="PO-2026-00295"/>
    <s v="ORD-654284"/>
    <d v="2026-01-28T00:00:00"/>
    <d v="2026-02-20T00:00:00"/>
    <x v="35"/>
    <x v="13"/>
    <x v="13"/>
    <x v="9"/>
    <x v="3"/>
    <x v="1"/>
    <s v="SKU-ELE-506"/>
    <s v="LED Driver"/>
    <n v="2683.36"/>
    <s v="ETB"/>
    <n v="6.4000000000000003E-3"/>
    <n v="17.173504000000001"/>
    <n v="750"/>
    <n v="2012520"/>
    <n v="2012520"/>
    <n v="12880.128000000001"/>
    <n v="3"/>
    <n v="4.0000000000000001E-3"/>
    <n v="21"/>
    <n v="21"/>
    <n v="23"/>
    <n v="23"/>
    <n v="-2"/>
    <n v="-2"/>
    <x v="5"/>
    <x v="0"/>
    <x v="1"/>
    <x v="4"/>
    <x v="0"/>
    <x v="0"/>
    <x v="2"/>
    <x v="0"/>
    <n v="4.5999999999999996"/>
    <x v="5"/>
    <x v="2"/>
  </r>
  <r>
    <s v="PO-2026-00296"/>
    <s v="ORD-290504"/>
    <d v="2026-06-28T00:00:00"/>
    <d v="2026-07-06T00:00:00"/>
    <x v="83"/>
    <x v="2"/>
    <x v="2"/>
    <x v="2"/>
    <x v="3"/>
    <x v="2"/>
    <s v="SKU-IND-938"/>
    <s v="Welding Rod"/>
    <n v="606.79999999999995"/>
    <s v="EGP"/>
    <n v="1.9E-2"/>
    <n v="11.529199999999999"/>
    <n v="2000"/>
    <n v="1213600"/>
    <n v="1213600"/>
    <n v="23058.399999999998"/>
    <n v="0"/>
    <n v="0"/>
    <n v="10"/>
    <n v="10"/>
    <n v="8"/>
    <n v="8"/>
    <n v="2"/>
    <n v="2"/>
    <x v="1"/>
    <x v="0"/>
    <x v="3"/>
    <x v="2"/>
    <x v="5"/>
    <x v="6"/>
    <x v="4"/>
    <x v="0"/>
    <n v="2.7"/>
    <x v="1"/>
    <x v="5"/>
  </r>
  <r>
    <s v="PO-2026-00177"/>
    <s v="ORD-476075"/>
    <d v="2026-01-27T00:00:00"/>
    <d v="2026-02-11T00:00:00"/>
    <x v="23"/>
    <x v="4"/>
    <x v="4"/>
    <x v="4"/>
    <x v="6"/>
    <x v="0"/>
    <s v="SKU-MAC-610"/>
    <s v="Gear Assembly"/>
    <n v="870.05"/>
    <s v="KES"/>
    <n v="7.7000000000000002E-3"/>
    <n v="6.6993849999999995"/>
    <n v="300"/>
    <n v="261015"/>
    <n v="261015"/>
    <n v="2009.8155000000002"/>
    <n v="2"/>
    <n v="6.7000000000000002E-3"/>
    <n v="24"/>
    <n v="24"/>
    <n v="15"/>
    <n v="15"/>
    <n v="9"/>
    <n v="9"/>
    <x v="1"/>
    <x v="5"/>
    <x v="1"/>
    <x v="2"/>
    <x v="1"/>
    <x v="0"/>
    <x v="2"/>
    <x v="0"/>
    <n v="1.4"/>
    <x v="0"/>
    <x v="0"/>
  </r>
  <r>
    <s v="PO-2026-00298"/>
    <s v="ORD-120042"/>
    <d v="2026-02-10T00:00:00"/>
    <d v="2026-02-13T00:00:00"/>
    <x v="131"/>
    <x v="9"/>
    <x v="9"/>
    <x v="2"/>
    <x v="4"/>
    <x v="4"/>
    <s v="SKU-PAC-465"/>
    <s v="Bottle Caps"/>
    <n v="628.46"/>
    <s v="KES"/>
    <n v="7.7000000000000002E-3"/>
    <n v="4.8391420000000007"/>
    <n v="75"/>
    <n v="47134.5"/>
    <n v="47134.5"/>
    <n v="362.93565000000001"/>
    <n v="1"/>
    <n v="1.3299999999999999E-2"/>
    <n v="9"/>
    <n v="9"/>
    <n v="3"/>
    <n v="3"/>
    <n v="6"/>
    <n v="6"/>
    <x v="0"/>
    <x v="0"/>
    <x v="0"/>
    <x v="3"/>
    <x v="4"/>
    <x v="3"/>
    <x v="5"/>
    <x v="0"/>
    <n v="2.5"/>
    <x v="5"/>
    <x v="0"/>
  </r>
  <r>
    <s v="PO-2026-00299"/>
    <s v="ORD-330573"/>
    <d v="2026-04-14T00:00:00"/>
    <d v="2026-04-23T00:00:00"/>
    <x v="139"/>
    <x v="12"/>
    <x v="12"/>
    <x v="2"/>
    <x v="2"/>
    <x v="0"/>
    <s v="SKU-MAC-823"/>
    <s v="Gear Assembly"/>
    <n v="1091.25"/>
    <s v="NGN"/>
    <n v="7.2999999999999996E-4"/>
    <n v="0.79661249999999995"/>
    <n v="50"/>
    <n v="54562.5"/>
    <n v="54562.5"/>
    <n v="39.830624999999998"/>
    <n v="0"/>
    <n v="0"/>
    <n v="19"/>
    <n v="19"/>
    <n v="9"/>
    <n v="9"/>
    <n v="10"/>
    <n v="10"/>
    <x v="0"/>
    <x v="0"/>
    <x v="2"/>
    <x v="3"/>
    <x v="1"/>
    <x v="5"/>
    <x v="5"/>
    <x v="0"/>
    <n v="1.6"/>
    <x v="6"/>
    <x v="5"/>
  </r>
  <r>
    <s v="PO-2026-00300"/>
    <s v="ORD-809730"/>
    <d v="2026-01-07T00:00:00"/>
    <d v="2026-01-12T00:00:00"/>
    <x v="146"/>
    <x v="12"/>
    <x v="12"/>
    <x v="2"/>
    <x v="1"/>
    <x v="4"/>
    <s v="SKU-PAC-760"/>
    <s v="Corrugated Box"/>
    <n v="704.65"/>
    <s v="NGN"/>
    <n v="7.2999999999999996E-4"/>
    <n v="0.51439449999999998"/>
    <n v="1500"/>
    <n v="1056975"/>
    <n v="1056975"/>
    <n v="771.59174999999993"/>
    <n v="14"/>
    <n v="9.2999999999999992E-3"/>
    <n v="0"/>
    <n v="0"/>
    <n v="5"/>
    <n v="5"/>
    <n v="-5"/>
    <n v="-5"/>
    <x v="2"/>
    <x v="0"/>
    <x v="4"/>
    <x v="3"/>
    <x v="1"/>
    <x v="0"/>
    <x v="1"/>
    <x v="0"/>
    <n v="4.8"/>
    <x v="1"/>
    <x v="4"/>
  </r>
  <r>
    <s v="PO-2026-00301"/>
    <s v="ORD-423752"/>
    <d v="2026-04-08T00:00:00"/>
    <d v="2026-04-23T00:00:00"/>
    <x v="112"/>
    <x v="6"/>
    <x v="6"/>
    <x v="1"/>
    <x v="0"/>
    <x v="1"/>
    <s v="SKU-ELE-310"/>
    <s v="Power Adapter"/>
    <n v="435.04"/>
    <s v="GHS"/>
    <n v="8.8999999999999996E-2"/>
    <n v="38.718559999999997"/>
    <n v="500"/>
    <n v="217520"/>
    <n v="217520"/>
    <n v="19359.28"/>
    <n v="14"/>
    <n v="2.8000000000000001E-2"/>
    <n v="7"/>
    <n v="7"/>
    <n v="15"/>
    <n v="15"/>
    <n v="-8"/>
    <n v="-8"/>
    <x v="2"/>
    <x v="0"/>
    <x v="1"/>
    <x v="0"/>
    <x v="2"/>
    <x v="1"/>
    <x v="5"/>
    <x v="0"/>
    <n v="4.3"/>
    <x v="3"/>
    <x v="2"/>
  </r>
  <r>
    <s v="PO-2026-00302"/>
    <s v="ORD-760695"/>
    <d v="2026-06-22T00:00:00"/>
    <d v="2026-07-07T00:00:00"/>
    <x v="43"/>
    <x v="14"/>
    <x v="14"/>
    <x v="10"/>
    <x v="7"/>
    <x v="5"/>
    <s v="SKU-RAW-373"/>
    <s v="Polymer Resin"/>
    <n v="533.51"/>
    <s v="USD"/>
    <n v="1"/>
    <n v="533.51"/>
    <n v="2000"/>
    <n v="1067020"/>
    <n v="1067020"/>
    <n v="1067020"/>
    <n v="74"/>
    <n v="3.6999999999999998E-2"/>
    <n v="17"/>
    <n v="17"/>
    <n v="15"/>
    <n v="15"/>
    <n v="2"/>
    <m/>
    <x v="3"/>
    <x v="3"/>
    <x v="2"/>
    <x v="3"/>
    <x v="2"/>
    <x v="3"/>
    <x v="2"/>
    <x v="0"/>
    <n v="2.7"/>
    <x v="4"/>
    <x v="5"/>
  </r>
  <r>
    <s v="PO-2026-00303"/>
    <s v="ORD-114406"/>
    <d v="2026-02-22T00:00:00"/>
    <d v="2026-03-06T00:00:00"/>
    <x v="90"/>
    <x v="6"/>
    <x v="6"/>
    <x v="1"/>
    <x v="6"/>
    <x v="5"/>
    <s v="SKU-RAW-358"/>
    <s v="Polymer Resin"/>
    <n v="557.45000000000005"/>
    <s v="USD"/>
    <n v="1"/>
    <n v="557.45000000000005"/>
    <n v="1000"/>
    <n v="557450"/>
    <n v="557450"/>
    <n v="557450"/>
    <n v="74"/>
    <n v="7.3999999999999996E-2"/>
    <n v="14"/>
    <n v="14"/>
    <n v="12"/>
    <n v="12"/>
    <n v="2"/>
    <n v="2"/>
    <x v="3"/>
    <x v="4"/>
    <x v="3"/>
    <x v="2"/>
    <x v="1"/>
    <x v="0"/>
    <x v="2"/>
    <x v="3"/>
    <n v="2.4"/>
    <x v="2"/>
    <x v="6"/>
  </r>
  <r>
    <s v="PO-2026-00304"/>
    <s v="ORD-342242"/>
    <d v="2026-05-08T00:00:00"/>
    <d v="2026-05-19T00:00:00"/>
    <x v="45"/>
    <x v="11"/>
    <x v="11"/>
    <x v="8"/>
    <x v="3"/>
    <x v="5"/>
    <s v="SKU-RAW-768"/>
    <s v="Polymer Resin"/>
    <n v="82.56"/>
    <s v="NGN"/>
    <n v="7.2999999999999996E-4"/>
    <n v="6.0268799999999997E-2"/>
    <n v="250"/>
    <n v="20640"/>
    <n v="20640"/>
    <n v="15.0672"/>
    <n v="0"/>
    <n v="0"/>
    <n v="8"/>
    <n v="8"/>
    <n v="11"/>
    <n v="11"/>
    <n v="-3"/>
    <n v="-3"/>
    <x v="5"/>
    <x v="5"/>
    <x v="3"/>
    <x v="5"/>
    <x v="2"/>
    <x v="6"/>
    <x v="2"/>
    <x v="0"/>
    <n v="2.2000000000000002"/>
    <x v="5"/>
    <x v="4"/>
  </r>
  <r>
    <s v="PO-2026-00305"/>
    <s v="ORD-853199"/>
    <d v="2026-01-08T00:00:00"/>
    <d v="2026-01-20T00:00:00"/>
    <x v="143"/>
    <x v="4"/>
    <x v="4"/>
    <x v="4"/>
    <x v="3"/>
    <x v="0"/>
    <s v="SKU-MAC-662"/>
    <s v="Hydraulic Hose"/>
    <n v="707.8"/>
    <s v="GHS"/>
    <n v="8.8999999999999996E-2"/>
    <n v="62.994199999999992"/>
    <n v="75"/>
    <n v="53085"/>
    <n v="53085"/>
    <n v="4724.5649999999996"/>
    <n v="0"/>
    <n v="0"/>
    <n v="9"/>
    <n v="9"/>
    <n v="12"/>
    <n v="12"/>
    <n v="-3"/>
    <n v="-3"/>
    <x v="5"/>
    <x v="0"/>
    <x v="1"/>
    <x v="5"/>
    <x v="1"/>
    <x v="2"/>
    <x v="4"/>
    <x v="0"/>
    <n v="4.0999999999999996"/>
    <x v="6"/>
    <x v="2"/>
  </r>
  <r>
    <s v="PO-2026-00306"/>
    <s v="ORD-972350"/>
    <d v="2026-01-23T00:00:00"/>
    <d v="2026-02-04T00:00:00"/>
    <x v="147"/>
    <x v="4"/>
    <x v="4"/>
    <x v="4"/>
    <x v="3"/>
    <x v="0"/>
    <s v="SKU-MAC-626"/>
    <s v="Conveyor Belt"/>
    <n v="1612.89"/>
    <s v="NGN"/>
    <n v="7.2999999999999996E-4"/>
    <n v="1.1774097000000001"/>
    <n v="1500"/>
    <n v="2419335"/>
    <n v="2419335"/>
    <n v="1766.11455"/>
    <n v="53"/>
    <n v="3.5299999999999998E-2"/>
    <n v="11"/>
    <n v="11"/>
    <n v="12"/>
    <n v="12"/>
    <n v="-1"/>
    <n v="-1"/>
    <x v="2"/>
    <x v="0"/>
    <x v="1"/>
    <x v="4"/>
    <x v="1"/>
    <x v="2"/>
    <x v="4"/>
    <x v="0"/>
    <n v="2.7"/>
    <x v="1"/>
    <x v="2"/>
  </r>
  <r>
    <s v="PO-2026-00307"/>
    <s v="ORD-679431"/>
    <d v="2026-01-24T00:00:00"/>
    <d v="2026-02-03T00:00:00"/>
    <x v="16"/>
    <x v="11"/>
    <x v="11"/>
    <x v="8"/>
    <x v="4"/>
    <x v="0"/>
    <s v="SKU-MAC-635"/>
    <s v="Gear Assembly"/>
    <n v="2589.08"/>
    <s v="KES"/>
    <n v="7.7000000000000002E-3"/>
    <n v="19.935915999999999"/>
    <n v="75"/>
    <n v="194181"/>
    <n v="194181"/>
    <n v="1495.1937"/>
    <n v="4"/>
    <n v="5.33E-2"/>
    <n v="11"/>
    <n v="11"/>
    <n v="10"/>
    <n v="10"/>
    <n v="1"/>
    <m/>
    <x v="1"/>
    <x v="1"/>
    <x v="0"/>
    <x v="2"/>
    <x v="2"/>
    <x v="6"/>
    <x v="2"/>
    <x v="4"/>
    <n v="1.6"/>
    <x v="3"/>
    <x v="1"/>
  </r>
  <r>
    <s v="PO-2026-00308"/>
    <s v="ORD-195307"/>
    <d v="2026-01-21T00:00:00"/>
    <d v="2026-02-03T00:00:00"/>
    <x v="91"/>
    <x v="3"/>
    <x v="3"/>
    <x v="3"/>
    <x v="8"/>
    <x v="1"/>
    <s v="SKU-ELE-450"/>
    <s v="LED Driver"/>
    <n v="1221.79"/>
    <s v="EGP"/>
    <n v="1.9E-2"/>
    <n v="23.214009999999998"/>
    <n v="75"/>
    <n v="91634.25"/>
    <n v="91634.25"/>
    <n v="1741.0507499999999"/>
    <n v="0"/>
    <n v="0"/>
    <n v="-2"/>
    <n v="-2"/>
    <n v="13"/>
    <n v="13"/>
    <n v="-15"/>
    <n v="-15"/>
    <x v="6"/>
    <x v="0"/>
    <x v="1"/>
    <x v="5"/>
    <x v="5"/>
    <x v="5"/>
    <x v="4"/>
    <x v="0"/>
    <n v="4.2"/>
    <x v="2"/>
    <x v="2"/>
  </r>
  <r>
    <s v="PO-2026-00309"/>
    <s v="ORD-496340"/>
    <d v="2026-03-25T00:00:00"/>
    <d v="2026-03-28T00:00:00"/>
    <x v="148"/>
    <x v="10"/>
    <x v="10"/>
    <x v="2"/>
    <x v="3"/>
    <x v="6"/>
    <s v="SKU-MET-857"/>
    <s v="Steel Coil"/>
    <n v="506.94"/>
    <s v="KES"/>
    <n v="7.7000000000000002E-3"/>
    <n v="3.903438"/>
    <s v=""/>
    <n v="1013880"/>
    <e v="#VALUE!"/>
    <n v="7806.8760000000002"/>
    <m/>
    <n v="1.2500000000000001E-2"/>
    <n v="-5"/>
    <n v="11"/>
    <n v="3"/>
    <n v="3"/>
    <n v="8"/>
    <n v="8"/>
    <x v="1"/>
    <x v="0"/>
    <x v="1"/>
    <x v="5"/>
    <x v="2"/>
    <x v="0"/>
    <x v="1"/>
    <x v="0"/>
    <n v="-1"/>
    <x v="3"/>
    <x v="0"/>
  </r>
  <r>
    <s v="PO-2026-00310"/>
    <s v="ORD-961277"/>
    <d v="2026-02-12T00:00:00"/>
    <d v="2026-02-20T00:00:00"/>
    <x v="54"/>
    <x v="11"/>
    <x v="11"/>
    <x v="8"/>
    <x v="3"/>
    <x v="5"/>
    <s v="SKU-RAW-256"/>
    <s v="Chemical Additive"/>
    <n v="106.04"/>
    <s v="KES"/>
    <n v="7.7000000000000002E-3"/>
    <n v="0.81650800000000012"/>
    <n v="500"/>
    <n v="53020"/>
    <n v="53020"/>
    <n v="408.25400000000002"/>
    <n v="15"/>
    <n v="0.03"/>
    <n v="18"/>
    <n v="18"/>
    <n v="8"/>
    <n v="8"/>
    <n v="10"/>
    <n v="10"/>
    <x v="0"/>
    <x v="0"/>
    <x v="0"/>
    <x v="0"/>
    <x v="4"/>
    <x v="1"/>
    <x v="4"/>
    <x v="0"/>
    <n v="1.6"/>
    <x v="0"/>
    <x v="0"/>
  </r>
  <r>
    <s v="PO-2026-00311"/>
    <s v="ORD-160655"/>
    <d v="2026-03-22T00:00:00"/>
    <d v="2026-04-10T00:00:00"/>
    <x v="112"/>
    <x v="7"/>
    <x v="7"/>
    <x v="6"/>
    <x v="2"/>
    <x v="2"/>
    <s v="SKU-IND-977"/>
    <s v="Filter Cartridge"/>
    <n v="847.63"/>
    <s v="USD"/>
    <n v="1"/>
    <n v="847.63"/>
    <n v="2000"/>
    <n v="1695260"/>
    <n v="1695260"/>
    <n v="1695260"/>
    <n v="48"/>
    <n v="2.4E-2"/>
    <n v="24"/>
    <n v="24"/>
    <n v="19"/>
    <n v="19"/>
    <n v="5"/>
    <n v="5"/>
    <x v="4"/>
    <x v="0"/>
    <x v="1"/>
    <x v="0"/>
    <x v="2"/>
    <x v="4"/>
    <x v="2"/>
    <x v="0"/>
    <n v="4.5"/>
    <x v="6"/>
    <x v="0"/>
  </r>
  <r>
    <s v="PO-2026-00312"/>
    <s v="ORD-488273"/>
    <d v="2026-01-19T00:00:00"/>
    <d v="2026-02-08T00:00:00"/>
    <x v="40"/>
    <x v="7"/>
    <x v="7"/>
    <x v="6"/>
    <x v="4"/>
    <x v="2"/>
    <s v="SKU-IND-562"/>
    <s v="Welding Rod"/>
    <n v="435.84"/>
    <s v="EGP"/>
    <n v="1.9E-2"/>
    <n v="8.2809599999999985"/>
    <n v="150"/>
    <n v="65376"/>
    <n v="65375.999999999993"/>
    <n v="1242.144"/>
    <n v="6"/>
    <n v="0.04"/>
    <n v="23"/>
    <n v="23"/>
    <n v="20"/>
    <n v="20"/>
    <n v="3"/>
    <n v="3"/>
    <x v="3"/>
    <x v="0"/>
    <x v="1"/>
    <x v="0"/>
    <x v="2"/>
    <x v="0"/>
    <x v="0"/>
    <x v="0"/>
    <n v="4"/>
    <x v="0"/>
    <x v="0"/>
  </r>
  <r>
    <s v="PO-2026-00313"/>
    <s v="ORD-167406"/>
    <d v="2026-03-17T00:00:00"/>
    <d v="2026-03-28T00:00:00"/>
    <x v="149"/>
    <x v="3"/>
    <x v="3"/>
    <x v="3"/>
    <x v="4"/>
    <x v="4"/>
    <s v="SKU-PAC-456"/>
    <s v="Bottle Caps"/>
    <n v="651.86"/>
    <s v="EGP"/>
    <n v="1.9E-2"/>
    <n v="12.385339999999999"/>
    <n v="250"/>
    <n v="162965"/>
    <n v="162965"/>
    <n v="3096.335"/>
    <n v="7"/>
    <n v="2.8000000000000001E-2"/>
    <n v="14"/>
    <n v="14"/>
    <n v="11"/>
    <n v="11"/>
    <n v="3"/>
    <n v="3"/>
    <x v="1"/>
    <x v="0"/>
    <x v="4"/>
    <x v="2"/>
    <x v="0"/>
    <x v="5"/>
    <x v="3"/>
    <x v="0"/>
    <n v="3.7"/>
    <x v="0"/>
    <x v="5"/>
  </r>
  <r>
    <s v="PO-2026-00314"/>
    <s v="ORD-972000"/>
    <d v="2026-05-09T00:00:00"/>
    <d v="2026-05-21T00:00:00"/>
    <x v="5"/>
    <x v="3"/>
    <x v="3"/>
    <x v="3"/>
    <x v="4"/>
    <x v="5"/>
    <s v="SKU-RAW-496"/>
    <s v="Polymer Resin"/>
    <n v="674.77"/>
    <s v="NGN"/>
    <n v="7.2999999999999996E-4"/>
    <n v="0.49258209999999997"/>
    <n v="300"/>
    <n v="202431"/>
    <n v="202431"/>
    <n v="147.77463"/>
    <n v="16"/>
    <n v="5.33E-2"/>
    <n v="9"/>
    <n v="9"/>
    <n v="12"/>
    <n v="12"/>
    <n v="-3"/>
    <n v="-3"/>
    <x v="5"/>
    <x v="4"/>
    <x v="1"/>
    <x v="0"/>
    <x v="4"/>
    <x v="6"/>
    <x v="5"/>
    <x v="1"/>
    <n v="1.2"/>
    <x v="4"/>
    <x v="3"/>
  </r>
  <r>
    <s v="PO-2026-00315"/>
    <s v="ORD-214148"/>
    <d v="2026-03-18T00:00:00"/>
    <d v="2026-03-30T00:00:00"/>
    <x v="144"/>
    <x v="2"/>
    <x v="2"/>
    <x v="2"/>
    <x v="5"/>
    <x v="5"/>
    <s v="SKU-RAW-673"/>
    <s v="Polymer Resin"/>
    <n v="257.19"/>
    <s v="NGN"/>
    <n v="7.2999999999999996E-4"/>
    <n v="0.18774869999999999"/>
    <n v="150"/>
    <n v="38578.5"/>
    <n v="38578.5"/>
    <n v="28.162305"/>
    <n v="5"/>
    <n v="3.3300000000000003E-2"/>
    <n v="14"/>
    <n v="14"/>
    <n v="12"/>
    <n v="12"/>
    <n v="2"/>
    <n v="2"/>
    <x v="1"/>
    <x v="0"/>
    <x v="1"/>
    <x v="1"/>
    <x v="0"/>
    <x v="3"/>
    <x v="5"/>
    <x v="0"/>
    <n v="2.1"/>
    <x v="4"/>
    <x v="0"/>
  </r>
  <r>
    <s v="PO-2026-00316"/>
    <s v="ORD-873716"/>
    <d v="2026-06-07T00:00:00"/>
    <d v="2026-06-30T00:00:00"/>
    <x v="30"/>
    <x v="7"/>
    <x v="7"/>
    <x v="6"/>
    <x v="5"/>
    <x v="2"/>
    <s v="SKU-IND-472"/>
    <s v="Filter Cartridge"/>
    <n v="335.59"/>
    <s v="KES"/>
    <n v="7.7000000000000002E-3"/>
    <n v="2.5840429999999999"/>
    <n v="2000"/>
    <n v="671180"/>
    <n v="671180"/>
    <n v="5168.0860000000002"/>
    <n v="46"/>
    <n v="2.3E-2"/>
    <n v="21"/>
    <n v="21"/>
    <n v="23"/>
    <n v="23"/>
    <n v="-2"/>
    <n v="-2"/>
    <x v="2"/>
    <x v="0"/>
    <x v="4"/>
    <x v="4"/>
    <x v="0"/>
    <x v="0"/>
    <x v="3"/>
    <x v="0"/>
    <n v="4.7"/>
    <x v="0"/>
    <x v="4"/>
  </r>
  <r>
    <s v="PO-2026-00317"/>
    <s v="ORD-723238"/>
    <d v="2026-06-14T00:00:00"/>
    <d v="2026-06-27T00:00:00"/>
    <x v="150"/>
    <x v="5"/>
    <x v="5"/>
    <x v="5"/>
    <x v="3"/>
    <x v="3"/>
    <s v="SKU-TEX-102"/>
    <s v="Label Tape"/>
    <n v="497.21"/>
    <s v="ZAR"/>
    <n v="6.0999999999999999E-2"/>
    <n v="30.329809999999998"/>
    <n v="75"/>
    <n v="37290.75"/>
    <n v="37290.75"/>
    <n v="2274.7357499999998"/>
    <n v="0"/>
    <n v="0"/>
    <n v="17"/>
    <n v="17"/>
    <n v="13"/>
    <n v="13"/>
    <n v="4"/>
    <n v="4"/>
    <x v="1"/>
    <x v="0"/>
    <x v="2"/>
    <x v="1"/>
    <x v="1"/>
    <x v="0"/>
    <x v="1"/>
    <x v="0"/>
    <n v="2.2000000000000002"/>
    <x v="4"/>
    <x v="5"/>
  </r>
  <r>
    <s v="PO-2026-00318"/>
    <s v="ORD-295107"/>
    <d v="2026-05-01T00:00:00"/>
    <d v="2026-05-26T00:00:00"/>
    <x v="151"/>
    <x v="8"/>
    <x v="8"/>
    <x v="7"/>
    <x v="6"/>
    <x v="1"/>
    <s v="SKU-ELE-955"/>
    <s v="Sensor Module"/>
    <n v="342.07"/>
    <s v="EGP"/>
    <n v="1.9E-2"/>
    <n v="6.4993299999999996"/>
    <n v="2000"/>
    <n v="684140"/>
    <n v="684140"/>
    <n v="12998.66"/>
    <n v="53"/>
    <n v="2.6499999999999999E-2"/>
    <n v="16"/>
    <n v="16"/>
    <n v="25"/>
    <n v="25"/>
    <n v="-9"/>
    <n v="-9"/>
    <x v="5"/>
    <x v="0"/>
    <x v="1"/>
    <x v="5"/>
    <x v="4"/>
    <x v="3"/>
    <x v="0"/>
    <x v="0"/>
    <n v="3.3"/>
    <x v="5"/>
    <x v="2"/>
  </r>
  <r>
    <s v="PO-2026-00319"/>
    <s v="ORD-686315"/>
    <d v="2026-03-19T00:00:00"/>
    <d v="2026-03-29T00:00:00"/>
    <x v="32"/>
    <x v="6"/>
    <x v="6"/>
    <x v="1"/>
    <x v="2"/>
    <x v="4"/>
    <s v="SKU-PAC-888"/>
    <s v="Plastic Film Roll"/>
    <n v="17.77"/>
    <s v="EGP"/>
    <n v="1.9E-2"/>
    <n v="0.33762999999999999"/>
    <n v="1500"/>
    <s v=""/>
    <n v="26655"/>
    <s v=""/>
    <n v="40"/>
    <n v="2.6700000000000002E-2"/>
    <n v="14"/>
    <n v="14"/>
    <n v="10"/>
    <n v="10"/>
    <n v="4"/>
    <n v="4"/>
    <x v="1"/>
    <x v="0"/>
    <x v="1"/>
    <x v="3"/>
    <x v="5"/>
    <x v="5"/>
    <x v="4"/>
    <x v="0"/>
    <n v="3.7"/>
    <x v="4"/>
    <x v="0"/>
  </r>
  <r>
    <s v="PO-2026-00320"/>
    <s v="ORD-760916"/>
    <d v="2026-03-17T00:00:00"/>
    <d v="2026-03-29T00:00:00"/>
    <x v="152"/>
    <x v="12"/>
    <x v="12"/>
    <x v="2"/>
    <x v="2"/>
    <x v="4"/>
    <s v="SKU-PAC-436"/>
    <s v="Shipping Carton"/>
    <n v="318.11"/>
    <s v="EGP"/>
    <n v="1.9E-2"/>
    <n v="6.0440899999999997"/>
    <n v="500"/>
    <n v="159055"/>
    <n v="159055"/>
    <n v="3022.0450000000001"/>
    <n v="23"/>
    <n v="4.5999999999999999E-2"/>
    <n v="-5"/>
    <n v="9"/>
    <n v="12"/>
    <n v="12"/>
    <n v="-3"/>
    <n v="-3"/>
    <x v="5"/>
    <x v="2"/>
    <x v="3"/>
    <x v="0"/>
    <x v="0"/>
    <x v="1"/>
    <x v="0"/>
    <x v="4"/>
    <n v="2.9"/>
    <x v="2"/>
    <x v="8"/>
  </r>
  <r>
    <s v="PO-2026-00321"/>
    <s v="ORD-684563"/>
    <d v="2026-04-20T00:00:00"/>
    <d v="2026-05-06T00:00:00"/>
    <x v="6"/>
    <x v="1"/>
    <x v="1"/>
    <x v="1"/>
    <x v="1"/>
    <x v="1"/>
    <s v="SKU-ELE-647"/>
    <s v="Power Adapter"/>
    <n v="2397.5700000000002"/>
    <s v="USD"/>
    <n v="1"/>
    <n v="2397.5700000000002"/>
    <n v="200"/>
    <n v="479514"/>
    <n v="479514.00000000006"/>
    <n v="479514"/>
    <n v="6"/>
    <n v="0.03"/>
    <n v="10"/>
    <n v="10"/>
    <n v="16"/>
    <n v="16"/>
    <n v="-6"/>
    <n v="-6"/>
    <x v="5"/>
    <x v="0"/>
    <x v="1"/>
    <x v="3"/>
    <x v="4"/>
    <x v="2"/>
    <x v="0"/>
    <x v="0"/>
    <n v="2.1"/>
    <x v="4"/>
    <x v="2"/>
  </r>
  <r>
    <s v="PO-2026-00322"/>
    <s v="ORD-163685"/>
    <d v="2026-03-22T00:00:00"/>
    <d v="2026-04-10T00:00:00"/>
    <x v="96"/>
    <x v="7"/>
    <x v="7"/>
    <x v="6"/>
    <x v="3"/>
    <x v="2"/>
    <s v="SKU-IND-560"/>
    <s v="Safety Gloves"/>
    <n v="140.72"/>
    <s v="ZAR"/>
    <n v="6.0999999999999999E-2"/>
    <n v="8.5839199999999991"/>
    <n v="100"/>
    <n v="14072"/>
    <n v="14072"/>
    <n v="858.39199999999994"/>
    <n v="3"/>
    <n v="0.03"/>
    <n v="22"/>
    <n v="22"/>
    <n v="19"/>
    <n v="19"/>
    <n v="3"/>
    <n v="3"/>
    <x v="1"/>
    <x v="0"/>
    <x v="0"/>
    <x v="3"/>
    <x v="2"/>
    <x v="0"/>
    <x v="4"/>
    <x v="0"/>
    <n v="4.2"/>
    <x v="4"/>
    <x v="0"/>
  </r>
  <r>
    <s v="PO-2026-00323"/>
    <s v="ORD-280661"/>
    <d v="2026-05-30T00:00:00"/>
    <d v="2026-06-17T00:00:00"/>
    <x v="67"/>
    <x v="1"/>
    <x v="1"/>
    <x v="1"/>
    <x v="8"/>
    <x v="1"/>
    <s v="SKU-ELE-370"/>
    <s v="LED Driver"/>
    <n v="2159.0300000000002"/>
    <s v="GHS"/>
    <n v="8.8999999999999996E-2"/>
    <n v="192.15367000000001"/>
    <n v="750"/>
    <n v="1619272.5"/>
    <n v="1619272.5000000002"/>
    <n v="144115.2525"/>
    <n v="32"/>
    <n v="4.2700000000000002E-2"/>
    <n v="19"/>
    <n v="19"/>
    <n v="18"/>
    <n v="18"/>
    <n v="1"/>
    <n v="1"/>
    <x v="3"/>
    <x v="1"/>
    <x v="0"/>
    <x v="1"/>
    <x v="0"/>
    <x v="2"/>
    <x v="1"/>
    <x v="5"/>
    <n v="6"/>
    <x v="1"/>
    <x v="1"/>
  </r>
  <r>
    <s v="PO-2026-00324"/>
    <s v="ORD-953961"/>
    <d v="2026-06-10T00:00:00"/>
    <d v="2026-06-22T00:00:00"/>
    <x v="33"/>
    <x v="10"/>
    <x v="10"/>
    <x v="2"/>
    <x v="3"/>
    <x v="6"/>
    <s v="SKU-MET-354"/>
    <s v="Copper Rod"/>
    <n v="540.4"/>
    <s v="NGN"/>
    <n v="7.2999999999999996E-4"/>
    <n v="0.39449199999999995"/>
    <n v="100"/>
    <n v="54040"/>
    <n v="54040"/>
    <n v="39.449199999999998"/>
    <n v="0"/>
    <n v="0"/>
    <n v="22"/>
    <n v="22"/>
    <n v="12"/>
    <n v="12"/>
    <n v="10"/>
    <n v="10"/>
    <x v="0"/>
    <x v="0"/>
    <x v="1"/>
    <x v="4"/>
    <x v="0"/>
    <x v="3"/>
    <x v="1"/>
    <x v="0"/>
    <n v="2.1"/>
    <x v="4"/>
    <x v="0"/>
  </r>
  <r>
    <s v="PO-2026-00325"/>
    <s v="ORD-473095"/>
    <d v="2026-04-11T00:00:00"/>
    <d v="2026-04-19T00:00:00"/>
    <x v="100"/>
    <x v="3"/>
    <x v="3"/>
    <x v="3"/>
    <x v="6"/>
    <x v="4"/>
    <s v="SKU-PAC-329"/>
    <s v="Plastic Film Roll"/>
    <n v="758.89"/>
    <s v="NGN"/>
    <n v="7.2999999999999996E-4"/>
    <n v="0.55398969999999992"/>
    <n v="150"/>
    <n v="113833.5"/>
    <n v="113833.5"/>
    <n v="83.098455000000001"/>
    <n v="4"/>
    <n v="2.6700000000000002E-2"/>
    <n v="13"/>
    <n v="13"/>
    <n v="8"/>
    <n v="8"/>
    <n v="5"/>
    <n v="5"/>
    <x v="0"/>
    <x v="5"/>
    <x v="1"/>
    <x v="3"/>
    <x v="2"/>
    <x v="2"/>
    <x v="5"/>
    <x v="0"/>
    <n v="4"/>
    <x v="4"/>
    <x v="0"/>
  </r>
  <r>
    <s v="PO-2026-00326"/>
    <s v="ORD-291985"/>
    <d v="2026-05-22T00:00:00"/>
    <d v="2026-06-02T00:00:00"/>
    <x v="72"/>
    <x v="11"/>
    <x v="11"/>
    <x v="8"/>
    <x v="4"/>
    <x v="5"/>
    <s v="SKU-RAW-389"/>
    <s v="Chemical Additive"/>
    <n v="697.31"/>
    <s v="EGP"/>
    <n v="1.9E-2"/>
    <n v="13.248889999999999"/>
    <n v="150"/>
    <n v="104596.5"/>
    <n v="104596.49999999999"/>
    <n v="1987.3335"/>
    <n v="7"/>
    <n v="4.6699999999999998E-2"/>
    <n v="14"/>
    <n v="14"/>
    <n v="11"/>
    <n v="11"/>
    <n v="3"/>
    <n v="3"/>
    <x v="3"/>
    <x v="1"/>
    <x v="1"/>
    <x v="3"/>
    <x v="2"/>
    <x v="3"/>
    <x v="3"/>
    <x v="1"/>
    <n v="1.4"/>
    <x v="6"/>
    <x v="1"/>
  </r>
  <r>
    <s v="PO-2026-00327"/>
    <s v="ORD-930768"/>
    <d v="2026-01-04T00:00:00"/>
    <d v="2026-01-22T00:00:00"/>
    <x v="153"/>
    <x v="8"/>
    <x v="8"/>
    <x v="7"/>
    <x v="8"/>
    <x v="6"/>
    <s v="SKU-MET-410"/>
    <s v="Aluminium Sheet"/>
    <n v="2245.85"/>
    <s v="ZAR"/>
    <n v="6.0999999999999999E-2"/>
    <n v="136.99684999999999"/>
    <n v="200"/>
    <n v="449170"/>
    <n v="449170"/>
    <n v="27399.37"/>
    <n v="3"/>
    <n v="1.4999999999999999E-2"/>
    <n v="23"/>
    <n v="23"/>
    <n v="18"/>
    <n v="18"/>
    <n v="5"/>
    <m/>
    <x v="4"/>
    <x v="0"/>
    <x v="4"/>
    <x v="4"/>
    <x v="0"/>
    <x v="4"/>
    <x v="3"/>
    <x v="0"/>
    <n v="3.7"/>
    <x v="3"/>
    <x v="5"/>
  </r>
  <r>
    <s v="PO-2026-00328"/>
    <s v="ORD-216221"/>
    <d v="2026-06-09T00:00:00"/>
    <d v="2026-06-19T00:00:00"/>
    <x v="30"/>
    <x v="11"/>
    <x v="11"/>
    <x v="8"/>
    <x v="4"/>
    <x v="5"/>
    <s v="SKU-RAW-924"/>
    <s v="Agro Binder"/>
    <n v="179.44"/>
    <s v="NGN"/>
    <n v="7.2999999999999996E-4"/>
    <n v="0.1309912"/>
    <n v="50"/>
    <n v="8972"/>
    <n v="8972"/>
    <n v="6.5495599999999996"/>
    <n v="2"/>
    <n v="0.04"/>
    <n v="19"/>
    <n v="19"/>
    <n v="10"/>
    <n v="10"/>
    <n v="9"/>
    <n v="9"/>
    <x v="1"/>
    <x v="0"/>
    <x v="1"/>
    <x v="5"/>
    <x v="1"/>
    <x v="0"/>
    <x v="3"/>
    <x v="0"/>
    <n v="2.4"/>
    <x v="4"/>
    <x v="0"/>
  </r>
  <r>
    <s v="PO-2026-00329"/>
    <s v="ORD-670304"/>
    <d v="2026-05-19T00:00:00"/>
    <d v="2026-05-31T00:00:00"/>
    <x v="154"/>
    <x v="11"/>
    <x v="11"/>
    <x v="8"/>
    <x v="5"/>
    <x v="5"/>
    <s v="SKU-RAW-904"/>
    <s v="Chemical Additive"/>
    <n v="737.77"/>
    <s v="EGP"/>
    <n v="1.9E-2"/>
    <n v="14.017629999999999"/>
    <n v="50"/>
    <n v="36888.5"/>
    <n v="36888.5"/>
    <n v="700.88149999999996"/>
    <n v="1"/>
    <n v="0.02"/>
    <n v="26"/>
    <n v="26"/>
    <n v="12"/>
    <n v="12"/>
    <n v="14"/>
    <n v="14"/>
    <x v="1"/>
    <x v="0"/>
    <x v="1"/>
    <x v="3"/>
    <x v="5"/>
    <x v="5"/>
    <x v="1"/>
    <x v="0"/>
    <n v="2.5"/>
    <x v="6"/>
    <x v="0"/>
  </r>
  <r>
    <s v="PO-2026-00330"/>
    <s v="ORD-321988"/>
    <d v="2026-05-11T00:00:00"/>
    <d v="2026-05-14T00:00:00"/>
    <x v="65"/>
    <x v="9"/>
    <x v="9"/>
    <x v="2"/>
    <x v="2"/>
    <x v="2"/>
    <s v="SKU-IND-888"/>
    <s v="Lubricant Drum"/>
    <n v="736.94"/>
    <s v="USD"/>
    <n v="1"/>
    <n v="736.94"/>
    <n v="1000"/>
    <n v="736940"/>
    <n v="736940"/>
    <n v="736940"/>
    <n v="0"/>
    <n v="0"/>
    <n v="9"/>
    <n v="9"/>
    <n v="3"/>
    <n v="3"/>
    <n v="6"/>
    <n v="6"/>
    <x v="0"/>
    <x v="0"/>
    <x v="0"/>
    <x v="2"/>
    <x v="0"/>
    <x v="3"/>
    <x v="1"/>
    <x v="0"/>
    <n v="4"/>
    <x v="2"/>
    <x v="0"/>
  </r>
  <r>
    <s v="PO-2026-00331"/>
    <s v="ORD-443063"/>
    <d v="2026-06-20T00:00:00"/>
    <d v="2026-06-30T00:00:00"/>
    <x v="128"/>
    <x v="3"/>
    <x v="3"/>
    <x v="3"/>
    <x v="0"/>
    <x v="4"/>
    <s v="SKU-PAC-995"/>
    <s v="Bottle Caps"/>
    <n v="371.04"/>
    <s v="USD"/>
    <n v="1"/>
    <n v="371.04"/>
    <n v="1000"/>
    <n v="371040"/>
    <n v="371040"/>
    <n v="371040"/>
    <n v="48"/>
    <n v="4.8000000000000001E-2"/>
    <n v="-1"/>
    <n v="-1"/>
    <n v="10"/>
    <n v="10"/>
    <n v="-11"/>
    <n v="-11"/>
    <x v="6"/>
    <x v="4"/>
    <x v="1"/>
    <x v="0"/>
    <x v="4"/>
    <x v="2"/>
    <x v="4"/>
    <x v="1"/>
    <n v="3"/>
    <x v="1"/>
    <x v="3"/>
  </r>
  <r>
    <s v="PO-2026-00332"/>
    <s v="ORD-787794"/>
    <d v="2026-06-12T00:00:00"/>
    <d v="2026-06-29T00:00:00"/>
    <x v="126"/>
    <x v="13"/>
    <x v="13"/>
    <x v="1"/>
    <x v="3"/>
    <x v="3"/>
    <s v="SKU-TEX-161"/>
    <s v="Cotton Fabric"/>
    <n v="687.55"/>
    <s v="KES"/>
    <n v="7.7000000000000002E-3"/>
    <n v="5.2941349999999998"/>
    <n v="300"/>
    <n v="206265"/>
    <n v="206265"/>
    <n v="1588.2405000000001"/>
    <n v="9"/>
    <n v="0.03"/>
    <n v="11"/>
    <n v="11"/>
    <n v="17"/>
    <n v="17"/>
    <n v="-6"/>
    <n v="-6"/>
    <x v="5"/>
    <x v="0"/>
    <x v="1"/>
    <x v="5"/>
    <x v="0"/>
    <x v="3"/>
    <x v="2"/>
    <x v="0"/>
    <n v="3.2"/>
    <x v="4"/>
    <x v="2"/>
  </r>
  <r>
    <s v="PO-2026-00333"/>
    <s v="ORD-722220"/>
    <d v="2026-05-28T00:00:00"/>
    <d v="2026-06-07T00:00:00"/>
    <x v="155"/>
    <x v="11"/>
    <x v="11"/>
    <x v="8"/>
    <x v="0"/>
    <x v="5"/>
    <s v="SKU-RAW-568"/>
    <s v="Polymer Resin"/>
    <s v=""/>
    <s v="ZAR"/>
    <n v="6.0999999999999999E-2"/>
    <s v=""/>
    <n v="2000"/>
    <n v="1195360"/>
    <e v="#VALUE!"/>
    <n v="72916.959999999992"/>
    <n v="110"/>
    <n v="5.5E-2"/>
    <n v="14"/>
    <n v="14"/>
    <n v="10"/>
    <n v="10"/>
    <n v="4"/>
    <n v="4"/>
    <x v="0"/>
    <x v="1"/>
    <x v="1"/>
    <x v="2"/>
    <x v="4"/>
    <x v="3"/>
    <x v="1"/>
    <x v="4"/>
    <n v="2.2999999999999998"/>
    <x v="3"/>
    <x v="1"/>
  </r>
  <r>
    <s v="PO-2026-00334"/>
    <s v="ORD-144508"/>
    <d v="2026-03-18T00:00:00"/>
    <d v="2026-04-01T00:00:00"/>
    <x v="149"/>
    <x v="3"/>
    <x v="3"/>
    <x v="3"/>
    <x v="3"/>
    <x v="4"/>
    <s v="SKU-PAC-392"/>
    <s v="Corrugated Box"/>
    <n v="589.66"/>
    <s v="USD"/>
    <n v="1"/>
    <n v="589.66"/>
    <n v="250"/>
    <n v="147415"/>
    <n v="147415"/>
    <n v="147415"/>
    <n v="5"/>
    <n v="0.02"/>
    <n v="13"/>
    <n v="13"/>
    <n v="14"/>
    <n v="14"/>
    <n v="-1"/>
    <n v="-1"/>
    <x v="2"/>
    <x v="0"/>
    <x v="1"/>
    <x v="1"/>
    <x v="2"/>
    <x v="1"/>
    <x v="3"/>
    <x v="0"/>
    <n v="4.5999999999999996"/>
    <x v="0"/>
    <x v="2"/>
  </r>
  <r>
    <s v="PO-2026-00335"/>
    <s v="ORD-548147"/>
    <d v="2026-01-02T00:00:00"/>
    <d v="2026-01-11T00:00:00"/>
    <x v="156"/>
    <x v="2"/>
    <x v="2"/>
    <x v="2"/>
    <x v="0"/>
    <x v="2"/>
    <s v="SKU-IND-598"/>
    <s v="Safety Gloves"/>
    <n v="618.41"/>
    <s v="KES"/>
    <n v="7.7000000000000002E-3"/>
    <n v="4.7617570000000002"/>
    <n v="1000"/>
    <n v="618410"/>
    <n v="618410"/>
    <n v="4761.7570000000005"/>
    <n v="27"/>
    <n v="2.7E-2"/>
    <n v="12"/>
    <n v="12"/>
    <n v="9"/>
    <n v="9"/>
    <n v="3"/>
    <n v="3"/>
    <x v="1"/>
    <x v="0"/>
    <x v="0"/>
    <x v="4"/>
    <x v="0"/>
    <x v="5"/>
    <x v="1"/>
    <x v="0"/>
    <n v="4.8"/>
    <x v="1"/>
    <x v="0"/>
  </r>
  <r>
    <s v="PO-2026-00336"/>
    <s v="ORD-432772"/>
    <d v="2026-06-10T00:00:00"/>
    <d v="2026-06-22T00:00:00"/>
    <x v="74"/>
    <x v="6"/>
    <x v="6"/>
    <x v="1"/>
    <x v="2"/>
    <x v="1"/>
    <s v="SKU-ELE-666"/>
    <s v="Power Adapter"/>
    <n v="922.45"/>
    <s v="GHS"/>
    <n v="8.8999999999999996E-2"/>
    <n v="82.098050000000001"/>
    <n v="1500"/>
    <n v="1383675"/>
    <n v="1383675"/>
    <n v="123147.075"/>
    <n v="110"/>
    <n v="7.3300000000000004E-2"/>
    <n v="10"/>
    <n v="10"/>
    <n v="12"/>
    <n v="12"/>
    <n v="-2"/>
    <n v="-2"/>
    <x v="2"/>
    <x v="4"/>
    <x v="4"/>
    <x v="4"/>
    <x v="0"/>
    <x v="6"/>
    <x v="2"/>
    <x v="2"/>
    <n v="1.2"/>
    <x v="2"/>
    <x v="8"/>
  </r>
  <r>
    <s v="PO-2026-00337"/>
    <s v="ORD-873348"/>
    <d v="2026-04-12T00:00:00"/>
    <d v="2026-04-30T00:00:00"/>
    <x v="6"/>
    <x v="13"/>
    <x v="13"/>
    <x v="9"/>
    <x v="4"/>
    <x v="3"/>
    <s v="SKU-TEX-263"/>
    <s v="Label Tape"/>
    <n v="475.39"/>
    <s v="EGP"/>
    <n v="1.9E-2"/>
    <n v="9.0324099999999987"/>
    <n v="200"/>
    <n v="95078"/>
    <n v="95078"/>
    <n v="1806.482"/>
    <n v="9"/>
    <n v="4.4999999999999998E-2"/>
    <n v="18"/>
    <n v="18"/>
    <n v="18"/>
    <n v="18"/>
    <n v="0"/>
    <n v="0"/>
    <x v="5"/>
    <x v="1"/>
    <x v="1"/>
    <x v="1"/>
    <x v="1"/>
    <x v="3"/>
    <x v="2"/>
    <x v="1"/>
    <n v="2.8"/>
    <x v="0"/>
    <x v="3"/>
  </r>
  <r>
    <s v="PO-2026-00338"/>
    <s v="ORD-545361"/>
    <d v="2026-01-01T00:00:00"/>
    <d v="2026-01-17T00:00:00"/>
    <x v="118"/>
    <x v="13"/>
    <x v="13"/>
    <x v="9"/>
    <x v="4"/>
    <x v="3"/>
    <s v="SKU-TEX-169"/>
    <s v="Cotton Fabric"/>
    <n v="602.78"/>
    <s v="NGN"/>
    <n v="7.2999999999999996E-4"/>
    <n v="0.44002939999999996"/>
    <n v="300"/>
    <n v="180834"/>
    <n v="180834"/>
    <n v="132.00881999999999"/>
    <n v="13"/>
    <n v="4.3299999999999998E-2"/>
    <n v="19"/>
    <n v="19"/>
    <n v="16"/>
    <n v="16"/>
    <n v="3"/>
    <n v="3"/>
    <x v="3"/>
    <x v="1"/>
    <x v="1"/>
    <x v="1"/>
    <x v="4"/>
    <x v="1"/>
    <x v="4"/>
    <x v="4"/>
    <n v="2.2000000000000002"/>
    <x v="2"/>
    <x v="1"/>
  </r>
  <r>
    <s v="PO-2026-00339"/>
    <s v="ORD-275814"/>
    <d v="2026-04-17T00:00:00"/>
    <d v="2026-04-23T00:00:00"/>
    <x v="157"/>
    <x v="11"/>
    <x v="11"/>
    <x v="8"/>
    <x v="5"/>
    <x v="5"/>
    <s v="SKU-RAW-931"/>
    <s v="Input Granules"/>
    <n v="104.74"/>
    <s v="NGN"/>
    <n v="7.2999999999999996E-4"/>
    <n v="7.6460199999999992E-2"/>
    <n v="150"/>
    <n v="15711"/>
    <n v="15711"/>
    <n v="11.46903"/>
    <n v="6"/>
    <n v="0.04"/>
    <n v="15"/>
    <n v="15"/>
    <n v="6"/>
    <n v="6"/>
    <n v="9"/>
    <n v="9"/>
    <x v="0"/>
    <x v="0"/>
    <x v="1"/>
    <x v="3"/>
    <x v="3"/>
    <x v="3"/>
    <x v="2"/>
    <x v="0"/>
    <n v="1.9"/>
    <x v="1"/>
    <x v="0"/>
  </r>
  <r>
    <s v="PO-2026-00340"/>
    <s v="ORD-524188"/>
    <d v="2026-01-16T00:00:00"/>
    <d v="2026-01-31T00:00:00"/>
    <x v="153"/>
    <x v="4"/>
    <x v="4"/>
    <x v="4"/>
    <x v="5"/>
    <x v="0"/>
    <s v="SKU-MAC-333"/>
    <s v="Hydraulic Hose"/>
    <n v="525.99"/>
    <s v="RWF"/>
    <n v="6.8000000000000005E-4"/>
    <n v="0.35767320000000002"/>
    <n v="300"/>
    <n v="157797"/>
    <n v="157797"/>
    <n v="107.30196000000001"/>
    <n v="4"/>
    <n v="1.3299999999999999E-2"/>
    <n v="11"/>
    <n v="11"/>
    <n v="15"/>
    <n v="15"/>
    <n v="-4"/>
    <n v="-4"/>
    <x v="5"/>
    <x v="0"/>
    <x v="1"/>
    <x v="3"/>
    <x v="2"/>
    <x v="5"/>
    <x v="2"/>
    <x v="0"/>
    <n v="2.1"/>
    <x v="4"/>
    <x v="2"/>
  </r>
  <r>
    <s v="PO-2026-00341"/>
    <s v="ORD-624212"/>
    <d v="2026-02-08T00:00:00"/>
    <d v="2026-02-28T00:00:00"/>
    <x v="34"/>
    <x v="5"/>
    <x v="5"/>
    <x v="5"/>
    <x v="2"/>
    <x v="3"/>
    <s v="SKU-TEX-786"/>
    <s v="Polyester Roll"/>
    <s v=""/>
    <s v="USD"/>
    <n v="1"/>
    <s v=""/>
    <n v="75"/>
    <n v="41789.25"/>
    <e v="#VALUE!"/>
    <n v="41789.25"/>
    <n v="0"/>
    <n v="0"/>
    <n v="16"/>
    <n v="16"/>
    <n v="20"/>
    <n v="20"/>
    <n v="-4"/>
    <n v="-4"/>
    <x v="5"/>
    <x v="0"/>
    <x v="3"/>
    <x v="0"/>
    <x v="0"/>
    <x v="2"/>
    <x v="3"/>
    <x v="0"/>
    <n v="4.2"/>
    <x v="3"/>
    <x v="4"/>
  </r>
  <r>
    <s v="PO-2026-00342"/>
    <s v="ORD-857802"/>
    <d v="2026-03-06T00:00:00"/>
    <d v="2026-03-13T00:00:00"/>
    <x v="158"/>
    <x v="2"/>
    <x v="2"/>
    <x v="2"/>
    <x v="1"/>
    <x v="3"/>
    <s v="SKU-TEX-204"/>
    <s v="Label Tape"/>
    <n v="220.34"/>
    <s v="USD"/>
    <n v="1"/>
    <n v="220.34"/>
    <n v="1500"/>
    <n v="330510"/>
    <n v="330510"/>
    <n v="330510"/>
    <n v="10"/>
    <n v="6.7000000000000002E-3"/>
    <n v="13"/>
    <n v="13"/>
    <n v="7"/>
    <n v="7"/>
    <n v="6"/>
    <n v="6"/>
    <x v="1"/>
    <x v="0"/>
    <x v="1"/>
    <x v="4"/>
    <x v="2"/>
    <x v="6"/>
    <x v="3"/>
    <x v="0"/>
    <n v="1.9"/>
    <x v="3"/>
    <x v="0"/>
  </r>
  <r>
    <s v="PO-2026-00343"/>
    <s v="ORD-694832"/>
    <d v="2026-03-14T00:00:00"/>
    <d v="2026-03-24T00:00:00"/>
    <x v="152"/>
    <x v="6"/>
    <x v="6"/>
    <x v="1"/>
    <x v="7"/>
    <x v="4"/>
    <s v="SKU-PAC-474"/>
    <s v="Bottle Caps"/>
    <s v=""/>
    <s v="ZAR"/>
    <n v="6.0999999999999999E-2"/>
    <s v=""/>
    <n v="2000"/>
    <n v="29900"/>
    <e v="#VALUE!"/>
    <n v="1823.8999999999999"/>
    <n v="57"/>
    <n v="2.8500000000000001E-2"/>
    <n v="12"/>
    <n v="12"/>
    <n v="10"/>
    <n v="10"/>
    <n v="2"/>
    <n v="2"/>
    <x v="1"/>
    <x v="0"/>
    <x v="2"/>
    <x v="0"/>
    <x v="2"/>
    <x v="0"/>
    <x v="2"/>
    <x v="0"/>
    <n v="3.8"/>
    <x v="3"/>
    <x v="5"/>
  </r>
  <r>
    <s v="PO-2026-00344"/>
    <s v="ORD-422738"/>
    <d v="2026-03-18T00:00:00"/>
    <d v="2026-04-06T00:00:00"/>
    <x v="68"/>
    <x v="3"/>
    <x v="3"/>
    <x v="3"/>
    <x v="4"/>
    <x v="5"/>
    <s v="SKU-RAW-534"/>
    <s v="Agro Binder"/>
    <n v="128.88999999999999"/>
    <s v="USD"/>
    <n v="1"/>
    <n v="128.88999999999999"/>
    <n v="500"/>
    <n v="64445"/>
    <n v="64444.999999999993"/>
    <n v="64445"/>
    <n v="6"/>
    <n v="1.2E-2"/>
    <n v="10"/>
    <n v="10"/>
    <n v="19"/>
    <n v="19"/>
    <n v="-9"/>
    <n v="-9"/>
    <x v="2"/>
    <x v="0"/>
    <x v="1"/>
    <x v="5"/>
    <x v="0"/>
    <x v="0"/>
    <x v="2"/>
    <x v="0"/>
    <n v="4.3"/>
    <x v="4"/>
    <x v="2"/>
  </r>
  <r>
    <s v="PO-2026-00345"/>
    <s v="ORD-874833"/>
    <d v="2026-04-12T00:00:00"/>
    <d v="2026-04-15T00:00:00"/>
    <x v="100"/>
    <x v="12"/>
    <x v="12"/>
    <x v="2"/>
    <x v="7"/>
    <x v="4"/>
    <s v="SKU-PAC-454"/>
    <s v="Bottle Caps"/>
    <n v="269.98"/>
    <s v="EGP"/>
    <n v="1.9E-2"/>
    <n v="5.1296200000000001"/>
    <n v="100"/>
    <n v="26998"/>
    <n v="26998"/>
    <n v="512.96199999999999"/>
    <n v="1"/>
    <n v="0.01"/>
    <n v="12"/>
    <n v="12"/>
    <n v="3"/>
    <n v="3"/>
    <n v="9"/>
    <n v="9"/>
    <x v="0"/>
    <x v="0"/>
    <x v="2"/>
    <x v="5"/>
    <x v="0"/>
    <x v="2"/>
    <x v="5"/>
    <x v="0"/>
    <n v="2.8"/>
    <x v="2"/>
    <x v="5"/>
  </r>
  <r>
    <s v="PO-2026-00346"/>
    <s v="ORD-643370"/>
    <d v="2026-05-31T00:00:00"/>
    <d v="2026-06-18T00:00:00"/>
    <x v="12"/>
    <x v="5"/>
    <x v="5"/>
    <x v="5"/>
    <x v="7"/>
    <x v="0"/>
    <s v="SKU-MAC-356"/>
    <s v="Conveyor Belt"/>
    <n v="558.82000000000005"/>
    <s v="GHS"/>
    <n v="8.8999999999999996E-2"/>
    <n v="49.73498"/>
    <n v="500"/>
    <n v="279410"/>
    <n v="279410"/>
    <n v="24867.489999999998"/>
    <n v="6"/>
    <n v="1.2E-2"/>
    <n v="10"/>
    <n v="10"/>
    <n v="18"/>
    <n v="18"/>
    <n v="-8"/>
    <n v="-8"/>
    <x v="2"/>
    <x v="0"/>
    <x v="1"/>
    <x v="4"/>
    <x v="4"/>
    <x v="6"/>
    <x v="3"/>
    <x v="0"/>
    <n v="3.2"/>
    <x v="6"/>
    <x v="2"/>
  </r>
  <r>
    <s v="PO-2026-00347"/>
    <s v="ORD-629181"/>
    <d v="2026-03-15T00:00:00"/>
    <d v="2026-03-31T00:00:00"/>
    <x v="144"/>
    <x v="4"/>
    <x v="4"/>
    <x v="4"/>
    <x v="0"/>
    <x v="0"/>
    <s v="SKU-MAC-612"/>
    <s v="Conveyor Belt"/>
    <n v="3101.01"/>
    <s v="GHS"/>
    <n v="8.8999999999999996E-2"/>
    <n v="275.98989"/>
    <n v="100"/>
    <n v="310101"/>
    <n v="310101"/>
    <n v="27598.988999999998"/>
    <n v="0"/>
    <n v="0"/>
    <n v="17"/>
    <n v="17"/>
    <n v="16"/>
    <n v="16"/>
    <n v="1"/>
    <n v="1"/>
    <x v="1"/>
    <x v="0"/>
    <x v="1"/>
    <x v="3"/>
    <x v="5"/>
    <x v="6"/>
    <x v="2"/>
    <x v="0"/>
    <n v="4.8"/>
    <x v="6"/>
    <x v="0"/>
  </r>
  <r>
    <s v="PO-2026-00348"/>
    <s v="ORD-716836"/>
    <d v="2026-03-26T00:00:00"/>
    <d v="2026-04-10T00:00:00"/>
    <x v="115"/>
    <x v="6"/>
    <x v="6"/>
    <x v="6"/>
    <x v="0"/>
    <x v="1"/>
    <s v="SKU-ELE-343"/>
    <s v="Sensor Module"/>
    <n v="545.36"/>
    <s v="ZAR"/>
    <n v="6.0999999999999999E-2"/>
    <n v="33.266959999999997"/>
    <n v="500"/>
    <n v="272680"/>
    <n v="272680"/>
    <n v="16633.48"/>
    <n v="10"/>
    <n v="0.02"/>
    <n v="15"/>
    <n v="15"/>
    <n v="15"/>
    <n v="15"/>
    <n v="0"/>
    <n v="0"/>
    <x v="2"/>
    <x v="0"/>
    <x v="2"/>
    <x v="4"/>
    <x v="2"/>
    <x v="5"/>
    <x v="4"/>
    <x v="0"/>
    <n v="4.2"/>
    <x v="6"/>
    <x v="4"/>
  </r>
  <r>
    <s v="PO-2026-00349"/>
    <s v="ORD-253959"/>
    <d v="2026-03-10T00:00:00"/>
    <d v="2026-03-23T00:00:00"/>
    <x v="159"/>
    <x v="2"/>
    <x v="2"/>
    <x v="2"/>
    <x v="5"/>
    <x v="2"/>
    <s v="SKU-IND-906"/>
    <s v="Filter Cartridge"/>
    <n v="479.22"/>
    <s v="KES"/>
    <n v="7.7000000000000002E-3"/>
    <n v="3.6899940000000004"/>
    <n v="300"/>
    <n v="143766"/>
    <n v="143766"/>
    <n v="1106.9982"/>
    <n v="9"/>
    <n v="0.03"/>
    <n v="-3"/>
    <n v="-3"/>
    <n v="13"/>
    <n v="13"/>
    <n v="-16"/>
    <n v="-16"/>
    <x v="6"/>
    <x v="0"/>
    <x v="1"/>
    <x v="3"/>
    <x v="3"/>
    <x v="3"/>
    <x v="5"/>
    <x v="0"/>
    <n v="3.6"/>
    <x v="2"/>
    <x v="2"/>
  </r>
  <r>
    <s v="PO-2026-00350"/>
    <s v="ORD-707852"/>
    <d v="2026-03-02T00:00:00"/>
    <d v="2026-03-03T00:00:00"/>
    <x v="54"/>
    <x v="9"/>
    <x v="9"/>
    <x v="2"/>
    <x v="0"/>
    <x v="4"/>
    <s v="SKU-PAC-151"/>
    <s v="Bottle Caps"/>
    <n v="821.58"/>
    <s v="KES"/>
    <n v="7.7000000000000002E-3"/>
    <n v="6.3261660000000006"/>
    <n v="750"/>
    <n v="616185"/>
    <n v="616185"/>
    <n v="4744.6244999999999"/>
    <n v="0"/>
    <n v="0"/>
    <n v="0"/>
    <n v="0"/>
    <n v="1"/>
    <n v="1"/>
    <n v="-1"/>
    <n v="-1"/>
    <x v="5"/>
    <x v="0"/>
    <x v="4"/>
    <x v="3"/>
    <x v="3"/>
    <x v="6"/>
    <x v="0"/>
    <x v="0"/>
    <n v="3.7"/>
    <x v="2"/>
    <x v="4"/>
  </r>
  <r>
    <s v="PO-2026-00351"/>
    <s v="ORD-560304"/>
    <d v="2026-05-24T00:00:00"/>
    <d v="2026-06-09T00:00:00"/>
    <x v="72"/>
    <x v="6"/>
    <x v="6"/>
    <x v="1"/>
    <x v="5"/>
    <x v="1"/>
    <s v="SKU-ELE-594"/>
    <s v="LED Driver"/>
    <n v="918.51"/>
    <s v="NGN"/>
    <n v="7.2999999999999996E-4"/>
    <n v="0.67051229999999995"/>
    <n v="50"/>
    <n v="45925.5"/>
    <n v="45925.5"/>
    <n v="33.525614999999995"/>
    <n v="0"/>
    <n v="0"/>
    <n v="12"/>
    <n v="12"/>
    <n v="16"/>
    <n v="16"/>
    <n v="-4"/>
    <n v="-4"/>
    <x v="2"/>
    <x v="0"/>
    <x v="3"/>
    <x v="3"/>
    <x v="1"/>
    <x v="6"/>
    <x v="5"/>
    <x v="0"/>
    <n v="4.9000000000000004"/>
    <x v="4"/>
    <x v="4"/>
  </r>
  <r>
    <s v="PO-2026-00205"/>
    <s v="ORD-562370"/>
    <d v="2026-05-18T00:00:00"/>
    <d v="2026-06-02T00:00:00"/>
    <x v="97"/>
    <x v="0"/>
    <x v="0"/>
    <x v="0"/>
    <x v="7"/>
    <x v="0"/>
    <s v="SKU-MAC-832"/>
    <s v="Bearing Set"/>
    <n v="1570.41"/>
    <s v="KES"/>
    <n v="7.7000000000000002E-3"/>
    <n v="12.092157"/>
    <n v="75"/>
    <s v=""/>
    <n v="117780.75"/>
    <s v=""/>
    <n v="0"/>
    <n v="0"/>
    <n v="16"/>
    <n v="16"/>
    <n v="15"/>
    <n v="15"/>
    <n v="1"/>
    <n v="1"/>
    <x v="1"/>
    <x v="0"/>
    <x v="2"/>
    <x v="3"/>
    <x v="2"/>
    <x v="5"/>
    <x v="2"/>
    <x v="0"/>
    <n v="4.8"/>
    <x v="2"/>
    <x v="5"/>
  </r>
  <r>
    <s v="PO-2026-00342"/>
    <s v="ORD-952973"/>
    <d v="2026-03-12T00:00:00"/>
    <d v="2026-03-25T00:00:00"/>
    <x v="144"/>
    <x v="1"/>
    <x v="1"/>
    <x v="1"/>
    <x v="3"/>
    <x v="1"/>
    <s v="SKU-ELE-913"/>
    <s v="Sensor Module"/>
    <n v="974.96"/>
    <s v="NGN"/>
    <n v="7.2999999999999996E-4"/>
    <n v="0.71172080000000004"/>
    <n v="200"/>
    <n v="194992"/>
    <n v="194992"/>
    <n v="142.34415999999999"/>
    <n v="8"/>
    <n v="0.04"/>
    <n v="20"/>
    <n v="20"/>
    <n v="13"/>
    <n v="13"/>
    <n v="7"/>
    <n v="7"/>
    <x v="4"/>
    <x v="0"/>
    <x v="0"/>
    <x v="5"/>
    <x v="0"/>
    <x v="4"/>
    <x v="4"/>
    <x v="0"/>
    <n v="1.9"/>
    <x v="0"/>
    <x v="0"/>
  </r>
  <r>
    <s v="PO-2026-00354"/>
    <s v="ORD-533606"/>
    <d v="2026-06-01T00:00:00"/>
    <d v="2026-06-21T00:00:00"/>
    <x v="126"/>
    <x v="8"/>
    <x v="8"/>
    <x v="7"/>
    <x v="0"/>
    <x v="1"/>
    <s v="SKU-ELE-665"/>
    <s v="Power Adapter"/>
    <n v="3321.79"/>
    <s v="KES"/>
    <n v="7.7000000000000002E-3"/>
    <n v="25.577783"/>
    <n v="500"/>
    <n v="1660895"/>
    <n v="1660895"/>
    <n v="12788.8915"/>
    <n v="18"/>
    <n v="3.5999999999999997E-2"/>
    <n v="22"/>
    <n v="22"/>
    <n v="20"/>
    <n v="20"/>
    <n v="2"/>
    <n v="2"/>
    <x v="1"/>
    <x v="0"/>
    <x v="0"/>
    <x v="3"/>
    <x v="5"/>
    <x v="3"/>
    <x v="1"/>
    <x v="0"/>
    <n v="2.2999999999999998"/>
    <x v="6"/>
    <x v="0"/>
  </r>
  <r>
    <s v="PO-2026-00355"/>
    <s v="ORD-262293"/>
    <d v="2026-05-04T00:00:00"/>
    <d v="2026-05-10T00:00:00"/>
    <x v="117"/>
    <x v="9"/>
    <x v="9"/>
    <x v="2"/>
    <x v="2"/>
    <x v="4"/>
    <s v="SKU-PAC-213"/>
    <s v="Shipping Carton"/>
    <n v="586.88"/>
    <s v="EGP"/>
    <n v="1.9E-2"/>
    <n v="11.15072"/>
    <n v="250"/>
    <n v="146720"/>
    <n v="146720"/>
    <n v="2787.68"/>
    <n v="1"/>
    <n v="4.0000000000000001E-3"/>
    <n v="-3"/>
    <n v="-3"/>
    <n v="6"/>
    <n v="6"/>
    <n v="-9"/>
    <n v="-9"/>
    <x v="6"/>
    <x v="0"/>
    <x v="2"/>
    <x v="1"/>
    <x v="4"/>
    <x v="0"/>
    <x v="3"/>
    <x v="0"/>
    <n v="5"/>
    <x v="0"/>
    <x v="4"/>
  </r>
  <r>
    <s v="PO-2026-00356"/>
    <s v="ORD-149858"/>
    <d v="2026-05-01T00:00:00"/>
    <d v="2026-05-11T00:00:00"/>
    <x v="25"/>
    <x v="2"/>
    <x v="2"/>
    <x v="2"/>
    <x v="4"/>
    <x v="0"/>
    <s v="SKU-MAC-843"/>
    <s v="Conveyor Belt"/>
    <n v="542.9"/>
    <s v="EGP"/>
    <n v="1.9E-2"/>
    <n v="10.315099999999999"/>
    <n v="100"/>
    <n v="54290"/>
    <n v="54290"/>
    <n v="1031.51"/>
    <n v="0"/>
    <n v="0"/>
    <n v="-2"/>
    <n v="-2"/>
    <n v="10"/>
    <n v="10"/>
    <n v="-12"/>
    <n v="-12"/>
    <x v="6"/>
    <x v="0"/>
    <x v="0"/>
    <x v="1"/>
    <x v="2"/>
    <x v="0"/>
    <x v="3"/>
    <x v="0"/>
    <n v="3.2"/>
    <x v="4"/>
    <x v="2"/>
  </r>
  <r>
    <s v="PO-2026-00357"/>
    <s v="ORD-429893"/>
    <d v="2026-03-11T00:00:00"/>
    <d v="2026-03-26T00:00:00"/>
    <x v="47"/>
    <x v="5"/>
    <x v="5"/>
    <x v="2"/>
    <x v="5"/>
    <x v="3"/>
    <s v="SKU-TEX-638"/>
    <s v="Polyester Roll"/>
    <n v="335.46"/>
    <s v="NGN"/>
    <n v="7.2999999999999996E-4"/>
    <n v="0.24488579999999996"/>
    <n v="500"/>
    <n v="167730"/>
    <n v="167730"/>
    <n v="122.44289999999999"/>
    <n v="21"/>
    <n v="4.2000000000000003E-2"/>
    <n v="16"/>
    <n v="16"/>
    <n v="15"/>
    <n v="15"/>
    <n v="1"/>
    <n v="1"/>
    <x v="1"/>
    <x v="1"/>
    <x v="1"/>
    <x v="3"/>
    <x v="1"/>
    <x v="4"/>
    <x v="5"/>
    <x v="5"/>
    <n v="1.2"/>
    <x v="4"/>
    <x v="1"/>
  </r>
  <r>
    <s v="PO-2026-00358"/>
    <s v="ORD-461390"/>
    <d v="2026-05-08T00:00:00"/>
    <d v="2026-05-23T00:00:00"/>
    <x v="88"/>
    <x v="8"/>
    <x v="8"/>
    <x v="7"/>
    <x v="2"/>
    <x v="3"/>
    <s v="SKU-TEX-638"/>
    <s v="Cotton Fabric"/>
    <n v="365.14"/>
    <s v="USD"/>
    <n v="1"/>
    <n v="365.14"/>
    <n v="300"/>
    <n v="109542"/>
    <n v="109542"/>
    <n v="109542"/>
    <n v="15"/>
    <n v="0.05"/>
    <n v="16"/>
    <n v="16"/>
    <n v="15"/>
    <n v="15"/>
    <n v="1"/>
    <n v="1"/>
    <x v="1"/>
    <x v="4"/>
    <x v="1"/>
    <x v="1"/>
    <x v="2"/>
    <x v="5"/>
    <x v="0"/>
    <x v="5"/>
    <n v="3.1"/>
    <x v="3"/>
    <x v="1"/>
  </r>
  <r>
    <s v="PO-2026-00359"/>
    <s v="ORD-257953"/>
    <d v="2026-06-19T00:00:00"/>
    <d v="2026-06-22T00:00:00"/>
    <x v="160"/>
    <x v="9"/>
    <x v="9"/>
    <x v="2"/>
    <x v="4"/>
    <x v="4"/>
    <s v="SKU-PAC-942"/>
    <s v="Shipping Carton"/>
    <n v="332.43"/>
    <s v="USD"/>
    <n v="1"/>
    <n v="332.43"/>
    <n v="100"/>
    <n v="33243"/>
    <n v="33243"/>
    <n v="33243"/>
    <n v="4"/>
    <n v="0.04"/>
    <n v="6"/>
    <n v="6"/>
    <n v="3"/>
    <n v="3"/>
    <n v="3"/>
    <n v="3"/>
    <x v="3"/>
    <x v="0"/>
    <x v="1"/>
    <x v="3"/>
    <x v="0"/>
    <x v="2"/>
    <x v="1"/>
    <x v="0"/>
    <n v="3.1"/>
    <x v="1"/>
    <x v="0"/>
  </r>
  <r>
    <s v="PO-2026-00360"/>
    <s v="ORD-359658"/>
    <d v="2026-02-07T00:00:00"/>
    <d v="2026-02-15T00:00:00"/>
    <x v="21"/>
    <x v="4"/>
    <x v="4"/>
    <x v="4"/>
    <x v="6"/>
    <x v="0"/>
    <s v="SKU-MAC-577"/>
    <s v="Bearing Set"/>
    <n v="2979.42"/>
    <s v="NGN"/>
    <n v="7.2999999999999996E-4"/>
    <n v="2.1749765999999999"/>
    <n v="300"/>
    <n v="893826"/>
    <n v="893826"/>
    <n v="652.49297999999999"/>
    <n v="0"/>
    <n v="0"/>
    <n v="15"/>
    <n v="15"/>
    <n v="8"/>
    <n v="8"/>
    <n v="7"/>
    <n v="7"/>
    <x v="0"/>
    <x v="0"/>
    <x v="4"/>
    <x v="0"/>
    <x v="2"/>
    <x v="0"/>
    <x v="2"/>
    <x v="0"/>
    <n v="2.8"/>
    <x v="1"/>
    <x v="5"/>
  </r>
  <r>
    <s v="PO-2026-00361"/>
    <s v="ORD-900225"/>
    <d v="2026-05-20T00:00:00"/>
    <d v="2026-05-27T00:00:00"/>
    <x v="63"/>
    <x v="4"/>
    <x v="4"/>
    <x v="4"/>
    <x v="1"/>
    <x v="0"/>
    <s v="SKU-MAC-915"/>
    <s v="Gear Assembly"/>
    <n v="201.41"/>
    <s v="EGP"/>
    <n v="1.9E-2"/>
    <n v="3.8267899999999999"/>
    <n v="250"/>
    <n v="50352.5"/>
    <n v="50352.5"/>
    <n v="956.69749999999999"/>
    <n v="0"/>
    <n v="0"/>
    <n v="12"/>
    <n v="12"/>
    <n v="7"/>
    <n v="7"/>
    <n v="5"/>
    <n v="5"/>
    <x v="4"/>
    <x v="0"/>
    <x v="0"/>
    <x v="0"/>
    <x v="5"/>
    <x v="0"/>
    <x v="1"/>
    <x v="0"/>
    <n v="4.5999999999999996"/>
    <x v="0"/>
    <x v="0"/>
  </r>
  <r>
    <s v="PO-2026-00362"/>
    <s v="ORD-105356"/>
    <d v="2026-02-12T00:00:00"/>
    <d v="2026-02-26T00:00:00"/>
    <x v="75"/>
    <x v="13"/>
    <x v="13"/>
    <x v="9"/>
    <x v="7"/>
    <x v="3"/>
    <s v="SKU-TEX-926"/>
    <s v="Cotton Fabric"/>
    <n v="345.45"/>
    <s v="KES"/>
    <n v="7.7000000000000002E-3"/>
    <n v="2.6599650000000001"/>
    <n v="100"/>
    <n v="34545"/>
    <n v="34545"/>
    <n v="265.99650000000003"/>
    <n v="0"/>
    <n v="0"/>
    <n v="11"/>
    <n v="11"/>
    <n v="14"/>
    <n v="14"/>
    <n v="-3"/>
    <n v="-3"/>
    <x v="2"/>
    <x v="0"/>
    <x v="4"/>
    <x v="5"/>
    <x v="4"/>
    <x v="4"/>
    <x v="1"/>
    <x v="0"/>
    <n v="3"/>
    <x v="5"/>
    <x v="4"/>
  </r>
  <r>
    <s v="PO-2026-00264"/>
    <s v="ORD-914233"/>
    <d v="2026-03-28T00:00:00"/>
    <d v="2026-04-08T00:00:00"/>
    <x v="161"/>
    <x v="11"/>
    <x v="11"/>
    <x v="8"/>
    <x v="4"/>
    <x v="5"/>
    <s v="SKU-RAW-984"/>
    <s v="Chemical Additive"/>
    <n v="80.37"/>
    <s v="GHS"/>
    <n v="8.8999999999999996E-2"/>
    <n v="7.1529300000000005"/>
    <n v="150"/>
    <n v="12055.5"/>
    <n v="12055.5"/>
    <n v="1072.9395"/>
    <n v="1"/>
    <n v="6.7000000000000002E-3"/>
    <s v=""/>
    <n v="11"/>
    <n v="11"/>
    <n v="11"/>
    <n v="0"/>
    <n v="0"/>
    <x v="2"/>
    <x v="0"/>
    <x v="2"/>
    <x v="3"/>
    <x v="3"/>
    <x v="4"/>
    <x v="4"/>
    <x v="0"/>
    <n v="2.9"/>
    <x v="1"/>
    <x v="4"/>
  </r>
  <r>
    <s v="PO-2026-00364"/>
    <s v="ORD-689061"/>
    <d v="2026-03-06T00:00:00"/>
    <d v="2026-03-18T00:00:00"/>
    <x v="92"/>
    <x v="6"/>
    <x v="6"/>
    <x v="1"/>
    <x v="0"/>
    <x v="1"/>
    <s v="SKU-ELE-302"/>
    <s v="Power Adapter"/>
    <n v="1534.4"/>
    <s v="KES"/>
    <n v="7.7000000000000002E-3"/>
    <n v="11.81488"/>
    <n v="50"/>
    <n v="76720"/>
    <n v="76720"/>
    <n v="590.74400000000003"/>
    <n v="4"/>
    <n v="0.08"/>
    <n v="23"/>
    <n v="23"/>
    <n v="12"/>
    <n v="12"/>
    <n v="11"/>
    <n v="11"/>
    <x v="1"/>
    <x v="2"/>
    <x v="0"/>
    <x v="0"/>
    <x v="4"/>
    <x v="3"/>
    <x v="2"/>
    <x v="3"/>
    <n v="2.2000000000000002"/>
    <x v="0"/>
    <x v="1"/>
  </r>
  <r>
    <s v="PO-2026-00365"/>
    <s v="ORD-244814"/>
    <d v="2026-04-03T00:00:00"/>
    <d v="2026-02-27T00:00:00"/>
    <x v="85"/>
    <x v="8"/>
    <x v="8"/>
    <x v="7"/>
    <x v="8"/>
    <x v="1"/>
    <s v="SKU-ELE-620"/>
    <s v="Power Adapter"/>
    <n v="2513.84"/>
    <s v="ZAR"/>
    <n v="6.0999999999999999E-2"/>
    <n v="153.34424000000001"/>
    <n v="750"/>
    <s v=""/>
    <n v="1885380"/>
    <s v=""/>
    <n v="12"/>
    <n v="1.6E-2"/>
    <n v="27"/>
    <n v="27"/>
    <s v=""/>
    <n v="11"/>
    <n v="16"/>
    <n v="11"/>
    <x v="4"/>
    <x v="0"/>
    <x v="1"/>
    <x v="2"/>
    <x v="2"/>
    <x v="0"/>
    <x v="2"/>
    <x v="0"/>
    <n v="2"/>
    <x v="3"/>
    <x v="0"/>
  </r>
  <r>
    <s v="PO-2026-00366"/>
    <s v="ORD-309005"/>
    <d v="2026-04-19T00:00:00"/>
    <d v="2026-04-26T00:00:00"/>
    <x v="70"/>
    <x v="9"/>
    <x v="9"/>
    <x v="2"/>
    <x v="1"/>
    <x v="4"/>
    <s v="SKU-PAC-370"/>
    <s v="Shipping Carton"/>
    <n v="235.41"/>
    <s v="ZAR"/>
    <n v="6.0999999999999999E-2"/>
    <n v="14.360009999999999"/>
    <n v="500"/>
    <n v="117705"/>
    <n v="117705"/>
    <n v="7180.0050000000001"/>
    <n v="10"/>
    <n v="0.02"/>
    <n v="9"/>
    <n v="9"/>
    <n v="7"/>
    <n v="7"/>
    <n v="2"/>
    <n v="2"/>
    <x v="1"/>
    <x v="0"/>
    <x v="1"/>
    <x v="1"/>
    <x v="5"/>
    <x v="0"/>
    <x v="1"/>
    <x v="0"/>
    <n v="3"/>
    <x v="6"/>
    <x v="0"/>
  </r>
  <r>
    <s v="PO-2026-00367"/>
    <s v="ORD-844580"/>
    <d v="2026-06-17T00:00:00"/>
    <d v="2026-07-11T00:00:00"/>
    <x v="162"/>
    <x v="13"/>
    <x v="13"/>
    <x v="9"/>
    <x v="0"/>
    <x v="3"/>
    <s v="SKU-TEX-943"/>
    <s v="Cotton Fabric"/>
    <s v=""/>
    <s v="KES"/>
    <n v="7.7000000000000002E-3"/>
    <s v=""/>
    <n v="150"/>
    <n v="64164"/>
    <e v="#VALUE!"/>
    <n v="494.06280000000004"/>
    <n v="10"/>
    <n v="6.6699999999999995E-2"/>
    <n v="17"/>
    <n v="17"/>
    <n v="24"/>
    <n v="24"/>
    <n v="-7"/>
    <n v="-7"/>
    <x v="2"/>
    <x v="1"/>
    <x v="0"/>
    <x v="3"/>
    <x v="5"/>
    <x v="4"/>
    <x v="0"/>
    <x v="4"/>
    <n v="2"/>
    <x v="6"/>
    <x v="3"/>
  </r>
  <r>
    <s v="PO-2026-00368"/>
    <s v="ORD-513443"/>
    <d v="2026-06-30T00:00:00"/>
    <d v="2026-07-10T00:00:00"/>
    <x v="43"/>
    <x v="12"/>
    <x v="12"/>
    <x v="2"/>
    <x v="7"/>
    <x v="4"/>
    <s v="SKU-PAC-586"/>
    <s v="Bottle Caps"/>
    <n v="679.37"/>
    <s v="NGN"/>
    <n v="7.2999999999999996E-4"/>
    <n v="0.49594009999999999"/>
    <n v="300"/>
    <n v="203811"/>
    <n v="203811"/>
    <n v="148.78202999999999"/>
    <n v="3"/>
    <n v="0.01"/>
    <n v="9"/>
    <n v="9"/>
    <n v="10"/>
    <n v="10"/>
    <n v="-1"/>
    <n v="-1"/>
    <x v="2"/>
    <x v="0"/>
    <x v="3"/>
    <x v="0"/>
    <x v="2"/>
    <x v="4"/>
    <x v="3"/>
    <x v="0"/>
    <n v="3"/>
    <x v="3"/>
    <x v="4"/>
  </r>
  <r>
    <s v="PO-2026-00369"/>
    <s v="ORD-836831"/>
    <d v="2026-05-07T00:00:00"/>
    <d v="2026-05-29T00:00:00"/>
    <x v="72"/>
    <x v="0"/>
    <x v="0"/>
    <x v="0"/>
    <x v="1"/>
    <x v="0"/>
    <s v="SKU-MAC-973"/>
    <s v="Bearing Set"/>
    <n v="239.05"/>
    <s v="GHS"/>
    <n v="8.8999999999999996E-2"/>
    <n v="21.275449999999999"/>
    <n v="50"/>
    <n v="11952.5"/>
    <n v="11952.5"/>
    <n v="1063.7725"/>
    <n v="0"/>
    <n v="0"/>
    <n v="29"/>
    <n v="29"/>
    <n v="22"/>
    <n v="22"/>
    <n v="7"/>
    <n v="7"/>
    <x v="1"/>
    <x v="0"/>
    <x v="1"/>
    <x v="2"/>
    <x v="0"/>
    <x v="5"/>
    <x v="1"/>
    <x v="0"/>
    <n v="1.2"/>
    <x v="5"/>
    <x v="0"/>
  </r>
  <r>
    <s v="PO-2026-00370"/>
    <s v="ORD-530176"/>
    <d v="2026-05-04T00:00:00"/>
    <d v="2026-05-16T00:00:00"/>
    <x v="5"/>
    <x v="2"/>
    <x v="2"/>
    <x v="2"/>
    <x v="2"/>
    <x v="2"/>
    <s v="SKU-IND-186"/>
    <s v="Lubricant Drum"/>
    <n v="145.19"/>
    <s v="EGP"/>
    <n v="1.9E-2"/>
    <n v="2.75861"/>
    <n v="75"/>
    <n v="10889.25"/>
    <n v="10889.25"/>
    <n v="206.89574999999999"/>
    <n v="1"/>
    <n v="1.3299999999999999E-2"/>
    <n v="14"/>
    <n v="14"/>
    <n v="12"/>
    <n v="12"/>
    <n v="2"/>
    <n v="2"/>
    <x v="1"/>
    <x v="5"/>
    <x v="2"/>
    <x v="0"/>
    <x v="5"/>
    <x v="0"/>
    <x v="1"/>
    <x v="0"/>
    <n v="3.8"/>
    <x v="1"/>
    <x v="5"/>
  </r>
  <r>
    <s v="PO-2026-00371"/>
    <s v="ORD-161214"/>
    <d v="2026-01-25T00:00:00"/>
    <d v="2026-02-06T00:00:00"/>
    <x v="21"/>
    <x v="3"/>
    <x v="3"/>
    <x v="3"/>
    <x v="0"/>
    <x v="4"/>
    <s v="SKU-PAC-990"/>
    <s v="Bottle Caps"/>
    <n v="431.96"/>
    <s v="USD"/>
    <n v="1"/>
    <n v="431.96"/>
    <n v="75"/>
    <n v="32397"/>
    <n v="32397"/>
    <n v="32397"/>
    <n v="6"/>
    <n v="0.08"/>
    <n v="28"/>
    <n v="28"/>
    <n v="12"/>
    <n v="12"/>
    <n v="16"/>
    <n v="16"/>
    <x v="0"/>
    <x v="2"/>
    <x v="1"/>
    <x v="5"/>
    <x v="0"/>
    <x v="0"/>
    <x v="2"/>
    <x v="1"/>
    <n v="2.2000000000000002"/>
    <x v="3"/>
    <x v="1"/>
  </r>
  <r>
    <s v="PO-2026-00372"/>
    <s v="ORD-413682"/>
    <d v="2026-04-22T00:00:00"/>
    <d v="2026-04-30T00:00:00"/>
    <x v="57"/>
    <x v="11"/>
    <x v="11"/>
    <x v="8"/>
    <x v="4"/>
    <x v="5"/>
    <s v="SKU-RAW-728"/>
    <s v="Input Granules"/>
    <n v="218.59"/>
    <s v="KES"/>
    <n v="7.7000000000000002E-3"/>
    <n v="1.6831430000000001"/>
    <n v="1000"/>
    <n v="218590"/>
    <n v="218590"/>
    <n v="1683.143"/>
    <n v="39"/>
    <n v="3.9E-2"/>
    <n v="16"/>
    <n v="16"/>
    <n v="8"/>
    <n v="8"/>
    <n v="8"/>
    <n v="8"/>
    <x v="1"/>
    <x v="0"/>
    <x v="3"/>
    <x v="0"/>
    <x v="3"/>
    <x v="0"/>
    <x v="4"/>
    <x v="0"/>
    <n v="4"/>
    <x v="1"/>
    <x v="5"/>
  </r>
  <r>
    <s v="PO-2026-00373"/>
    <s v="ORD-645351"/>
    <d v="2026-05-13T00:00:00"/>
    <d v="2026-06-05T00:00:00"/>
    <x v="163"/>
    <x v="7"/>
    <x v="7"/>
    <x v="6"/>
    <x v="3"/>
    <x v="2"/>
    <s v="SKU-IND-369"/>
    <s v="Lubricant Drum"/>
    <n v="712.49"/>
    <s v="USD"/>
    <n v="1"/>
    <n v="712.49"/>
    <n v="100"/>
    <n v="71249"/>
    <n v="71249"/>
    <n v="71249"/>
    <n v="0"/>
    <n v="0"/>
    <n v="22"/>
    <n v="22"/>
    <n v="23"/>
    <n v="23"/>
    <n v="-1"/>
    <n v="-1"/>
    <x v="2"/>
    <x v="0"/>
    <x v="0"/>
    <x v="5"/>
    <x v="0"/>
    <x v="0"/>
    <x v="5"/>
    <x v="0"/>
    <n v="3.4"/>
    <x v="3"/>
    <x v="2"/>
  </r>
  <r>
    <s v="PO-2026-00374"/>
    <s v="ORD-716511"/>
    <d v="2026-03-06T00:00:00"/>
    <d v="2026-03-09T00:00:00"/>
    <x v="7"/>
    <x v="10"/>
    <x v="10"/>
    <x v="2"/>
    <x v="4"/>
    <x v="3"/>
    <s v="SKU-TEX-387"/>
    <s v="Label Tape"/>
    <n v="751.64"/>
    <s v="KES"/>
    <n v="7.7000000000000002E-3"/>
    <n v="5.7876279999999998"/>
    <n v="300"/>
    <n v="225492"/>
    <n v="225492"/>
    <n v="1736.2884000000001"/>
    <n v="6"/>
    <n v="0.02"/>
    <n v="11"/>
    <n v="11"/>
    <n v="3"/>
    <n v="3"/>
    <n v="8"/>
    <n v="8"/>
    <x v="0"/>
    <x v="0"/>
    <x v="2"/>
    <x v="0"/>
    <x v="5"/>
    <x v="6"/>
    <x v="2"/>
    <x v="0"/>
    <n v="1.4"/>
    <x v="0"/>
    <x v="5"/>
  </r>
  <r>
    <s v="PO-2026-00375"/>
    <s v="ORD-747194"/>
    <d v="2026-05-27T00:00:00"/>
    <d v="2026-06-10T00:00:00"/>
    <x v="81"/>
    <x v="5"/>
    <x v="5"/>
    <x v="5"/>
    <x v="7"/>
    <x v="3"/>
    <s v="SKU-TEX-248"/>
    <s v="Uniform Material"/>
    <n v="757.21"/>
    <s v="EGP"/>
    <n v="1.9E-2"/>
    <n v="14.386990000000001"/>
    <n v="75"/>
    <n v="56790.75"/>
    <n v="56790.75"/>
    <n v="1079.0242499999999"/>
    <n v="4"/>
    <n v="5.33E-2"/>
    <n v="21"/>
    <n v="21"/>
    <n v="14"/>
    <n v="14"/>
    <n v="7"/>
    <n v="7"/>
    <x v="4"/>
    <x v="2"/>
    <x v="4"/>
    <x v="3"/>
    <x v="2"/>
    <x v="0"/>
    <x v="1"/>
    <x v="1"/>
    <n v="1.6"/>
    <x v="1"/>
    <x v="6"/>
  </r>
  <r>
    <s v="PO-2026-00376"/>
    <s v="ORD-680997"/>
    <d v="2026-03-12T00:00:00"/>
    <d v="2026-03-20T00:00:00"/>
    <x v="53"/>
    <x v="10"/>
    <x v="10"/>
    <x v="2"/>
    <x v="4"/>
    <x v="1"/>
    <s v="SKU-ELE-874"/>
    <s v="LED Driver"/>
    <n v="2313.62"/>
    <s v="ZAR"/>
    <n v="6.0999999999999999E-2"/>
    <n v="141.13082"/>
    <n v="50"/>
    <n v="115681"/>
    <n v="115681"/>
    <n v="7056.5410000000002"/>
    <n v="1"/>
    <n v="0.02"/>
    <n v="1"/>
    <n v="1"/>
    <n v="8"/>
    <n v="8"/>
    <n v="-7"/>
    <n v="-7"/>
    <x v="5"/>
    <x v="0"/>
    <x v="1"/>
    <x v="3"/>
    <x v="2"/>
    <x v="6"/>
    <x v="5"/>
    <x v="0"/>
    <n v="4"/>
    <x v="0"/>
    <x v="2"/>
  </r>
  <r>
    <s v="PO-2026-00377"/>
    <s v="ORD-427183"/>
    <d v="2026-05-07T00:00:00"/>
    <d v="2026-05-15T00:00:00"/>
    <x v="113"/>
    <x v="6"/>
    <x v="6"/>
    <x v="1"/>
    <x v="1"/>
    <x v="1"/>
    <s v="SKU-ELE-676"/>
    <s v="Sensor Module"/>
    <s v=""/>
    <s v="USD"/>
    <n v="1"/>
    <s v=""/>
    <n v="75"/>
    <n v="168696"/>
    <e v="#VALUE!"/>
    <n v="168696"/>
    <n v="1"/>
    <n v="1.3299999999999999E-2"/>
    <n v="7"/>
    <n v="7"/>
    <n v="8"/>
    <n v="8"/>
    <n v="-1"/>
    <n v="-1"/>
    <x v="2"/>
    <x v="0"/>
    <x v="1"/>
    <x v="3"/>
    <x v="1"/>
    <x v="3"/>
    <x v="1"/>
    <x v="0"/>
    <n v="2.6"/>
    <x v="6"/>
    <x v="2"/>
  </r>
  <r>
    <s v="PO-2026-00378"/>
    <s v="ORD-712376"/>
    <d v="2026-05-22T00:00:00"/>
    <d v="2026-06-03T00:00:00"/>
    <x v="111"/>
    <x v="13"/>
    <x v="13"/>
    <x v="9"/>
    <x v="5"/>
    <x v="3"/>
    <s v="SKU-TEX-222"/>
    <s v="Label Tape"/>
    <n v="668.46"/>
    <s v="EGP"/>
    <n v="1.9E-2"/>
    <n v="12.70074"/>
    <n v="100"/>
    <n v="66846"/>
    <n v="66846"/>
    <n v="1270.0740000000001"/>
    <n v="4"/>
    <n v="0.04"/>
    <n v="18"/>
    <n v="18"/>
    <n v="12"/>
    <n v="12"/>
    <n v="6"/>
    <n v="6"/>
    <x v="4"/>
    <x v="5"/>
    <x v="4"/>
    <x v="0"/>
    <x v="2"/>
    <x v="0"/>
    <x v="2"/>
    <x v="0"/>
    <n v="1.2"/>
    <x v="2"/>
    <x v="5"/>
  </r>
  <r>
    <s v="PO-2026-00379"/>
    <s v="ORD-572259"/>
    <d v="2026-02-12T00:00:00"/>
    <d v="2026-03-01T00:00:00"/>
    <x v="124"/>
    <x v="6"/>
    <x v="6"/>
    <x v="1"/>
    <x v="0"/>
    <x v="1"/>
    <s v="SKU-ELE-554"/>
    <s v="Control Board"/>
    <s v=""/>
    <s v="GHS"/>
    <n v="8.8999999999999996E-2"/>
    <s v=""/>
    <n v="1500"/>
    <n v="0"/>
    <e v="#VALUE!"/>
    <n v="0"/>
    <n v="29"/>
    <n v="1.9300000000000001E-2"/>
    <n v="9"/>
    <n v="9"/>
    <n v="17"/>
    <n v="17"/>
    <n v="-8"/>
    <n v="-8"/>
    <x v="2"/>
    <x v="0"/>
    <x v="1"/>
    <x v="0"/>
    <x v="4"/>
    <x v="3"/>
    <x v="4"/>
    <x v="0"/>
    <n v="4.4000000000000004"/>
    <x v="1"/>
    <x v="2"/>
  </r>
  <r>
    <s v="PO-2026-00380"/>
    <s v="ORD-860088"/>
    <d v="2026-05-26T00:00:00"/>
    <d v="2026-06-16T00:00:00"/>
    <x v="9"/>
    <x v="7"/>
    <x v="7"/>
    <x v="6"/>
    <x v="0"/>
    <x v="2"/>
    <s v="SKU-IND-729"/>
    <s v="Welding Rod"/>
    <n v="11.17"/>
    <s v="KES"/>
    <n v="7.7000000000000002E-3"/>
    <n v="8.6009000000000002E-2"/>
    <n v="1000"/>
    <n v="11170"/>
    <n v="11170"/>
    <n v="86.009"/>
    <n v="33"/>
    <n v="3.3000000000000002E-2"/>
    <n v="12"/>
    <n v="12"/>
    <s v=""/>
    <n v="21"/>
    <n v="-9"/>
    <n v="-9"/>
    <x v="5"/>
    <x v="0"/>
    <x v="3"/>
    <x v="4"/>
    <x v="5"/>
    <x v="6"/>
    <x v="0"/>
    <x v="0"/>
    <n v="2.7"/>
    <x v="1"/>
    <x v="4"/>
  </r>
  <r>
    <s v="PO-2026-00003"/>
    <s v="ORD-858942"/>
    <d v="2026-05-06T00:00:00"/>
    <d v="2026-05-24T00:00:00"/>
    <x v="31"/>
    <x v="6"/>
    <x v="6"/>
    <x v="1"/>
    <x v="3"/>
    <x v="1"/>
    <s v="SKU-ELE-757"/>
    <s v="LED Driver"/>
    <n v="2188.73"/>
    <s v="NGN"/>
    <n v="7.2999999999999996E-4"/>
    <n v="1.5977728999999998"/>
    <n v="500"/>
    <n v="1094365"/>
    <n v="1094365"/>
    <n v="798.88644999999997"/>
    <n v="21"/>
    <n v="4.2000000000000003E-2"/>
    <n v="22"/>
    <n v="22"/>
    <n v="18"/>
    <n v="18"/>
    <n v="4"/>
    <n v="4"/>
    <x v="4"/>
    <x v="2"/>
    <x v="0"/>
    <x v="1"/>
    <x v="0"/>
    <x v="1"/>
    <x v="1"/>
    <x v="3"/>
    <n v="2.2999999999999998"/>
    <x v="2"/>
    <x v="1"/>
  </r>
  <r>
    <s v="PO-2026-00382"/>
    <s v="ORD-425409"/>
    <d v="2026-04-01T00:00:00"/>
    <d v="2026-04-17T00:00:00"/>
    <x v="76"/>
    <x v="14"/>
    <x v="14"/>
    <x v="10"/>
    <x v="1"/>
    <x v="5"/>
    <s v="SKU-RAW-765"/>
    <s v="Input Granules"/>
    <n v="263.02999999999997"/>
    <s v="NGN"/>
    <n v="7.2999999999999996E-4"/>
    <n v="0.19201189999999996"/>
    <n v="750"/>
    <n v="197272.5"/>
    <n v="197272.49999999997"/>
    <n v="144.008925"/>
    <n v="19"/>
    <n v="2.53E-2"/>
    <n v="6"/>
    <n v="6"/>
    <n v="16"/>
    <n v="16"/>
    <n v="-10"/>
    <n v="-10"/>
    <x v="5"/>
    <x v="0"/>
    <x v="0"/>
    <x v="3"/>
    <x v="4"/>
    <x v="1"/>
    <x v="1"/>
    <x v="0"/>
    <n v="4.5999999999999996"/>
    <x v="1"/>
    <x v="2"/>
  </r>
  <r>
    <s v="PO-2026-00383"/>
    <s v="ORD-504836"/>
    <d v="2026-03-02T00:00:00"/>
    <d v="2026-03-11T00:00:00"/>
    <x v="64"/>
    <x v="2"/>
    <x v="2"/>
    <x v="2"/>
    <x v="5"/>
    <x v="6"/>
    <s v="SKU-MET-465"/>
    <s v="Copper Rod"/>
    <n v="640.83000000000004"/>
    <s v="ZAR"/>
    <n v="6.0999999999999999E-2"/>
    <n v="39.090630000000004"/>
    <n v="75"/>
    <n v="48062.25"/>
    <n v="48062.25"/>
    <n v="2931.7972500000001"/>
    <n v="0"/>
    <n v="0"/>
    <s v=""/>
    <n v="7"/>
    <n v="9"/>
    <n v="9"/>
    <n v="-2"/>
    <n v="-2"/>
    <x v="2"/>
    <x v="0"/>
    <x v="1"/>
    <x v="3"/>
    <x v="3"/>
    <x v="2"/>
    <x v="0"/>
    <x v="0"/>
    <n v="3.2"/>
    <x v="5"/>
    <x v="2"/>
  </r>
  <r>
    <s v="PO-2026-00384"/>
    <s v="ORD-919231"/>
    <d v="2026-04-24T00:00:00"/>
    <d v="2026-05-17T00:00:00"/>
    <x v="102"/>
    <x v="13"/>
    <x v="13"/>
    <x v="9"/>
    <x v="5"/>
    <x v="3"/>
    <s v="SKU-TEX-941"/>
    <s v="Label Tape"/>
    <n v="330.56"/>
    <s v="KES"/>
    <n v="7.7000000000000002E-3"/>
    <n v="2.545312"/>
    <n v="750"/>
    <n v="247920"/>
    <n v="247920"/>
    <n v="1908.9840000000002"/>
    <n v="20"/>
    <n v="2.6700000000000002E-2"/>
    <n v="12"/>
    <n v="12"/>
    <n v="23"/>
    <n v="23"/>
    <n v="-11"/>
    <n v="-11"/>
    <x v="2"/>
    <x v="0"/>
    <x v="2"/>
    <x v="0"/>
    <x v="5"/>
    <x v="6"/>
    <x v="4"/>
    <x v="0"/>
    <n v="2.5"/>
    <x v="2"/>
    <x v="12"/>
  </r>
  <r>
    <s v="PO-2026-00385"/>
    <s v="ORD-215388"/>
    <d v="2026-06-07T00:00:00"/>
    <d v="2026-06-22T00:00:00"/>
    <x v="126"/>
    <x v="1"/>
    <x v="1"/>
    <x v="11"/>
    <x v="6"/>
    <x v="1"/>
    <s v="SKU-ELE-138"/>
    <s v="Control Board"/>
    <n v="1827.87"/>
    <s v="NGN"/>
    <n v="7.2999999999999996E-4"/>
    <n v="1.3343451"/>
    <n v="100"/>
    <n v="182787"/>
    <n v="182787"/>
    <n v="133.43450999999999"/>
    <n v="5"/>
    <n v="0.05"/>
    <n v="16"/>
    <n v="16"/>
    <n v="15"/>
    <n v="15"/>
    <n v="1"/>
    <n v="1"/>
    <x v="1"/>
    <x v="4"/>
    <x v="1"/>
    <x v="4"/>
    <x v="0"/>
    <x v="0"/>
    <x v="3"/>
    <x v="4"/>
    <n v="2.1"/>
    <x v="0"/>
    <x v="1"/>
  </r>
  <r>
    <s v="PO-2026-00386"/>
    <s v="ORD-104030"/>
    <d v="2026-03-12T00:00:00"/>
    <d v="2026-04-04T00:00:00"/>
    <x v="84"/>
    <x v="7"/>
    <x v="7"/>
    <x v="6"/>
    <x v="5"/>
    <x v="2"/>
    <s v="SKU-IND-573"/>
    <s v="Welding Rod"/>
    <n v="751.95"/>
    <s v="EGP"/>
    <n v="1.9E-2"/>
    <n v="14.287050000000001"/>
    <n v="150"/>
    <n v="112792.5"/>
    <n v="112792.5"/>
    <n v="2143.0574999999999"/>
    <n v="5"/>
    <n v="3.3300000000000003E-2"/>
    <n v="30"/>
    <n v="30"/>
    <n v="23"/>
    <n v="23"/>
    <n v="7"/>
    <n v="7"/>
    <x v="0"/>
    <x v="0"/>
    <x v="2"/>
    <x v="1"/>
    <x v="3"/>
    <x v="0"/>
    <x v="5"/>
    <x v="0"/>
    <n v="2.7"/>
    <x v="3"/>
    <x v="5"/>
  </r>
  <r>
    <s v="PO-2026-00387"/>
    <s v="ORD-651857"/>
    <d v="2026-04-04T00:00:00"/>
    <d v="2026-04-21T00:00:00"/>
    <x v="100"/>
    <x v="0"/>
    <x v="0"/>
    <x v="0"/>
    <x v="4"/>
    <x v="0"/>
    <s v="SKU-MAC-468"/>
    <s v="Gear Assembly"/>
    <n v="995.05"/>
    <s v="USD"/>
    <n v="1"/>
    <n v="995.05"/>
    <n v="750"/>
    <n v="746287.5"/>
    <n v="746287.5"/>
    <n v="746287.5"/>
    <n v="69"/>
    <n v="9.1999999999999998E-2"/>
    <n v="20"/>
    <n v="20"/>
    <n v="17"/>
    <n v="17"/>
    <n v="3"/>
    <n v="3"/>
    <x v="3"/>
    <x v="2"/>
    <x v="0"/>
    <x v="1"/>
    <x v="2"/>
    <x v="3"/>
    <x v="3"/>
    <x v="2"/>
    <n v="2"/>
    <x v="0"/>
    <x v="1"/>
  </r>
  <r>
    <s v="PO-2026-00388"/>
    <s v="ORD-880188"/>
    <d v="2026-02-23T00:00:00"/>
    <d v="2026-03-10T00:00:00"/>
    <x v="85"/>
    <x v="2"/>
    <x v="2"/>
    <x v="2"/>
    <x v="3"/>
    <x v="2"/>
    <s v="SKU-IND-622"/>
    <s v="Lubricant Drum"/>
    <n v="492.3"/>
    <s v="EGP"/>
    <n v="1.9E-2"/>
    <n v="9.3536999999999999"/>
    <n v="750"/>
    <n v="369225"/>
    <n v="369225"/>
    <n v="7015.2749999999996"/>
    <n v="36"/>
    <n v="4.8000000000000001E-2"/>
    <n v="15"/>
    <n v="15"/>
    <n v="15"/>
    <n v="15"/>
    <n v="0"/>
    <n v="0"/>
    <x v="2"/>
    <x v="1"/>
    <x v="2"/>
    <x v="3"/>
    <x v="0"/>
    <x v="4"/>
    <x v="5"/>
    <x v="4"/>
    <n v="2.6"/>
    <x v="2"/>
    <x v="8"/>
  </r>
  <r>
    <s v="PO-2026-00389"/>
    <s v="ORD-675830"/>
    <d v="2026-05-03T00:00:00"/>
    <d v="2026-05-22T00:00:00"/>
    <x v="98"/>
    <x v="8"/>
    <x v="8"/>
    <x v="7"/>
    <x v="5"/>
    <x v="1"/>
    <s v="SKU-ELE-708"/>
    <s v="Sensor Module"/>
    <n v="2802.16"/>
    <s v="NGN"/>
    <n v="7.2999999999999996E-4"/>
    <n v="2.0455767999999996"/>
    <n v="750"/>
    <n v="2101620"/>
    <n v="2101620"/>
    <n v="1534.1825999999999"/>
    <n v="17"/>
    <n v="2.2700000000000001E-2"/>
    <s v=""/>
    <n v="30"/>
    <n v="19"/>
    <n v="19"/>
    <n v="11"/>
    <n v="11"/>
    <x v="4"/>
    <x v="0"/>
    <x v="1"/>
    <x v="1"/>
    <x v="4"/>
    <x v="0"/>
    <x v="5"/>
    <x v="0"/>
    <n v="2.6"/>
    <x v="4"/>
    <x v="0"/>
  </r>
  <r>
    <s v="PO-2026-00390"/>
    <s v="ORD-728326"/>
    <d v="2026-06-21T00:00:00"/>
    <d v="2026-07-01T00:00:00"/>
    <x v="27"/>
    <x v="3"/>
    <x v="3"/>
    <x v="3"/>
    <x v="5"/>
    <x v="4"/>
    <s v="SKU-PAC-197"/>
    <s v="Corrugated Box"/>
    <n v="513.33000000000004"/>
    <s v="GHS"/>
    <n v="8.8999999999999996E-2"/>
    <n v="45.686370000000004"/>
    <n v="750"/>
    <n v="384997.5"/>
    <n v="384997.50000000006"/>
    <n v="34264.777499999997"/>
    <n v="30"/>
    <n v="0.04"/>
    <n v="6"/>
    <n v="6"/>
    <n v="10"/>
    <n v="10"/>
    <n v="-4"/>
    <n v="-4"/>
    <x v="5"/>
    <x v="0"/>
    <x v="1"/>
    <x v="3"/>
    <x v="2"/>
    <x v="3"/>
    <x v="2"/>
    <x v="0"/>
    <n v="3.5"/>
    <x v="4"/>
    <x v="2"/>
  </r>
  <r>
    <s v="PO-2026-00391"/>
    <s v="ORD-653980"/>
    <d v="2026-05-11T00:00:00"/>
    <d v="2026-05-29T00:00:00"/>
    <x v="80"/>
    <x v="5"/>
    <x v="5"/>
    <x v="5"/>
    <x v="6"/>
    <x v="3"/>
    <s v="SKU-TEX-135"/>
    <s v="Label Tape"/>
    <n v="756.13"/>
    <s v="ZAR"/>
    <n v="6.0999999999999999E-2"/>
    <n v="46.123930000000001"/>
    <n v="1500"/>
    <n v="1134195"/>
    <n v="1134195"/>
    <n v="69185.895000000004"/>
    <n v="0"/>
    <n v="0"/>
    <s v=""/>
    <n v="18"/>
    <n v="18"/>
    <n v="18"/>
    <n v="0"/>
    <n v="0"/>
    <x v="2"/>
    <x v="0"/>
    <x v="1"/>
    <x v="0"/>
    <x v="1"/>
    <x v="0"/>
    <x v="2"/>
    <x v="0"/>
    <n v="2.2999999999999998"/>
    <x v="1"/>
    <x v="2"/>
  </r>
  <r>
    <s v="PO-2026-00392"/>
    <s v="ORD-467661"/>
    <d v="2026-06-11T00:00:00"/>
    <d v="2026-06-24T00:00:00"/>
    <x v="138"/>
    <x v="14"/>
    <x v="14"/>
    <x v="10"/>
    <x v="5"/>
    <x v="5"/>
    <s v="SKU-RAW-805"/>
    <s v="Input Granules"/>
    <n v="67.75"/>
    <s v="ZAR"/>
    <n v="6.0999999999999999E-2"/>
    <n v="4.1327499999999997"/>
    <n v="100"/>
    <n v="6775"/>
    <n v="6775"/>
    <n v="413.27499999999998"/>
    <n v="6"/>
    <n v="0.06"/>
    <n v="11"/>
    <n v="11"/>
    <n v="13"/>
    <n v="13"/>
    <n v="-2"/>
    <n v="-2"/>
    <x v="2"/>
    <x v="1"/>
    <x v="4"/>
    <x v="2"/>
    <x v="0"/>
    <x v="0"/>
    <x v="4"/>
    <x v="5"/>
    <n v="2"/>
    <x v="1"/>
    <x v="8"/>
  </r>
  <r>
    <s v="PO-2026-00393"/>
    <s v="ORD-553963"/>
    <d v="2026-06-27T00:00:00"/>
    <d v="2026-07-05T00:00:00"/>
    <x v="130"/>
    <x v="12"/>
    <x v="12"/>
    <x v="2"/>
    <x v="5"/>
    <x v="4"/>
    <s v="SKU-PAC-421"/>
    <s v="Bottle Caps"/>
    <n v="206.59"/>
    <s v="ZAR"/>
    <n v="6.0999999999999999E-2"/>
    <n v="12.601990000000001"/>
    <n v="1000"/>
    <n v="206590"/>
    <n v="206590"/>
    <n v="12601.99"/>
    <n v="21"/>
    <n v="2.1000000000000001E-2"/>
    <n v="10"/>
    <n v="10"/>
    <n v="8"/>
    <n v="8"/>
    <n v="2"/>
    <n v="2"/>
    <x v="3"/>
    <x v="0"/>
    <x v="1"/>
    <x v="0"/>
    <x v="1"/>
    <x v="0"/>
    <x v="5"/>
    <x v="0"/>
    <n v="3"/>
    <x v="4"/>
    <x v="0"/>
  </r>
  <r>
    <s v="PO-2026-00394"/>
    <s v="ORD-470716"/>
    <d v="2026-02-10T00:00:00"/>
    <d v="2026-02-27T00:00:00"/>
    <x v="125"/>
    <x v="4"/>
    <x v="4"/>
    <x v="4"/>
    <x v="5"/>
    <x v="5"/>
    <s v="SKU-RAW-722"/>
    <s v="Polymer Resin"/>
    <n v="159.93"/>
    <s v="NGN"/>
    <n v="7.2999999999999996E-4"/>
    <n v="0.1167489"/>
    <n v="50"/>
    <n v="7996.5"/>
    <n v="7996.5"/>
    <n v="5.8374449999999998"/>
    <n v="0"/>
    <n v="0"/>
    <n v="17"/>
    <n v="17"/>
    <n v="17"/>
    <n v="17"/>
    <n v="0"/>
    <n v="0"/>
    <x v="2"/>
    <x v="0"/>
    <x v="1"/>
    <x v="5"/>
    <x v="4"/>
    <x v="0"/>
    <x v="0"/>
    <x v="0"/>
    <n v="2.4"/>
    <x v="1"/>
    <x v="2"/>
  </r>
  <r>
    <s v="PO-2026-00395"/>
    <s v="ORD-616516"/>
    <d v="2026-04-14T00:00:00"/>
    <d v="2026-05-06T00:00:00"/>
    <x v="25"/>
    <x v="0"/>
    <x v="0"/>
    <x v="0"/>
    <x v="4"/>
    <x v="0"/>
    <s v="SKU-MAC-741"/>
    <s v="Hydraulic Hose"/>
    <n v="1642.47"/>
    <s v="NGN"/>
    <n v="7.2999999999999996E-4"/>
    <n v="1.1990030999999999"/>
    <n v="300"/>
    <n v="492741"/>
    <n v="492741"/>
    <n v="359.70092999999997"/>
    <n v="7"/>
    <n v="2.3300000000000001E-2"/>
    <n v="15"/>
    <n v="15"/>
    <n v="22"/>
    <n v="22"/>
    <n v="-7"/>
    <m/>
    <x v="5"/>
    <x v="0"/>
    <x v="0"/>
    <x v="4"/>
    <x v="5"/>
    <x v="5"/>
    <x v="4"/>
    <x v="0"/>
    <n v="2.6"/>
    <x v="0"/>
    <x v="2"/>
  </r>
  <r>
    <s v="PO-2026-00396"/>
    <s v="ORD-278500"/>
    <d v="2026-04-02T00:00:00"/>
    <d v="2026-04-13T00:00:00"/>
    <x v="104"/>
    <x v="10"/>
    <x v="10"/>
    <x v="2"/>
    <x v="8"/>
    <x v="6"/>
    <s v="SKU-MET-409"/>
    <s v="Steel Coil"/>
    <n v="2653.21"/>
    <s v="KES"/>
    <n v="7.7000000000000002E-3"/>
    <n v="20.429717"/>
    <n v="1500"/>
    <n v="3979815"/>
    <n v="3979815"/>
    <n v="30644.575500000003"/>
    <n v="16"/>
    <n v="1.0699999999999999E-2"/>
    <n v="19"/>
    <n v="19"/>
    <n v="11"/>
    <n v="11"/>
    <n v="8"/>
    <n v="8"/>
    <x v="1"/>
    <x v="0"/>
    <x v="3"/>
    <x v="5"/>
    <x v="1"/>
    <x v="2"/>
    <x v="1"/>
    <x v="0"/>
    <n v="3.2"/>
    <x v="5"/>
    <x v="5"/>
  </r>
  <r>
    <s v="PO-2026-00397"/>
    <s v="ORD-425378"/>
    <d v="2026-06-22T00:00:00"/>
    <d v="2026-07-09T00:00:00"/>
    <x v="130"/>
    <x v="5"/>
    <x v="5"/>
    <x v="5"/>
    <x v="2"/>
    <x v="2"/>
    <s v="SKU-IND-351"/>
    <s v="Safety Gloves"/>
    <n v="383.36"/>
    <s v="EGP"/>
    <n v="1.9E-2"/>
    <n v="7.2838399999999996"/>
    <n v="500"/>
    <n v="191680"/>
    <n v="191680"/>
    <n v="3641.92"/>
    <n v="35"/>
    <n v="7.0000000000000007E-2"/>
    <n v="15"/>
    <n v="15"/>
    <n v="17"/>
    <n v="17"/>
    <n v="-2"/>
    <n v="-2"/>
    <x v="5"/>
    <x v="1"/>
    <x v="1"/>
    <x v="5"/>
    <x v="5"/>
    <x v="3"/>
    <x v="2"/>
    <x v="4"/>
    <n v="3"/>
    <x v="5"/>
    <x v="3"/>
  </r>
  <r>
    <s v="PO-2026-00398"/>
    <s v="ORD-146692"/>
    <d v="2026-04-22T00:00:00"/>
    <d v="2026-05-04T00:00:00"/>
    <x v="142"/>
    <x v="4"/>
    <x v="4"/>
    <x v="4"/>
    <x v="3"/>
    <x v="0"/>
    <s v="SKU-MAC-453"/>
    <s v="Hydraulic Hose"/>
    <n v="614.20000000000005"/>
    <s v="KES"/>
    <n v="7.7000000000000002E-3"/>
    <n v="4.7293400000000005"/>
    <n v="300"/>
    <n v="184260"/>
    <n v="184260"/>
    <n v="1418.8020000000001"/>
    <n v="0"/>
    <n v="0"/>
    <n v="15"/>
    <n v="15"/>
    <n v="12"/>
    <n v="12"/>
    <n v="3"/>
    <n v="3"/>
    <x v="3"/>
    <x v="0"/>
    <x v="1"/>
    <x v="0"/>
    <x v="1"/>
    <x v="3"/>
    <x v="1"/>
    <x v="0"/>
    <n v="4.8"/>
    <x v="3"/>
    <x v="0"/>
  </r>
  <r>
    <s v="PO-2026-00399"/>
    <s v="ORD-289962"/>
    <d v="2026-06-28T00:00:00"/>
    <d v="2026-07-09T00:00:00"/>
    <x v="141"/>
    <x v="6"/>
    <x v="6"/>
    <x v="1"/>
    <x v="2"/>
    <x v="1"/>
    <s v="SKU-ELE-989"/>
    <s v="Sensor Module"/>
    <n v="2726.6"/>
    <s v="KES"/>
    <n v="7.7000000000000002E-3"/>
    <n v="20.994820000000001"/>
    <n v="750"/>
    <n v="2044950"/>
    <n v="2044950"/>
    <n v="15746.115"/>
    <n v="18"/>
    <n v="2.4E-2"/>
    <n v="20"/>
    <n v="20"/>
    <n v="11"/>
    <n v="11"/>
    <n v="9"/>
    <n v="9"/>
    <x v="4"/>
    <x v="0"/>
    <x v="1"/>
    <x v="5"/>
    <x v="0"/>
    <x v="3"/>
    <x v="3"/>
    <x v="0"/>
    <n v="3"/>
    <x v="1"/>
    <x v="0"/>
  </r>
  <r>
    <s v="PO-2026-00400"/>
    <s v="ORD-810568"/>
    <d v="2026-01-11T00:00:00"/>
    <d v="2026-01-27T00:00:00"/>
    <x v="16"/>
    <x v="7"/>
    <x v="7"/>
    <x v="6"/>
    <x v="2"/>
    <x v="2"/>
    <s v="SKU-IND-616"/>
    <s v="Safety Gloves"/>
    <n v="323.39"/>
    <s v="NGN"/>
    <n v="7.2999999999999996E-4"/>
    <n v="0.23607469999999997"/>
    <n v="500"/>
    <n v="161695"/>
    <n v="161695"/>
    <n v="118.03734999999999"/>
    <n v="15"/>
    <n v="0.03"/>
    <n v="24"/>
    <n v="24"/>
    <n v="16"/>
    <n v="16"/>
    <n v="8"/>
    <n v="8"/>
    <x v="4"/>
    <x v="0"/>
    <x v="4"/>
    <x v="5"/>
    <x v="0"/>
    <x v="0"/>
    <x v="0"/>
    <x v="0"/>
    <n v="1.7"/>
    <x v="5"/>
    <x v="5"/>
  </r>
  <r>
    <s v="PO-2026-00401"/>
    <s v="ORD-735479"/>
    <d v="2026-01-23T00:00:00"/>
    <d v="2026-02-11T00:00:00"/>
    <x v="10"/>
    <x v="1"/>
    <x v="1"/>
    <x v="1"/>
    <x v="3"/>
    <x v="1"/>
    <s v="SKU-ELE-193"/>
    <s v="Sensor Module"/>
    <n v="1110.23"/>
    <s v="GHS"/>
    <n v="8.8999999999999996E-2"/>
    <n v="98.810469999999995"/>
    <n v="1500"/>
    <n v="1665345"/>
    <n v="1665345"/>
    <n v="148215.70499999999"/>
    <n v="29"/>
    <n v="1.9300000000000001E-2"/>
    <n v="13"/>
    <n v="13"/>
    <n v="19"/>
    <n v="19"/>
    <n v="-6"/>
    <n v="-6"/>
    <x v="5"/>
    <x v="3"/>
    <x v="0"/>
    <x v="4"/>
    <x v="5"/>
    <x v="3"/>
    <x v="3"/>
    <x v="0"/>
    <n v="4.2"/>
    <x v="1"/>
    <x v="2"/>
  </r>
  <r>
    <s v="PO-2026-00402"/>
    <s v="ORD-807603"/>
    <d v="2026-01-01T00:00:00"/>
    <d v="2026-01-18T00:00:00"/>
    <x v="118"/>
    <x v="7"/>
    <x v="7"/>
    <x v="6"/>
    <x v="1"/>
    <x v="1"/>
    <s v="SKU-ELE-584"/>
    <s v="Control Board"/>
    <n v="4423.5200000000004"/>
    <s v="NGN"/>
    <n v="7.2999999999999996E-4"/>
    <n v="3.2291696000000001"/>
    <n v="50"/>
    <n v="221176"/>
    <n v="221176.00000000003"/>
    <n v="161.45847999999998"/>
    <n v="0"/>
    <n v="0"/>
    <n v="19"/>
    <n v="19"/>
    <n v="17"/>
    <n v="17"/>
    <n v="2"/>
    <n v="2"/>
    <x v="1"/>
    <x v="0"/>
    <x v="1"/>
    <x v="5"/>
    <x v="2"/>
    <x v="4"/>
    <x v="1"/>
    <x v="0"/>
    <n v="3.5"/>
    <x v="0"/>
    <x v="0"/>
  </r>
  <r>
    <s v="PO-2026-00403"/>
    <s v="ORD-703771"/>
    <d v="2026-04-13T00:00:00"/>
    <d v="2026-05-03T00:00:00"/>
    <x v="140"/>
    <x v="13"/>
    <x v="13"/>
    <x v="9"/>
    <x v="8"/>
    <x v="3"/>
    <s v="SKU-TEX-821"/>
    <s v="Uniform Material"/>
    <n v="360.15"/>
    <s v="USD"/>
    <n v="1"/>
    <n v="360.15"/>
    <n v="500"/>
    <n v="180075"/>
    <n v="180075"/>
    <n v="180075"/>
    <n v="7"/>
    <n v="1.4E-2"/>
    <n v="14"/>
    <n v="14"/>
    <n v="20"/>
    <n v="20"/>
    <n v="-6"/>
    <n v="-6"/>
    <x v="2"/>
    <x v="0"/>
    <x v="0"/>
    <x v="3"/>
    <x v="1"/>
    <x v="5"/>
    <x v="1"/>
    <x v="0"/>
    <n v="2.8"/>
    <x v="6"/>
    <x v="2"/>
  </r>
  <r>
    <s v="PO-2026-00404"/>
    <s v="ORD-516810"/>
    <d v="2026-01-14T00:00:00"/>
    <d v="2026-01-26T00:00:00"/>
    <x v="56"/>
    <x v="2"/>
    <x v="2"/>
    <x v="2"/>
    <x v="3"/>
    <x v="2"/>
    <s v="SKU-IND-665"/>
    <s v="Welding Rod"/>
    <n v="672.96"/>
    <s v="NGN"/>
    <n v="7.2999999999999996E-4"/>
    <n v="0.4912608"/>
    <n v="500"/>
    <n v="336480"/>
    <n v="336480"/>
    <n v="245.63039999999998"/>
    <n v="7"/>
    <n v="1.4E-2"/>
    <n v="14"/>
    <n v="14"/>
    <n v="12"/>
    <n v="12"/>
    <n v="2"/>
    <n v="2"/>
    <x v="1"/>
    <x v="0"/>
    <x v="4"/>
    <x v="3"/>
    <x v="2"/>
    <x v="4"/>
    <x v="2"/>
    <x v="0"/>
    <n v="4"/>
    <x v="2"/>
    <x v="5"/>
  </r>
  <r>
    <s v="PO-2026-00405"/>
    <s v="ORD-538363"/>
    <d v="2026-02-15T00:00:00"/>
    <d v="2026-03-02T00:00:00"/>
    <x v="131"/>
    <x v="6"/>
    <x v="6"/>
    <x v="1"/>
    <x v="1"/>
    <x v="1"/>
    <s v="SKU-ELE-953"/>
    <s v="LED Driver"/>
    <n v="1484.37"/>
    <s v="GHS"/>
    <n v="8.8999999999999996E-2"/>
    <n v="132.10892999999999"/>
    <n v="200"/>
    <n v="296874"/>
    <n v="296874"/>
    <n v="26421.786"/>
    <n v="4"/>
    <n v="0.02"/>
    <n v="4"/>
    <n v="4"/>
    <n v="15"/>
    <n v="15"/>
    <n v="-11"/>
    <n v="-11"/>
    <x v="2"/>
    <x v="0"/>
    <x v="0"/>
    <x v="0"/>
    <x v="2"/>
    <x v="0"/>
    <x v="3"/>
    <x v="0"/>
    <n v="2.5"/>
    <x v="0"/>
    <x v="2"/>
  </r>
  <r>
    <s v="PO-2026-00406"/>
    <s v="ORD-111750"/>
    <d v="2026-05-31T00:00:00"/>
    <d v="2026-06-14T00:00:00"/>
    <x v="111"/>
    <x v="14"/>
    <x v="14"/>
    <x v="10"/>
    <x v="4"/>
    <x v="5"/>
    <s v="SKU-RAW-706"/>
    <s v="Input Granules"/>
    <n v="581.37"/>
    <s v="USD"/>
    <n v="1"/>
    <n v="581.37"/>
    <s v=""/>
    <n v="43602.75"/>
    <e v="#VALUE!"/>
    <n v="43602.75"/>
    <n v="12"/>
    <n v="0.16"/>
    <n v="9"/>
    <n v="9"/>
    <n v="14"/>
    <n v="14"/>
    <n v="-5"/>
    <n v="-5"/>
    <x v="2"/>
    <x v="2"/>
    <x v="4"/>
    <x v="1"/>
    <x v="3"/>
    <x v="1"/>
    <x v="5"/>
    <x v="4"/>
    <n v="1.5"/>
    <x v="3"/>
    <x v="8"/>
  </r>
  <r>
    <s v="PO-2026-00407"/>
    <s v="ORD-587531"/>
    <d v="2026-06-21T00:00:00"/>
    <d v="2026-07-06T00:00:00"/>
    <x v="109"/>
    <x v="13"/>
    <x v="13"/>
    <x v="9"/>
    <x v="3"/>
    <x v="3"/>
    <s v="SKU-TEX-664"/>
    <s v="Polyester Roll"/>
    <n v="752.57"/>
    <s v="USD"/>
    <n v="1"/>
    <n v="752.57"/>
    <n v="75"/>
    <n v="56442.75"/>
    <n v="56442.750000000007"/>
    <n v="56442.75"/>
    <n v="3"/>
    <n v="0.04"/>
    <n v="21"/>
    <n v="21"/>
    <n v="15"/>
    <n v="15"/>
    <n v="6"/>
    <n v="6"/>
    <x v="0"/>
    <x v="0"/>
    <x v="2"/>
    <x v="5"/>
    <x v="3"/>
    <x v="5"/>
    <x v="2"/>
    <x v="0"/>
    <n v="1.2"/>
    <x v="4"/>
    <x v="5"/>
  </r>
  <r>
    <s v="PO-2026-00408"/>
    <s v="ORD-278635"/>
    <d v="2026-02-10T00:00:00"/>
    <d v="2026-02-19T00:00:00"/>
    <x v="61"/>
    <x v="1"/>
    <x v="1"/>
    <x v="1"/>
    <x v="2"/>
    <x v="2"/>
    <s v="SKU-IND-134"/>
    <s v="Welding Rod"/>
    <n v="37.409999999999997"/>
    <s v="GHS"/>
    <n v="8.8999999999999996E-2"/>
    <n v="3.3294899999999994"/>
    <n v="75"/>
    <n v="2805.75"/>
    <n v="2805.7499999999995"/>
    <n v="249.71174999999999"/>
    <n v="1"/>
    <n v="1.3299999999999999E-2"/>
    <s v=""/>
    <n v="15"/>
    <n v="9"/>
    <n v="9"/>
    <n v="6"/>
    <n v="6"/>
    <x v="0"/>
    <x v="0"/>
    <x v="2"/>
    <x v="2"/>
    <x v="5"/>
    <x v="0"/>
    <x v="3"/>
    <x v="0"/>
    <n v="3.3"/>
    <x v="4"/>
    <x v="5"/>
  </r>
  <r>
    <s v="PO-2026-00409"/>
    <s v="ORD-892741"/>
    <d v="2026-06-05T00:00:00"/>
    <d v="2026-06-19T00:00:00"/>
    <x v="138"/>
    <x v="4"/>
    <x v="4"/>
    <x v="4"/>
    <x v="7"/>
    <x v="0"/>
    <s v="SKU-MAC-663"/>
    <s v="Gear Assembly"/>
    <n v="363.34"/>
    <s v="GHS"/>
    <n v="8.8999999999999996E-2"/>
    <n v="32.337259999999993"/>
    <n v="100"/>
    <n v="36334"/>
    <n v="36334"/>
    <n v="3233.7259999999997"/>
    <n v="0"/>
    <n v="0"/>
    <s v=""/>
    <n v="17"/>
    <n v="14"/>
    <n v="14"/>
    <n v="3"/>
    <n v="3"/>
    <x v="1"/>
    <x v="0"/>
    <x v="1"/>
    <x v="2"/>
    <x v="2"/>
    <x v="0"/>
    <x v="5"/>
    <x v="0"/>
    <n v="2.9"/>
    <x v="2"/>
    <x v="0"/>
  </r>
  <r>
    <s v="PO-2026-00410"/>
    <s v="ORD-301898"/>
    <d v="2026-01-05T00:00:00"/>
    <d v="2026-01-17T00:00:00"/>
    <x v="87"/>
    <x v="4"/>
    <x v="4"/>
    <x v="4"/>
    <x v="8"/>
    <x v="0"/>
    <s v="SKU-MAC-455"/>
    <s v="Gear Assembly"/>
    <n v="1503.17"/>
    <s v="KES"/>
    <n v="7.7000000000000002E-3"/>
    <n v="11.574409000000001"/>
    <n v="750"/>
    <n v="1127377.5"/>
    <n v="1127377.5"/>
    <n v="8680.8067499999997"/>
    <n v="7"/>
    <n v="9.2999999999999992E-3"/>
    <n v="16"/>
    <n v="16"/>
    <n v="12"/>
    <n v="12"/>
    <n v="4"/>
    <n v="4"/>
    <x v="4"/>
    <x v="0"/>
    <x v="1"/>
    <x v="5"/>
    <x v="3"/>
    <x v="4"/>
    <x v="1"/>
    <x v="0"/>
    <n v="4"/>
    <x v="3"/>
    <x v="0"/>
  </r>
  <r>
    <s v="PO-2026-00411"/>
    <s v="ORD-637809"/>
    <d v="2026-03-09T00:00:00"/>
    <d v="2026-03-16T00:00:00"/>
    <x v="53"/>
    <x v="9"/>
    <x v="9"/>
    <x v="2"/>
    <x v="3"/>
    <x v="4"/>
    <s v="SKU-PAC-825"/>
    <s v="Corrugated Box"/>
    <n v="180.39"/>
    <s v="USD"/>
    <n v="1"/>
    <n v="180.39"/>
    <n v="1000"/>
    <n v="180390"/>
    <n v="180390"/>
    <n v="180390"/>
    <n v="16"/>
    <n v="1.6E-2"/>
    <n v="4"/>
    <n v="4"/>
    <n v="7"/>
    <n v="7"/>
    <n v="-3"/>
    <n v="-3"/>
    <x v="2"/>
    <x v="0"/>
    <x v="1"/>
    <x v="4"/>
    <x v="0"/>
    <x v="4"/>
    <x v="1"/>
    <x v="0"/>
    <n v="3.7"/>
    <x v="1"/>
    <x v="2"/>
  </r>
  <r>
    <s v="PO-2026-00412"/>
    <s v="ORD-292951"/>
    <d v="2026-02-12T00:00:00"/>
    <d v="2026-02-28T00:00:00"/>
    <x v="34"/>
    <x v="1"/>
    <x v="1"/>
    <x v="1"/>
    <x v="6"/>
    <x v="1"/>
    <s v="SKU-ELE-711"/>
    <s v="LED Driver"/>
    <n v="867.59"/>
    <s v="KES"/>
    <n v="7.7000000000000002E-3"/>
    <n v="6.6804430000000004"/>
    <n v="50"/>
    <n v="43379.5"/>
    <n v="43379.5"/>
    <n v="334.02215000000001"/>
    <n v="2"/>
    <n v="0.04"/>
    <n v="12"/>
    <n v="12"/>
    <n v="16"/>
    <n v="16"/>
    <n v="-4"/>
    <n v="-4"/>
    <x v="2"/>
    <x v="0"/>
    <x v="1"/>
    <x v="2"/>
    <x v="1"/>
    <x v="0"/>
    <x v="5"/>
    <x v="0"/>
    <n v="2.1"/>
    <x v="4"/>
    <x v="2"/>
  </r>
  <r>
    <s v="PO-2026-00413"/>
    <s v="ORD-598157"/>
    <d v="2026-04-24T00:00:00"/>
    <d v="2026-05-06T00:00:00"/>
    <x v="73"/>
    <x v="1"/>
    <x v="1"/>
    <x v="1"/>
    <x v="4"/>
    <x v="1"/>
    <s v="SKU-ELE-876"/>
    <s v="LED Driver"/>
    <n v="869.14"/>
    <s v="KES"/>
    <n v="7.7000000000000002E-3"/>
    <n v="6.6923779999999997"/>
    <n v="1000"/>
    <n v="869140"/>
    <n v="869140"/>
    <n v="6692.3780000000006"/>
    <n v="6"/>
    <n v="6.0000000000000001E-3"/>
    <n v="17"/>
    <n v="17"/>
    <n v="12"/>
    <n v="12"/>
    <n v="5"/>
    <n v="5"/>
    <x v="0"/>
    <x v="0"/>
    <x v="1"/>
    <x v="3"/>
    <x v="2"/>
    <x v="0"/>
    <x v="2"/>
    <x v="0"/>
    <n v="4.7"/>
    <x v="4"/>
    <x v="0"/>
  </r>
  <r>
    <s v="PO-2026-00414"/>
    <s v="ORD-764406"/>
    <d v="2026-01-10T00:00:00"/>
    <d v="2026-01-21T00:00:00"/>
    <x v="135"/>
    <x v="12"/>
    <x v="12"/>
    <x v="2"/>
    <x v="5"/>
    <x v="1"/>
    <s v="SKU-ELE-504"/>
    <s v="Sensor Module"/>
    <n v="3441.38"/>
    <s v="EGP"/>
    <n v="1.9E-2"/>
    <n v="65.386219999999994"/>
    <n v="1000"/>
    <n v="3441380"/>
    <n v="3441380"/>
    <n v="65386.22"/>
    <n v="24"/>
    <n v="2.4E-2"/>
    <n v="13"/>
    <n v="13"/>
    <n v="11"/>
    <n v="11"/>
    <n v="2"/>
    <n v="2"/>
    <x v="1"/>
    <x v="0"/>
    <x v="2"/>
    <x v="1"/>
    <x v="4"/>
    <x v="3"/>
    <x v="0"/>
    <x v="0"/>
    <n v="3.6"/>
    <x v="2"/>
    <x v="5"/>
  </r>
  <r>
    <s v="PO-2026-00415"/>
    <s v="ORD-560192"/>
    <d v="2026-02-13T00:00:00"/>
    <d v="2026-02-20T00:00:00"/>
    <x v="75"/>
    <x v="3"/>
    <x v="3"/>
    <x v="3"/>
    <x v="1"/>
    <x v="4"/>
    <s v="SKU-PAC-277"/>
    <s v="Bottle Caps"/>
    <n v="72.75"/>
    <s v="KES"/>
    <n v="7.7000000000000002E-3"/>
    <n v="0.56017499999999998"/>
    <n v="100"/>
    <n v="7275"/>
    <n v="7275"/>
    <n v="56.017499999999998"/>
    <n v="1"/>
    <n v="0.01"/>
    <n v="10"/>
    <n v="10"/>
    <n v="7"/>
    <n v="7"/>
    <n v="3"/>
    <n v="3"/>
    <x v="1"/>
    <x v="0"/>
    <x v="0"/>
    <x v="3"/>
    <x v="2"/>
    <x v="6"/>
    <x v="2"/>
    <x v="0"/>
    <n v="3.3"/>
    <x v="5"/>
    <x v="0"/>
  </r>
  <r>
    <s v="PO-2026-00416"/>
    <s v="ORD-962023"/>
    <d v="2026-06-07T00:00:00"/>
    <d v="2026-06-21T00:00:00"/>
    <x v="67"/>
    <x v="1"/>
    <x v="1"/>
    <x v="1"/>
    <x v="0"/>
    <x v="1"/>
    <s v="SKU-ELE-525"/>
    <s v="Sensor Module"/>
    <n v="121.22"/>
    <s v="EGP"/>
    <n v="1.9E-2"/>
    <n v="2.3031799999999998"/>
    <n v="100"/>
    <n v="12122"/>
    <n v="12122"/>
    <n v="230.31799999999998"/>
    <n v="0"/>
    <n v="0"/>
    <n v="11"/>
    <n v="11"/>
    <n v="14"/>
    <n v="14"/>
    <n v="-3"/>
    <n v="-3"/>
    <x v="2"/>
    <x v="0"/>
    <x v="0"/>
    <x v="4"/>
    <x v="5"/>
    <x v="1"/>
    <x v="2"/>
    <x v="0"/>
    <n v="3.7"/>
    <x v="2"/>
    <x v="2"/>
  </r>
  <r>
    <s v="PO-2026-00417"/>
    <s v="ORD-419548"/>
    <d v="2026-02-07T00:00:00"/>
    <d v="2026-02-20T00:00:00"/>
    <x v="1"/>
    <x v="14"/>
    <x v="14"/>
    <x v="10"/>
    <x v="1"/>
    <x v="5"/>
    <s v="SKU-RAW-367"/>
    <s v="Agro Binder"/>
    <n v="496"/>
    <s v="ZAR"/>
    <n v="6.0999999999999999E-2"/>
    <n v="30.256"/>
    <n v="250"/>
    <n v="124000"/>
    <n v="124000"/>
    <n v="7564"/>
    <n v="4"/>
    <n v="1.6E-2"/>
    <n v="22"/>
    <n v="22"/>
    <n v="13"/>
    <n v="13"/>
    <n v="9"/>
    <n v="9"/>
    <x v="4"/>
    <x v="0"/>
    <x v="1"/>
    <x v="3"/>
    <x v="4"/>
    <x v="6"/>
    <x v="2"/>
    <x v="0"/>
    <n v="2.2999999999999998"/>
    <x v="4"/>
    <x v="0"/>
  </r>
  <r>
    <s v="PO-2026-00418"/>
    <s v="ORD-967819"/>
    <d v="2026-03-02T00:00:00"/>
    <d v="2026-03-21T00:00:00"/>
    <x v="164"/>
    <x v="13"/>
    <x v="13"/>
    <x v="9"/>
    <x v="4"/>
    <x v="3"/>
    <s v="SKU-TEX-697"/>
    <s v="Uniform Material"/>
    <n v="532.16999999999996"/>
    <s v="ETB"/>
    <n v="6.4000000000000003E-3"/>
    <n v="3.405888"/>
    <n v="75"/>
    <n v="39912.75"/>
    <n v="39912.75"/>
    <n v="255.44160000000002"/>
    <n v="0"/>
    <n v="0"/>
    <n v="18"/>
    <n v="18"/>
    <n v="19"/>
    <n v="19"/>
    <n v="-1"/>
    <n v="-1"/>
    <x v="2"/>
    <x v="3"/>
    <x v="0"/>
    <x v="2"/>
    <x v="4"/>
    <x v="2"/>
    <x v="1"/>
    <x v="0"/>
    <n v="4"/>
    <x v="4"/>
    <x v="2"/>
  </r>
  <r>
    <s v="PO-2026-00419"/>
    <s v="ORD-930382"/>
    <d v="2026-05-26T00:00:00"/>
    <d v="2026-06-15T00:00:00"/>
    <x v="39"/>
    <x v="13"/>
    <x v="13"/>
    <x v="9"/>
    <x v="6"/>
    <x v="3"/>
    <s v="SKU-TEX-823"/>
    <s v="Label Tape"/>
    <n v="61.9"/>
    <s v="NGN"/>
    <n v="7.2999999999999996E-4"/>
    <n v="4.5186999999999998E-2"/>
    <n v="750"/>
    <n v="46425"/>
    <n v="46425"/>
    <n v="33.890250000000002"/>
    <n v="50"/>
    <n v="6.6699999999999995E-2"/>
    <n v="29"/>
    <n v="29"/>
    <n v="20"/>
    <n v="20"/>
    <n v="9"/>
    <n v="9"/>
    <x v="4"/>
    <x v="1"/>
    <x v="1"/>
    <x v="4"/>
    <x v="2"/>
    <x v="5"/>
    <x v="2"/>
    <x v="5"/>
    <n v="2.2999999999999998"/>
    <x v="6"/>
    <x v="1"/>
  </r>
  <r>
    <s v="PO-2026-00420"/>
    <s v="ORD-688368"/>
    <d v="2026-03-10T00:00:00"/>
    <d v="2026-03-29T00:00:00"/>
    <x v="0"/>
    <x v="13"/>
    <x v="13"/>
    <x v="9"/>
    <x v="7"/>
    <x v="3"/>
    <s v="SKU-TEX-936"/>
    <s v="Label Tape"/>
    <n v="426.57"/>
    <s v="GHS"/>
    <n v="8.8999999999999996E-2"/>
    <n v="37.964729999999996"/>
    <n v="1000"/>
    <n v="426570"/>
    <n v="426570"/>
    <n v="37964.729999999996"/>
    <m/>
    <n v="5.0999999999999997E-2"/>
    <n v="20"/>
    <n v="20"/>
    <n v="19"/>
    <n v="19"/>
    <n v="1"/>
    <n v="1"/>
    <x v="1"/>
    <x v="1"/>
    <x v="4"/>
    <x v="1"/>
    <x v="2"/>
    <x v="0"/>
    <x v="2"/>
    <x v="2"/>
    <n v="2"/>
    <x v="6"/>
    <x v="13"/>
  </r>
  <r>
    <s v="PO-2026-00421"/>
    <s v="ORD-573283"/>
    <d v="2026-05-29T00:00:00"/>
    <d v="2026-06-09T00:00:00"/>
    <x v="127"/>
    <x v="12"/>
    <x v="12"/>
    <x v="2"/>
    <x v="2"/>
    <x v="4"/>
    <s v="SKU-PAC-295"/>
    <s v="Plastic Film Roll"/>
    <n v="650.91999999999996"/>
    <s v="GHS"/>
    <n v="8.8999999999999996E-2"/>
    <n v="57.931879999999992"/>
    <n v="250"/>
    <n v="162730"/>
    <n v="162730"/>
    <n v="14482.97"/>
    <n v="7"/>
    <n v="2.8000000000000001E-2"/>
    <n v="17"/>
    <n v="17"/>
    <n v="11"/>
    <n v="11"/>
    <n v="6"/>
    <n v="6"/>
    <x v="0"/>
    <x v="0"/>
    <x v="1"/>
    <x v="5"/>
    <x v="5"/>
    <x v="3"/>
    <x v="0"/>
    <x v="0"/>
    <n v="2.5"/>
    <x v="1"/>
    <x v="0"/>
  </r>
  <r>
    <s v="PO-2026-00422"/>
    <s v="ORD-332295"/>
    <d v="2026-02-09T00:00:00"/>
    <d v="2026-02-25T00:00:00"/>
    <x v="8"/>
    <x v="7"/>
    <x v="7"/>
    <x v="6"/>
    <x v="6"/>
    <x v="6"/>
    <s v="SKU-MET-329"/>
    <s v="Aluminium Sheet"/>
    <n v="575.24"/>
    <s v="KES"/>
    <n v="7.7000000000000002E-3"/>
    <n v="4.4293480000000001"/>
    <n v="750"/>
    <n v="431430"/>
    <n v="431430"/>
    <n v="3322.011"/>
    <n v="21"/>
    <n v="2.8000000000000001E-2"/>
    <n v="23"/>
    <n v="23"/>
    <n v="16"/>
    <n v="16"/>
    <n v="7"/>
    <n v="7"/>
    <x v="1"/>
    <x v="0"/>
    <x v="1"/>
    <x v="5"/>
    <x v="5"/>
    <x v="3"/>
    <x v="3"/>
    <x v="0"/>
    <n v="2"/>
    <x v="6"/>
    <x v="0"/>
  </r>
  <r>
    <s v="PO-2026-00423"/>
    <s v="ORD-334967"/>
    <d v="2026-04-02T00:00:00"/>
    <d v="2026-04-03T00:00:00"/>
    <x v="165"/>
    <x v="9"/>
    <x v="9"/>
    <x v="2"/>
    <x v="4"/>
    <x v="4"/>
    <s v="SKU-PAC-423"/>
    <s v="Bottle Caps"/>
    <n v="456.37"/>
    <s v="EGP"/>
    <n v="1.9E-2"/>
    <n v="8.67103"/>
    <n v="75"/>
    <n v="34227.75"/>
    <n v="34227.75"/>
    <n v="650.32724999999994"/>
    <n v="1"/>
    <n v="1.3299999999999999E-2"/>
    <n v="-5"/>
    <n v="1"/>
    <n v="1"/>
    <n v="1"/>
    <n v="0"/>
    <n v="0"/>
    <x v="5"/>
    <x v="0"/>
    <x v="3"/>
    <x v="0"/>
    <x v="4"/>
    <x v="0"/>
    <x v="3"/>
    <x v="0"/>
    <n v="3.2"/>
    <x v="0"/>
    <x v="4"/>
  </r>
  <r>
    <s v="PO-2026-00424"/>
    <s v="ORD-636223"/>
    <d v="2026-01-29T00:00:00"/>
    <d v="2026-02-11T00:00:00"/>
    <x v="166"/>
    <x v="12"/>
    <x v="12"/>
    <x v="2"/>
    <x v="6"/>
    <x v="4"/>
    <s v="SKU-PAC-217"/>
    <s v="Corrugated Box"/>
    <n v="678.79"/>
    <s v="NGN"/>
    <n v="7.2999999999999996E-4"/>
    <n v="0.49551669999999992"/>
    <n v="2000"/>
    <n v="1357580"/>
    <n v="1357580"/>
    <n v="991.03339999999992"/>
    <n v="30"/>
    <n v="1.4999999999999999E-2"/>
    <n v="10"/>
    <n v="10"/>
    <n v="13"/>
    <n v="13"/>
    <n v="-3"/>
    <n v="-3"/>
    <x v="2"/>
    <x v="0"/>
    <x v="1"/>
    <x v="1"/>
    <x v="3"/>
    <x v="0"/>
    <x v="1"/>
    <x v="0"/>
    <n v="3.1"/>
    <x v="0"/>
    <x v="2"/>
  </r>
  <r>
    <s v="PO-2026-00425"/>
    <s v="ORD-665781"/>
    <d v="2026-01-07T00:00:00"/>
    <d v="2026-01-22T00:00:00"/>
    <x v="167"/>
    <x v="4"/>
    <x v="4"/>
    <x v="4"/>
    <x v="1"/>
    <x v="0"/>
    <s v="SKU-MAC-853"/>
    <s v="Gear Assembly"/>
    <n v="1497.55"/>
    <s v="KES"/>
    <n v="7.7000000000000002E-3"/>
    <n v="11.531135000000001"/>
    <n v="75"/>
    <n v="112316.25"/>
    <n v="112316.25"/>
    <n v="864.83512500000006"/>
    <n v="0"/>
    <n v="0"/>
    <n v="18"/>
    <n v="18"/>
    <n v="15"/>
    <n v="15"/>
    <n v="3"/>
    <n v="3"/>
    <x v="1"/>
    <x v="0"/>
    <x v="1"/>
    <x v="3"/>
    <x v="2"/>
    <x v="6"/>
    <x v="5"/>
    <x v="0"/>
    <n v="4.5"/>
    <x v="1"/>
    <x v="0"/>
  </r>
  <r>
    <s v="PO-2026-00426"/>
    <s v="ORD-371376"/>
    <d v="2026-01-13T00:00:00"/>
    <d v="2026-01-30T00:00:00"/>
    <x v="168"/>
    <x v="6"/>
    <x v="6"/>
    <x v="1"/>
    <x v="5"/>
    <x v="1"/>
    <s v="SKU-ELE-457"/>
    <s v="LED Driver"/>
    <n v="1058.82"/>
    <s v="USD"/>
    <n v="1"/>
    <n v="1058.82"/>
    <n v="300"/>
    <s v=""/>
    <n v="317646"/>
    <s v=""/>
    <n v="10"/>
    <n v="3.3300000000000003E-2"/>
    <n v="24"/>
    <n v="24"/>
    <n v="17"/>
    <n v="17"/>
    <n v="7"/>
    <n v="7"/>
    <x v="0"/>
    <x v="0"/>
    <x v="2"/>
    <x v="4"/>
    <x v="1"/>
    <x v="1"/>
    <x v="3"/>
    <x v="0"/>
    <n v="1.4"/>
    <x v="6"/>
    <x v="5"/>
  </r>
  <r>
    <s v="PO-2026-00427"/>
    <s v="ORD-485780"/>
    <d v="2026-02-02T00:00:00"/>
    <d v="2026-02-21T00:00:00"/>
    <x v="38"/>
    <x v="1"/>
    <x v="1"/>
    <x v="1"/>
    <x v="6"/>
    <x v="5"/>
    <s v="SKU-RAW-846"/>
    <s v="Agro Binder"/>
    <n v="669.45"/>
    <s v="NGN"/>
    <n v="7.2999999999999996E-4"/>
    <n v="0.48869850000000004"/>
    <n v="250"/>
    <n v="167362.5"/>
    <n v="167362.5"/>
    <n v="122.17462499999999"/>
    <n v="0"/>
    <n v="0"/>
    <n v="10"/>
    <n v="10"/>
    <n v="19"/>
    <n v="19"/>
    <n v="-9"/>
    <n v="-9"/>
    <x v="5"/>
    <x v="0"/>
    <x v="1"/>
    <x v="1"/>
    <x v="2"/>
    <x v="2"/>
    <x v="1"/>
    <x v="0"/>
    <n v="3.9"/>
    <x v="6"/>
    <x v="11"/>
  </r>
  <r>
    <s v="PO-2026-00428"/>
    <s v="ORD-502556"/>
    <d v="2026-03-30T00:00:00"/>
    <d v="2026-04-10T00:00:00"/>
    <x v="96"/>
    <x v="2"/>
    <x v="2"/>
    <x v="2"/>
    <x v="6"/>
    <x v="2"/>
    <s v="SKU-IND-619"/>
    <s v="Safety Gloves"/>
    <n v="775.47"/>
    <s v="NGN"/>
    <n v="7.2999999999999996E-4"/>
    <n v="0.56609310000000002"/>
    <n v="150"/>
    <n v="116320.5"/>
    <n v="116320.5"/>
    <n v="84.91396499999999"/>
    <n v="10"/>
    <n v="6.6699999999999995E-2"/>
    <n v="14"/>
    <n v="14"/>
    <n v="11"/>
    <n v="11"/>
    <n v="3"/>
    <n v="3"/>
    <x v="1"/>
    <x v="1"/>
    <x v="1"/>
    <x v="2"/>
    <x v="4"/>
    <x v="0"/>
    <x v="2"/>
    <x v="5"/>
    <n v="2.5"/>
    <x v="4"/>
    <x v="1"/>
  </r>
  <r>
    <s v="PO-2026-00429"/>
    <s v="ORD-539506"/>
    <d v="2026-04-26T00:00:00"/>
    <d v="2026-05-13T00:00:00"/>
    <x v="86"/>
    <x v="5"/>
    <x v="5"/>
    <x v="5"/>
    <x v="8"/>
    <x v="0"/>
    <s v="SKU-MAC-791"/>
    <s v="Bearing Set"/>
    <n v="939.05"/>
    <s v="GHS"/>
    <n v="8.8999999999999996E-2"/>
    <n v="83.575449999999989"/>
    <n v="500"/>
    <n v="469525"/>
    <n v="469525"/>
    <n v="41787.724999999999"/>
    <n v="29"/>
    <n v="5.8000000000000003E-2"/>
    <n v="23"/>
    <n v="23"/>
    <n v="17"/>
    <n v="17"/>
    <n v="6"/>
    <n v="6"/>
    <x v="0"/>
    <x v="1"/>
    <x v="4"/>
    <x v="0"/>
    <x v="0"/>
    <x v="4"/>
    <x v="3"/>
    <x v="3"/>
    <n v="1.3"/>
    <x v="3"/>
    <x v="6"/>
  </r>
  <r>
    <s v="PO-2026-00430"/>
    <s v="ORD-577723"/>
    <d v="2026-02-23T00:00:00"/>
    <d v="2026-03-13T00:00:00"/>
    <x v="18"/>
    <x v="5"/>
    <x v="5"/>
    <x v="5"/>
    <x v="7"/>
    <x v="1"/>
    <s v="SKU-ELE-873"/>
    <s v="Power Adapter"/>
    <n v="774.93"/>
    <s v="KES"/>
    <n v="7.7000000000000002E-3"/>
    <n v="5.9669609999999995"/>
    <n v="1000"/>
    <n v="774930"/>
    <n v="774930"/>
    <n v="5966.9610000000002"/>
    <n v="0"/>
    <n v="0"/>
    <n v="23"/>
    <n v="23"/>
    <n v="18"/>
    <n v="18"/>
    <n v="5"/>
    <n v="5"/>
    <x v="1"/>
    <x v="3"/>
    <x v="1"/>
    <x v="4"/>
    <x v="1"/>
    <x v="4"/>
    <x v="3"/>
    <x v="0"/>
    <n v="3.7"/>
    <x v="2"/>
    <x v="0"/>
  </r>
  <r>
    <s v="PO-2026-00431"/>
    <s v="ORD-763747"/>
    <d v="2026-01-19T00:00:00"/>
    <d v="2026-02-03T00:00:00"/>
    <x v="56"/>
    <x v="1"/>
    <x v="1"/>
    <x v="1"/>
    <x v="8"/>
    <x v="1"/>
    <s v="SKU-ELE-370"/>
    <s v="Sensor Module"/>
    <n v="310.55"/>
    <s v="EGP"/>
    <n v="1.9E-2"/>
    <n v="5.9004500000000002"/>
    <n v="100"/>
    <n v="31055"/>
    <n v="31055"/>
    <n v="590.04499999999996"/>
    <n v="5"/>
    <n v="0.05"/>
    <n v="9"/>
    <n v="9"/>
    <n v="15"/>
    <n v="15"/>
    <n v="-6"/>
    <n v="-6"/>
    <x v="2"/>
    <x v="4"/>
    <x v="0"/>
    <x v="1"/>
    <x v="0"/>
    <x v="5"/>
    <x v="1"/>
    <x v="2"/>
    <n v="2"/>
    <x v="0"/>
    <x v="3"/>
  </r>
  <r>
    <s v="PO-2026-00432"/>
    <s v="ORD-304106"/>
    <d v="2026-03-29T00:00:00"/>
    <d v="2026-04-17T00:00:00"/>
    <x v="77"/>
    <x v="1"/>
    <x v="1"/>
    <x v="1"/>
    <x v="3"/>
    <x v="1"/>
    <s v="SKU-ELE-842"/>
    <s v="Control Board"/>
    <s v=""/>
    <s v="EGP"/>
    <n v="1.9E-2"/>
    <s v=""/>
    <n v="750"/>
    <n v="1941285"/>
    <e v="#VALUE!"/>
    <n v="36884.415000000001"/>
    <n v="9"/>
    <n v="1.2E-2"/>
    <n v="16"/>
    <n v="16"/>
    <n v="19"/>
    <n v="19"/>
    <n v="-3"/>
    <n v="-3"/>
    <x v="5"/>
    <x v="0"/>
    <x v="4"/>
    <x v="2"/>
    <x v="2"/>
    <x v="2"/>
    <x v="2"/>
    <x v="0"/>
    <n v="3.7"/>
    <x v="0"/>
    <x v="4"/>
  </r>
  <r>
    <s v="PO-2026-00433"/>
    <s v="ORD-111224"/>
    <d v="2026-03-14T00:00:00"/>
    <d v="2026-03-26T00:00:00"/>
    <x v="68"/>
    <x v="11"/>
    <x v="11"/>
    <x v="8"/>
    <x v="2"/>
    <x v="5"/>
    <s v="SKU-RAW-213"/>
    <s v="Polymer Resin"/>
    <n v="300.14"/>
    <s v="ZAR"/>
    <n v="6.0999999999999999E-2"/>
    <n v="18.308539999999997"/>
    <n v="750"/>
    <n v="225105"/>
    <n v="225105"/>
    <n v="13731.404999999999"/>
    <n v="32"/>
    <n v="4.2700000000000002E-2"/>
    <n v="14"/>
    <n v="14"/>
    <n v="12"/>
    <n v="12"/>
    <n v="2"/>
    <n v="2"/>
    <x v="1"/>
    <x v="1"/>
    <x v="0"/>
    <x v="3"/>
    <x v="0"/>
    <x v="2"/>
    <x v="4"/>
    <x v="4"/>
    <n v="2.6"/>
    <x v="0"/>
    <x v="1"/>
  </r>
  <r>
    <s v="PO-2026-00067"/>
    <s v="ORD-105472"/>
    <d v="2026-04-03T00:00:00"/>
    <d v="2026-04-24T00:00:00"/>
    <x v="104"/>
    <x v="0"/>
    <x v="0"/>
    <x v="0"/>
    <x v="8"/>
    <x v="0"/>
    <s v="SKU-MAC-356"/>
    <s v="Conveyor Belt"/>
    <n v="1462.39"/>
    <s v="USD"/>
    <n v="1"/>
    <n v="1462.39"/>
    <n v="50"/>
    <n v="73119.5"/>
    <n v="73119.5"/>
    <n v="73119.5"/>
    <n v="1"/>
    <n v="0.02"/>
    <n v="18"/>
    <n v="18"/>
    <n v="21"/>
    <n v="21"/>
    <n v="-3"/>
    <n v="-3"/>
    <x v="2"/>
    <x v="0"/>
    <x v="2"/>
    <x v="4"/>
    <x v="0"/>
    <x v="0"/>
    <x v="4"/>
    <x v="0"/>
    <n v="3.6"/>
    <x v="1"/>
    <x v="4"/>
  </r>
  <r>
    <s v="PO-2026-00435"/>
    <s v="ORD-562092"/>
    <d v="2026-02-25T00:00:00"/>
    <d v="2026-03-15T00:00:00"/>
    <x v="144"/>
    <x v="7"/>
    <x v="7"/>
    <x v="6"/>
    <x v="6"/>
    <x v="5"/>
    <s v="SKU-RAW-891"/>
    <s v="Input Granules"/>
    <n v="698.04"/>
    <s v="GHS"/>
    <n v="8.8999999999999996E-2"/>
    <n v="62.125559999999993"/>
    <n v="50"/>
    <n v="34902"/>
    <n v="34902"/>
    <n v="3106.2779999999998"/>
    <n v="1"/>
    <n v="0.02"/>
    <n v="35"/>
    <n v="35"/>
    <n v="18"/>
    <n v="18"/>
    <n v="17"/>
    <n v="17"/>
    <x v="1"/>
    <x v="3"/>
    <x v="0"/>
    <x v="3"/>
    <x v="3"/>
    <x v="6"/>
    <x v="0"/>
    <x v="0"/>
    <n v="2.8"/>
    <x v="4"/>
    <x v="0"/>
  </r>
  <r>
    <s v="PO-2026-00436"/>
    <s v="ORD-206615"/>
    <d v="2026-03-02T00:00:00"/>
    <d v="2026-03-25T00:00:00"/>
    <x v="20"/>
    <x v="8"/>
    <x v="8"/>
    <x v="7"/>
    <x v="1"/>
    <x v="1"/>
    <s v="SKU-ELE-282"/>
    <s v="Control Board"/>
    <n v="816.34"/>
    <s v="GHS"/>
    <n v="8.8999999999999996E-2"/>
    <n v="72.654259999999994"/>
    <n v="1500"/>
    <n v="1224510"/>
    <n v="1224510"/>
    <n v="108981.39"/>
    <n v="36"/>
    <n v="2.4E-2"/>
    <n v="21"/>
    <n v="21"/>
    <n v="23"/>
    <n v="23"/>
    <n v="-2"/>
    <n v="-2"/>
    <x v="2"/>
    <x v="0"/>
    <x v="2"/>
    <x v="1"/>
    <x v="2"/>
    <x v="0"/>
    <x v="4"/>
    <x v="0"/>
    <n v="4.8"/>
    <x v="1"/>
    <x v="4"/>
  </r>
  <r>
    <s v="PO-2026-00437"/>
    <s v="ORD-604123"/>
    <d v="2026-01-26T00:00:00"/>
    <d v="2026-02-16T00:00:00"/>
    <x v="23"/>
    <x v="0"/>
    <x v="0"/>
    <x v="0"/>
    <x v="0"/>
    <x v="0"/>
    <s v="SKU-MAC-129"/>
    <s v="Conveyor Belt"/>
    <n v="1417.19"/>
    <s v="USD"/>
    <n v="1"/>
    <n v="1417.19"/>
    <n v="300"/>
    <n v="425157"/>
    <n v="425157"/>
    <n v="425157"/>
    <n v="8"/>
    <n v="2.6700000000000002E-2"/>
    <s v=""/>
    <n v="25"/>
    <n v="21"/>
    <n v="21"/>
    <n v="4"/>
    <n v="4"/>
    <x v="1"/>
    <x v="5"/>
    <x v="3"/>
    <x v="1"/>
    <x v="5"/>
    <x v="5"/>
    <x v="0"/>
    <x v="0"/>
    <n v="3.7"/>
    <x v="3"/>
    <x v="5"/>
  </r>
  <r>
    <s v="PO-2026-00438"/>
    <s v="ORD-536800"/>
    <d v="2026-06-04T00:00:00"/>
    <d v="2026-06-16T00:00:00"/>
    <x v="39"/>
    <x v="4"/>
    <x v="4"/>
    <x v="4"/>
    <x v="1"/>
    <x v="1"/>
    <s v="SKU-ELE-410"/>
    <s v="LED Driver"/>
    <n v="2349.66"/>
    <s v="NGN"/>
    <n v="7.2999999999999996E-4"/>
    <n v="1.7152517999999999"/>
    <n v="200"/>
    <n v="469932"/>
    <n v="469932"/>
    <n v="343.05035999999996"/>
    <m/>
    <n v="0"/>
    <n v="20"/>
    <n v="20"/>
    <n v="12"/>
    <n v="12"/>
    <n v="8"/>
    <n v="8"/>
    <x v="4"/>
    <x v="0"/>
    <x v="2"/>
    <x v="4"/>
    <x v="2"/>
    <x v="5"/>
    <x v="3"/>
    <x v="0"/>
    <n v="2.8"/>
    <x v="4"/>
    <x v="5"/>
  </r>
  <r>
    <s v="PO-2026-00439"/>
    <s v="ORD-143694"/>
    <d v="2026-04-29T00:00:00"/>
    <d v="2026-05-07T00:00:00"/>
    <x v="116"/>
    <x v="11"/>
    <x v="11"/>
    <x v="8"/>
    <x v="1"/>
    <x v="5"/>
    <s v="SKU-RAW-367"/>
    <s v="Input Granules"/>
    <n v="799.03"/>
    <s v="GHS"/>
    <n v="8.8999999999999996E-2"/>
    <n v="71.113669999999999"/>
    <n v="1500"/>
    <n v="1198545"/>
    <n v="1198545"/>
    <n v="106670.50499999999"/>
    <n v="22"/>
    <n v="1.47E-2"/>
    <n v="13"/>
    <n v="13"/>
    <n v="8"/>
    <n v="8"/>
    <n v="5"/>
    <n v="5"/>
    <x v="0"/>
    <x v="3"/>
    <x v="1"/>
    <x v="0"/>
    <x v="2"/>
    <x v="6"/>
    <x v="2"/>
    <x v="0"/>
    <n v="4.0999999999999996"/>
    <x v="2"/>
    <x v="0"/>
  </r>
  <r>
    <s v="PO-2026-00440"/>
    <s v="ORD-621483"/>
    <d v="2026-02-14T00:00:00"/>
    <d v="2026-02-23T00:00:00"/>
    <x v="124"/>
    <x v="9"/>
    <x v="9"/>
    <x v="2"/>
    <x v="7"/>
    <x v="4"/>
    <s v="SKU-PAC-801"/>
    <s v="Shipping Carton"/>
    <s v=""/>
    <s v="KES"/>
    <n v="7.7000000000000002E-3"/>
    <s v=""/>
    <n v="1500"/>
    <n v="46560"/>
    <e v="#VALUE!"/>
    <n v="358.512"/>
    <n v="20"/>
    <n v="1.3299999999999999E-2"/>
    <n v="7"/>
    <n v="7"/>
    <n v="9"/>
    <n v="9"/>
    <n v="-2"/>
    <n v="-2"/>
    <x v="2"/>
    <x v="0"/>
    <x v="0"/>
    <x v="1"/>
    <x v="4"/>
    <x v="5"/>
    <x v="3"/>
    <x v="0"/>
    <n v="5"/>
    <x v="2"/>
    <x v="2"/>
  </r>
  <r>
    <s v="PO-2026-00441"/>
    <s v="ORD-323093"/>
    <d v="2026-04-27T00:00:00"/>
    <d v="2026-05-11T00:00:00"/>
    <x v="50"/>
    <x v="13"/>
    <x v="13"/>
    <x v="9"/>
    <x v="2"/>
    <x v="3"/>
    <s v="SKU-TEX-898"/>
    <s v="Uniform Material"/>
    <n v="239.23"/>
    <s v="KES"/>
    <n v="7.7000000000000002E-3"/>
    <n v="1.842071"/>
    <n v="250"/>
    <n v="59807.5"/>
    <n v="59807.5"/>
    <n v="460.51775000000004"/>
    <n v="8"/>
    <n v="3.2000000000000001E-2"/>
    <n v="12"/>
    <n v="12"/>
    <n v="14"/>
    <n v="14"/>
    <n v="-2"/>
    <n v="-2"/>
    <x v="2"/>
    <x v="0"/>
    <x v="4"/>
    <x v="2"/>
    <x v="1"/>
    <x v="4"/>
    <x v="5"/>
    <x v="0"/>
    <n v="2.5"/>
    <x v="3"/>
    <x v="4"/>
  </r>
  <r>
    <s v="PO-2026-00442"/>
    <s v="ORD-774080"/>
    <d v="2026-05-18T00:00:00"/>
    <d v="2026-06-02T00:00:00"/>
    <x v="63"/>
    <x v="6"/>
    <x v="6"/>
    <x v="1"/>
    <x v="2"/>
    <x v="1"/>
    <s v="SKU-ELE-375"/>
    <s v="LED Driver"/>
    <n v="1775.62"/>
    <s v="GHS"/>
    <n v="8.8999999999999996E-2"/>
    <n v="158.03017999999997"/>
    <n v="150"/>
    <n v="266343"/>
    <n v="266343"/>
    <n v="23704.526999999998"/>
    <n v="4"/>
    <n v="2.6700000000000002E-2"/>
    <n v="14"/>
    <n v="14"/>
    <n v="15"/>
    <n v="15"/>
    <n v="-1"/>
    <n v="-1"/>
    <x v="5"/>
    <x v="0"/>
    <x v="1"/>
    <x v="0"/>
    <x v="2"/>
    <x v="0"/>
    <x v="2"/>
    <x v="0"/>
    <n v="2.8"/>
    <x v="1"/>
    <x v="2"/>
  </r>
  <r>
    <s v="PO-2026-00443"/>
    <s v="ORD-647903"/>
    <d v="2026-03-01T00:00:00"/>
    <d v="2026-03-07T00:00:00"/>
    <x v="92"/>
    <x v="3"/>
    <x v="3"/>
    <x v="3"/>
    <x v="8"/>
    <x v="4"/>
    <s v="SKU-PAC-916"/>
    <s v="Shipping Carton"/>
    <n v="131.91"/>
    <s v="NGN"/>
    <n v="7.2999999999999996E-4"/>
    <n v="9.6294299999999999E-2"/>
    <n v="50"/>
    <s v=""/>
    <n v="6595.5"/>
    <s v=""/>
    <n v="0"/>
    <n v="0"/>
    <n v="28"/>
    <n v="28"/>
    <n v="6"/>
    <n v="6"/>
    <n v="22"/>
    <n v="22"/>
    <x v="1"/>
    <x v="0"/>
    <x v="1"/>
    <x v="3"/>
    <x v="2"/>
    <x v="1"/>
    <x v="2"/>
    <x v="0"/>
    <n v="1.7"/>
    <x v="3"/>
    <x v="0"/>
  </r>
  <r>
    <s v="PO-2026-00444"/>
    <s v="ORD-296406"/>
    <d v="2026-05-09T00:00:00"/>
    <d v="2026-05-22T00:00:00"/>
    <x v="63"/>
    <x v="1"/>
    <x v="1"/>
    <x v="1"/>
    <x v="2"/>
    <x v="1"/>
    <s v="SKU-ELE-935"/>
    <s v="Power Adapter"/>
    <n v="2994.48"/>
    <s v="EGP"/>
    <n v="1.9E-2"/>
    <n v="56.895119999999999"/>
    <n v="2000"/>
    <n v="5988960"/>
    <n v="5988960"/>
    <n v="113790.23999999999"/>
    <n v="0"/>
    <n v="0"/>
    <n v="23"/>
    <n v="23"/>
    <n v="13"/>
    <n v="13"/>
    <n v="10"/>
    <n v="10"/>
    <x v="4"/>
    <x v="0"/>
    <x v="1"/>
    <x v="3"/>
    <x v="3"/>
    <x v="2"/>
    <x v="0"/>
    <x v="0"/>
    <n v="1.3"/>
    <x v="2"/>
    <x v="0"/>
  </r>
  <r>
    <s v="PO-2026-00445"/>
    <s v="ORD-693477"/>
    <d v="2026-06-12T00:00:00"/>
    <d v="2026-06-24T00:00:00"/>
    <x v="128"/>
    <x v="3"/>
    <x v="3"/>
    <x v="3"/>
    <x v="2"/>
    <x v="3"/>
    <s v="SKU-TEX-498"/>
    <s v="Cotton Fabric"/>
    <n v="427.9"/>
    <s v="GHS"/>
    <n v="8.8999999999999996E-2"/>
    <n v="38.083099999999995"/>
    <n v="2000"/>
    <n v="855800"/>
    <n v="855800"/>
    <n v="76166.2"/>
    <n v="66"/>
    <n v="3.3000000000000002E-2"/>
    <n v="7"/>
    <n v="7"/>
    <n v="12"/>
    <n v="12"/>
    <n v="-5"/>
    <n v="-5"/>
    <x v="5"/>
    <x v="0"/>
    <x v="1"/>
    <x v="0"/>
    <x v="3"/>
    <x v="5"/>
    <x v="0"/>
    <x v="0"/>
    <n v="3"/>
    <x v="3"/>
    <x v="2"/>
  </r>
  <r>
    <s v="PO-2026-00446"/>
    <s v="ORD-934255"/>
    <d v="2026-02-04T00:00:00"/>
    <d v="2026-02-15T00:00:00"/>
    <x v="169"/>
    <x v="2"/>
    <x v="2"/>
    <x v="2"/>
    <x v="1"/>
    <x v="2"/>
    <s v="SKU-IND-954"/>
    <s v="Lubricant Drum"/>
    <n v="346.77"/>
    <s v="NGN"/>
    <n v="7.2999999999999996E-4"/>
    <n v="0.25314209999999998"/>
    <n v="1500"/>
    <n v="520155"/>
    <n v="520155"/>
    <n v="379.71314999999998"/>
    <n v="0"/>
    <n v="0"/>
    <s v=""/>
    <n v="13"/>
    <n v="11"/>
    <n v="11"/>
    <n v="2"/>
    <n v="2"/>
    <x v="3"/>
    <x v="0"/>
    <x v="1"/>
    <x v="4"/>
    <x v="5"/>
    <x v="0"/>
    <x v="4"/>
    <x v="0"/>
    <n v="2.6"/>
    <x v="3"/>
    <x v="0"/>
  </r>
  <r>
    <s v="PO-2026-00447"/>
    <s v="ORD-153693"/>
    <d v="2026-06-23T00:00:00"/>
    <d v="2026-06-26T00:00:00"/>
    <x v="162"/>
    <x v="9"/>
    <x v="9"/>
    <x v="2"/>
    <x v="1"/>
    <x v="4"/>
    <s v="SKU-PAC-971"/>
    <s v="Shipping Carton"/>
    <n v="494.34"/>
    <s v="KES"/>
    <n v="7.7000000000000002E-3"/>
    <n v="3.8064179999999999"/>
    <n v="1500"/>
    <n v="741510"/>
    <n v="741510"/>
    <n v="5709.6270000000004"/>
    <n v="-1"/>
    <n v="2.5999999999999999E-2"/>
    <n v="11"/>
    <n v="11"/>
    <n v="3"/>
    <n v="3"/>
    <n v="8"/>
    <n v="8"/>
    <x v="1"/>
    <x v="0"/>
    <x v="3"/>
    <x v="0"/>
    <x v="1"/>
    <x v="2"/>
    <x v="4"/>
    <x v="0"/>
    <n v="2.2999999999999998"/>
    <x v="4"/>
    <x v="5"/>
  </r>
  <r>
    <s v="PO-2026-00448"/>
    <s v="ORD-864668"/>
    <d v="2026-03-26T00:00:00"/>
    <d v="2026-04-05T00:00:00"/>
    <x v="149"/>
    <x v="2"/>
    <x v="2"/>
    <x v="2"/>
    <x v="3"/>
    <x v="2"/>
    <s v="SKU-IND-381"/>
    <s v="Filter Cartridge"/>
    <n v="499.4"/>
    <s v="USD"/>
    <n v="1"/>
    <n v="499.4"/>
    <n v="100"/>
    <n v="49940"/>
    <n v="49940"/>
    <n v="49940"/>
    <n v="7"/>
    <n v="7.0000000000000007E-2"/>
    <n v="5"/>
    <n v="5"/>
    <n v="10"/>
    <n v="10"/>
    <n v="-5"/>
    <n v="-5"/>
    <x v="2"/>
    <x v="2"/>
    <x v="2"/>
    <x v="4"/>
    <x v="3"/>
    <x v="0"/>
    <x v="5"/>
    <x v="5"/>
    <n v="2.2999999999999998"/>
    <x v="6"/>
    <x v="8"/>
  </r>
  <r>
    <s v="PO-2026-00449"/>
    <s v="ORD-449875"/>
    <d v="2026-03-02T00:00:00"/>
    <d v="2026-03-16T00:00:00"/>
    <x v="68"/>
    <x v="5"/>
    <x v="5"/>
    <x v="5"/>
    <x v="1"/>
    <x v="3"/>
    <s v="SKU-TEX-972"/>
    <s v="Uniform Material"/>
    <n v="291.64999999999998"/>
    <s v="KES"/>
    <n v="7.7000000000000002E-3"/>
    <n v="2.2457050000000001"/>
    <n v="100"/>
    <n v="29165"/>
    <n v="29164.999999999996"/>
    <n v="224.57050000000001"/>
    <n v="6"/>
    <n v="0.06"/>
    <n v="26"/>
    <n v="26"/>
    <n v="14"/>
    <n v="14"/>
    <n v="12"/>
    <n v="12"/>
    <x v="0"/>
    <x v="2"/>
    <x v="1"/>
    <x v="3"/>
    <x v="1"/>
    <x v="1"/>
    <x v="1"/>
    <x v="3"/>
    <n v="1.9"/>
    <x v="0"/>
    <x v="1"/>
  </r>
  <r>
    <s v="PO-2026-00450"/>
    <s v="ORD-344244"/>
    <d v="2026-01-23T00:00:00"/>
    <d v="2026-01-26T00:00:00"/>
    <x v="167"/>
    <x v="9"/>
    <x v="9"/>
    <x v="2"/>
    <x v="7"/>
    <x v="5"/>
    <s v="SKU-RAW-991"/>
    <s v="Chemical Additive"/>
    <n v="3.67"/>
    <s v="GHS"/>
    <n v="8.8999999999999996E-2"/>
    <n v="0.32662999999999998"/>
    <n v="1500"/>
    <n v="5505"/>
    <n v="5505"/>
    <n v="489.94499999999999"/>
    <n v="0"/>
    <n v="0"/>
    <n v="2"/>
    <n v="2"/>
    <n v="3"/>
    <n v="3"/>
    <n v="-1"/>
    <n v="-1"/>
    <x v="5"/>
    <x v="0"/>
    <x v="1"/>
    <x v="2"/>
    <x v="0"/>
    <x v="2"/>
    <x v="4"/>
    <x v="0"/>
    <n v="3.6"/>
    <x v="4"/>
    <x v="2"/>
  </r>
  <r>
    <s v="PO-2026-00451"/>
    <s v="ORD-350454"/>
    <d v="2026-03-16T00:00:00"/>
    <d v="2026-03-28T00:00:00"/>
    <x v="20"/>
    <x v="13"/>
    <x v="13"/>
    <x v="9"/>
    <x v="3"/>
    <x v="3"/>
    <s v="SKU-TEX-421"/>
    <s v="Uniform Material"/>
    <n v="282.47000000000003"/>
    <s v="NGN"/>
    <n v="7.2999999999999996E-4"/>
    <n v="0.2062031"/>
    <n v="500"/>
    <n v="141235"/>
    <n v="141235"/>
    <n v="103.10154999999999"/>
    <n v="3"/>
    <n v="6.0000000000000001E-3"/>
    <n v="7"/>
    <n v="7"/>
    <n v="12"/>
    <n v="12"/>
    <n v="-5"/>
    <n v="-5"/>
    <x v="5"/>
    <x v="0"/>
    <x v="0"/>
    <x v="2"/>
    <x v="0"/>
    <x v="2"/>
    <x v="2"/>
    <x v="0"/>
    <n v="3.3"/>
    <x v="3"/>
    <x v="2"/>
  </r>
  <r>
    <s v="PO-2026-00452"/>
    <s v="ORD-424971"/>
    <d v="2026-05-02T00:00:00"/>
    <d v="2026-05-12T00:00:00"/>
    <x v="3"/>
    <x v="12"/>
    <x v="12"/>
    <x v="2"/>
    <x v="8"/>
    <x v="4"/>
    <s v="SKU-PAC-413"/>
    <s v="Corrugated Box"/>
    <n v="573.37"/>
    <s v="NGN"/>
    <n v="7.2999999999999996E-4"/>
    <n v="0.41856009999999999"/>
    <n v="150"/>
    <n v="86005.5"/>
    <n v="86005.5"/>
    <n v="62.784014999999997"/>
    <n v="2"/>
    <n v="1.3299999999999999E-2"/>
    <n v="3"/>
    <n v="3"/>
    <n v="10"/>
    <n v="10"/>
    <n v="-7"/>
    <n v="-7"/>
    <x v="2"/>
    <x v="0"/>
    <x v="3"/>
    <x v="3"/>
    <x v="5"/>
    <x v="0"/>
    <x v="5"/>
    <x v="0"/>
    <n v="4.4000000000000004"/>
    <x v="1"/>
    <x v="4"/>
  </r>
  <r>
    <s v="PO-2026-00453"/>
    <s v="ORD-214673"/>
    <d v="2026-06-05T00:00:00"/>
    <d v="2026-06-18T00:00:00"/>
    <x v="67"/>
    <x v="2"/>
    <x v="2"/>
    <x v="2"/>
    <x v="3"/>
    <x v="2"/>
    <s v="SKU-IND-297"/>
    <s v="Welding Rod"/>
    <n v="769.74"/>
    <s v="USD"/>
    <n v="1"/>
    <n v="769.74"/>
    <n v="150"/>
    <n v="115461"/>
    <n v="115461"/>
    <n v="115461"/>
    <n v="0"/>
    <n v="0"/>
    <n v="13"/>
    <n v="13"/>
    <n v="13"/>
    <n v="13"/>
    <n v="0"/>
    <n v="0"/>
    <x v="2"/>
    <x v="0"/>
    <x v="3"/>
    <x v="1"/>
    <x v="0"/>
    <x v="2"/>
    <x v="2"/>
    <x v="0"/>
    <n v="4.7"/>
    <x v="2"/>
    <x v="4"/>
  </r>
  <r>
    <s v="PO-2026-00454"/>
    <s v="ORD-356631"/>
    <d v="2026-01-09T00:00:00"/>
    <d v="2026-01-10T00:00:00"/>
    <x v="170"/>
    <x v="9"/>
    <x v="9"/>
    <x v="2"/>
    <x v="2"/>
    <x v="4"/>
    <s v="SKU-PAC-943"/>
    <s v="Plastic Film Roll"/>
    <n v="370.76"/>
    <s v="USD"/>
    <n v="1"/>
    <n v="370.76"/>
    <n v="750"/>
    <n v="278070"/>
    <n v="278070"/>
    <n v="278070"/>
    <n v="15"/>
    <n v="0.02"/>
    <n v="6"/>
    <n v="6"/>
    <n v="1"/>
    <n v="1"/>
    <n v="5"/>
    <n v="5"/>
    <x v="1"/>
    <x v="0"/>
    <x v="0"/>
    <x v="2"/>
    <x v="3"/>
    <x v="0"/>
    <x v="2"/>
    <x v="0"/>
    <n v="4.8"/>
    <x v="4"/>
    <x v="0"/>
  </r>
  <r>
    <s v="PO-2026-00455"/>
    <s v="ORD-938110"/>
    <d v="2026-03-02T00:00:00"/>
    <d v="2026-03-09T00:00:00"/>
    <x v="85"/>
    <x v="9"/>
    <x v="9"/>
    <x v="2"/>
    <x v="3"/>
    <x v="1"/>
    <s v="SKU-ELE-414"/>
    <s v="LED Driver"/>
    <n v="2018.95"/>
    <s v="NGN"/>
    <n v="7.2999999999999996E-4"/>
    <n v="1.4738335"/>
    <n v="200"/>
    <n v="403790"/>
    <n v="403790"/>
    <n v="294.76669999999996"/>
    <n v="3"/>
    <n v="1.4999999999999999E-2"/>
    <n v="8"/>
    <n v="8"/>
    <n v="7"/>
    <n v="7"/>
    <n v="1"/>
    <n v="1"/>
    <x v="1"/>
    <x v="0"/>
    <x v="3"/>
    <x v="3"/>
    <x v="0"/>
    <x v="3"/>
    <x v="2"/>
    <x v="0"/>
    <n v="4.9000000000000004"/>
    <x v="3"/>
    <x v="5"/>
  </r>
  <r>
    <s v="PO-2026-00456"/>
    <s v="ORD-895117"/>
    <d v="2026-01-13T00:00:00"/>
    <d v="2026-01-30T00:00:00"/>
    <x v="106"/>
    <x v="8"/>
    <x v="8"/>
    <x v="7"/>
    <x v="4"/>
    <x v="1"/>
    <s v="SKU-ELE-421"/>
    <s v="Sensor Module"/>
    <n v="1256.52"/>
    <s v="NGN"/>
    <n v="7.2999999999999996E-4"/>
    <n v="0.91725959999999995"/>
    <n v="250"/>
    <n v="314130"/>
    <n v="314130"/>
    <n v="229.31489999999999"/>
    <n v="6"/>
    <n v="2.4E-2"/>
    <n v="16"/>
    <n v="16"/>
    <n v="17"/>
    <n v="17"/>
    <n v="-1"/>
    <n v="-1"/>
    <x v="2"/>
    <x v="0"/>
    <x v="1"/>
    <x v="3"/>
    <x v="3"/>
    <x v="4"/>
    <x v="3"/>
    <x v="0"/>
    <n v="3.6"/>
    <x v="5"/>
    <x v="2"/>
  </r>
  <r>
    <s v="PO-2026-00457"/>
    <s v="ORD-944135"/>
    <d v="2026-04-19T00:00:00"/>
    <d v="2026-04-27T00:00:00"/>
    <x v="117"/>
    <x v="9"/>
    <x v="9"/>
    <x v="2"/>
    <x v="2"/>
    <x v="5"/>
    <s v="SKU-RAW-849"/>
    <s v="Agro Binder"/>
    <n v="230.5"/>
    <s v="GHS"/>
    <n v="8.8999999999999996E-2"/>
    <n v="20.514499999999998"/>
    <n v="500"/>
    <n v="115250"/>
    <n v="115250"/>
    <n v="10257.25"/>
    <n v="5"/>
    <n v="0.01"/>
    <n v="12"/>
    <n v="12"/>
    <n v="8"/>
    <n v="8"/>
    <n v="4"/>
    <n v="4"/>
    <x v="0"/>
    <x v="0"/>
    <x v="1"/>
    <x v="5"/>
    <x v="5"/>
    <x v="0"/>
    <x v="5"/>
    <x v="0"/>
    <n v="3.6"/>
    <x v="5"/>
    <x v="0"/>
  </r>
  <r>
    <s v="PO-2026-00458"/>
    <s v="ORD-149100"/>
    <d v="2026-02-16T00:00:00"/>
    <d v="2026-02-28T00:00:00"/>
    <x v="125"/>
    <x v="6"/>
    <x v="6"/>
    <x v="1"/>
    <x v="8"/>
    <x v="1"/>
    <s v="SKU-ELE-625"/>
    <s v="Power Adapter"/>
    <n v="519.58000000000004"/>
    <s v="NGN"/>
    <n v="7.2999999999999996E-4"/>
    <n v="0.3792934"/>
    <n v="300"/>
    <n v="155874"/>
    <n v="155874"/>
    <n v="113.78801999999999"/>
    <n v="11"/>
    <n v="3.6700000000000003E-2"/>
    <n v="11"/>
    <n v="11"/>
    <n v="12"/>
    <n v="12"/>
    <n v="-1"/>
    <n v="-1"/>
    <x v="2"/>
    <x v="0"/>
    <x v="0"/>
    <x v="4"/>
    <x v="0"/>
    <x v="4"/>
    <x v="4"/>
    <x v="0"/>
    <n v="4"/>
    <x v="5"/>
    <x v="2"/>
  </r>
  <r>
    <s v="PO-2026-00459"/>
    <s v="ORD-187283"/>
    <d v="2026-05-04T00:00:00"/>
    <d v="2026-05-12T00:00:00"/>
    <x v="171"/>
    <x v="10"/>
    <x v="10"/>
    <x v="2"/>
    <x v="3"/>
    <x v="6"/>
    <s v="SKU-MET-526"/>
    <s v="Aluminium Sheet"/>
    <n v="1761.18"/>
    <s v="KES"/>
    <n v="7.7000000000000002E-3"/>
    <n v="13.561086000000001"/>
    <n v="1000"/>
    <n v="1761180"/>
    <n v="1761180"/>
    <n v="13561.086000000001"/>
    <n v="22"/>
    <n v="2.1999999999999999E-2"/>
    <n v="6"/>
    <n v="6"/>
    <n v="8"/>
    <n v="8"/>
    <n v="-2"/>
    <n v="-2"/>
    <x v="2"/>
    <x v="0"/>
    <x v="3"/>
    <x v="0"/>
    <x v="5"/>
    <x v="0"/>
    <x v="1"/>
    <x v="0"/>
    <n v="3.2"/>
    <x v="2"/>
    <x v="4"/>
  </r>
  <r>
    <s v="PO-2026-00460"/>
    <s v="ORD-170015"/>
    <d v="2026-04-21T00:00:00"/>
    <d v="2026-05-05T00:00:00"/>
    <x v="142"/>
    <x v="6"/>
    <x v="6"/>
    <x v="1"/>
    <x v="4"/>
    <x v="1"/>
    <s v="SKU-ELE-772"/>
    <s v="Control Board"/>
    <n v="1401.47"/>
    <s v="USD"/>
    <n v="1"/>
    <n v="1401.47"/>
    <n v="150"/>
    <n v="210220.5"/>
    <n v="210220.5"/>
    <n v="210220.5"/>
    <n v="-1"/>
    <n v="0.04"/>
    <n v="16"/>
    <n v="16"/>
    <n v="14"/>
    <n v="14"/>
    <n v="2"/>
    <n v="2"/>
    <x v="3"/>
    <x v="0"/>
    <x v="1"/>
    <x v="3"/>
    <x v="1"/>
    <x v="4"/>
    <x v="4"/>
    <x v="0"/>
    <n v="2.6"/>
    <x v="6"/>
    <x v="0"/>
  </r>
  <r>
    <s v="PO-2026-00461"/>
    <s v="ORD-473752"/>
    <d v="2026-04-30T00:00:00"/>
    <d v="2026-05-21T00:00:00"/>
    <x v="137"/>
    <x v="11"/>
    <x v="11"/>
    <x v="8"/>
    <x v="4"/>
    <x v="2"/>
    <s v="SKU-IND-905"/>
    <s v="Lubricant Drum"/>
    <n v="517.79999999999995"/>
    <s v="ZAR"/>
    <n v="6.0999999999999999E-2"/>
    <n v="31.585799999999995"/>
    <n v="250"/>
    <n v="129450"/>
    <n v="129449.99999999999"/>
    <n v="7896.45"/>
    <n v="2"/>
    <n v="8.0000000000000002E-3"/>
    <n v="15"/>
    <n v="15"/>
    <s v=""/>
    <n v="21"/>
    <n v="-6"/>
    <n v="-6"/>
    <x v="2"/>
    <x v="0"/>
    <x v="1"/>
    <x v="3"/>
    <x v="5"/>
    <x v="5"/>
    <x v="1"/>
    <x v="0"/>
    <n v="3"/>
    <x v="4"/>
    <x v="2"/>
  </r>
  <r>
    <s v="PO-2026-00462"/>
    <s v="ORD-785797"/>
    <d v="2026-05-10T00:00:00"/>
    <d v="2026-05-31T00:00:00"/>
    <x v="44"/>
    <x v="0"/>
    <x v="0"/>
    <x v="0"/>
    <x v="7"/>
    <x v="0"/>
    <s v="SKU-MAC-510"/>
    <s v="Bearing Set"/>
    <n v="3093.92"/>
    <s v="KES"/>
    <n v="7.7000000000000002E-3"/>
    <n v="23.823184000000001"/>
    <n v="2000"/>
    <n v="6187840"/>
    <n v="6187840"/>
    <n v="47646.368000000002"/>
    <n v="67"/>
    <n v="3.3500000000000002E-2"/>
    <s v=""/>
    <n v="17"/>
    <n v="21"/>
    <n v="21"/>
    <n v="-4"/>
    <n v="-4"/>
    <x v="2"/>
    <x v="0"/>
    <x v="2"/>
    <x v="1"/>
    <x v="2"/>
    <x v="3"/>
    <x v="3"/>
    <x v="0"/>
    <n v="4.5"/>
    <x v="4"/>
    <x v="4"/>
  </r>
  <r>
    <s v="PO-2026-00463"/>
    <s v="ORD-449396"/>
    <d v="2026-03-08T00:00:00"/>
    <d v="2026-03-26T00:00:00"/>
    <x v="7"/>
    <x v="8"/>
    <x v="8"/>
    <x v="7"/>
    <x v="5"/>
    <x v="1"/>
    <s v="SKU-ELE-574"/>
    <s v="Sensor Module"/>
    <n v="3245.49"/>
    <s v="NGN"/>
    <n v="7.2999999999999996E-4"/>
    <n v="2.3692076999999996"/>
    <n v="200"/>
    <n v="649098"/>
    <n v="649098"/>
    <n v="473.84153999999995"/>
    <n v="5"/>
    <n v="2.5000000000000001E-2"/>
    <n v="9"/>
    <n v="9"/>
    <n v="18"/>
    <n v="18"/>
    <n v="-9"/>
    <n v="-9"/>
    <x v="2"/>
    <x v="0"/>
    <x v="4"/>
    <x v="4"/>
    <x v="2"/>
    <x v="3"/>
    <x v="1"/>
    <x v="0"/>
    <n v="2.8"/>
    <x v="6"/>
    <x v="4"/>
  </r>
  <r>
    <s v="PO-2026-00464"/>
    <s v="ORD-631605"/>
    <d v="2026-05-19T00:00:00"/>
    <d v="2026-06-06T00:00:00"/>
    <x v="2"/>
    <x v="13"/>
    <x v="13"/>
    <x v="9"/>
    <x v="4"/>
    <x v="3"/>
    <s v="SKU-TEX-944"/>
    <s v="Uniform Material"/>
    <n v="593.5"/>
    <s v="NGN"/>
    <n v="7.2999999999999996E-4"/>
    <n v="0.433255"/>
    <n v="200"/>
    <n v="118700"/>
    <n v="118700"/>
    <n v="86.650999999999996"/>
    <n v="7"/>
    <n v="3.5000000000000003E-2"/>
    <n v="4"/>
    <n v="4"/>
    <n v="18"/>
    <n v="18"/>
    <n v="-14"/>
    <n v="-14"/>
    <x v="2"/>
    <x v="0"/>
    <x v="2"/>
    <x v="3"/>
    <x v="1"/>
    <x v="0"/>
    <x v="0"/>
    <x v="0"/>
    <n v="4.9000000000000004"/>
    <x v="5"/>
    <x v="4"/>
  </r>
  <r>
    <s v="PO-2026-00009"/>
    <s v="ORD-280849"/>
    <d v="2026-06-02T00:00:00"/>
    <d v="2026-06-17T00:00:00"/>
    <x v="114"/>
    <x v="4"/>
    <x v="4"/>
    <x v="4"/>
    <x v="6"/>
    <x v="2"/>
    <s v="SKU-IND-850"/>
    <s v="Filter Cartridge"/>
    <n v="830.39"/>
    <s v="ZAR"/>
    <n v="6.0999999999999999E-2"/>
    <n v="50.653790000000001"/>
    <n v="50"/>
    <n v="41519.5"/>
    <n v="41519.5"/>
    <n v="2532.6895"/>
    <n v="1"/>
    <n v="0.02"/>
    <n v="19"/>
    <n v="19"/>
    <n v="15"/>
    <n v="15"/>
    <n v="4"/>
    <n v="4"/>
    <x v="0"/>
    <x v="0"/>
    <x v="1"/>
    <x v="0"/>
    <x v="4"/>
    <x v="2"/>
    <x v="0"/>
    <x v="0"/>
    <n v="2.5"/>
    <x v="5"/>
    <x v="0"/>
  </r>
  <r>
    <s v="PO-2026-00466"/>
    <s v="ORD-484075"/>
    <d v="2026-01-11T00:00:00"/>
    <d v="2026-01-26T00:00:00"/>
    <x v="28"/>
    <x v="1"/>
    <x v="1"/>
    <x v="1"/>
    <x v="1"/>
    <x v="1"/>
    <s v="SKU-ELE-271"/>
    <s v="LED Driver"/>
    <n v="1163.08"/>
    <s v="EGP"/>
    <n v="1.9E-2"/>
    <n v="22.098519999999997"/>
    <n v="2000"/>
    <n v="2326160"/>
    <n v="2326160"/>
    <n v="44197.04"/>
    <n v="3"/>
    <n v="1.5E-3"/>
    <n v="13"/>
    <n v="13"/>
    <n v="15"/>
    <n v="15"/>
    <n v="-2"/>
    <n v="-2"/>
    <x v="2"/>
    <x v="5"/>
    <x v="1"/>
    <x v="4"/>
    <x v="0"/>
    <x v="3"/>
    <x v="5"/>
    <x v="0"/>
    <n v="3.8"/>
    <x v="6"/>
    <x v="2"/>
  </r>
  <r>
    <s v="PO-2026-00467"/>
    <s v="ORD-546699"/>
    <d v="2026-03-16T00:00:00"/>
    <d v="2026-04-02T00:00:00"/>
    <x v="148"/>
    <x v="1"/>
    <x v="1"/>
    <x v="1"/>
    <x v="2"/>
    <x v="1"/>
    <s v="SKU-ELE-669"/>
    <s v="Sensor Module"/>
    <n v="1608.57"/>
    <s v="GHS"/>
    <n v="8.8999999999999996E-2"/>
    <n v="143.16272999999998"/>
    <n v="100"/>
    <n v="160857"/>
    <n v="160857"/>
    <n v="14316.272999999999"/>
    <n v="1"/>
    <n v="0.01"/>
    <n v="20"/>
    <n v="20"/>
    <n v="17"/>
    <n v="17"/>
    <n v="3"/>
    <n v="3"/>
    <x v="1"/>
    <x v="0"/>
    <x v="0"/>
    <x v="5"/>
    <x v="0"/>
    <x v="4"/>
    <x v="0"/>
    <x v="0"/>
    <n v="3"/>
    <x v="3"/>
    <x v="9"/>
  </r>
  <r>
    <s v="PO-2026-00468"/>
    <s v="ORD-239722"/>
    <d v="2026-04-29T00:00:00"/>
    <d v="2026-05-06T00:00:00"/>
    <x v="139"/>
    <x v="11"/>
    <x v="11"/>
    <x v="8"/>
    <x v="5"/>
    <x v="4"/>
    <s v="SKU-PAC-609"/>
    <s v="Plastic Film Roll"/>
    <n v="562.76"/>
    <s v="KES"/>
    <n v="7.7000000000000002E-3"/>
    <n v="4.3332519999999999"/>
    <n v="1500"/>
    <n v="844140"/>
    <n v="844140"/>
    <n v="6499.8780000000006"/>
    <n v="54"/>
    <n v="3.5999999999999997E-2"/>
    <n v="4"/>
    <n v="4"/>
    <n v="7"/>
    <n v="7"/>
    <n v="-3"/>
    <n v="-3"/>
    <x v="2"/>
    <x v="0"/>
    <x v="1"/>
    <x v="5"/>
    <x v="0"/>
    <x v="0"/>
    <x v="3"/>
    <x v="0"/>
    <n v="2.4"/>
    <x v="4"/>
    <x v="2"/>
  </r>
  <r>
    <s v="PO-2026-00469"/>
    <s v="ORD-436100"/>
    <d v="2026-01-04T00:00:00"/>
    <d v="2026-01-20T00:00:00"/>
    <x v="135"/>
    <x v="8"/>
    <x v="8"/>
    <x v="7"/>
    <x v="6"/>
    <x v="6"/>
    <s v="SKU-MET-141"/>
    <s v="Aluminium Sheet"/>
    <n v="145.33000000000001"/>
    <s v="KES"/>
    <n v="7.7000000000000002E-3"/>
    <n v="1.1190410000000002"/>
    <n v="2000"/>
    <n v="290660"/>
    <n v="290660"/>
    <n v="2238.0819999999999"/>
    <n v="5"/>
    <n v="2.5000000000000001E-3"/>
    <n v="19"/>
    <n v="19"/>
    <n v="16"/>
    <n v="16"/>
    <n v="3"/>
    <n v="3"/>
    <x v="3"/>
    <x v="0"/>
    <x v="1"/>
    <x v="1"/>
    <x v="3"/>
    <x v="2"/>
    <x v="2"/>
    <x v="0"/>
    <n v="4.4000000000000004"/>
    <x v="2"/>
    <x v="0"/>
  </r>
  <r>
    <s v="PO-2026-00470"/>
    <s v="ORD-670047"/>
    <d v="2026-05-28T00:00:00"/>
    <d v="2026-06-04T00:00:00"/>
    <x v="163"/>
    <x v="9"/>
    <x v="9"/>
    <x v="2"/>
    <x v="0"/>
    <x v="4"/>
    <s v="SKU-PAC-707"/>
    <s v="Shipping Carton"/>
    <n v="425.12"/>
    <s v="USD"/>
    <n v="1"/>
    <n v="425.12"/>
    <n v="300"/>
    <n v="127536"/>
    <n v="127536"/>
    <n v="127536"/>
    <n v="8"/>
    <n v="2.6700000000000002E-2"/>
    <n v="7"/>
    <n v="7"/>
    <s v=""/>
    <n v="7"/>
    <n v="0"/>
    <n v="0"/>
    <x v="2"/>
    <x v="0"/>
    <x v="1"/>
    <x v="3"/>
    <x v="2"/>
    <x v="5"/>
    <x v="2"/>
    <x v="0"/>
    <n v="4.7"/>
    <x v="2"/>
    <x v="2"/>
  </r>
  <r>
    <s v="PO-2026-00471"/>
    <s v="ORD-142657"/>
    <d v="2026-03-25T00:00:00"/>
    <d v="2026-03-28T00:00:00"/>
    <x v="165"/>
    <x v="11"/>
    <x v="11"/>
    <x v="8"/>
    <x v="2"/>
    <x v="5"/>
    <s v="SKU-RAW-299"/>
    <s v="Polymer Resin"/>
    <n v="701.08"/>
    <s v="NGN"/>
    <n v="7.2999999999999996E-4"/>
    <n v="0.51178840000000003"/>
    <n v="250"/>
    <n v="175270"/>
    <n v="175270"/>
    <n v="127.94709999999999"/>
    <n v="4"/>
    <n v="1.6E-2"/>
    <n v="9"/>
    <n v="9"/>
    <n v="3"/>
    <n v="3"/>
    <n v="6"/>
    <n v="6"/>
    <x v="4"/>
    <x v="0"/>
    <x v="3"/>
    <x v="2"/>
    <x v="0"/>
    <x v="6"/>
    <x v="1"/>
    <x v="0"/>
    <n v="1.6"/>
    <x v="6"/>
    <x v="5"/>
  </r>
  <r>
    <s v="PO-2026-00472"/>
    <s v="ORD-906538"/>
    <d v="2026-06-16T00:00:00"/>
    <d v="2026-06-28T00:00:00"/>
    <x v="67"/>
    <x v="10"/>
    <x v="10"/>
    <x v="2"/>
    <x v="3"/>
    <x v="6"/>
    <s v="SKU-MET-719"/>
    <s v="Steel Coil"/>
    <n v="1083.73"/>
    <s v="EGP"/>
    <n v="1.9E-2"/>
    <n v="20.590869999999999"/>
    <n v="750"/>
    <n v="812797.5"/>
    <n v="812797.5"/>
    <n v="15443.1525"/>
    <n v="23"/>
    <n v="3.0700000000000002E-2"/>
    <n v="2"/>
    <n v="2"/>
    <n v="12"/>
    <n v="12"/>
    <n v="-10"/>
    <n v="-10"/>
    <x v="5"/>
    <x v="0"/>
    <x v="1"/>
    <x v="3"/>
    <x v="4"/>
    <x v="0"/>
    <x v="0"/>
    <x v="0"/>
    <n v="3.5"/>
    <x v="6"/>
    <x v="2"/>
  </r>
  <r>
    <s v="PO-2026-00473"/>
    <s v="ORD-610520"/>
    <d v="2026-04-20T00:00:00"/>
    <d v="2026-05-04T00:00:00"/>
    <x v="139"/>
    <x v="2"/>
    <x v="2"/>
    <x v="2"/>
    <x v="0"/>
    <x v="2"/>
    <s v="SKU-IND-884"/>
    <s v="Safety Gloves"/>
    <n v="482.17"/>
    <s v="KES"/>
    <n v="7.7000000000000002E-3"/>
    <n v="3.7127090000000003"/>
    <n v="1500"/>
    <n v="0"/>
    <n v="723255"/>
    <n v="0"/>
    <n v="64"/>
    <n v="4.2700000000000002E-2"/>
    <n v="13"/>
    <n v="13"/>
    <n v="14"/>
    <n v="14"/>
    <n v="-1"/>
    <n v="-1"/>
    <x v="2"/>
    <x v="2"/>
    <x v="1"/>
    <x v="1"/>
    <x v="2"/>
    <x v="0"/>
    <x v="2"/>
    <x v="5"/>
    <n v="2.1"/>
    <x v="2"/>
    <x v="3"/>
  </r>
  <r>
    <s v="PO-2026-00474"/>
    <s v="ORD-155286"/>
    <d v="2026-04-01T00:00:00"/>
    <d v="2026-04-14T00:00:00"/>
    <x v="84"/>
    <x v="4"/>
    <x v="4"/>
    <x v="4"/>
    <x v="0"/>
    <x v="0"/>
    <s v="SKU-MAC-319"/>
    <s v="Bearing Set"/>
    <n v="1353.96"/>
    <s v="KES"/>
    <n v="7.7000000000000002E-3"/>
    <n v="10.425492"/>
    <n v="250"/>
    <n v="338490"/>
    <n v="338490"/>
    <n v="2606.373"/>
    <n v="3"/>
    <n v="1.2E-2"/>
    <n v="10"/>
    <n v="10"/>
    <n v="13"/>
    <n v="13"/>
    <n v="-3"/>
    <n v="-3"/>
    <x v="5"/>
    <x v="0"/>
    <x v="0"/>
    <x v="5"/>
    <x v="2"/>
    <x v="0"/>
    <x v="5"/>
    <x v="0"/>
    <n v="4.5999999999999996"/>
    <x v="0"/>
    <x v="11"/>
  </r>
  <r>
    <s v="PO-2026-00475"/>
    <s v="ORD-973281"/>
    <d v="2026-06-27T00:00:00"/>
    <d v="2026-07-11T00:00:00"/>
    <x v="172"/>
    <x v="8"/>
    <x v="8"/>
    <x v="7"/>
    <x v="2"/>
    <x v="5"/>
    <s v="SKU-RAW-677"/>
    <s v="Input Granules"/>
    <n v="819.81"/>
    <s v="KES"/>
    <n v="7.7000000000000002E-3"/>
    <n v="6.3125369999999998"/>
    <n v="50"/>
    <n v="40990.5"/>
    <n v="40990.5"/>
    <n v="315.62684999999999"/>
    <n v="62"/>
    <n v="0"/>
    <n v="19"/>
    <n v="19"/>
    <n v="14"/>
    <n v="14"/>
    <n v="5"/>
    <n v="5"/>
    <x v="0"/>
    <x v="0"/>
    <x v="0"/>
    <x v="5"/>
    <x v="4"/>
    <x v="0"/>
    <x v="2"/>
    <x v="0"/>
    <n v="3.6"/>
    <x v="6"/>
    <x v="0"/>
  </r>
  <r>
    <s v="PO-2026-00476"/>
    <s v="ORD-687251"/>
    <d v="2026-03-27T00:00:00"/>
    <d v="2026-03-30T00:00:00"/>
    <x v="47"/>
    <x v="9"/>
    <x v="9"/>
    <x v="2"/>
    <x v="4"/>
    <x v="4"/>
    <s v="SKU-PAC-147"/>
    <s v="Corrugated Box"/>
    <n v="19.14"/>
    <s v="EGP"/>
    <n v="1.9E-2"/>
    <n v="0.36365999999999998"/>
    <n v="1000"/>
    <n v="19140"/>
    <n v="19140"/>
    <n v="363.65999999999997"/>
    <n v="0"/>
    <n v="0"/>
    <n v="0"/>
    <n v="0"/>
    <n v="3"/>
    <n v="3"/>
    <n v="-3"/>
    <n v="-3"/>
    <x v="2"/>
    <x v="0"/>
    <x v="0"/>
    <x v="5"/>
    <x v="3"/>
    <x v="3"/>
    <x v="2"/>
    <x v="0"/>
    <n v="4.4000000000000004"/>
    <x v="3"/>
    <x v="11"/>
  </r>
  <r>
    <s v="PO-2026-00477"/>
    <s v="ORD-882841"/>
    <d v="2026-02-14T00:00:00"/>
    <d v="2026-02-19T00:00:00"/>
    <x v="103"/>
    <x v="12"/>
    <x v="12"/>
    <x v="2"/>
    <x v="6"/>
    <x v="4"/>
    <s v="SKU-PAC-605"/>
    <s v="Bottle Caps"/>
    <n v="838.38"/>
    <s v="KES"/>
    <n v="7.7000000000000002E-3"/>
    <n v="6.4555259999999999"/>
    <n v="50"/>
    <n v="41919"/>
    <n v="41919"/>
    <n v="322.77629999999999"/>
    <n v="0"/>
    <n v="0"/>
    <n v="2"/>
    <n v="2"/>
    <n v="5"/>
    <n v="5"/>
    <n v="-3"/>
    <n v="-3"/>
    <x v="5"/>
    <x v="0"/>
    <x v="3"/>
    <x v="1"/>
    <x v="3"/>
    <x v="2"/>
    <x v="4"/>
    <x v="0"/>
    <n v="3.2"/>
    <x v="3"/>
    <x v="4"/>
  </r>
  <r>
    <s v="PO-2026-00478"/>
    <s v="ORD-520621"/>
    <d v="2026-01-09T00:00:00"/>
    <d v="2026-01-23T00:00:00"/>
    <x v="108"/>
    <x v="5"/>
    <x v="5"/>
    <x v="5"/>
    <x v="1"/>
    <x v="3"/>
    <s v="SKU-TEX-276"/>
    <s v="Polyester Roll"/>
    <n v="692.85"/>
    <s v="ZAR"/>
    <n v="6.0999999999999999E-2"/>
    <n v="42.263849999999998"/>
    <n v="500"/>
    <n v="346425"/>
    <n v="346425"/>
    <n v="21131.924999999999"/>
    <n v="0"/>
    <n v="0"/>
    <n v="17"/>
    <n v="17"/>
    <n v="14"/>
    <n v="14"/>
    <n v="3"/>
    <n v="3"/>
    <x v="3"/>
    <x v="0"/>
    <x v="4"/>
    <x v="1"/>
    <x v="3"/>
    <x v="4"/>
    <x v="5"/>
    <x v="0"/>
    <n v="5"/>
    <x v="6"/>
    <x v="5"/>
  </r>
  <r>
    <s v="PO-2026-00479"/>
    <s v="ORD-929838"/>
    <d v="2026-06-21T00:00:00"/>
    <d v="2026-04-17T00:00:00"/>
    <x v="173"/>
    <x v="6"/>
    <x v="6"/>
    <x v="1"/>
    <x v="6"/>
    <x v="1"/>
    <s v="SKU-ELE-434"/>
    <s v="Power Adapter"/>
    <n v="1046.44"/>
    <s v="KES"/>
    <n v="7.7000000000000002E-3"/>
    <n v="8.0575880000000009"/>
    <n v="750"/>
    <n v="784830"/>
    <n v="784830"/>
    <n v="6043.1909999999998"/>
    <n v="0"/>
    <n v="0"/>
    <n v="24"/>
    <n v="24"/>
    <s v=""/>
    <n v="8"/>
    <n v="16"/>
    <n v="8"/>
    <x v="1"/>
    <x v="0"/>
    <x v="1"/>
    <x v="2"/>
    <x v="3"/>
    <x v="0"/>
    <x v="4"/>
    <x v="0"/>
    <n v="1.3"/>
    <x v="0"/>
    <x v="0"/>
  </r>
  <r>
    <s v="PO-2026-00480"/>
    <s v="ORD-808220"/>
    <d v="2026-06-24T00:00:00"/>
    <d v="2026-07-14T00:00:00"/>
    <x v="43"/>
    <x v="8"/>
    <x v="8"/>
    <x v="7"/>
    <x v="0"/>
    <x v="2"/>
    <s v="SKU-IND-957"/>
    <s v="Welding Rod"/>
    <n v="312.10000000000002"/>
    <s v="EGP"/>
    <n v="1.9E-2"/>
    <n v="5.9298999999999999"/>
    <n v="50"/>
    <n v="15605"/>
    <n v="15605.000000000002"/>
    <n v="296.495"/>
    <n v="1"/>
    <n v="0.02"/>
    <n v="15"/>
    <n v="15"/>
    <n v="20"/>
    <n v="20"/>
    <n v="-5"/>
    <n v="-5"/>
    <x v="5"/>
    <x v="0"/>
    <x v="2"/>
    <x v="4"/>
    <x v="2"/>
    <x v="5"/>
    <x v="2"/>
    <x v="0"/>
    <n v="3.7"/>
    <x v="3"/>
    <x v="4"/>
  </r>
  <r>
    <s v="PO-2026-00481"/>
    <s v="ORD-683871"/>
    <d v="2026-04-03T00:00:00"/>
    <d v="2026-04-17T00:00:00"/>
    <x v="157"/>
    <x v="1"/>
    <x v="1"/>
    <x v="1"/>
    <x v="5"/>
    <x v="4"/>
    <s v="SKU-PAC-439"/>
    <s v="Bottle Caps"/>
    <n v="164.6"/>
    <s v="NGN"/>
    <n v="7.2999999999999996E-4"/>
    <n v="0.12015799999999999"/>
    <n v="750"/>
    <n v="123450"/>
    <n v="123450"/>
    <n v="90.118499999999997"/>
    <n v="34"/>
    <n v="4.53E-2"/>
    <n v="29"/>
    <n v="29"/>
    <n v="14"/>
    <n v="14"/>
    <n v="15"/>
    <n v="15"/>
    <x v="0"/>
    <x v="4"/>
    <x v="2"/>
    <x v="5"/>
    <x v="5"/>
    <x v="5"/>
    <x v="2"/>
    <x v="5"/>
    <n v="1.8"/>
    <x v="4"/>
    <x v="6"/>
  </r>
  <r>
    <s v="PO-2026-00482"/>
    <s v="ORD-231290"/>
    <d v="2026-04-22T00:00:00"/>
    <d v="2026-05-10T00:00:00"/>
    <x v="142"/>
    <x v="7"/>
    <x v="7"/>
    <x v="6"/>
    <x v="0"/>
    <x v="2"/>
    <s v="SKU-IND-367"/>
    <s v="Lubricant Drum"/>
    <n v="602.89"/>
    <s v="NGN"/>
    <n v="7.2999999999999996E-4"/>
    <n v="0.44010969999999999"/>
    <n v="150"/>
    <n v="90433.5"/>
    <n v="90433.5"/>
    <n v="66.016454999999993"/>
    <n v="6"/>
    <n v="0.04"/>
    <n v="15"/>
    <n v="15"/>
    <n v="18"/>
    <n v="18"/>
    <n v="-3"/>
    <n v="-3"/>
    <x v="2"/>
    <x v="0"/>
    <x v="4"/>
    <x v="4"/>
    <x v="1"/>
    <x v="6"/>
    <x v="5"/>
    <x v="0"/>
    <n v="3.9"/>
    <x v="4"/>
    <x v="4"/>
  </r>
  <r>
    <s v="PO-2026-00483"/>
    <s v="ORD-431682"/>
    <d v="2026-04-01T00:00:00"/>
    <d v="2026-04-08T00:00:00"/>
    <x v="148"/>
    <x v="10"/>
    <x v="10"/>
    <x v="2"/>
    <x v="6"/>
    <x v="6"/>
    <s v="SKU-MET-206"/>
    <s v="Aluminium Sheet"/>
    <n v="1248.92"/>
    <s v="EGP"/>
    <n v="1.9E-2"/>
    <n v="23.729480000000002"/>
    <n v="300"/>
    <n v="374676"/>
    <n v="374676"/>
    <n v="7118.8440000000001"/>
    <n v="0"/>
    <n v="0"/>
    <n v="4"/>
    <n v="4"/>
    <n v="7"/>
    <n v="7"/>
    <n v="-3"/>
    <n v="-3"/>
    <x v="2"/>
    <x v="0"/>
    <x v="0"/>
    <x v="3"/>
    <x v="2"/>
    <x v="3"/>
    <x v="3"/>
    <x v="0"/>
    <n v="2.5"/>
    <x v="5"/>
    <x v="2"/>
  </r>
  <r>
    <s v="PO-2026-00484"/>
    <s v="ORD-911885"/>
    <d v="2026-01-01T00:00:00"/>
    <d v="2026-01-12T00:00:00"/>
    <x v="143"/>
    <x v="2"/>
    <x v="2"/>
    <x v="2"/>
    <x v="5"/>
    <x v="0"/>
    <s v="SKU-MAC-571"/>
    <s v="Hydraulic Hose"/>
    <n v="747.98"/>
    <s v="KES"/>
    <n v="7.7000000000000002E-3"/>
    <n v="5.7594460000000005"/>
    <n v="500"/>
    <n v="373990"/>
    <n v="373990"/>
    <n v="2879.723"/>
    <n v="32"/>
    <n v="6.4000000000000001E-2"/>
    <n v="16"/>
    <n v="16"/>
    <n v="11"/>
    <n v="11"/>
    <n v="5"/>
    <n v="5"/>
    <x v="1"/>
    <x v="4"/>
    <x v="0"/>
    <x v="2"/>
    <x v="2"/>
    <x v="0"/>
    <x v="0"/>
    <x v="4"/>
    <n v="1.2"/>
    <x v="0"/>
    <x v="1"/>
  </r>
  <r>
    <s v="PO-2026-00485"/>
    <s v="ORD-800133"/>
    <d v="2026-05-17T00:00:00"/>
    <d v="2026-06-03T00:00:00"/>
    <x v="63"/>
    <x v="5"/>
    <x v="5"/>
    <x v="5"/>
    <x v="3"/>
    <x v="3"/>
    <s v="SKU-TEX-137"/>
    <s v="Uniform Material"/>
    <n v="678.06"/>
    <s v="USD"/>
    <n v="1"/>
    <n v="678.06"/>
    <n v="1000"/>
    <n v="678060"/>
    <n v="678060"/>
    <n v="678060"/>
    <n v="57"/>
    <n v="5.7000000000000002E-2"/>
    <n v="15"/>
    <n v="15"/>
    <n v="17"/>
    <n v="17"/>
    <n v="-2"/>
    <n v="-2"/>
    <x v="2"/>
    <x v="4"/>
    <x v="0"/>
    <x v="0"/>
    <x v="5"/>
    <x v="6"/>
    <x v="0"/>
    <x v="1"/>
    <n v="1.8"/>
    <x v="2"/>
    <x v="3"/>
  </r>
  <r>
    <s v="PO-2026-00486"/>
    <s v="ORD-952363"/>
    <d v="2026-02-11T00:00:00"/>
    <d v="2026-02-18T00:00:00"/>
    <x v="119"/>
    <x v="2"/>
    <x v="2"/>
    <x v="2"/>
    <x v="6"/>
    <x v="0"/>
    <s v="SKU-MAC-151"/>
    <s v="Bearing Set"/>
    <n v="317.04000000000002"/>
    <s v="NGN"/>
    <n v="7.2999999999999996E-4"/>
    <n v="0.23143920000000001"/>
    <n v="50"/>
    <s v=""/>
    <n v="15852.000000000002"/>
    <s v=""/>
    <n v="0"/>
    <n v="0"/>
    <n v="3"/>
    <n v="3"/>
    <n v="7"/>
    <n v="7"/>
    <n v="-4"/>
    <n v="-4"/>
    <x v="2"/>
    <x v="0"/>
    <x v="1"/>
    <x v="0"/>
    <x v="0"/>
    <x v="0"/>
    <x v="4"/>
    <x v="0"/>
    <n v="2.2999999999999998"/>
    <x v="6"/>
    <x v="2"/>
  </r>
  <r>
    <s v="PO-2026-00487"/>
    <s v="ORD-401400"/>
    <d v="2026-04-05T00:00:00"/>
    <d v="2026-04-24T00:00:00"/>
    <x v="59"/>
    <x v="0"/>
    <x v="0"/>
    <x v="0"/>
    <x v="2"/>
    <x v="0"/>
    <s v="SKU-MAC-479"/>
    <s v="Hydraulic Hose"/>
    <n v="1774.55"/>
    <s v="USD"/>
    <n v="1"/>
    <n v="1774.55"/>
    <n v="100"/>
    <n v="177455"/>
    <n v="177455"/>
    <n v="177455"/>
    <n v="0"/>
    <n v="0"/>
    <n v="18"/>
    <n v="18"/>
    <n v="19"/>
    <n v="19"/>
    <n v="-1"/>
    <n v="-1"/>
    <x v="2"/>
    <x v="0"/>
    <x v="1"/>
    <x v="5"/>
    <x v="4"/>
    <x v="2"/>
    <x v="4"/>
    <x v="0"/>
    <n v="4.3"/>
    <x v="1"/>
    <x v="2"/>
  </r>
  <r>
    <s v="PO-2026-00488"/>
    <s v="ORD-101757"/>
    <d v="2026-03-31T00:00:00"/>
    <d v="2026-04-18T00:00:00"/>
    <x v="32"/>
    <x v="6"/>
    <x v="6"/>
    <x v="1"/>
    <x v="1"/>
    <x v="1"/>
    <s v="SKU-ELE-578"/>
    <s v="LED Driver"/>
    <n v="1025.04"/>
    <s v="KES"/>
    <n v="7.7000000000000002E-3"/>
    <n v="7.8928079999999996"/>
    <n v="200"/>
    <n v="205008"/>
    <n v="205008"/>
    <n v="1578.5616"/>
    <n v="3"/>
    <n v="1.4999999999999999E-2"/>
    <n v="2"/>
    <n v="2"/>
    <n v="18"/>
    <n v="18"/>
    <n v="-16"/>
    <n v="-16"/>
    <x v="2"/>
    <x v="0"/>
    <x v="0"/>
    <x v="1"/>
    <x v="3"/>
    <x v="1"/>
    <x v="3"/>
    <x v="0"/>
    <n v="2.9"/>
    <x v="4"/>
    <x v="2"/>
  </r>
  <r>
    <s v="PO-2026-00489"/>
    <s v="ORD-755960"/>
    <d v="2026-02-13T00:00:00"/>
    <d v="2026-03-01T00:00:00"/>
    <x v="1"/>
    <x v="1"/>
    <x v="1"/>
    <x v="1"/>
    <x v="1"/>
    <x v="1"/>
    <s v="SKU-ELE-558"/>
    <s v="Sensor Module"/>
    <n v="3073.37"/>
    <s v="KES"/>
    <n v="7.7000000000000002E-3"/>
    <n v="23.664949"/>
    <n v="75"/>
    <n v="230502.75"/>
    <n v="230502.75"/>
    <n v="1774.871175"/>
    <n v="4"/>
    <n v="5.33E-2"/>
    <n v="16"/>
    <n v="16"/>
    <n v="16"/>
    <n v="16"/>
    <n v="0"/>
    <n v="0"/>
    <x v="2"/>
    <x v="1"/>
    <x v="4"/>
    <x v="5"/>
    <x v="1"/>
    <x v="2"/>
    <x v="5"/>
    <x v="4"/>
    <n v="3"/>
    <x v="5"/>
    <x v="14"/>
  </r>
  <r>
    <s v="PO-2026-00490"/>
    <s v="ORD-127824"/>
    <d v="2026-03-22T00:00:00"/>
    <d v="2026-04-04T00:00:00"/>
    <x v="41"/>
    <x v="1"/>
    <x v="1"/>
    <x v="1"/>
    <x v="1"/>
    <x v="1"/>
    <s v="SKU-ELE-403"/>
    <s v="Sensor Module"/>
    <n v="733.67"/>
    <s v="USD"/>
    <n v="1"/>
    <n v="733.67"/>
    <n v="50"/>
    <n v="36683.5"/>
    <n v="36683.5"/>
    <n v="36683.5"/>
    <n v="1"/>
    <n v="0.02"/>
    <n v="15"/>
    <n v="15"/>
    <s v=""/>
    <n v="13"/>
    <n v="2"/>
    <n v="2"/>
    <x v="1"/>
    <x v="0"/>
    <x v="0"/>
    <x v="5"/>
    <x v="3"/>
    <x v="3"/>
    <x v="2"/>
    <x v="0"/>
    <n v="3.1"/>
    <x v="1"/>
    <x v="0"/>
  </r>
  <r>
    <s v="PO-2026-00406"/>
    <s v="ORD-550893"/>
    <d v="2026-03-11T00:00:00"/>
    <d v="2026-03-22T00:00:00"/>
    <x v="18"/>
    <x v="12"/>
    <x v="12"/>
    <x v="2"/>
    <x v="1"/>
    <x v="4"/>
    <s v="SKU-PAC-239"/>
    <s v="Bottle Caps"/>
    <n v="385.13"/>
    <s v="USD"/>
    <n v="1"/>
    <n v="385.13"/>
    <n v="50"/>
    <n v="19256.5"/>
    <n v="19256.5"/>
    <n v="19256.5"/>
    <n v="4"/>
    <n v="0.08"/>
    <n v="7"/>
    <n v="7"/>
    <n v="11"/>
    <n v="11"/>
    <n v="-4"/>
    <n v="-4"/>
    <x v="2"/>
    <x v="1"/>
    <x v="1"/>
    <x v="3"/>
    <x v="0"/>
    <x v="0"/>
    <x v="2"/>
    <x v="2"/>
    <n v="2"/>
    <x v="1"/>
    <x v="3"/>
  </r>
  <r>
    <s v="PO-2026-00492"/>
    <s v="ORD-402946"/>
    <d v="2026-03-16T00:00:00"/>
    <d v="2026-04-04T00:00:00"/>
    <x v="144"/>
    <x v="5"/>
    <x v="5"/>
    <x v="5"/>
    <x v="5"/>
    <x v="3"/>
    <s v="SKU-TEX-126"/>
    <s v="Polyester Roll"/>
    <n v="760.7"/>
    <s v="ZAR"/>
    <n v="6.0999999999999999E-2"/>
    <n v="46.402700000000003"/>
    <n v="1000"/>
    <n v="760700"/>
    <n v="760700"/>
    <n v="46402.7"/>
    <n v="63"/>
    <n v="6.3E-2"/>
    <n v="16"/>
    <n v="16"/>
    <n v="19"/>
    <n v="19"/>
    <n v="-3"/>
    <n v="-3"/>
    <x v="2"/>
    <x v="1"/>
    <x v="2"/>
    <x v="3"/>
    <x v="2"/>
    <x v="0"/>
    <x v="1"/>
    <x v="4"/>
    <n v="1.6"/>
    <x v="0"/>
    <x v="8"/>
  </r>
  <r>
    <s v="PO-2026-00493"/>
    <s v="ORD-252024"/>
    <d v="2026-01-26T00:00:00"/>
    <d v="2026-02-04T00:00:00"/>
    <x v="40"/>
    <x v="12"/>
    <x v="12"/>
    <x v="2"/>
    <x v="6"/>
    <x v="4"/>
    <s v="SKU-PAC-867"/>
    <s v="Plastic Film Roll"/>
    <n v="343.83"/>
    <s v="NGN"/>
    <n v="7.2999999999999996E-4"/>
    <n v="0.25099589999999999"/>
    <n v="500"/>
    <n v="171915"/>
    <n v="171915"/>
    <n v="125.49794999999999"/>
    <n v="11"/>
    <n v="2.1999999999999999E-2"/>
    <n v="16"/>
    <n v="16"/>
    <n v="9"/>
    <n v="9"/>
    <n v="7"/>
    <n v="7"/>
    <x v="0"/>
    <x v="0"/>
    <x v="0"/>
    <x v="5"/>
    <x v="0"/>
    <x v="4"/>
    <x v="5"/>
    <x v="0"/>
    <n v="2.7"/>
    <x v="6"/>
    <x v="0"/>
  </r>
  <r>
    <s v="PO-2026-00494"/>
    <s v="ORD-582550"/>
    <d v="2026-05-25T00:00:00"/>
    <d v="2026-06-05T00:00:00"/>
    <x v="154"/>
    <x v="13"/>
    <x v="13"/>
    <x v="9"/>
    <x v="8"/>
    <x v="3"/>
    <s v="SKU-TEX-390"/>
    <s v="Uniform Material"/>
    <n v="54.75"/>
    <s v="ZAR"/>
    <n v="6.0999999999999999E-2"/>
    <n v="3.33975"/>
    <n v="750"/>
    <n v="41062.5"/>
    <n v="41062.5"/>
    <n v="2504.8125"/>
    <n v="22"/>
    <n v="2.93E-2"/>
    <n v="20"/>
    <n v="20"/>
    <n v="11"/>
    <n v="11"/>
    <n v="9"/>
    <n v="9"/>
    <x v="0"/>
    <x v="5"/>
    <x v="3"/>
    <x v="5"/>
    <x v="1"/>
    <x v="0"/>
    <x v="1"/>
    <x v="0"/>
    <n v="2.1"/>
    <x v="0"/>
    <x v="5"/>
  </r>
  <r>
    <s v="PO-2026-00495"/>
    <s v="ORD-675878"/>
    <d v="2026-03-09T00:00:00"/>
    <d v="2026-03-24T00:00:00"/>
    <x v="20"/>
    <x v="14"/>
    <x v="14"/>
    <x v="10"/>
    <x v="8"/>
    <x v="5"/>
    <s v="SKU-RAW-685"/>
    <s v="Polymer Resin"/>
    <n v="582.67999999999995"/>
    <s v="EGP"/>
    <n v="1.9E-2"/>
    <n v="11.070919999999999"/>
    <n v="100"/>
    <n v="58268"/>
    <n v="58267.999999999993"/>
    <n v="1107.0919999999999"/>
    <n v="5"/>
    <n v="0.05"/>
    <n v="14"/>
    <n v="14"/>
    <n v="15"/>
    <n v="15"/>
    <n v="-1"/>
    <n v="-1"/>
    <x v="2"/>
    <x v="1"/>
    <x v="0"/>
    <x v="3"/>
    <x v="1"/>
    <x v="6"/>
    <x v="4"/>
    <x v="1"/>
    <n v="2.6"/>
    <x v="0"/>
    <x v="3"/>
  </r>
  <r>
    <s v="PO-2026-00496"/>
    <s v="ORD-687343"/>
    <d v="2026-01-14T00:00:00"/>
    <d v="2026-01-27T00:00:00"/>
    <x v="174"/>
    <x v="4"/>
    <x v="4"/>
    <x v="4"/>
    <x v="5"/>
    <x v="0"/>
    <s v="SKU-MAC-370"/>
    <s v="Conveyor Belt"/>
    <n v="4327.4799999999996"/>
    <s v="ZAR"/>
    <n v="6.0999999999999999E-2"/>
    <n v="263.97627999999997"/>
    <n v="2000"/>
    <n v="8654960"/>
    <n v="8654960"/>
    <n v="527952.55999999994"/>
    <n v="39"/>
    <n v="1.95E-2"/>
    <n v="8"/>
    <n v="8"/>
    <n v="13"/>
    <n v="13"/>
    <n v="-5"/>
    <n v="-5"/>
    <x v="5"/>
    <x v="0"/>
    <x v="1"/>
    <x v="3"/>
    <x v="2"/>
    <x v="3"/>
    <x v="3"/>
    <x v="0"/>
    <n v="3.8"/>
    <x v="4"/>
    <x v="2"/>
  </r>
  <r>
    <s v="PO-2026-00497"/>
    <s v="ORD-513965"/>
    <d v="2026-03-11T00:00:00"/>
    <d v="2026-03-30T00:00:00"/>
    <x v="158"/>
    <x v="13"/>
    <x v="13"/>
    <x v="9"/>
    <x v="6"/>
    <x v="6"/>
    <s v="SKU-MET-113"/>
    <s v="Aluminium Sheet"/>
    <n v="535.71"/>
    <s v="USD"/>
    <n v="1"/>
    <n v="535.71"/>
    <n v="300"/>
    <n v="160713"/>
    <n v="160713"/>
    <n v="160713"/>
    <n v="8"/>
    <n v="2.6700000000000002E-2"/>
    <n v="8"/>
    <n v="8"/>
    <n v="19"/>
    <n v="19"/>
    <n v="-11"/>
    <n v="-11"/>
    <x v="2"/>
    <x v="0"/>
    <x v="0"/>
    <x v="4"/>
    <x v="4"/>
    <x v="4"/>
    <x v="2"/>
    <x v="0"/>
    <n v="4.8"/>
    <x v="6"/>
    <x v="2"/>
  </r>
  <r>
    <s v="PO-2026-00498"/>
    <s v="ORD-434106"/>
    <d v="2026-05-06T00:00:00"/>
    <d v="2026-05-31T00:00:00"/>
    <x v="44"/>
    <x v="7"/>
    <x v="7"/>
    <x v="6"/>
    <x v="3"/>
    <x v="2"/>
    <s v="SKU-IND-789"/>
    <s v="Filter Cartridge"/>
    <n v="238.14"/>
    <s v="ZAR"/>
    <n v="6.0999999999999999E-2"/>
    <n v="14.526539999999999"/>
    <n v="200"/>
    <n v="47628"/>
    <n v="47628"/>
    <n v="2905.308"/>
    <n v="7"/>
    <n v="3.5000000000000003E-2"/>
    <n v="21"/>
    <n v="21"/>
    <n v="25"/>
    <n v="25"/>
    <n v="-4"/>
    <n v="-4"/>
    <x v="2"/>
    <x v="0"/>
    <x v="1"/>
    <x v="3"/>
    <x v="4"/>
    <x v="6"/>
    <x v="0"/>
    <x v="0"/>
    <n v="2.8"/>
    <x v="1"/>
    <x v="2"/>
  </r>
  <r>
    <s v="PO-2026-00499"/>
    <s v="ORD-809887"/>
    <d v="2026-03-26T00:00:00"/>
    <d v="2026-04-16T00:00:00"/>
    <x v="11"/>
    <x v="0"/>
    <x v="0"/>
    <x v="0"/>
    <x v="6"/>
    <x v="0"/>
    <s v="SKU-MAC-854"/>
    <s v="Gear Assembly"/>
    <s v=""/>
    <s v="ZAR"/>
    <n v="6.0999999999999999E-2"/>
    <s v=""/>
    <n v="50"/>
    <n v="162056.5"/>
    <e v="#VALUE!"/>
    <n v="9885.4465"/>
    <n v="3"/>
    <n v="0.06"/>
    <n v="9"/>
    <n v="9"/>
    <n v="21"/>
    <n v="21"/>
    <n v="-12"/>
    <n v="-12"/>
    <x v="2"/>
    <x v="1"/>
    <x v="4"/>
    <x v="3"/>
    <x v="5"/>
    <x v="0"/>
    <x v="0"/>
    <x v="4"/>
    <n v="1.2"/>
    <x v="2"/>
    <x v="8"/>
  </r>
  <r>
    <s v="PO-2026-00500"/>
    <s v="ORD-534730"/>
    <d v="2026-06-24T00:00:00"/>
    <d v="2026-07-01T00:00:00"/>
    <x v="78"/>
    <x v="9"/>
    <x v="9"/>
    <x v="2"/>
    <x v="7"/>
    <x v="4"/>
    <s v="SKU-PAC-225"/>
    <s v="Plastic Film Roll"/>
    <n v="659.96"/>
    <s v="KES"/>
    <n v="7.7000000000000002E-3"/>
    <n v="5.0816920000000003"/>
    <n v="1000"/>
    <n v="659960"/>
    <n v="659960"/>
    <n v="5081.692"/>
    <n v="25"/>
    <n v="2.5000000000000001E-2"/>
    <n v="6"/>
    <n v="6"/>
    <n v="7"/>
    <n v="7"/>
    <n v="-1"/>
    <n v="-1"/>
    <x v="5"/>
    <x v="0"/>
    <x v="1"/>
    <x v="4"/>
    <x v="0"/>
    <x v="3"/>
    <x v="2"/>
    <x v="0"/>
    <n v="3.5"/>
    <x v="6"/>
    <x v="2"/>
  </r>
  <r>
    <s v="PO-2026-00501"/>
    <s v="ORD-644533"/>
    <d v="2026-04-06T00:00:00"/>
    <d v="2026-04-14T00:00:00"/>
    <x v="66"/>
    <x v="12"/>
    <x v="12"/>
    <x v="2"/>
    <x v="5"/>
    <x v="4"/>
    <s v="SKU-PAC-132"/>
    <s v="Corrugated Box"/>
    <n v="495.88"/>
    <s v="USD"/>
    <n v="1"/>
    <n v="495.88"/>
    <n v="1500"/>
    <n v="743820"/>
    <n v="743820"/>
    <n v="743820"/>
    <n v="25"/>
    <n v="1.67E-2"/>
    <n v="12"/>
    <n v="12"/>
    <n v="8"/>
    <n v="8"/>
    <n v="4"/>
    <n v="4"/>
    <x v="0"/>
    <x v="0"/>
    <x v="2"/>
    <x v="3"/>
    <x v="5"/>
    <x v="4"/>
    <x v="5"/>
    <x v="0"/>
    <n v="2.2000000000000002"/>
    <x v="6"/>
    <x v="5"/>
  </r>
  <r>
    <s v="PO-2026-00502"/>
    <s v="ORD-917413"/>
    <d v="2026-03-22T00:00:00"/>
    <d v="2026-04-07T00:00:00"/>
    <x v="161"/>
    <x v="14"/>
    <x v="14"/>
    <x v="10"/>
    <x v="4"/>
    <x v="5"/>
    <s v="SKU-RAW-168"/>
    <s v="Input Granules"/>
    <n v="122.79"/>
    <s v="KES"/>
    <n v="7.7000000000000002E-3"/>
    <n v="0.94548300000000007"/>
    <n v="750"/>
    <n v="92092.5"/>
    <n v="92092.5"/>
    <n v="709.11225000000002"/>
    <n v="17"/>
    <n v="2.2700000000000001E-2"/>
    <n v="17"/>
    <n v="17"/>
    <n v="16"/>
    <n v="16"/>
    <n v="1"/>
    <n v="1"/>
    <x v="1"/>
    <x v="0"/>
    <x v="4"/>
    <x v="4"/>
    <x v="0"/>
    <x v="0"/>
    <x v="4"/>
    <x v="0"/>
    <n v="2.8"/>
    <x v="0"/>
    <x v="5"/>
  </r>
  <r>
    <s v="PO-2026-00503"/>
    <s v="ORD-924400"/>
    <d v="2026-01-16T00:00:00"/>
    <d v="2026-02-02T00:00:00"/>
    <x v="93"/>
    <x v="6"/>
    <x v="6"/>
    <x v="1"/>
    <x v="1"/>
    <x v="1"/>
    <s v="SKU-ELE-359"/>
    <s v="LED Driver"/>
    <n v="1605.65"/>
    <s v="NGN"/>
    <n v="7.2999999999999996E-4"/>
    <n v="1.1721245"/>
    <n v="2000"/>
    <n v="3211300"/>
    <n v="3211300"/>
    <n v="2344.2489999999998"/>
    <n v="0"/>
    <n v="0"/>
    <n v="14"/>
    <n v="14"/>
    <n v="17"/>
    <n v="17"/>
    <n v="-3"/>
    <n v="-3"/>
    <x v="2"/>
    <x v="0"/>
    <x v="3"/>
    <x v="0"/>
    <x v="4"/>
    <x v="1"/>
    <x v="1"/>
    <x v="0"/>
    <n v="3.6"/>
    <x v="1"/>
    <x v="4"/>
  </r>
  <r>
    <s v="PO-2026-00504"/>
    <s v="ORD-257588"/>
    <d v="2026-01-17T00:00:00"/>
    <d v="2026-02-06T00:00:00"/>
    <x v="107"/>
    <x v="14"/>
    <x v="14"/>
    <x v="10"/>
    <x v="6"/>
    <x v="5"/>
    <s v="SKU-RAW-497"/>
    <s v="Agro Binder"/>
    <n v="281.39999999999998"/>
    <s v="USD"/>
    <n v="1"/>
    <n v="281.39999999999998"/>
    <n v="1500"/>
    <n v="422100"/>
    <n v="422099.99999999994"/>
    <n v="422100"/>
    <n v="67"/>
    <n v="4.4699999999999997E-2"/>
    <n v="24"/>
    <n v="24"/>
    <n v="20"/>
    <n v="20"/>
    <n v="4"/>
    <m/>
    <x v="4"/>
    <x v="4"/>
    <x v="3"/>
    <x v="4"/>
    <x v="2"/>
    <x v="1"/>
    <x v="5"/>
    <x v="4"/>
    <n v="2.1"/>
    <x v="5"/>
    <x v="6"/>
  </r>
  <r>
    <s v="PO-2026-00505"/>
    <s v="ORD-398151"/>
    <d v="2026-03-16T00:00:00"/>
    <d v="2026-03-29T00:00:00"/>
    <x v="47"/>
    <x v="14"/>
    <x v="14"/>
    <x v="10"/>
    <x v="0"/>
    <x v="5"/>
    <s v="SKU-RAW-255"/>
    <s v="Chemical Additive"/>
    <n v="738.51"/>
    <s v="ZAR"/>
    <n v="6.0999999999999999E-2"/>
    <n v="45.049109999999999"/>
    <n v="75"/>
    <n v="55388.25"/>
    <n v="55388.25"/>
    <n v="3378.68325"/>
    <n v="0"/>
    <n v="0"/>
    <n v="11"/>
    <n v="11"/>
    <n v="13"/>
    <n v="13"/>
    <n v="-2"/>
    <n v="-2"/>
    <x v="2"/>
    <x v="0"/>
    <x v="2"/>
    <x v="5"/>
    <x v="2"/>
    <x v="3"/>
    <x v="5"/>
    <x v="0"/>
    <n v="2.6"/>
    <x v="2"/>
    <x v="4"/>
  </r>
  <r>
    <s v="PO-2026-00506"/>
    <s v="ORD-539920"/>
    <d v="2026-01-06T00:00:00"/>
    <d v="2026-01-15T00:00:00"/>
    <x v="156"/>
    <x v="3"/>
    <x v="3"/>
    <x v="3"/>
    <x v="4"/>
    <x v="4"/>
    <s v="SKU-PAC-666"/>
    <s v="Shipping Carton"/>
    <n v="101.2"/>
    <s v="GHS"/>
    <n v="8.8999999999999996E-2"/>
    <n v="9.0068000000000001"/>
    <n v="50"/>
    <n v="5060"/>
    <n v="5060"/>
    <n v="450.34"/>
    <n v="4"/>
    <n v="0.08"/>
    <n v="8"/>
    <n v="8"/>
    <n v="9"/>
    <n v="9"/>
    <n v="-1"/>
    <n v="-1"/>
    <x v="2"/>
    <x v="1"/>
    <x v="1"/>
    <x v="5"/>
    <x v="3"/>
    <x v="6"/>
    <x v="3"/>
    <x v="4"/>
    <n v="2.4"/>
    <x v="4"/>
    <x v="3"/>
  </r>
  <r>
    <s v="PO-2026-00507"/>
    <s v="ORD-226112"/>
    <d v="2026-01-10T00:00:00"/>
    <d v="2026-01-23T00:00:00"/>
    <x v="106"/>
    <x v="13"/>
    <x v="13"/>
    <x v="9"/>
    <x v="2"/>
    <x v="3"/>
    <s v="SKU-TEX-916"/>
    <s v="Uniform Material"/>
    <n v="291.94"/>
    <s v="KES"/>
    <n v="7.7000000000000002E-3"/>
    <n v="2.247938"/>
    <n v="300"/>
    <n v="87582"/>
    <n v="87582"/>
    <n v="674.38139999999999"/>
    <n v="12"/>
    <n v="0.04"/>
    <n v="19"/>
    <n v="19"/>
    <n v="13"/>
    <n v="13"/>
    <n v="6"/>
    <n v="6"/>
    <x v="4"/>
    <x v="0"/>
    <x v="1"/>
    <x v="1"/>
    <x v="0"/>
    <x v="1"/>
    <x v="3"/>
    <x v="0"/>
    <n v="6"/>
    <x v="6"/>
    <x v="0"/>
  </r>
  <r>
    <s v="PO-2026-00508"/>
    <s v="ORD-991318"/>
    <d v="2026-05-03T00:00:00"/>
    <d v="2026-05-10T00:00:00"/>
    <x v="73"/>
    <x v="2"/>
    <x v="2"/>
    <x v="2"/>
    <x v="4"/>
    <x v="2"/>
    <s v="SKU-IND-374"/>
    <s v="Welding Rod"/>
    <n v="600.37"/>
    <s v="USD"/>
    <n v="1"/>
    <n v="600.37"/>
    <n v="200"/>
    <n v="120074"/>
    <n v="120074"/>
    <n v="120074"/>
    <n v="4"/>
    <n v="0.02"/>
    <n v="8"/>
    <n v="8"/>
    <n v="7"/>
    <n v="7"/>
    <n v="1"/>
    <n v="1"/>
    <x v="1"/>
    <x v="0"/>
    <x v="2"/>
    <x v="1"/>
    <x v="4"/>
    <x v="0"/>
    <x v="0"/>
    <x v="0"/>
    <n v="4.4000000000000004"/>
    <x v="2"/>
    <x v="5"/>
  </r>
  <r>
    <s v="PO-2026-00509"/>
    <s v="ORD-142773"/>
    <d v="2026-06-04T00:00:00"/>
    <d v="2026-06-30T00:00:00"/>
    <x v="33"/>
    <x v="7"/>
    <x v="7"/>
    <x v="6"/>
    <x v="0"/>
    <x v="2"/>
    <s v="SKU-IND-654"/>
    <s v="Lubricant Drum"/>
    <n v="675.68"/>
    <s v="GHS"/>
    <n v="8.8999999999999996E-2"/>
    <n v="60.135519999999993"/>
    <n v="2000"/>
    <n v="1351360"/>
    <n v="1351360"/>
    <n v="120271.03999999999"/>
    <n v="14"/>
    <n v="7.0000000000000001E-3"/>
    <n v="28"/>
    <n v="28"/>
    <n v="26"/>
    <n v="26"/>
    <n v="2"/>
    <n v="2"/>
    <x v="1"/>
    <x v="0"/>
    <x v="0"/>
    <x v="1"/>
    <x v="2"/>
    <x v="0"/>
    <x v="2"/>
    <x v="0"/>
    <n v="3"/>
    <x v="3"/>
    <x v="0"/>
  </r>
  <r>
    <s v="PO-2026-00510"/>
    <s v="ORD-772351"/>
    <d v="2026-02-19T00:00:00"/>
    <d v="2026-03-03T00:00:00"/>
    <x v="85"/>
    <x v="4"/>
    <x v="4"/>
    <x v="4"/>
    <x v="8"/>
    <x v="5"/>
    <s v="SKU-RAW-901"/>
    <s v="Polymer Resin"/>
    <n v="819.78"/>
    <s v="USD"/>
    <n v="1"/>
    <n v="819.78"/>
    <n v="75"/>
    <n v="61483.5"/>
    <n v="61483.5"/>
    <n v="61483.5"/>
    <n v="5"/>
    <n v="6.6699999999999995E-2"/>
    <n v="19"/>
    <n v="19"/>
    <n v="12"/>
    <n v="12"/>
    <n v="7"/>
    <n v="7"/>
    <x v="1"/>
    <x v="1"/>
    <x v="4"/>
    <x v="4"/>
    <x v="0"/>
    <x v="6"/>
    <x v="1"/>
    <x v="2"/>
    <n v="2.2000000000000002"/>
    <x v="2"/>
    <x v="6"/>
  </r>
  <r>
    <s v="PO-2026-00511"/>
    <s v="ORD-510186"/>
    <d v="2026-02-26T00:00:00"/>
    <d v="2026-03-10T00:00:00"/>
    <x v="71"/>
    <x v="5"/>
    <x v="5"/>
    <x v="5"/>
    <x v="7"/>
    <x v="6"/>
    <s v="SKU-MET-187"/>
    <s v="Copper Rod"/>
    <n v="716.28"/>
    <s v="EGP"/>
    <n v="1.9E-2"/>
    <n v="13.609319999999999"/>
    <n v="1500"/>
    <n v="1074420"/>
    <n v="1074420"/>
    <n v="20413.98"/>
    <n v="32"/>
    <n v="2.1299999999999999E-2"/>
    <n v="23"/>
    <n v="23"/>
    <n v="12"/>
    <n v="12"/>
    <n v="11"/>
    <n v="11"/>
    <x v="4"/>
    <x v="0"/>
    <x v="1"/>
    <x v="0"/>
    <x v="2"/>
    <x v="0"/>
    <x v="4"/>
    <x v="0"/>
    <n v="3.4"/>
    <x v="5"/>
    <x v="0"/>
  </r>
  <r>
    <s v="PO-2026-00512"/>
    <s v="ORD-928658"/>
    <d v="2026-05-04T00:00:00"/>
    <d v="2026-05-19T00:00:00"/>
    <x v="5"/>
    <x v="13"/>
    <x v="13"/>
    <x v="9"/>
    <x v="4"/>
    <x v="3"/>
    <s v="SKU-TEX-364"/>
    <s v="Polyester Roll"/>
    <n v="663.9"/>
    <s v="KES"/>
    <n v="7.7000000000000002E-3"/>
    <n v="5.1120299999999999"/>
    <n v="150"/>
    <n v="99585"/>
    <n v="99585"/>
    <n v="766.80450000000008"/>
    <n v="1"/>
    <n v="6.7000000000000002E-3"/>
    <n v="14"/>
    <n v="14"/>
    <n v="15"/>
    <n v="15"/>
    <n v="-1"/>
    <n v="-1"/>
    <x v="2"/>
    <x v="0"/>
    <x v="1"/>
    <x v="1"/>
    <x v="2"/>
    <x v="0"/>
    <x v="2"/>
    <x v="0"/>
    <n v="3"/>
    <x v="0"/>
    <x v="11"/>
  </r>
  <r>
    <s v="PO-2026-00513"/>
    <s v="ORD-562659"/>
    <d v="2026-05-21T00:00:00"/>
    <d v="2026-05-27T00:00:00"/>
    <x v="58"/>
    <x v="9"/>
    <x v="9"/>
    <x v="2"/>
    <x v="5"/>
    <x v="4"/>
    <s v="SKU-PAC-571"/>
    <s v="Bottle Caps"/>
    <s v=""/>
    <s v="USD"/>
    <n v="1"/>
    <s v=""/>
    <n v="300"/>
    <n v="13119"/>
    <e v="#VALUE!"/>
    <n v="13119"/>
    <n v="1"/>
    <n v="3.3E-3"/>
    <n v="16"/>
    <n v="16"/>
    <n v="6"/>
    <n v="6"/>
    <n v="10"/>
    <n v="10"/>
    <x v="0"/>
    <x v="0"/>
    <x v="1"/>
    <x v="1"/>
    <x v="5"/>
    <x v="0"/>
    <x v="0"/>
    <x v="0"/>
    <n v="2.6"/>
    <x v="2"/>
    <x v="0"/>
  </r>
  <r>
    <s v="PO-2026-00514"/>
    <s v="ORD-810093"/>
    <d v="2026-02-06T00:00:00"/>
    <d v="2026-02-17T00:00:00"/>
    <x v="75"/>
    <x v="2"/>
    <x v="2"/>
    <x v="2"/>
    <x v="6"/>
    <x v="2"/>
    <s v="SKU-IND-431"/>
    <s v="Lubricant Drum"/>
    <n v="208.17"/>
    <s v="ZAR"/>
    <n v="6.0999999999999999E-2"/>
    <n v="12.698369999999999"/>
    <n v="50"/>
    <n v="10408.5"/>
    <n v="10408.5"/>
    <n v="634.91849999999999"/>
    <m/>
    <n v="0.02"/>
    <n v="17"/>
    <n v="17"/>
    <n v="11"/>
    <n v="11"/>
    <n v="6"/>
    <n v="6"/>
    <x v="4"/>
    <x v="0"/>
    <x v="1"/>
    <x v="3"/>
    <x v="3"/>
    <x v="4"/>
    <x v="4"/>
    <x v="0"/>
    <n v="3"/>
    <x v="6"/>
    <x v="0"/>
  </r>
  <r>
    <s v="PO-2026-00515"/>
    <s v="ORD-550135"/>
    <d v="2026-05-04T00:00:00"/>
    <d v="2026-05-16T00:00:00"/>
    <x v="113"/>
    <x v="11"/>
    <x v="11"/>
    <x v="8"/>
    <x v="3"/>
    <x v="5"/>
    <s v="SKU-RAW-922"/>
    <s v="Polymer Resin"/>
    <n v="622.16"/>
    <s v="KES"/>
    <n v="7.7000000000000002E-3"/>
    <n v="4.7906319999999996"/>
    <n v="50"/>
    <n v="31108"/>
    <n v="31108"/>
    <n v="239.5316"/>
    <n v="2"/>
    <n v="0.04"/>
    <n v="10"/>
    <n v="10"/>
    <n v="12"/>
    <n v="12"/>
    <n v="-2"/>
    <n v="-2"/>
    <x v="2"/>
    <x v="0"/>
    <x v="4"/>
    <x v="4"/>
    <x v="3"/>
    <x v="3"/>
    <x v="5"/>
    <x v="0"/>
    <n v="2.5"/>
    <x v="4"/>
    <x v="4"/>
  </r>
  <r>
    <s v="PO-2026-00516"/>
    <s v="ORD-379438"/>
    <d v="2026-06-22T00:00:00"/>
    <d v="2026-06-29T00:00:00"/>
    <x v="79"/>
    <x v="2"/>
    <x v="2"/>
    <x v="2"/>
    <x v="1"/>
    <x v="2"/>
    <s v="SKU-IND-975"/>
    <s v="Safety Gloves"/>
    <n v="491.25"/>
    <s v="GHS"/>
    <n v="8.8999999999999996E-2"/>
    <n v="43.721249999999998"/>
    <n v="2000"/>
    <n v="982500"/>
    <n v="982500"/>
    <n v="87442.5"/>
    <n v="47"/>
    <n v="2.35E-2"/>
    <n v="14"/>
    <n v="14"/>
    <n v="7"/>
    <n v="7"/>
    <n v="7"/>
    <n v="7"/>
    <x v="0"/>
    <x v="0"/>
    <x v="3"/>
    <x v="0"/>
    <x v="0"/>
    <x v="1"/>
    <x v="2"/>
    <x v="0"/>
    <n v="1.5"/>
    <x v="5"/>
    <x v="5"/>
  </r>
  <r>
    <s v="PO-2026-00517"/>
    <s v="ORD-459783"/>
    <d v="2026-02-15T00:00:00"/>
    <d v="2026-03-11T00:00:00"/>
    <x v="15"/>
    <x v="8"/>
    <x v="8"/>
    <x v="7"/>
    <x v="7"/>
    <x v="1"/>
    <s v="SKU-ELE-513"/>
    <s v="LED Driver"/>
    <n v="4361.2299999999996"/>
    <s v="EGP"/>
    <n v="1.9E-2"/>
    <n v="82.863369999999989"/>
    <n v="1000"/>
    <n v="4361230"/>
    <n v="4361230"/>
    <n v="82863.37"/>
    <n v="23"/>
    <n v="2.3E-2"/>
    <n v="24"/>
    <n v="24"/>
    <n v="24"/>
    <n v="24"/>
    <n v="0"/>
    <n v="0"/>
    <x v="2"/>
    <x v="0"/>
    <x v="2"/>
    <x v="0"/>
    <x v="3"/>
    <x v="5"/>
    <x v="1"/>
    <x v="0"/>
    <n v="3.9"/>
    <x v="3"/>
    <x v="4"/>
  </r>
  <r>
    <s v="PO-2026-00518"/>
    <s v="ORD-944952"/>
    <d v="2026-05-16T00:00:00"/>
    <d v="2026-06-04T00:00:00"/>
    <x v="121"/>
    <x v="7"/>
    <x v="7"/>
    <x v="6"/>
    <x v="5"/>
    <x v="2"/>
    <s v="SKU-IND-503"/>
    <s v="Filter Cartridge"/>
    <n v="96.33"/>
    <s v="ZAR"/>
    <n v="6.0999999999999999E-2"/>
    <n v="5.8761299999999999"/>
    <n v="200"/>
    <n v="19266"/>
    <n v="19266"/>
    <n v="1175.2259999999999"/>
    <n v="-1"/>
    <n v="0.05"/>
    <n v="31"/>
    <n v="31"/>
    <n v="19"/>
    <n v="19"/>
    <n v="12"/>
    <n v="12"/>
    <x v="4"/>
    <x v="2"/>
    <x v="1"/>
    <x v="4"/>
    <x v="2"/>
    <x v="4"/>
    <x v="3"/>
    <x v="4"/>
    <n v="1.8"/>
    <x v="5"/>
    <x v="1"/>
  </r>
  <r>
    <s v="PO-2026-00519"/>
    <s v="ORD-213315"/>
    <d v="2026-05-12T00:00:00"/>
    <d v="2026-05-20T00:00:00"/>
    <x v="63"/>
    <x v="12"/>
    <x v="12"/>
    <x v="2"/>
    <x v="3"/>
    <x v="4"/>
    <s v="SKU-PAC-369"/>
    <s v="Corrugated Box"/>
    <n v="246.99"/>
    <s v="NGN"/>
    <n v="7.2999999999999996E-4"/>
    <n v="0.18030270000000001"/>
    <n v="750"/>
    <n v="185242.5"/>
    <n v="185242.5"/>
    <n v="135.227025"/>
    <n v="37"/>
    <n v="4.9299999999999997E-2"/>
    <s v=""/>
    <n v="20"/>
    <n v="8"/>
    <n v="8"/>
    <n v="12"/>
    <n v="12"/>
    <x v="1"/>
    <x v="2"/>
    <x v="1"/>
    <x v="4"/>
    <x v="4"/>
    <x v="3"/>
    <x v="1"/>
    <x v="2"/>
    <n v="1.9"/>
    <x v="0"/>
    <x v="1"/>
  </r>
  <r>
    <s v="PO-2026-00520"/>
    <s v="ORD-709344"/>
    <d v="2026-06-22T00:00:00"/>
    <d v="2026-06-30T00:00:00"/>
    <x v="43"/>
    <x v="4"/>
    <x v="4"/>
    <x v="4"/>
    <x v="5"/>
    <x v="0"/>
    <s v="SKU-MAC-298"/>
    <s v="Gear Assembly"/>
    <n v="2805.74"/>
    <s v="GHS"/>
    <n v="8.8999999999999996E-2"/>
    <n v="249.71085999999997"/>
    <n v="300"/>
    <n v="841722"/>
    <n v="841721.99999999988"/>
    <n v="74913.258000000002"/>
    <n v="306"/>
    <n v="2.6700000000000002E-2"/>
    <n v="17"/>
    <n v="17"/>
    <n v="8"/>
    <n v="8"/>
    <n v="9"/>
    <n v="9"/>
    <x v="4"/>
    <x v="0"/>
    <x v="1"/>
    <x v="4"/>
    <x v="3"/>
    <x v="0"/>
    <x v="0"/>
    <x v="0"/>
    <n v="1.3"/>
    <x v="1"/>
    <x v="0"/>
  </r>
  <r>
    <s v="PO-2026-00521"/>
    <s v="ORD-442250"/>
    <d v="2026-04-20T00:00:00"/>
    <d v="2026-05-09T00:00:00"/>
    <x v="102"/>
    <x v="0"/>
    <x v="0"/>
    <x v="0"/>
    <x v="0"/>
    <x v="0"/>
    <s v="SKU-MAC-226"/>
    <s v="Conveyor Belt"/>
    <n v="1660.89"/>
    <s v="EGP"/>
    <n v="1.9E-2"/>
    <n v="31.556910000000002"/>
    <n v="300"/>
    <n v="498267"/>
    <n v="498267.00000000006"/>
    <n v="9467.0730000000003"/>
    <n v="11"/>
    <n v="3.6700000000000003E-2"/>
    <n v="16"/>
    <n v="16"/>
    <n v="19"/>
    <n v="19"/>
    <n v="-3"/>
    <n v="-3"/>
    <x v="5"/>
    <x v="0"/>
    <x v="1"/>
    <x v="5"/>
    <x v="0"/>
    <x v="2"/>
    <x v="1"/>
    <x v="0"/>
    <n v="3.7"/>
    <x v="6"/>
    <x v="2"/>
  </r>
  <r>
    <s v="PO-2026-00522"/>
    <s v="ORD-847804"/>
    <d v="2026-05-01T00:00:00"/>
    <d v="2026-05-14T00:00:00"/>
    <x v="102"/>
    <x v="11"/>
    <x v="11"/>
    <x v="8"/>
    <x v="5"/>
    <x v="5"/>
    <s v="SKU-RAW-278"/>
    <s v="Input Granules"/>
    <n v="812.9"/>
    <s v="EGP"/>
    <n v="1.9E-2"/>
    <n v="15.4451"/>
    <n v="50"/>
    <n v="40645"/>
    <n v="40645"/>
    <n v="772.255"/>
    <n v="1"/>
    <n v="0.02"/>
    <n v="5"/>
    <n v="5"/>
    <n v="13"/>
    <n v="13"/>
    <n v="-8"/>
    <n v="-8"/>
    <x v="5"/>
    <x v="0"/>
    <x v="2"/>
    <x v="0"/>
    <x v="1"/>
    <x v="3"/>
    <x v="0"/>
    <x v="0"/>
    <n v="4"/>
    <x v="3"/>
    <x v="4"/>
  </r>
  <r>
    <s v="PO-2026-00523"/>
    <s v="ORD-108083"/>
    <d v="2026-05-29T00:00:00"/>
    <d v="2026-06-08T00:00:00"/>
    <x v="121"/>
    <x v="6"/>
    <x v="6"/>
    <x v="1"/>
    <x v="6"/>
    <x v="1"/>
    <s v="SKU-ELE-208"/>
    <s v="Control Board"/>
    <n v="719.35"/>
    <s v="EGP"/>
    <n v="1.9E-2"/>
    <n v="13.66765"/>
    <n v="300"/>
    <n v="215805"/>
    <n v="215805"/>
    <n v="4100.2950000000001"/>
    <n v="1"/>
    <n v="3.3E-3"/>
    <n v="18"/>
    <n v="18"/>
    <n v="10"/>
    <n v="10"/>
    <n v="8"/>
    <n v="8"/>
    <x v="4"/>
    <x v="0"/>
    <x v="1"/>
    <x v="1"/>
    <x v="4"/>
    <x v="4"/>
    <x v="5"/>
    <x v="0"/>
    <n v="2.9"/>
    <x v="1"/>
    <x v="0"/>
  </r>
  <r>
    <s v="PO-2026-00524"/>
    <s v="ORD-207761"/>
    <d v="2026-03-03T00:00:00"/>
    <d v="2026-03-08T00:00:00"/>
    <x v="133"/>
    <x v="9"/>
    <x v="9"/>
    <x v="2"/>
    <x v="7"/>
    <x v="2"/>
    <s v="SKU-IND-813"/>
    <s v="Filter Cartridge"/>
    <n v="598.96"/>
    <s v="NGN"/>
    <n v="7.2999999999999996E-4"/>
    <n v="0.43724079999999999"/>
    <n v="50"/>
    <n v="29948"/>
    <n v="29948"/>
    <n v="21.86204"/>
    <n v="0"/>
    <n v="0"/>
    <n v="19"/>
    <n v="19"/>
    <n v="5"/>
    <n v="5"/>
    <n v="14"/>
    <n v="14"/>
    <x v="0"/>
    <x v="0"/>
    <x v="1"/>
    <x v="3"/>
    <x v="3"/>
    <x v="6"/>
    <x v="3"/>
    <x v="0"/>
    <n v="2.6"/>
    <x v="6"/>
    <x v="0"/>
  </r>
  <r>
    <s v="PO-2026-00525"/>
    <s v="ORD-733086"/>
    <d v="2026-05-28T00:00:00"/>
    <d v="2026-06-15T00:00:00"/>
    <x v="138"/>
    <x v="8"/>
    <x v="8"/>
    <x v="7"/>
    <x v="8"/>
    <x v="5"/>
    <s v="SKU-RAW-101"/>
    <s v="Input Granules"/>
    <n v="698.91"/>
    <s v="KES"/>
    <n v="7.7000000000000002E-3"/>
    <n v="5.3816069999999998"/>
    <n v="200"/>
    <n v="139782"/>
    <n v="139782"/>
    <n v="1076.3214"/>
    <n v="4"/>
    <n v="0.02"/>
    <n v="25"/>
    <n v="25"/>
    <n v="18"/>
    <n v="18"/>
    <n v="7"/>
    <n v="7"/>
    <x v="1"/>
    <x v="0"/>
    <x v="0"/>
    <x v="3"/>
    <x v="4"/>
    <x v="6"/>
    <x v="2"/>
    <x v="0"/>
    <n v="1.7"/>
    <x v="5"/>
    <x v="0"/>
  </r>
  <r>
    <s v="PO-2026-00526"/>
    <s v="ORD-586799"/>
    <d v="2026-03-13T00:00:00"/>
    <d v="2026-03-26T00:00:00"/>
    <x v="32"/>
    <x v="14"/>
    <x v="14"/>
    <x v="10"/>
    <x v="7"/>
    <x v="5"/>
    <s v="SKU-RAW-358"/>
    <s v="Input Granules"/>
    <n v="135.96"/>
    <s v="KES"/>
    <n v="7.7000000000000002E-3"/>
    <n v="1.0468920000000002"/>
    <n v="2000"/>
    <n v="271920"/>
    <n v="271920"/>
    <n v="2093.7840000000001"/>
    <n v="48"/>
    <n v="2.4E-2"/>
    <n v="20"/>
    <n v="20"/>
    <n v="13"/>
    <n v="13"/>
    <n v="7"/>
    <n v="7"/>
    <x v="0"/>
    <x v="0"/>
    <x v="4"/>
    <x v="4"/>
    <x v="1"/>
    <x v="2"/>
    <x v="1"/>
    <x v="0"/>
    <n v="2.7"/>
    <x v="5"/>
    <x v="5"/>
  </r>
  <r>
    <s v="PO-2026-00527"/>
    <s v="ORD-727603"/>
    <d v="2026-02-03T00:00:00"/>
    <d v="2026-02-14T00:00:00"/>
    <x v="61"/>
    <x v="11"/>
    <x v="11"/>
    <x v="8"/>
    <x v="3"/>
    <x v="5"/>
    <s v="SKU-RAW-105"/>
    <s v="Input Granules"/>
    <n v="549.54999999999995"/>
    <s v="NGN"/>
    <n v="7.2999999999999996E-4"/>
    <n v="0.40117149999999996"/>
    <s v=""/>
    <n v="54955"/>
    <e v="#VALUE!"/>
    <n v="40.117149999999995"/>
    <n v="6"/>
    <n v="0.06"/>
    <n v="22"/>
    <n v="22"/>
    <n v="11"/>
    <n v="11"/>
    <n v="11"/>
    <n v="11"/>
    <x v="4"/>
    <x v="4"/>
    <x v="0"/>
    <x v="0"/>
    <x v="0"/>
    <x v="6"/>
    <x v="2"/>
    <x v="4"/>
    <n v="1.8"/>
    <x v="0"/>
    <x v="1"/>
  </r>
  <r>
    <s v="PO-2026-00528"/>
    <s v="ORD-579198"/>
    <d v="2026-04-06T00:00:00"/>
    <d v="2026-04-27T00:00:00"/>
    <x v="140"/>
    <x v="7"/>
    <x v="7"/>
    <x v="6"/>
    <x v="7"/>
    <x v="2"/>
    <s v="SKU-IND-722"/>
    <s v="Lubricant Drum"/>
    <n v="411.03"/>
    <s v="ZAR"/>
    <n v="6.0999999999999999E-2"/>
    <n v="25.072829999999996"/>
    <n v="75"/>
    <n v="30827.25"/>
    <n v="30827.249999999996"/>
    <n v="1880.46225"/>
    <n v="0"/>
    <n v="0"/>
    <n v="21"/>
    <n v="21"/>
    <n v="21"/>
    <n v="21"/>
    <n v="0"/>
    <n v="0"/>
    <x v="5"/>
    <x v="0"/>
    <x v="1"/>
    <x v="3"/>
    <x v="5"/>
    <x v="0"/>
    <x v="3"/>
    <x v="0"/>
    <n v="4.7"/>
    <x v="1"/>
    <x v="2"/>
  </r>
  <r>
    <s v="PO-2026-00529"/>
    <s v="ORD-656695"/>
    <d v="2026-06-03T00:00:00"/>
    <d v="2026-06-15T00:00:00"/>
    <x v="155"/>
    <x v="12"/>
    <x v="12"/>
    <x v="2"/>
    <x v="0"/>
    <x v="5"/>
    <s v="SKU-RAW-973"/>
    <s v="Input Granules"/>
    <n v="192.93"/>
    <s v="EGP"/>
    <n v="1.9E-2"/>
    <n v="3.66567"/>
    <n v="1000"/>
    <n v="192930"/>
    <n v="192930"/>
    <n v="3665.67"/>
    <n v="19"/>
    <n v="1.9E-2"/>
    <n v="8"/>
    <n v="8"/>
    <s v=""/>
    <n v="12"/>
    <n v="-4"/>
    <n v="-4"/>
    <x v="2"/>
    <x v="0"/>
    <x v="0"/>
    <x v="0"/>
    <x v="2"/>
    <x v="2"/>
    <x v="2"/>
    <x v="0"/>
    <n v="4.2"/>
    <x v="0"/>
    <x v="2"/>
  </r>
  <r>
    <s v="PO-2026-00530"/>
    <s v="ORD-924385"/>
    <d v="2026-01-17T00:00:00"/>
    <d v="2026-01-28T00:00:00"/>
    <x v="10"/>
    <x v="4"/>
    <x v="4"/>
    <x v="4"/>
    <x v="1"/>
    <x v="0"/>
    <s v="SKU-MAC-839"/>
    <s v="Conveyor Belt"/>
    <n v="220.83"/>
    <s v="KES"/>
    <n v="7.7000000000000002E-3"/>
    <n v="1.7003910000000002"/>
    <n v="250"/>
    <n v="55207.5"/>
    <n v="55207.5"/>
    <n v="425.09775000000002"/>
    <n v="10"/>
    <n v="0.04"/>
    <n v="19"/>
    <n v="19"/>
    <n v="11"/>
    <n v="11"/>
    <n v="8"/>
    <n v="8"/>
    <x v="4"/>
    <x v="0"/>
    <x v="0"/>
    <x v="0"/>
    <x v="0"/>
    <x v="5"/>
    <x v="1"/>
    <x v="0"/>
    <n v="1.5"/>
    <x v="0"/>
    <x v="0"/>
  </r>
  <r>
    <s v="PO-2026-00531"/>
    <s v="ORD-612499"/>
    <d v="2026-01-12T00:00:00"/>
    <d v="2026-01-17T00:00:00"/>
    <x v="106"/>
    <x v="12"/>
    <x v="12"/>
    <x v="2"/>
    <x v="3"/>
    <x v="4"/>
    <s v="SKU-PAC-638"/>
    <s v="Shipping Carton"/>
    <n v="718.24"/>
    <s v="GHS"/>
    <n v="8.8999999999999996E-2"/>
    <n v="63.923359999999995"/>
    <n v="150"/>
    <n v="107736"/>
    <n v="107736"/>
    <n v="9588.503999999999"/>
    <n v="0"/>
    <n v="0"/>
    <n v="17"/>
    <n v="17"/>
    <s v=""/>
    <n v="5"/>
    <n v="12"/>
    <n v="12"/>
    <x v="1"/>
    <x v="0"/>
    <x v="1"/>
    <x v="3"/>
    <x v="2"/>
    <x v="5"/>
    <x v="1"/>
    <x v="0"/>
    <n v="2.2000000000000002"/>
    <x v="5"/>
    <x v="0"/>
  </r>
  <r>
    <s v="PO-2026-00170"/>
    <s v="ORD-257752"/>
    <d v="2026-05-22T00:00:00"/>
    <d v="2026-06-07T00:00:00"/>
    <x v="72"/>
    <x v="6"/>
    <x v="6"/>
    <x v="1"/>
    <x v="5"/>
    <x v="1"/>
    <s v="SKU-ELE-524"/>
    <s v="Sensor Module"/>
    <n v="762.19"/>
    <s v="NGN"/>
    <n v="7.2999999999999996E-4"/>
    <n v="0.55639870000000002"/>
    <n v="150"/>
    <n v="114328.5"/>
    <n v="114328.50000000001"/>
    <n v="83.459804999999989"/>
    <n v="9"/>
    <n v="0.06"/>
    <n v="14"/>
    <n v="14"/>
    <n v="16"/>
    <n v="16"/>
    <n v="-2"/>
    <n v="-2"/>
    <x v="2"/>
    <x v="4"/>
    <x v="0"/>
    <x v="0"/>
    <x v="2"/>
    <x v="0"/>
    <x v="2"/>
    <x v="3"/>
    <n v="2.6"/>
    <x v="2"/>
    <x v="3"/>
  </r>
  <r>
    <s v="PO-2026-00533"/>
    <s v="ORD-667881"/>
    <d v="2026-02-22T00:00:00"/>
    <d v="2026-03-09T00:00:00"/>
    <x v="175"/>
    <x v="14"/>
    <x v="14"/>
    <x v="10"/>
    <x v="6"/>
    <x v="5"/>
    <s v="SKU-RAW-420"/>
    <s v="Agro Binder"/>
    <n v="263.73"/>
    <s v="USD"/>
    <n v="1"/>
    <n v="263.73"/>
    <n v="200"/>
    <n v="52746"/>
    <n v="52746"/>
    <n v="52746"/>
    <n v="19"/>
    <n v="9.5000000000000001E-2"/>
    <n v="12"/>
    <n v="12"/>
    <n v="15"/>
    <n v="15"/>
    <n v="-3"/>
    <n v="-3"/>
    <x v="5"/>
    <x v="1"/>
    <x v="3"/>
    <x v="3"/>
    <x v="2"/>
    <x v="2"/>
    <x v="2"/>
    <x v="2"/>
    <n v="2.6"/>
    <x v="2"/>
    <x v="8"/>
  </r>
  <r>
    <s v="PO-2026-00534"/>
    <s v="ORD-518027"/>
    <d v="2026-01-08T00:00:00"/>
    <d v="2026-01-25T00:00:00"/>
    <x v="56"/>
    <x v="14"/>
    <x v="14"/>
    <x v="10"/>
    <x v="5"/>
    <x v="5"/>
    <s v="SKU-RAW-223"/>
    <s v="Agro Binder"/>
    <n v="141.79"/>
    <s v="KES"/>
    <n v="7.7000000000000002E-3"/>
    <n v="1.0917829999999999"/>
    <n v="1000"/>
    <n v="141790"/>
    <n v="141790"/>
    <n v="1091.7830000000001"/>
    <n v="0"/>
    <n v="0"/>
    <n v="20"/>
    <n v="20"/>
    <n v="17"/>
    <n v="17"/>
    <n v="3"/>
    <n v="3"/>
    <x v="1"/>
    <x v="0"/>
    <x v="4"/>
    <x v="5"/>
    <x v="5"/>
    <x v="2"/>
    <x v="0"/>
    <x v="0"/>
    <n v="3.3"/>
    <x v="5"/>
    <x v="5"/>
  </r>
  <r>
    <s v="PO-2026-00535"/>
    <s v="ORD-871785"/>
    <d v="2026-06-25T00:00:00"/>
    <d v="2026-07-05T00:00:00"/>
    <x v="78"/>
    <x v="11"/>
    <x v="11"/>
    <x v="8"/>
    <x v="8"/>
    <x v="5"/>
    <s v="SKU-RAW-283"/>
    <s v="Input Granules"/>
    <n v="220.51"/>
    <s v="NGN"/>
    <n v="7.2999999999999996E-4"/>
    <n v="0.16097229999999998"/>
    <n v="1000"/>
    <s v=""/>
    <n v="220510"/>
    <s v=""/>
    <n v="49"/>
    <n v="4.9000000000000002E-2"/>
    <n v="5"/>
    <n v="5"/>
    <n v="10"/>
    <n v="10"/>
    <n v="-5"/>
    <n v="-5"/>
    <x v="2"/>
    <x v="1"/>
    <x v="1"/>
    <x v="3"/>
    <x v="0"/>
    <x v="3"/>
    <x v="0"/>
    <x v="3"/>
    <n v="1.2"/>
    <x v="1"/>
    <x v="3"/>
  </r>
  <r>
    <s v="PO-2026-00536"/>
    <s v="ORD-847535"/>
    <d v="2026-05-13T00:00:00"/>
    <d v="2026-05-19T00:00:00"/>
    <x v="65"/>
    <x v="9"/>
    <x v="9"/>
    <x v="2"/>
    <x v="5"/>
    <x v="4"/>
    <s v="SKU-PAC-974"/>
    <s v="Shipping Carton"/>
    <n v="724.01"/>
    <s v="KES"/>
    <n v="7.7000000000000002E-3"/>
    <n v="5.5748769999999999"/>
    <n v="300"/>
    <n v="217203"/>
    <n v="217203"/>
    <n v="1672.4630999999999"/>
    <n v="0"/>
    <n v="0"/>
    <n v="7"/>
    <n v="7"/>
    <n v="6"/>
    <n v="6"/>
    <n v="1"/>
    <n v="1"/>
    <x v="1"/>
    <x v="0"/>
    <x v="1"/>
    <x v="2"/>
    <x v="0"/>
    <x v="1"/>
    <x v="5"/>
    <x v="0"/>
    <n v="6"/>
    <x v="3"/>
    <x v="0"/>
  </r>
  <r>
    <s v="PO-2026-00537"/>
    <s v="ORD-481597"/>
    <d v="2026-06-04T00:00:00"/>
    <d v="2026-06-14T00:00:00"/>
    <x v="81"/>
    <x v="11"/>
    <x v="11"/>
    <x v="8"/>
    <x v="5"/>
    <x v="5"/>
    <s v="SKU-RAW-139"/>
    <s v="Polymer Resin"/>
    <n v="277.86"/>
    <s v="EGP"/>
    <n v="1.9E-2"/>
    <n v="5.2793400000000004"/>
    <n v="75"/>
    <n v="20839.5"/>
    <n v="20839.5"/>
    <n v="395.95049999999998"/>
    <n v="3"/>
    <n v="0.04"/>
    <n v="13"/>
    <n v="13"/>
    <n v="10"/>
    <n v="10"/>
    <n v="3"/>
    <n v="3"/>
    <x v="1"/>
    <x v="0"/>
    <x v="0"/>
    <x v="0"/>
    <x v="0"/>
    <x v="3"/>
    <x v="4"/>
    <x v="0"/>
    <n v="4.0999999999999996"/>
    <x v="3"/>
    <x v="0"/>
  </r>
  <r>
    <s v="PO-2026-00538"/>
    <s v="ORD-858224"/>
    <d v="2026-06-05T00:00:00"/>
    <d v="2026-06-26T00:00:00"/>
    <x v="67"/>
    <x v="0"/>
    <x v="0"/>
    <x v="0"/>
    <x v="0"/>
    <x v="0"/>
    <s v="SKU-MAC-817"/>
    <s v="Hydraulic Hose"/>
    <n v="1679.32"/>
    <s v="NGN"/>
    <n v="7.2999999999999996E-4"/>
    <n v="1.2259035999999999"/>
    <n v="250"/>
    <n v="419830"/>
    <n v="419830"/>
    <n v="306.47589999999997"/>
    <n v="16"/>
    <n v="6.4000000000000001E-2"/>
    <n v="13"/>
    <n v="13"/>
    <n v="21"/>
    <n v="21"/>
    <n v="-8"/>
    <n v="-8"/>
    <x v="2"/>
    <x v="1"/>
    <x v="0"/>
    <x v="1"/>
    <x v="3"/>
    <x v="3"/>
    <x v="2"/>
    <x v="3"/>
    <n v="1.9"/>
    <x v="1"/>
    <x v="15"/>
  </r>
  <r>
    <s v="PO-2026-00539"/>
    <s v="ORD-313737"/>
    <d v="2026-02-24T00:00:00"/>
    <d v="2026-03-15T00:00:00"/>
    <x v="7"/>
    <x v="7"/>
    <x v="7"/>
    <x v="6"/>
    <x v="3"/>
    <x v="6"/>
    <s v="SKU-MET-324"/>
    <s v="Copper Rod"/>
    <n v="1614.76"/>
    <s v="ZAR"/>
    <n v="6.0999999999999999E-2"/>
    <n v="98.500360000000001"/>
    <n v="500"/>
    <n v="807380"/>
    <n v="807380"/>
    <n v="49250.18"/>
    <n v="0"/>
    <n v="0"/>
    <n v="21"/>
    <n v="21"/>
    <n v="19"/>
    <n v="19"/>
    <n v="2"/>
    <n v="2"/>
    <x v="1"/>
    <x v="0"/>
    <x v="1"/>
    <x v="3"/>
    <x v="0"/>
    <x v="4"/>
    <x v="2"/>
    <x v="0"/>
    <n v="4"/>
    <x v="0"/>
    <x v="0"/>
  </r>
  <r>
    <s v="PO-2026-00540"/>
    <s v="ORD-778159"/>
    <d v="2026-03-29T00:00:00"/>
    <d v="2026-04-16T00:00:00"/>
    <x v="96"/>
    <x v="14"/>
    <x v="14"/>
    <x v="10"/>
    <x v="8"/>
    <x v="5"/>
    <s v="SKU-RAW-552"/>
    <s v="Polymer Resin"/>
    <n v="386.87"/>
    <s v="EGP"/>
    <n v="1.9E-2"/>
    <n v="7.35053"/>
    <n v="75"/>
    <n v="29015.25"/>
    <n v="29015.25"/>
    <n v="551.28975000000003"/>
    <n v="3"/>
    <n v="0.04"/>
    <n v="15"/>
    <n v="15"/>
    <n v="18"/>
    <n v="18"/>
    <n v="-3"/>
    <n v="-3"/>
    <x v="2"/>
    <x v="0"/>
    <x v="1"/>
    <x v="5"/>
    <x v="2"/>
    <x v="5"/>
    <x v="4"/>
    <x v="0"/>
    <n v="4.7"/>
    <x v="3"/>
    <x v="2"/>
  </r>
  <r>
    <s v="PO-2026-00541"/>
    <s v="ORD-148817"/>
    <d v="2026-01-31T00:00:00"/>
    <d v="2026-02-18T00:00:00"/>
    <x v="176"/>
    <x v="5"/>
    <x v="5"/>
    <x v="5"/>
    <x v="6"/>
    <x v="3"/>
    <s v="SKU-TEX-620"/>
    <s v="Cotton Fabric"/>
    <n v="384.98"/>
    <s v="USD"/>
    <n v="1"/>
    <n v="384.98"/>
    <n v="250"/>
    <n v="96245"/>
    <n v="96245"/>
    <n v="96245"/>
    <n v="4"/>
    <n v="1.6E-2"/>
    <n v="7"/>
    <n v="7"/>
    <n v="18"/>
    <n v="18"/>
    <n v="-11"/>
    <n v="-11"/>
    <x v="2"/>
    <x v="0"/>
    <x v="1"/>
    <x v="5"/>
    <x v="0"/>
    <x v="2"/>
    <x v="3"/>
    <x v="0"/>
    <n v="4.2"/>
    <x v="5"/>
    <x v="2"/>
  </r>
  <r>
    <s v="PO-2026-00542"/>
    <s v="ORD-111481"/>
    <d v="2026-01-12T00:00:00"/>
    <d v="2026-01-22T00:00:00"/>
    <x v="108"/>
    <x v="10"/>
    <x v="10"/>
    <x v="2"/>
    <x v="7"/>
    <x v="6"/>
    <s v="SKU-MET-453"/>
    <s v="Copper Rod"/>
    <n v="2572.96"/>
    <s v="ZAR"/>
    <n v="6.0999999999999999E-2"/>
    <n v="156.95056"/>
    <n v="100"/>
    <n v="257296"/>
    <n v="257296"/>
    <n v="15695.056"/>
    <n v="5"/>
    <n v="0.05"/>
    <n v="14"/>
    <n v="14"/>
    <n v="10"/>
    <n v="10"/>
    <n v="4"/>
    <n v="4"/>
    <x v="1"/>
    <x v="1"/>
    <x v="4"/>
    <x v="1"/>
    <x v="1"/>
    <x v="5"/>
    <x v="4"/>
    <x v="2"/>
    <n v="2.1"/>
    <x v="0"/>
    <x v="6"/>
  </r>
  <r>
    <s v="PO-2026-00543"/>
    <s v="ORD-635419"/>
    <d v="2026-03-23T00:00:00"/>
    <d v="2026-04-10T00:00:00"/>
    <x v="148"/>
    <x v="5"/>
    <x v="5"/>
    <x v="5"/>
    <x v="6"/>
    <x v="3"/>
    <s v="SKU-TEX-972"/>
    <s v="Cotton Fabric"/>
    <n v="563.04"/>
    <s v="EGP"/>
    <n v="1.9E-2"/>
    <n v="10.697759999999999"/>
    <n v="500"/>
    <n v="281520"/>
    <n v="281520"/>
    <n v="5348.88"/>
    <n v="1"/>
    <n v="2E-3"/>
    <n v="13"/>
    <n v="13"/>
    <n v="18"/>
    <n v="18"/>
    <n v="-5"/>
    <n v="-5"/>
    <x v="2"/>
    <x v="0"/>
    <x v="1"/>
    <x v="4"/>
    <x v="2"/>
    <x v="0"/>
    <x v="2"/>
    <x v="0"/>
    <n v="2.7"/>
    <x v="4"/>
    <x v="2"/>
  </r>
  <r>
    <s v="PO-2026-00393"/>
    <s v="ORD-780826"/>
    <d v="2026-01-17T00:00:00"/>
    <d v="2026-01-26T00:00:00"/>
    <x v="118"/>
    <x v="12"/>
    <x v="12"/>
    <x v="2"/>
    <x v="2"/>
    <x v="4"/>
    <s v="SKU-PAC-105"/>
    <s v="Shipping Carton"/>
    <n v="515"/>
    <s v="USD"/>
    <n v="1"/>
    <n v="515"/>
    <n v="750"/>
    <n v="386250"/>
    <n v="386250"/>
    <n v="386250"/>
    <n v="0"/>
    <n v="0"/>
    <n v="3"/>
    <n v="3"/>
    <n v="9"/>
    <n v="9"/>
    <n v="-6"/>
    <n v="-6"/>
    <x v="5"/>
    <x v="0"/>
    <x v="1"/>
    <x v="2"/>
    <x v="4"/>
    <x v="3"/>
    <x v="2"/>
    <x v="0"/>
    <n v="4.2"/>
    <x v="0"/>
    <x v="2"/>
  </r>
  <r>
    <s v="PO-2026-00545"/>
    <s v="ORD-545069"/>
    <d v="2026-04-04T00:00:00"/>
    <d v="2026-04-18T00:00:00"/>
    <x v="145"/>
    <x v="8"/>
    <x v="8"/>
    <x v="7"/>
    <x v="2"/>
    <x v="1"/>
    <s v="SKU-ELE-954"/>
    <s v="LED Driver"/>
    <n v="1150.71"/>
    <s v="KES"/>
    <n v="7.7000000000000002E-3"/>
    <n v="8.8604669999999999"/>
    <n v="100"/>
    <n v="115071"/>
    <n v="115071"/>
    <n v="886.04669999999999"/>
    <n v="3"/>
    <n v="0.03"/>
    <n v="15"/>
    <n v="15"/>
    <n v="14"/>
    <n v="14"/>
    <n v="1"/>
    <n v="1"/>
    <x v="1"/>
    <x v="0"/>
    <x v="0"/>
    <x v="4"/>
    <x v="2"/>
    <x v="3"/>
    <x v="3"/>
    <x v="0"/>
    <n v="4"/>
    <x v="5"/>
    <x v="0"/>
  </r>
  <r>
    <s v="PO-2026-00546"/>
    <s v="ORD-442852"/>
    <d v="2026-01-28T00:00:00"/>
    <d v="2026-04-17T00:00:00"/>
    <x v="177"/>
    <x v="9"/>
    <x v="9"/>
    <x v="2"/>
    <x v="0"/>
    <x v="4"/>
    <s v="SKU-PAC-441"/>
    <s v="Shipping Carton"/>
    <n v="187.86"/>
    <s v="NGN"/>
    <n v="7.2999999999999996E-4"/>
    <n v="0.1371378"/>
    <n v="500"/>
    <n v="93930"/>
    <n v="93930"/>
    <n v="68.568899999999999"/>
    <n v="0"/>
    <n v="0"/>
    <n v="6"/>
    <n v="82"/>
    <s v=""/>
    <n v="79"/>
    <n v="3"/>
    <n v="3"/>
    <x v="1"/>
    <x v="0"/>
    <x v="4"/>
    <x v="3"/>
    <x v="4"/>
    <x v="3"/>
    <x v="3"/>
    <x v="0"/>
    <n v="3"/>
    <x v="4"/>
    <x v="5"/>
  </r>
  <r>
    <s v="PO-2026-00547"/>
    <s v="ORD-840645"/>
    <d v="2026-06-11T00:00:00"/>
    <d v="2026-06-28T00:00:00"/>
    <x v="30"/>
    <x v="14"/>
    <x v="14"/>
    <x v="10"/>
    <x v="7"/>
    <x v="0"/>
    <s v="SKU-MAC-879"/>
    <s v="Conveyor Belt"/>
    <n v="550.97"/>
    <s v="ZAR"/>
    <n v="6.0999999999999999E-2"/>
    <n v="33.609169999999999"/>
    <n v="1500"/>
    <n v="826455"/>
    <n v="826455"/>
    <n v="50413.754999999997"/>
    <n v="89"/>
    <n v="5.9299999999999999E-2"/>
    <n v="17"/>
    <n v="17"/>
    <n v="17"/>
    <n v="17"/>
    <n v="0"/>
    <n v="0"/>
    <x v="5"/>
    <x v="2"/>
    <x v="0"/>
    <x v="1"/>
    <x v="2"/>
    <x v="1"/>
    <x v="4"/>
    <x v="5"/>
    <n v="2.7"/>
    <x v="6"/>
    <x v="3"/>
  </r>
  <r>
    <s v="PO-2026-00548"/>
    <s v="ORD-729023"/>
    <d v="2026-05-08T00:00:00"/>
    <d v="2026-05-20T00:00:00"/>
    <x v="97"/>
    <x v="3"/>
    <x v="3"/>
    <x v="3"/>
    <x v="0"/>
    <x v="0"/>
    <s v="SKU-MAC-988"/>
    <s v="Bearing Set"/>
    <n v="2780.14"/>
    <s v="KES"/>
    <n v="7.7000000000000002E-3"/>
    <n v="21.407077999999998"/>
    <n v="300"/>
    <n v="834042"/>
    <n v="834042"/>
    <n v="6422.1234000000004"/>
    <n v="12"/>
    <n v="0.04"/>
    <n v="26"/>
    <n v="26"/>
    <n v="12"/>
    <n v="12"/>
    <n v="14"/>
    <n v="14"/>
    <x v="4"/>
    <x v="0"/>
    <x v="1"/>
    <x v="0"/>
    <x v="1"/>
    <x v="0"/>
    <x v="0"/>
    <x v="0"/>
    <n v="3"/>
    <x v="4"/>
    <x v="9"/>
  </r>
  <r>
    <s v="PO-2026-00549"/>
    <s v="ORD-438839"/>
    <d v="2026-06-06T00:00:00"/>
    <d v="2026-06-14T00:00:00"/>
    <x v="12"/>
    <x v="12"/>
    <x v="12"/>
    <x v="2"/>
    <x v="7"/>
    <x v="4"/>
    <s v="SKU-PAC-543"/>
    <s v="Corrugated Box"/>
    <n v="307.26"/>
    <s v="USD"/>
    <n v="1"/>
    <n v="307.26"/>
    <n v="2000"/>
    <n v="614520"/>
    <n v="614520"/>
    <n v="614520"/>
    <n v="55"/>
    <n v="2.75E-2"/>
    <n v="4"/>
    <n v="4"/>
    <n v="8"/>
    <n v="8"/>
    <n v="-4"/>
    <n v="-4"/>
    <x v="2"/>
    <x v="0"/>
    <x v="0"/>
    <x v="1"/>
    <x v="5"/>
    <x v="2"/>
    <x v="0"/>
    <x v="0"/>
    <n v="3.3"/>
    <x v="5"/>
    <x v="2"/>
  </r>
  <r>
    <s v="PO-2026-00550"/>
    <s v="ORD-598598"/>
    <d v="2026-06-26T00:00:00"/>
    <d v="2026-06-27T00:00:00"/>
    <x v="78"/>
    <x v="9"/>
    <x v="9"/>
    <x v="2"/>
    <x v="2"/>
    <x v="4"/>
    <s v="SKU-PAC-178"/>
    <s v="Corrugated Box"/>
    <n v="375.82"/>
    <s v="EGP"/>
    <n v="1.9E-2"/>
    <n v="7.1405799999999999"/>
    <n v="2000"/>
    <n v="751640"/>
    <n v="751640"/>
    <n v="14281.16"/>
    <n v="13"/>
    <n v="6.4999999999999997E-3"/>
    <n v="4"/>
    <n v="4"/>
    <n v="1"/>
    <n v="1"/>
    <n v="3"/>
    <n v="3"/>
    <x v="3"/>
    <x v="0"/>
    <x v="1"/>
    <x v="1"/>
    <x v="0"/>
    <x v="1"/>
    <x v="0"/>
    <x v="0"/>
    <n v="4.2"/>
    <x v="2"/>
    <x v="0"/>
  </r>
  <r>
    <s v="PO-2026-00551"/>
    <s v="ORD-869180"/>
    <d v="2026-04-02T00:00:00"/>
    <d v="2026-04-26T00:00:00"/>
    <x v="70"/>
    <x v="5"/>
    <x v="5"/>
    <x v="5"/>
    <x v="6"/>
    <x v="3"/>
    <s v="SKU-TEX-786"/>
    <s v="Label Tape"/>
    <n v="790.25"/>
    <s v="EGP"/>
    <n v="1.9E-2"/>
    <n v="15.014749999999999"/>
    <n v="100"/>
    <n v="79025"/>
    <n v="79025"/>
    <n v="1501.4749999999999"/>
    <n v="3"/>
    <n v="0.03"/>
    <n v="26"/>
    <n v="26"/>
    <n v="24"/>
    <n v="24"/>
    <n v="2"/>
    <n v="2"/>
    <x v="3"/>
    <x v="0"/>
    <x v="0"/>
    <x v="2"/>
    <x v="2"/>
    <x v="4"/>
    <x v="0"/>
    <x v="0"/>
    <n v="2.4"/>
    <x v="0"/>
    <x v="0"/>
  </r>
  <r>
    <s v="PO-2026-00552"/>
    <s v="ORD-112398"/>
    <d v="2026-01-12T00:00:00"/>
    <d v="2026-01-19T00:00:00"/>
    <x v="89"/>
    <x v="12"/>
    <x v="12"/>
    <x v="2"/>
    <x v="3"/>
    <x v="4"/>
    <s v="SKU-PAC-868"/>
    <s v="Shipping Carton"/>
    <n v="504.33"/>
    <s v="KES"/>
    <n v="7.7000000000000002E-3"/>
    <n v="3.8833410000000002"/>
    <n v="50"/>
    <n v="25216.5"/>
    <n v="25216.5"/>
    <n v="194.16705000000002"/>
    <n v="1"/>
    <n v="0.02"/>
    <n v="6"/>
    <n v="6"/>
    <n v="7"/>
    <n v="7"/>
    <n v="-1"/>
    <n v="-1"/>
    <x v="5"/>
    <x v="0"/>
    <x v="4"/>
    <x v="1"/>
    <x v="2"/>
    <x v="2"/>
    <x v="3"/>
    <x v="0"/>
    <n v="3.7"/>
    <x v="0"/>
    <x v="4"/>
  </r>
  <r>
    <s v="PO-2026-00553"/>
    <s v="ORD-182932"/>
    <d v="2026-05-03T00:00:00"/>
    <d v="2026-05-10T00:00:00"/>
    <x v="44"/>
    <x v="9"/>
    <x v="9"/>
    <x v="2"/>
    <x v="5"/>
    <x v="4"/>
    <s v="SKU-PAC-861"/>
    <s v="Shipping Carton"/>
    <n v="335.62"/>
    <s v="USD"/>
    <n v="1"/>
    <n v="335.62"/>
    <n v="50"/>
    <n v="16781"/>
    <n v="16781"/>
    <n v="16781"/>
    <n v="3"/>
    <n v="0.06"/>
    <n v="24"/>
    <n v="24"/>
    <n v="7"/>
    <n v="7"/>
    <n v="17"/>
    <n v="17"/>
    <x v="0"/>
    <x v="4"/>
    <x v="0"/>
    <x v="1"/>
    <x v="2"/>
    <x v="3"/>
    <x v="0"/>
    <x v="2"/>
    <n v="2.1"/>
    <x v="5"/>
    <x v="10"/>
  </r>
  <r>
    <s v="PO-2026-00554"/>
    <s v="ORD-785103"/>
    <d v="2026-05-02T00:00:00"/>
    <d v="2026-05-18T00:00:00"/>
    <x v="45"/>
    <x v="6"/>
    <x v="6"/>
    <x v="1"/>
    <x v="0"/>
    <x v="1"/>
    <s v="SKU-ELE-906"/>
    <s v="LED Driver"/>
    <n v="305.42"/>
    <s v="ZAR"/>
    <n v="6.0999999999999999E-2"/>
    <n v="18.63062"/>
    <n v="300"/>
    <n v="91626"/>
    <n v="91626"/>
    <n v="5589.1859999999997"/>
    <n v="314"/>
    <n v="3.3300000000000003E-2"/>
    <n v="14"/>
    <n v="14"/>
    <n v="16"/>
    <n v="16"/>
    <n v="-2"/>
    <n v="-2"/>
    <x v="2"/>
    <x v="0"/>
    <x v="1"/>
    <x v="5"/>
    <x v="5"/>
    <x v="0"/>
    <x v="3"/>
    <x v="0"/>
    <n v="2.5"/>
    <x v="4"/>
    <x v="2"/>
  </r>
  <r>
    <s v="PO-2026-00555"/>
    <s v="ORD-269502"/>
    <d v="2026-02-14T00:00:00"/>
    <d v="2026-02-27T00:00:00"/>
    <x v="49"/>
    <x v="4"/>
    <x v="4"/>
    <x v="4"/>
    <x v="3"/>
    <x v="0"/>
    <s v="SKU-MAC-447"/>
    <s v="Conveyor Belt"/>
    <n v="707.69"/>
    <s v="USD"/>
    <n v="1"/>
    <n v="707.69"/>
    <n v="500"/>
    <n v="353845"/>
    <n v="353845"/>
    <n v="353845"/>
    <n v="6"/>
    <n v="1.2E-2"/>
    <n v="14"/>
    <n v="14"/>
    <n v="13"/>
    <n v="13"/>
    <n v="1"/>
    <n v="1"/>
    <x v="1"/>
    <x v="0"/>
    <x v="0"/>
    <x v="2"/>
    <x v="0"/>
    <x v="0"/>
    <x v="5"/>
    <x v="0"/>
    <n v="2.5"/>
    <x v="1"/>
    <x v="0"/>
  </r>
  <r>
    <s v="PO-2026-00556"/>
    <s v="ORD-701183"/>
    <d v="2026-03-10T00:00:00"/>
    <d v="2026-03-21T00:00:00"/>
    <x v="71"/>
    <x v="12"/>
    <x v="12"/>
    <x v="2"/>
    <x v="6"/>
    <x v="1"/>
    <s v="SKU-ELE-411"/>
    <s v="Control Board"/>
    <n v="4690.57"/>
    <s v="ZAR"/>
    <n v="6.0999999999999999E-2"/>
    <n v="286.12476999999996"/>
    <n v="250"/>
    <n v="1172642.5"/>
    <n v="1172642.5"/>
    <n v="71531.192500000005"/>
    <n v="0"/>
    <n v="0"/>
    <n v="11"/>
    <n v="11"/>
    <n v="11"/>
    <n v="11"/>
    <n v="0"/>
    <n v="0"/>
    <x v="2"/>
    <x v="0"/>
    <x v="2"/>
    <x v="4"/>
    <x v="3"/>
    <x v="0"/>
    <x v="1"/>
    <x v="0"/>
    <n v="3.3"/>
    <x v="5"/>
    <x v="4"/>
  </r>
  <r>
    <s v="PO-2026-00557"/>
    <s v="ORD-780815"/>
    <d v="2026-02-13T00:00:00"/>
    <d v="2026-02-25T00:00:00"/>
    <x v="49"/>
    <x v="4"/>
    <x v="4"/>
    <x v="4"/>
    <x v="5"/>
    <x v="0"/>
    <s v="SKU-MAC-797"/>
    <s v="Hydraulic Hose"/>
    <n v="507.86"/>
    <s v="KES"/>
    <n v="7.7000000000000002E-3"/>
    <n v="3.9105220000000003"/>
    <s v=""/>
    <n v="507860"/>
    <e v="#VALUE!"/>
    <n v="3910.5219999999999"/>
    <n v="34"/>
    <n v="3.4000000000000002E-2"/>
    <n v="15"/>
    <n v="15"/>
    <n v="12"/>
    <n v="12"/>
    <n v="3"/>
    <n v="3"/>
    <x v="1"/>
    <x v="0"/>
    <x v="1"/>
    <x v="0"/>
    <x v="4"/>
    <x v="0"/>
    <x v="2"/>
    <x v="0"/>
    <n v="2.2000000000000002"/>
    <x v="2"/>
    <x v="0"/>
  </r>
  <r>
    <s v="PO-2026-00558"/>
    <s v="ORD-692299"/>
    <d v="2026-05-20T00:00:00"/>
    <d v="2026-05-30T00:00:00"/>
    <x v="12"/>
    <x v="3"/>
    <x v="3"/>
    <x v="3"/>
    <x v="3"/>
    <x v="4"/>
    <s v="SKU-PAC-740"/>
    <s v="Bottle Caps"/>
    <n v="513.38"/>
    <s v="KES"/>
    <n v="7.7000000000000002E-3"/>
    <n v="3.9530259999999999"/>
    <n v="1000"/>
    <n v="513380"/>
    <n v="513380"/>
    <n v="3953.0260000000003"/>
    <n v="40"/>
    <n v="0.04"/>
    <n v="21"/>
    <n v="21"/>
    <n v="10"/>
    <n v="10"/>
    <n v="11"/>
    <n v="11"/>
    <x v="0"/>
    <x v="0"/>
    <x v="1"/>
    <x v="5"/>
    <x v="1"/>
    <x v="0"/>
    <x v="3"/>
    <x v="0"/>
    <n v="1.3"/>
    <x v="2"/>
    <x v="0"/>
  </r>
  <r>
    <s v="PO-2026-00559"/>
    <s v="ORD-264764"/>
    <d v="2026-06-07T00:00:00"/>
    <d v="2026-06-25T00:00:00"/>
    <x v="14"/>
    <x v="13"/>
    <x v="13"/>
    <x v="9"/>
    <x v="4"/>
    <x v="3"/>
    <s v="SKU-TEX-544"/>
    <s v="Label Tape"/>
    <n v="190.4"/>
    <s v="USD"/>
    <n v="1"/>
    <n v="190.4"/>
    <n v="150"/>
    <n v="28560"/>
    <n v="28560"/>
    <n v="28560"/>
    <n v="0"/>
    <n v="0"/>
    <n v="19"/>
    <n v="19"/>
    <n v="18"/>
    <n v="18"/>
    <n v="1"/>
    <n v="1"/>
    <x v="3"/>
    <x v="0"/>
    <x v="1"/>
    <x v="4"/>
    <x v="0"/>
    <x v="6"/>
    <x v="2"/>
    <x v="0"/>
    <n v="4.5"/>
    <x v="1"/>
    <x v="0"/>
  </r>
  <r>
    <s v="PO-2026-00560"/>
    <s v="ORD-691145"/>
    <d v="2026-01-03T00:00:00"/>
    <d v="2026-01-14T00:00:00"/>
    <x v="178"/>
    <x v="4"/>
    <x v="4"/>
    <x v="4"/>
    <x v="7"/>
    <x v="4"/>
    <s v="SKU-PAC-909"/>
    <s v="Bottle Caps"/>
    <n v="52.83"/>
    <s v="EGP"/>
    <n v="1.9E-2"/>
    <n v="1.0037700000000001"/>
    <n v="75"/>
    <n v="3962.25"/>
    <n v="3962.25"/>
    <n v="75.282749999999993"/>
    <n v="0"/>
    <n v="0"/>
    <n v="5"/>
    <n v="5"/>
    <n v="11"/>
    <n v="11"/>
    <n v="-6"/>
    <n v="-6"/>
    <x v="2"/>
    <x v="0"/>
    <x v="1"/>
    <x v="4"/>
    <x v="4"/>
    <x v="4"/>
    <x v="4"/>
    <x v="0"/>
    <n v="4.7"/>
    <x v="1"/>
    <x v="2"/>
  </r>
  <r>
    <s v="PO-2026-00561"/>
    <s v="ORD-225076"/>
    <d v="2026-03-08T00:00:00"/>
    <d v="2026-04-03T00:00:00"/>
    <x v="144"/>
    <x v="0"/>
    <x v="0"/>
    <x v="0"/>
    <x v="7"/>
    <x v="4"/>
    <s v="SKU-PAC-843"/>
    <s v="Corrugated Box"/>
    <n v="60.88"/>
    <s v="KES"/>
    <n v="7.7000000000000002E-3"/>
    <n v="0.46877600000000003"/>
    <n v="50"/>
    <n v="3044"/>
    <n v="3044"/>
    <n v="23.438800000000001"/>
    <n v="4"/>
    <n v="0.08"/>
    <n v="24"/>
    <n v="24"/>
    <n v="26"/>
    <n v="26"/>
    <n v="-2"/>
    <n v="-2"/>
    <x v="2"/>
    <x v="1"/>
    <x v="1"/>
    <x v="3"/>
    <x v="2"/>
    <x v="1"/>
    <x v="0"/>
    <x v="4"/>
    <n v="3"/>
    <x v="1"/>
    <x v="3"/>
  </r>
  <r>
    <s v="PO-2026-00562"/>
    <s v="ORD-766868"/>
    <d v="2026-02-02T00:00:00"/>
    <d v="2026-02-18T00:00:00"/>
    <x v="129"/>
    <x v="14"/>
    <x v="14"/>
    <x v="10"/>
    <x v="2"/>
    <x v="1"/>
    <s v="SKU-ELE-695"/>
    <s v="Power Adapter"/>
    <n v="984.79"/>
    <s v="NGN"/>
    <n v="7.2999999999999996E-4"/>
    <n v="0.71889669999999994"/>
    <n v="1500"/>
    <n v="1477185"/>
    <n v="1477185"/>
    <n v="1078.3450499999999"/>
    <n v="38"/>
    <n v="2.53E-2"/>
    <n v="7"/>
    <n v="7"/>
    <n v="16"/>
    <n v="16"/>
    <n v="-9"/>
    <n v="-9"/>
    <x v="2"/>
    <x v="0"/>
    <x v="2"/>
    <x v="2"/>
    <x v="0"/>
    <x v="2"/>
    <x v="4"/>
    <x v="0"/>
    <n v="3.1"/>
    <x v="1"/>
    <x v="4"/>
  </r>
  <r>
    <s v="PO-2026-00563"/>
    <s v="ORD-519679"/>
    <d v="2026-06-11T00:00:00"/>
    <d v="2026-06-19T00:00:00"/>
    <x v="122"/>
    <x v="9"/>
    <x v="9"/>
    <x v="2"/>
    <x v="7"/>
    <x v="4"/>
    <s v="SKU-PAC-334"/>
    <s v="Plastic Film Roll"/>
    <n v="295.25"/>
    <s v="EGP"/>
    <n v="1.9E-2"/>
    <n v="5.60975"/>
    <n v="50"/>
    <n v="14762.5"/>
    <n v="14762.5"/>
    <n v="280.48750000000001"/>
    <n v="0"/>
    <n v="0"/>
    <n v="2"/>
    <n v="2"/>
    <s v=""/>
    <n v="8"/>
    <n v="-6"/>
    <n v="-6"/>
    <x v="2"/>
    <x v="5"/>
    <x v="1"/>
    <x v="1"/>
    <x v="1"/>
    <x v="4"/>
    <x v="4"/>
    <x v="0"/>
    <n v="3.9"/>
    <x v="5"/>
    <x v="2"/>
  </r>
  <r>
    <s v="PO-2026-00564"/>
    <s v="ORD-226037"/>
    <d v="2026-02-07T00:00:00"/>
    <d v="2026-02-24T00:00:00"/>
    <x v="54"/>
    <x v="5"/>
    <x v="5"/>
    <x v="5"/>
    <x v="2"/>
    <x v="3"/>
    <s v="SKU-TEX-451"/>
    <s v="Polyester Roll"/>
    <n v="207.66"/>
    <s v="GHS"/>
    <n v="8.8999999999999996E-2"/>
    <n v="18.481739999999999"/>
    <n v="250"/>
    <n v="0"/>
    <n v="51915"/>
    <n v="0"/>
    <n v="15"/>
    <n v="0.06"/>
    <n v="23"/>
    <n v="23"/>
    <n v="17"/>
    <n v="17"/>
    <n v="6"/>
    <n v="6"/>
    <x v="1"/>
    <x v="1"/>
    <x v="4"/>
    <x v="5"/>
    <x v="3"/>
    <x v="4"/>
    <x v="3"/>
    <x v="4"/>
    <n v="1.5"/>
    <x v="2"/>
    <x v="6"/>
  </r>
  <r>
    <s v="PO-2026-00565"/>
    <s v="ORD-716265"/>
    <d v="2026-02-01T00:00:00"/>
    <d v="2026-02-15T00:00:00"/>
    <x v="103"/>
    <x v="6"/>
    <x v="6"/>
    <x v="1"/>
    <x v="4"/>
    <x v="1"/>
    <s v="SKU-ELE-374"/>
    <s v="Power Adapter"/>
    <n v="1830.14"/>
    <s v="GHS"/>
    <n v="8.8999999999999996E-2"/>
    <n v="162.88246000000001"/>
    <n v="250"/>
    <n v="457535"/>
    <n v="457535"/>
    <n v="40720.614999999998"/>
    <n v="13"/>
    <n v="5.1999999999999998E-2"/>
    <s v=""/>
    <n v="15"/>
    <n v="14"/>
    <n v="14"/>
    <n v="1"/>
    <n v="1"/>
    <x v="3"/>
    <x v="1"/>
    <x v="0"/>
    <x v="5"/>
    <x v="4"/>
    <x v="5"/>
    <x v="1"/>
    <x v="1"/>
    <n v="2.4"/>
    <x v="3"/>
    <x v="1"/>
  </r>
  <r>
    <s v="PO-2026-00566"/>
    <s v="ORD-570409"/>
    <d v="2026-05-14T00:00:00"/>
    <d v="2026-05-26T00:00:00"/>
    <x v="163"/>
    <x v="6"/>
    <x v="6"/>
    <x v="1"/>
    <x v="3"/>
    <x v="1"/>
    <s v="SKU-ELE-795"/>
    <s v="Power Adapter"/>
    <n v="1167.0999999999999"/>
    <s v="USD"/>
    <n v="1"/>
    <n v="1167.0999999999999"/>
    <n v="100"/>
    <n v="116710"/>
    <n v="116709.99999999999"/>
    <n v="116710"/>
    <n v="-1"/>
    <n v="0.05"/>
    <n v="21"/>
    <n v="21"/>
    <n v="12"/>
    <n v="12"/>
    <n v="9"/>
    <n v="9"/>
    <x v="0"/>
    <x v="1"/>
    <x v="0"/>
    <x v="4"/>
    <x v="3"/>
    <x v="1"/>
    <x v="0"/>
    <x v="3"/>
    <n v="1.9"/>
    <x v="6"/>
    <x v="1"/>
  </r>
  <r>
    <s v="PO-2026-00567"/>
    <s v="ORD-306991"/>
    <d v="2026-06-30T00:00:00"/>
    <d v="2026-07-05T00:00:00"/>
    <x v="43"/>
    <x v="9"/>
    <x v="9"/>
    <x v="2"/>
    <x v="0"/>
    <x v="4"/>
    <s v="SKU-PAC-172"/>
    <s v="Bottle Caps"/>
    <n v="393.7"/>
    <s v="USD"/>
    <n v="1"/>
    <n v="393.7"/>
    <n v="2000"/>
    <n v="787400"/>
    <n v="787400"/>
    <n v="787400"/>
    <n v="36"/>
    <n v="1.7999999999999999E-2"/>
    <n v="9"/>
    <n v="9"/>
    <n v="5"/>
    <n v="5"/>
    <n v="4"/>
    <n v="4"/>
    <x v="4"/>
    <x v="0"/>
    <x v="2"/>
    <x v="3"/>
    <x v="5"/>
    <x v="5"/>
    <x v="2"/>
    <x v="0"/>
    <n v="4.0999999999999996"/>
    <x v="6"/>
    <x v="5"/>
  </r>
  <r>
    <s v="PO-2026-00568"/>
    <s v="ORD-441687"/>
    <d v="2026-01-26T00:00:00"/>
    <d v="2026-02-15T00:00:00"/>
    <x v="124"/>
    <x v="0"/>
    <x v="0"/>
    <x v="0"/>
    <x v="6"/>
    <x v="0"/>
    <s v="SKU-MAC-812"/>
    <s v="Hydraulic Hose"/>
    <n v="3434.18"/>
    <s v="USD"/>
    <n v="1"/>
    <n v="3434.18"/>
    <n v="1500"/>
    <n v="5151270"/>
    <n v="5151270"/>
    <n v="5151270"/>
    <n v="139"/>
    <n v="9.2700000000000005E-2"/>
    <n v="26"/>
    <n v="26"/>
    <n v="20"/>
    <n v="20"/>
    <n v="6"/>
    <m/>
    <x v="1"/>
    <x v="4"/>
    <x v="0"/>
    <x v="1"/>
    <x v="2"/>
    <x v="0"/>
    <x v="1"/>
    <x v="1"/>
    <n v="2.9"/>
    <x v="4"/>
    <x v="1"/>
  </r>
  <r>
    <s v="PO-2026-00569"/>
    <s v="ORD-978762"/>
    <d v="2026-04-25T00:00:00"/>
    <d v="2026-05-09T00:00:00"/>
    <x v="140"/>
    <x v="12"/>
    <x v="12"/>
    <x v="2"/>
    <x v="1"/>
    <x v="4"/>
    <s v="SKU-PAC-667"/>
    <s v="Plastic Film Roll"/>
    <n v="652.80999999999995"/>
    <s v="EGP"/>
    <n v="1.9E-2"/>
    <n v="12.403389999999998"/>
    <n v="2000"/>
    <s v=""/>
    <n v="1305620"/>
    <s v=""/>
    <n v="-1"/>
    <n v="2.9499999999999998E-2"/>
    <n v="2"/>
    <n v="2"/>
    <n v="14"/>
    <n v="14"/>
    <n v="-12"/>
    <n v="-12"/>
    <x v="2"/>
    <x v="0"/>
    <x v="1"/>
    <x v="3"/>
    <x v="2"/>
    <x v="0"/>
    <x v="3"/>
    <x v="0"/>
    <n v="3.4"/>
    <x v="2"/>
    <x v="2"/>
  </r>
  <r>
    <s v="PO-2026-00570"/>
    <s v="ORD-591863"/>
    <d v="2026-06-10T00:00:00"/>
    <d v="2026-06-25T00:00:00"/>
    <x v="79"/>
    <x v="0"/>
    <x v="0"/>
    <x v="0"/>
    <x v="4"/>
    <x v="0"/>
    <s v="SKU-MAC-791"/>
    <s v="Bearing Set"/>
    <n v="945.49"/>
    <s v="GHS"/>
    <n v="8.8999999999999996E-2"/>
    <n v="84.148609999999991"/>
    <n v="150"/>
    <n v="141823.5"/>
    <n v="141823.5"/>
    <n v="12622.291499999999"/>
    <n v="0"/>
    <n v="0"/>
    <n v="26"/>
    <n v="26"/>
    <n v="15"/>
    <n v="15"/>
    <n v="11"/>
    <n v="11"/>
    <x v="0"/>
    <x v="0"/>
    <x v="0"/>
    <x v="3"/>
    <x v="2"/>
    <x v="3"/>
    <x v="3"/>
    <x v="0"/>
    <n v="2.2999999999999998"/>
    <x v="2"/>
    <x v="0"/>
  </r>
  <r>
    <s v="PO-2026-00571"/>
    <s v="ORD-130823"/>
    <d v="2026-05-31T00:00:00"/>
    <d v="2026-06-15T00:00:00"/>
    <x v="78"/>
    <x v="5"/>
    <x v="5"/>
    <x v="5"/>
    <x v="3"/>
    <x v="1"/>
    <s v="SKU-ELE-154"/>
    <s v="Control Board"/>
    <n v="1699.68"/>
    <s v="KES"/>
    <n v="7.7000000000000002E-3"/>
    <n v="13.087536"/>
    <n v="1500"/>
    <n v="2549520"/>
    <n v="2549520"/>
    <n v="19631.304"/>
    <n v="0"/>
    <n v="0"/>
    <n v="30"/>
    <n v="30"/>
    <n v="15"/>
    <n v="15"/>
    <n v="15"/>
    <n v="15"/>
    <x v="0"/>
    <x v="0"/>
    <x v="3"/>
    <x v="0"/>
    <x v="3"/>
    <x v="0"/>
    <x v="3"/>
    <x v="0"/>
    <n v="3.2"/>
    <x v="4"/>
    <x v="5"/>
  </r>
  <r>
    <s v="PO-2026-00572"/>
    <s v="ORD-624321"/>
    <d v="2026-04-08T00:00:00"/>
    <d v="2026-05-01T00:00:00"/>
    <x v="139"/>
    <x v="13"/>
    <x v="13"/>
    <x v="9"/>
    <x v="6"/>
    <x v="3"/>
    <s v="SKU-TEX-256"/>
    <s v="Uniform Material"/>
    <n v="673.85"/>
    <s v="EGP"/>
    <n v="1.9E-2"/>
    <n v="12.80315"/>
    <n v="750"/>
    <n v="505387.5"/>
    <n v="505387.5"/>
    <n v="9602.3624999999993"/>
    <n v="20"/>
    <n v="2.6700000000000002E-2"/>
    <n v="25"/>
    <n v="25"/>
    <n v="23"/>
    <n v="23"/>
    <n v="2"/>
    <n v="2"/>
    <x v="1"/>
    <x v="0"/>
    <x v="1"/>
    <x v="5"/>
    <x v="2"/>
    <x v="6"/>
    <x v="4"/>
    <x v="0"/>
    <n v="3"/>
    <x v="0"/>
    <x v="0"/>
  </r>
  <r>
    <s v="PO-2026-00573"/>
    <s v="ORD-825661"/>
    <d v="2026-06-14T00:00:00"/>
    <d v="2026-06-24T00:00:00"/>
    <x v="74"/>
    <x v="9"/>
    <x v="9"/>
    <x v="2"/>
    <x v="4"/>
    <x v="4"/>
    <s v="SKU-PAC-978"/>
    <s v="Plastic Film Roll"/>
    <n v="156.6"/>
    <s v="GHS"/>
    <n v="8.8999999999999996E-2"/>
    <n v="13.937399999999998"/>
    <n v="150"/>
    <s v=""/>
    <n v="23490"/>
    <s v=""/>
    <n v="0"/>
    <n v="0"/>
    <s v=""/>
    <n v="6"/>
    <n v="10"/>
    <n v="10"/>
    <n v="-4"/>
    <n v="-4"/>
    <x v="5"/>
    <x v="0"/>
    <x v="4"/>
    <x v="3"/>
    <x v="0"/>
    <x v="3"/>
    <x v="2"/>
    <x v="0"/>
    <n v="3.9"/>
    <x v="2"/>
    <x v="4"/>
  </r>
  <r>
    <s v="PO-2026-00574"/>
    <s v="ORD-830564"/>
    <d v="2026-06-04T00:00:00"/>
    <d v="2026-06-17T00:00:00"/>
    <x v="67"/>
    <x v="3"/>
    <x v="3"/>
    <x v="3"/>
    <x v="2"/>
    <x v="6"/>
    <s v="SKU-MET-178"/>
    <s v="Copper Rod"/>
    <n v="590.96"/>
    <s v="USD"/>
    <n v="1"/>
    <n v="590.96"/>
    <n v="500"/>
    <n v="295480"/>
    <n v="295480"/>
    <n v="295480"/>
    <n v="3"/>
    <n v="6.0000000000000001E-3"/>
    <n v="14"/>
    <n v="14"/>
    <n v="13"/>
    <n v="13"/>
    <n v="1"/>
    <n v="1"/>
    <x v="3"/>
    <x v="0"/>
    <x v="2"/>
    <x v="0"/>
    <x v="2"/>
    <x v="3"/>
    <x v="0"/>
    <x v="0"/>
    <n v="4.7"/>
    <x v="2"/>
    <x v="5"/>
  </r>
  <r>
    <s v="PO-2026-00575"/>
    <s v="ORD-106783"/>
    <d v="2026-06-26T00:00:00"/>
    <d v="2026-07-17T00:00:00"/>
    <x v="179"/>
    <x v="0"/>
    <x v="0"/>
    <x v="0"/>
    <x v="0"/>
    <x v="0"/>
    <s v="SKU-MAC-633"/>
    <s v="Hydraulic Hose"/>
    <n v="4773.3599999999997"/>
    <s v="GHS"/>
    <n v="8.8999999999999996E-2"/>
    <n v="424.82903999999996"/>
    <n v="100"/>
    <n v="477336"/>
    <n v="477335.99999999994"/>
    <n v="42482.903999999995"/>
    <n v="4"/>
    <n v="0.04"/>
    <n v="24"/>
    <n v="24"/>
    <n v="21"/>
    <n v="21"/>
    <n v="3"/>
    <n v="3"/>
    <x v="3"/>
    <x v="0"/>
    <x v="1"/>
    <x v="2"/>
    <x v="5"/>
    <x v="3"/>
    <x v="2"/>
    <x v="0"/>
    <n v="3.6"/>
    <x v="0"/>
    <x v="0"/>
  </r>
  <r>
    <s v="PO-2026-00576"/>
    <s v="ORD-373832"/>
    <d v="2026-01-25T00:00:00"/>
    <d v="2026-02-13T00:00:00"/>
    <x v="169"/>
    <x v="13"/>
    <x v="13"/>
    <x v="9"/>
    <x v="8"/>
    <x v="3"/>
    <s v="SKU-TEX-972"/>
    <s v="Cotton Fabric"/>
    <n v="177.77"/>
    <s v="GHS"/>
    <n v="8.8999999999999996E-2"/>
    <n v="15.821530000000001"/>
    <n v="1500"/>
    <n v="266655"/>
    <n v="266655"/>
    <n v="23732.294999999998"/>
    <n v="49"/>
    <n v="3.27E-2"/>
    <n v="23"/>
    <n v="23"/>
    <n v="19"/>
    <n v="19"/>
    <n v="4"/>
    <n v="4"/>
    <x v="0"/>
    <x v="0"/>
    <x v="2"/>
    <x v="5"/>
    <x v="3"/>
    <x v="0"/>
    <x v="2"/>
    <x v="0"/>
    <n v="3.8"/>
    <x v="3"/>
    <x v="5"/>
  </r>
  <r>
    <s v="PO-2026-00577"/>
    <s v="ORD-673281"/>
    <d v="2026-03-04T00:00:00"/>
    <d v="2026-03-13T00:00:00"/>
    <x v="18"/>
    <x v="4"/>
    <x v="4"/>
    <x v="4"/>
    <x v="7"/>
    <x v="6"/>
    <s v="SKU-MET-320"/>
    <s v="Rebar Bundle"/>
    <n v="962.32"/>
    <s v="USD"/>
    <n v="1"/>
    <n v="962.32"/>
    <n v="150"/>
    <n v="144348"/>
    <n v="144348"/>
    <n v="144348"/>
    <n v="4"/>
    <n v="2.6700000000000002E-2"/>
    <n v="14"/>
    <n v="14"/>
    <n v="9"/>
    <n v="9"/>
    <n v="5"/>
    <n v="5"/>
    <x v="0"/>
    <x v="0"/>
    <x v="0"/>
    <x v="2"/>
    <x v="0"/>
    <x v="0"/>
    <x v="3"/>
    <x v="0"/>
    <n v="3.2"/>
    <x v="6"/>
    <x v="0"/>
  </r>
  <r>
    <s v="PO-2026-00578"/>
    <s v="ORD-363600"/>
    <d v="2026-06-26T00:00:00"/>
    <d v="2026-07-17T00:00:00"/>
    <x v="95"/>
    <x v="14"/>
    <x v="14"/>
    <x v="10"/>
    <x v="2"/>
    <x v="3"/>
    <s v="SKU-TEX-528"/>
    <s v="Label Tape"/>
    <n v="443.57"/>
    <s v="USD"/>
    <n v="1"/>
    <n v="443.57"/>
    <n v="250"/>
    <n v="110892.5"/>
    <n v="110892.5"/>
    <n v="110892.5"/>
    <n v="2"/>
    <n v="8.0000000000000002E-3"/>
    <n v="18"/>
    <n v="18"/>
    <n v="21"/>
    <n v="21"/>
    <n v="-3"/>
    <n v="-3"/>
    <x v="5"/>
    <x v="0"/>
    <x v="4"/>
    <x v="3"/>
    <x v="0"/>
    <x v="0"/>
    <x v="4"/>
    <x v="0"/>
    <n v="4"/>
    <x v="6"/>
    <x v="4"/>
  </r>
  <r>
    <s v="PO-2026-00579"/>
    <s v="ORD-963956"/>
    <d v="2026-02-17T00:00:00"/>
    <d v="2026-02-26T00:00:00"/>
    <x v="1"/>
    <x v="11"/>
    <x v="11"/>
    <x v="8"/>
    <x v="2"/>
    <x v="5"/>
    <s v="SKU-RAW-712"/>
    <s v="Polymer Resin"/>
    <n v="844.23"/>
    <s v="NGN"/>
    <n v="7.2999999999999996E-4"/>
    <n v="0.6162879"/>
    <n v="1000"/>
    <n v="844230"/>
    <n v="844230"/>
    <n v="616.28789999999992"/>
    <n v="30"/>
    <n v="0.03"/>
    <n v="12"/>
    <n v="12"/>
    <n v="9"/>
    <n v="9"/>
    <n v="3"/>
    <n v="3"/>
    <x v="1"/>
    <x v="0"/>
    <x v="1"/>
    <x v="0"/>
    <x v="3"/>
    <x v="0"/>
    <x v="5"/>
    <x v="0"/>
    <n v="4.5999999999999996"/>
    <x v="2"/>
    <x v="0"/>
  </r>
  <r>
    <s v="PO-2026-00580"/>
    <s v="ORD-595265"/>
    <d v="2026-06-19T00:00:00"/>
    <d v="2026-07-04T00:00:00"/>
    <x v="33"/>
    <x v="6"/>
    <x v="6"/>
    <x v="1"/>
    <x v="8"/>
    <x v="1"/>
    <s v="SKU-ELE-115"/>
    <s v="Power Adapter"/>
    <n v="572.08000000000004"/>
    <s v="USD"/>
    <n v="1"/>
    <n v="572.08000000000004"/>
    <n v="75"/>
    <n v="42906"/>
    <n v="42906"/>
    <n v="42906"/>
    <n v="2"/>
    <n v="2.6700000000000002E-2"/>
    <n v="13"/>
    <n v="13"/>
    <n v="15"/>
    <n v="15"/>
    <n v="-2"/>
    <n v="-2"/>
    <x v="2"/>
    <x v="0"/>
    <x v="0"/>
    <x v="1"/>
    <x v="2"/>
    <x v="0"/>
    <x v="2"/>
    <x v="0"/>
    <n v="3"/>
    <x v="6"/>
    <x v="2"/>
  </r>
  <r>
    <s v="PO-2026-00581"/>
    <s v="ORD-957309"/>
    <d v="2026-01-14T00:00:00"/>
    <d v="2026-01-25T00:00:00"/>
    <x v="28"/>
    <x v="12"/>
    <x v="12"/>
    <x v="2"/>
    <x v="4"/>
    <x v="5"/>
    <s v="SKU-RAW-460"/>
    <s v="Input Granules"/>
    <n v="678.68"/>
    <s v="EGP"/>
    <n v="1.9E-2"/>
    <n v="12.894919999999999"/>
    <n v="500"/>
    <n v="339340"/>
    <n v="339340"/>
    <n v="6447.46"/>
    <n v="13"/>
    <n v="2.5999999999999999E-2"/>
    <n v="10"/>
    <n v="10"/>
    <n v="11"/>
    <n v="11"/>
    <n v="-1"/>
    <n v="-1"/>
    <x v="5"/>
    <x v="0"/>
    <x v="3"/>
    <x v="3"/>
    <x v="5"/>
    <x v="2"/>
    <x v="4"/>
    <x v="0"/>
    <n v="4.7"/>
    <x v="2"/>
    <x v="4"/>
  </r>
  <r>
    <s v="PO-2026-00582"/>
    <s v="ORD-100716"/>
    <d v="2026-05-26T00:00:00"/>
    <d v="2026-06-15T00:00:00"/>
    <x v="128"/>
    <x v="8"/>
    <x v="8"/>
    <x v="7"/>
    <x v="4"/>
    <x v="1"/>
    <s v="SKU-ELE-690"/>
    <s v="Sensor Module"/>
    <n v="2519.85"/>
    <s v="NGN"/>
    <n v="7.2999999999999996E-4"/>
    <n v="1.8394904999999999"/>
    <n v="200"/>
    <n v="503970"/>
    <n v="503970"/>
    <n v="367.8981"/>
    <n v="4"/>
    <n v="0.02"/>
    <n v="24"/>
    <n v="24"/>
    <n v="20"/>
    <n v="20"/>
    <n v="4"/>
    <n v="4"/>
    <x v="1"/>
    <x v="0"/>
    <x v="1"/>
    <x v="1"/>
    <x v="5"/>
    <x v="0"/>
    <x v="5"/>
    <x v="0"/>
    <n v="3.2"/>
    <x v="3"/>
    <x v="0"/>
  </r>
  <r>
    <s v="PO-2026-00583"/>
    <s v="ORD-975595"/>
    <d v="2026-06-04T00:00:00"/>
    <d v="2026-06-17T00:00:00"/>
    <x v="74"/>
    <x v="6"/>
    <x v="6"/>
    <x v="1"/>
    <x v="1"/>
    <x v="1"/>
    <s v="SKU-ELE-886"/>
    <s v="LED Driver"/>
    <n v="2113.83"/>
    <s v="ZAR"/>
    <n v="6.0999999999999999E-2"/>
    <n v="128.94362999999998"/>
    <n v="750"/>
    <n v="1585372.5"/>
    <n v="1585372.5"/>
    <n v="96707.722500000003"/>
    <n v="18"/>
    <n v="2.4E-2"/>
    <n v="16"/>
    <n v="16"/>
    <n v="13"/>
    <n v="13"/>
    <n v="3"/>
    <n v="3"/>
    <x v="3"/>
    <x v="0"/>
    <x v="0"/>
    <x v="3"/>
    <x v="2"/>
    <x v="1"/>
    <x v="3"/>
    <x v="0"/>
    <n v="2.6"/>
    <x v="4"/>
    <x v="0"/>
  </r>
  <r>
    <s v="PO-2026-00584"/>
    <s v="ORD-248777"/>
    <d v="2026-02-12T00:00:00"/>
    <d v="2026-02-26T00:00:00"/>
    <x v="34"/>
    <x v="3"/>
    <x v="3"/>
    <x v="3"/>
    <x v="2"/>
    <x v="1"/>
    <s v="SKU-ELE-383"/>
    <s v="Control Board"/>
    <n v="2241.2800000000002"/>
    <s v="KES"/>
    <n v="7.7000000000000002E-3"/>
    <n v="17.257856000000004"/>
    <n v="250"/>
    <n v="560320"/>
    <n v="560320"/>
    <n v="4314.4639999999999"/>
    <n v="15"/>
    <n v="0.06"/>
    <n v="12"/>
    <n v="12"/>
    <n v="14"/>
    <n v="14"/>
    <n v="-2"/>
    <n v="-2"/>
    <x v="5"/>
    <x v="2"/>
    <x v="1"/>
    <x v="3"/>
    <x v="5"/>
    <x v="0"/>
    <x v="4"/>
    <x v="2"/>
    <n v="2.1"/>
    <x v="0"/>
    <x v="3"/>
  </r>
  <r>
    <s v="PO-2026-00585"/>
    <s v="ORD-887217"/>
    <d v="2026-01-11T00:00:00"/>
    <d v="2026-01-26T00:00:00"/>
    <x v="87"/>
    <x v="3"/>
    <x v="3"/>
    <x v="3"/>
    <x v="1"/>
    <x v="4"/>
    <s v="SKU-PAC-561"/>
    <s v="Shipping Carton"/>
    <n v="802.15"/>
    <s v="USD"/>
    <n v="1"/>
    <n v="802.15"/>
    <n v="300"/>
    <n v="240645"/>
    <n v="240645"/>
    <n v="240645"/>
    <n v="0"/>
    <n v="0"/>
    <n v="10"/>
    <n v="10"/>
    <n v="15"/>
    <n v="15"/>
    <n v="-5"/>
    <n v="-5"/>
    <x v="5"/>
    <x v="0"/>
    <x v="1"/>
    <x v="4"/>
    <x v="2"/>
    <x v="3"/>
    <x v="4"/>
    <x v="0"/>
    <n v="3.7"/>
    <x v="5"/>
    <x v="2"/>
  </r>
  <r>
    <s v="PO-2026-00586"/>
    <s v="ORD-715401"/>
    <d v="2026-05-11T00:00:00"/>
    <d v="2026-05-28T00:00:00"/>
    <x v="13"/>
    <x v="8"/>
    <x v="8"/>
    <x v="7"/>
    <x v="5"/>
    <x v="1"/>
    <s v="SKU-ELE-372"/>
    <s v="LED Driver"/>
    <n v="1741.81"/>
    <s v="EGP"/>
    <n v="1.9E-2"/>
    <n v="33.094389999999997"/>
    <n v="250"/>
    <n v="435452.5"/>
    <n v="435452.5"/>
    <n v="8273.5974999999999"/>
    <n v="9"/>
    <n v="3.5999999999999997E-2"/>
    <n v="20"/>
    <n v="20"/>
    <n v="17"/>
    <n v="17"/>
    <n v="3"/>
    <n v="3"/>
    <x v="3"/>
    <x v="0"/>
    <x v="0"/>
    <x v="3"/>
    <x v="1"/>
    <x v="0"/>
    <x v="2"/>
    <x v="0"/>
    <n v="4.2"/>
    <x v="0"/>
    <x v="0"/>
  </r>
  <r>
    <s v="PO-2026-00587"/>
    <s v="ORD-937372"/>
    <d v="2026-06-21T00:00:00"/>
    <d v="2026-07-02T00:00:00"/>
    <x v="30"/>
    <x v="2"/>
    <x v="2"/>
    <x v="2"/>
    <x v="7"/>
    <x v="0"/>
    <s v="SKU-MAC-809"/>
    <s v="Hydraulic Hose"/>
    <n v="3189.74"/>
    <s v="USD"/>
    <n v="1"/>
    <n v="3189.74"/>
    <n v="1500"/>
    <n v="4784610"/>
    <n v="4784610"/>
    <n v="4784610"/>
    <n v="86"/>
    <n v="5.7299999999999997E-2"/>
    <n v="7"/>
    <n v="7"/>
    <n v="11"/>
    <n v="11"/>
    <n v="-4"/>
    <n v="-4"/>
    <x v="5"/>
    <x v="4"/>
    <x v="1"/>
    <x v="0"/>
    <x v="0"/>
    <x v="0"/>
    <x v="4"/>
    <x v="4"/>
    <n v="1.4"/>
    <x v="6"/>
    <x v="3"/>
  </r>
  <r>
    <s v="PO-2026-00588"/>
    <s v="ORD-256045"/>
    <d v="2026-01-27T00:00:00"/>
    <d v="2026-02-19T00:00:00"/>
    <x v="75"/>
    <x v="0"/>
    <x v="0"/>
    <x v="0"/>
    <x v="2"/>
    <x v="0"/>
    <s v="SKU-MAC-123"/>
    <s v="Gear Assembly"/>
    <n v="1432"/>
    <s v="GHS"/>
    <n v="8.8999999999999996E-2"/>
    <n v="127.44799999999999"/>
    <n v="200"/>
    <n v="286400"/>
    <n v="286400"/>
    <n v="25489.599999999999"/>
    <n v="8"/>
    <n v="0.04"/>
    <n v="-5"/>
    <n v="27"/>
    <n v="23"/>
    <n v="23"/>
    <n v="4"/>
    <n v="4"/>
    <x v="0"/>
    <x v="0"/>
    <x v="1"/>
    <x v="3"/>
    <x v="4"/>
    <x v="3"/>
    <x v="2"/>
    <x v="0"/>
    <n v="2.1"/>
    <x v="2"/>
    <x v="0"/>
  </r>
  <r>
    <s v="PO-2026-00589"/>
    <s v="ORD-947637"/>
    <d v="2026-06-28T00:00:00"/>
    <d v="2026-07-13T00:00:00"/>
    <x v="62"/>
    <x v="6"/>
    <x v="6"/>
    <x v="1"/>
    <x v="7"/>
    <x v="1"/>
    <s v="SKU-ELE-755"/>
    <s v="Control Board"/>
    <n v="1410.83"/>
    <s v="NGN"/>
    <n v="7.2999999999999996E-4"/>
    <n v="1.0299058999999999"/>
    <n v="2000"/>
    <n v="2821660"/>
    <n v="2821660"/>
    <n v="2059.8117999999999"/>
    <n v="0"/>
    <n v="0"/>
    <n v="21"/>
    <n v="21"/>
    <n v="15"/>
    <n v="15"/>
    <n v="6"/>
    <n v="6"/>
    <x v="1"/>
    <x v="0"/>
    <x v="1"/>
    <x v="3"/>
    <x v="3"/>
    <x v="4"/>
    <x v="5"/>
    <x v="0"/>
    <n v="3.2"/>
    <x v="3"/>
    <x v="0"/>
  </r>
  <r>
    <s v="PO-2026-00590"/>
    <s v="ORD-391444"/>
    <d v="2026-06-02T00:00:00"/>
    <d v="2026-06-17T00:00:00"/>
    <x v="127"/>
    <x v="1"/>
    <x v="1"/>
    <x v="1"/>
    <x v="3"/>
    <x v="4"/>
    <s v="SKU-PAC-571"/>
    <s v="Shipping Carton"/>
    <n v="780.1"/>
    <s v="GHS"/>
    <n v="8.8999999999999996E-2"/>
    <n v="69.428899999999999"/>
    <n v="250"/>
    <n v="195025"/>
    <n v="195025"/>
    <n v="17357.224999999999"/>
    <n v="11"/>
    <n v="4.3999999999999997E-2"/>
    <n v="13"/>
    <n v="13"/>
    <n v="15"/>
    <n v="15"/>
    <n v="-2"/>
    <n v="-2"/>
    <x v="5"/>
    <x v="1"/>
    <x v="0"/>
    <x v="2"/>
    <x v="4"/>
    <x v="0"/>
    <x v="4"/>
    <x v="4"/>
    <n v="1.5"/>
    <x v="6"/>
    <x v="3"/>
  </r>
  <r>
    <s v="PO-2026-00591"/>
    <s v="ORD-891466"/>
    <d v="2026-03-21T00:00:00"/>
    <d v="2026-04-10T00:00:00"/>
    <x v="148"/>
    <x v="5"/>
    <x v="5"/>
    <x v="5"/>
    <x v="3"/>
    <x v="2"/>
    <s v="SKU-IND-374"/>
    <s v="Filter Cartridge"/>
    <n v="114.82"/>
    <s v="GHS"/>
    <n v="8.8999999999999996E-2"/>
    <n v="10.218979999999998"/>
    <n v="250"/>
    <n v="28705"/>
    <n v="28705"/>
    <n v="2554.7449999999999"/>
    <n v="8"/>
    <n v="3.2000000000000001E-2"/>
    <n v="15"/>
    <n v="15"/>
    <n v="20"/>
    <n v="20"/>
    <n v="-5"/>
    <n v="-5"/>
    <x v="2"/>
    <x v="0"/>
    <x v="0"/>
    <x v="2"/>
    <x v="3"/>
    <x v="3"/>
    <x v="3"/>
    <x v="0"/>
    <n v="3.1"/>
    <x v="6"/>
    <x v="2"/>
  </r>
  <r>
    <s v="PO-2026-00592"/>
    <s v="ORD-694969"/>
    <d v="2026-05-02T00:00:00"/>
    <d v="2026-05-08T00:00:00"/>
    <x v="5"/>
    <x v="10"/>
    <x v="10"/>
    <x v="2"/>
    <x v="0"/>
    <x v="6"/>
    <s v="SKU-MET-207"/>
    <s v="Rebar Bundle"/>
    <n v="2099.5500000000002"/>
    <s v="ZAR"/>
    <n v="6.0999999999999999E-2"/>
    <n v="128.07255000000001"/>
    <n v="2000"/>
    <n v="4199100"/>
    <n v="4199100"/>
    <n v="256145.1"/>
    <n v="33"/>
    <n v="1.6500000000000001E-2"/>
    <n v="16"/>
    <n v="16"/>
    <n v="6"/>
    <n v="6"/>
    <n v="10"/>
    <n v="10"/>
    <x v="0"/>
    <x v="0"/>
    <x v="0"/>
    <x v="2"/>
    <x v="2"/>
    <x v="0"/>
    <x v="2"/>
    <x v="0"/>
    <n v="2.6"/>
    <x v="5"/>
    <x v="0"/>
  </r>
  <r>
    <s v="PO-2026-00593"/>
    <s v="ORD-780063"/>
    <d v="2026-03-23T00:00:00"/>
    <d v="2026-04-09T00:00:00"/>
    <x v="177"/>
    <x v="7"/>
    <x v="7"/>
    <x v="6"/>
    <x v="1"/>
    <x v="2"/>
    <s v="SKU-IND-184"/>
    <s v="Filter Cartridge"/>
    <n v="416.25"/>
    <s v="KES"/>
    <n v="7.7000000000000002E-3"/>
    <n v="3.2051250000000002"/>
    <n v="1000"/>
    <n v="416250"/>
    <n v="416250"/>
    <n v="3205.125"/>
    <n v="47"/>
    <n v="4.7E-2"/>
    <n v="28"/>
    <n v="28"/>
    <n v="17"/>
    <n v="17"/>
    <n v="11"/>
    <n v="11"/>
    <x v="0"/>
    <x v="2"/>
    <x v="4"/>
    <x v="5"/>
    <x v="2"/>
    <x v="4"/>
    <x v="5"/>
    <x v="1"/>
    <n v="3.2"/>
    <x v="2"/>
    <x v="6"/>
  </r>
  <r>
    <s v="PO-2026-00594"/>
    <s v="ORD-758949"/>
    <d v="2026-06-06T00:00:00"/>
    <d v="2026-06-13T00:00:00"/>
    <x v="27"/>
    <x v="10"/>
    <x v="10"/>
    <x v="2"/>
    <x v="1"/>
    <x v="0"/>
    <s v="SKU-MAC-446"/>
    <s v="Bearing Set"/>
    <n v="1248.51"/>
    <s v="EGP"/>
    <n v="1.9E-2"/>
    <n v="23.721689999999999"/>
    <n v="100"/>
    <n v="124851"/>
    <n v="124851"/>
    <n v="2372.1689999999999"/>
    <n v="2"/>
    <n v="0.02"/>
    <n v="21"/>
    <n v="21"/>
    <n v="7"/>
    <n v="7"/>
    <n v="14"/>
    <m/>
    <x v="4"/>
    <x v="0"/>
    <x v="1"/>
    <x v="5"/>
    <x v="2"/>
    <x v="4"/>
    <x v="3"/>
    <x v="0"/>
    <n v="2.1"/>
    <x v="5"/>
    <x v="0"/>
  </r>
  <r>
    <s v="PO-2026-00595"/>
    <s v="ORD-133995"/>
    <d v="2026-03-01T00:00:00"/>
    <d v="2026-03-17T00:00:00"/>
    <x v="60"/>
    <x v="0"/>
    <x v="0"/>
    <x v="0"/>
    <x v="8"/>
    <x v="5"/>
    <s v="SKU-RAW-152"/>
    <s v="Agro Binder"/>
    <n v="567.71"/>
    <s v="USD"/>
    <n v="1"/>
    <n v="567.71"/>
    <n v="300"/>
    <n v="170313"/>
    <n v="170313"/>
    <n v="170313"/>
    <n v="33"/>
    <n v="0.11"/>
    <n v="15"/>
    <n v="15"/>
    <n v="16"/>
    <n v="16"/>
    <n v="-1"/>
    <n v="-1"/>
    <x v="2"/>
    <x v="4"/>
    <x v="0"/>
    <x v="3"/>
    <x v="2"/>
    <x v="4"/>
    <x v="3"/>
    <x v="4"/>
    <n v="1.7"/>
    <x v="5"/>
    <x v="3"/>
  </r>
  <r>
    <s v="PO-2026-00596"/>
    <s v="ORD-245666"/>
    <d v="2026-02-15T00:00:00"/>
    <d v="2026-03-05T00:00:00"/>
    <x v="60"/>
    <x v="7"/>
    <x v="7"/>
    <x v="6"/>
    <x v="3"/>
    <x v="2"/>
    <s v="SKU-IND-687"/>
    <s v="Welding Rod"/>
    <n v="418.15"/>
    <s v="GHS"/>
    <n v="8.8999999999999996E-2"/>
    <n v="37.215349999999994"/>
    <n v="2000"/>
    <n v="836300"/>
    <n v="836300"/>
    <n v="74430.7"/>
    <n v="39"/>
    <n v="1.95E-2"/>
    <n v="29"/>
    <n v="29"/>
    <n v="18"/>
    <n v="18"/>
    <n v="11"/>
    <n v="11"/>
    <x v="4"/>
    <x v="0"/>
    <x v="2"/>
    <x v="3"/>
    <x v="5"/>
    <x v="1"/>
    <x v="5"/>
    <x v="0"/>
    <n v="2"/>
    <x v="5"/>
    <x v="5"/>
  </r>
  <r>
    <s v="PO-2026-00597"/>
    <s v="ORD-551683"/>
    <d v="2026-03-04T00:00:00"/>
    <d v="2026-03-22T00:00:00"/>
    <x v="149"/>
    <x v="5"/>
    <x v="5"/>
    <x v="5"/>
    <x v="0"/>
    <x v="3"/>
    <s v="SKU-TEX-974"/>
    <s v="Polyester Roll"/>
    <n v="684.57"/>
    <s v="GHS"/>
    <n v="8.8999999999999996E-2"/>
    <n v="60.926729999999999"/>
    <n v="75"/>
    <s v=""/>
    <n v="51342.750000000007"/>
    <s v=""/>
    <n v="2"/>
    <n v="2.6700000000000002E-2"/>
    <n v="27"/>
    <n v="27"/>
    <n v="18"/>
    <n v="18"/>
    <n v="9"/>
    <n v="9"/>
    <x v="4"/>
    <x v="0"/>
    <x v="2"/>
    <x v="3"/>
    <x v="4"/>
    <x v="3"/>
    <x v="2"/>
    <x v="0"/>
    <n v="6"/>
    <x v="3"/>
    <x v="5"/>
  </r>
  <r>
    <s v="PO-2026-00598"/>
    <s v="ORD-524757"/>
    <d v="2026-04-28T00:00:00"/>
    <d v="2026-05-16T00:00:00"/>
    <x v="73"/>
    <x v="5"/>
    <x v="5"/>
    <x v="5"/>
    <x v="1"/>
    <x v="3"/>
    <s v="SKU-TEX-192"/>
    <s v="Cotton Fabric"/>
    <n v="580.9"/>
    <s v="GHS"/>
    <n v="8.8999999999999996E-2"/>
    <n v="51.700099999999999"/>
    <n v="1000"/>
    <n v="580900"/>
    <n v="580900"/>
    <n v="51700.1"/>
    <n v="45"/>
    <n v="4.4999999999999998E-2"/>
    <n v="13"/>
    <n v="13"/>
    <n v="18"/>
    <n v="18"/>
    <n v="-5"/>
    <n v="-5"/>
    <x v="2"/>
    <x v="2"/>
    <x v="0"/>
    <x v="1"/>
    <x v="3"/>
    <x v="2"/>
    <x v="5"/>
    <x v="2"/>
    <n v="2.4"/>
    <x v="0"/>
    <x v="15"/>
  </r>
  <r>
    <s v="PO-2026-00599"/>
    <s v="ORD-797525"/>
    <d v="2026-03-18T00:00:00"/>
    <d v="2026-03-26T00:00:00"/>
    <x v="180"/>
    <x v="4"/>
    <x v="4"/>
    <x v="4"/>
    <x v="7"/>
    <x v="1"/>
    <s v="SKU-ELE-983"/>
    <s v="Power Adapter"/>
    <n v="28.84"/>
    <s v="KES"/>
    <n v="7.7000000000000002E-3"/>
    <n v="0.22206800000000002"/>
    <n v="150"/>
    <n v="4326"/>
    <n v="4326"/>
    <n v="33.310200000000002"/>
    <n v="2"/>
    <n v="1.3299999999999999E-2"/>
    <n v="7"/>
    <n v="7"/>
    <n v="8"/>
    <n v="8"/>
    <n v="-1"/>
    <n v="-1"/>
    <x v="2"/>
    <x v="0"/>
    <x v="1"/>
    <x v="5"/>
    <x v="1"/>
    <x v="2"/>
    <x v="5"/>
    <x v="0"/>
    <n v="3"/>
    <x v="4"/>
    <x v="2"/>
  </r>
  <r>
    <s v="PO-2026-00600"/>
    <s v="ORD-367464"/>
    <d v="2026-04-27T00:00:00"/>
    <d v="2026-05-03T00:00:00"/>
    <x v="140"/>
    <x v="9"/>
    <x v="9"/>
    <x v="2"/>
    <x v="5"/>
    <x v="4"/>
    <s v="SKU-PAC-371"/>
    <s v="Bottle Caps"/>
    <n v="784.95"/>
    <s v="KES"/>
    <n v="7.7000000000000002E-3"/>
    <n v="6.0441150000000006"/>
    <n v="500"/>
    <n v="392475"/>
    <n v="392475"/>
    <n v="3022.0574999999999"/>
    <n v="4"/>
    <n v="8.0000000000000002E-3"/>
    <n v="0"/>
    <n v="0"/>
    <n v="6"/>
    <n v="6"/>
    <n v="-6"/>
    <n v="-6"/>
    <x v="2"/>
    <x v="0"/>
    <x v="1"/>
    <x v="2"/>
    <x v="3"/>
    <x v="5"/>
    <x v="5"/>
    <x v="0"/>
    <n v="3.7"/>
    <x v="0"/>
    <x v="2"/>
  </r>
  <r>
    <s v="PO-2026-00601"/>
    <s v="ORD-634535"/>
    <d v="2026-03-27T00:00:00"/>
    <d v="2026-04-06T00:00:00"/>
    <x v="77"/>
    <x v="3"/>
    <x v="3"/>
    <x v="3"/>
    <x v="3"/>
    <x v="4"/>
    <s v="SKU-PAC-714"/>
    <s v="Bottle Caps"/>
    <n v="48.16"/>
    <s v="GHS"/>
    <n v="8.8999999999999996E-2"/>
    <n v="4.2862399999999994"/>
    <n v="200"/>
    <n v="9632"/>
    <n v="9632"/>
    <n v="857.24799999999993"/>
    <n v="8"/>
    <n v="0.04"/>
    <n v="18"/>
    <n v="18"/>
    <n v="10"/>
    <n v="10"/>
    <n v="8"/>
    <n v="8"/>
    <x v="1"/>
    <x v="0"/>
    <x v="4"/>
    <x v="1"/>
    <x v="2"/>
    <x v="5"/>
    <x v="2"/>
    <x v="0"/>
    <n v="2.7"/>
    <x v="1"/>
    <x v="5"/>
  </r>
  <r>
    <s v="PO-2026-00602"/>
    <s v="ORD-242337"/>
    <d v="2026-05-07T00:00:00"/>
    <d v="2026-05-17T00:00:00"/>
    <x v="73"/>
    <x v="12"/>
    <x v="12"/>
    <x v="2"/>
    <x v="6"/>
    <x v="4"/>
    <s v="SKU-PAC-823"/>
    <s v="Bottle Caps"/>
    <n v="228.84"/>
    <s v="NGN"/>
    <n v="7.2999999999999996E-4"/>
    <n v="0.16705319999999999"/>
    <n v="75"/>
    <n v="17163"/>
    <n v="17163"/>
    <n v="12.528989999999999"/>
    <n v="3"/>
    <n v="0.04"/>
    <n v="4"/>
    <n v="4"/>
    <n v="10"/>
    <n v="10"/>
    <n v="-6"/>
    <n v="-6"/>
    <x v="5"/>
    <x v="0"/>
    <x v="2"/>
    <x v="4"/>
    <x v="0"/>
    <x v="3"/>
    <x v="1"/>
    <x v="0"/>
    <n v="4.2"/>
    <x v="6"/>
    <x v="4"/>
  </r>
  <r>
    <s v="PO-2026-00603"/>
    <s v="ORD-403444"/>
    <d v="2026-02-12T00:00:00"/>
    <d v="2026-02-24T00:00:00"/>
    <x v="181"/>
    <x v="3"/>
    <x v="3"/>
    <x v="3"/>
    <x v="6"/>
    <x v="4"/>
    <s v="SKU-PAC-422"/>
    <s v="Corrugated Box"/>
    <n v="259.08"/>
    <s v="KES"/>
    <n v="7.7000000000000002E-3"/>
    <n v="1.9949159999999999"/>
    <n v="250"/>
    <n v="64770"/>
    <n v="64769.999999999993"/>
    <n v="498.72900000000004"/>
    <n v="3"/>
    <n v="1.2E-2"/>
    <n v="14"/>
    <n v="14"/>
    <n v="12"/>
    <n v="12"/>
    <n v="2"/>
    <n v="2"/>
    <x v="1"/>
    <x v="0"/>
    <x v="1"/>
    <x v="2"/>
    <x v="1"/>
    <x v="3"/>
    <x v="5"/>
    <x v="0"/>
    <n v="4"/>
    <x v="4"/>
    <x v="0"/>
  </r>
  <r>
    <s v="PO-2026-00604"/>
    <s v="ORD-371903"/>
    <d v="2026-01-31T00:00:00"/>
    <d v="2026-02-13T00:00:00"/>
    <x v="94"/>
    <x v="14"/>
    <x v="14"/>
    <x v="10"/>
    <x v="0"/>
    <x v="5"/>
    <s v="SKU-RAW-171"/>
    <s v="Agro Binder"/>
    <n v="301.87"/>
    <s v="GHS"/>
    <n v="8.8999999999999996E-2"/>
    <n v="26.866429999999998"/>
    <n v="50"/>
    <n v="15093.5"/>
    <n v="15093.5"/>
    <n v="1343.3215"/>
    <n v="5"/>
    <n v="0.1"/>
    <n v="13"/>
    <n v="13"/>
    <n v="13"/>
    <n v="13"/>
    <n v="0"/>
    <n v="0"/>
    <x v="2"/>
    <x v="1"/>
    <x v="1"/>
    <x v="3"/>
    <x v="2"/>
    <x v="3"/>
    <x v="0"/>
    <x v="2"/>
    <n v="2"/>
    <x v="5"/>
    <x v="3"/>
  </r>
  <r>
    <s v="PO-2026-00605"/>
    <s v="ORD-141701"/>
    <d v="2026-01-22T00:00:00"/>
    <d v="2026-02-02T00:00:00"/>
    <x v="105"/>
    <x v="11"/>
    <x v="11"/>
    <x v="8"/>
    <x v="6"/>
    <x v="5"/>
    <s v="SKU-RAW-716"/>
    <s v="Agro Binder"/>
    <n v="174.12"/>
    <s v="EGP"/>
    <n v="1.9E-2"/>
    <n v="3.3082799999999999"/>
    <n v="75"/>
    <n v="13059"/>
    <n v="13059"/>
    <n v="248.12099999999998"/>
    <n v="4"/>
    <n v="5.33E-2"/>
    <n v="10"/>
    <n v="10"/>
    <n v="11"/>
    <n v="11"/>
    <n v="-1"/>
    <n v="-1"/>
    <x v="2"/>
    <x v="1"/>
    <x v="1"/>
    <x v="2"/>
    <x v="3"/>
    <x v="6"/>
    <x v="5"/>
    <x v="3"/>
    <n v="1.2"/>
    <x v="2"/>
    <x v="3"/>
  </r>
  <r>
    <s v="PO-2026-00606"/>
    <s v="ORD-962628"/>
    <d v="2026-06-29T00:00:00"/>
    <d v="2026-07-21T00:00:00"/>
    <x v="182"/>
    <x v="7"/>
    <x v="7"/>
    <x v="6"/>
    <x v="3"/>
    <x v="4"/>
    <s v="SKU-PAC-238"/>
    <s v="Shipping Carton"/>
    <n v="537.21"/>
    <s v="NGN"/>
    <n v="7.2999999999999996E-4"/>
    <n v="0.39216329999999999"/>
    <n v="300"/>
    <n v="161163"/>
    <n v="161163"/>
    <n v="117.64899"/>
    <n v="10"/>
    <n v="3.3300000000000003E-2"/>
    <n v="25"/>
    <n v="25"/>
    <n v="22"/>
    <n v="22"/>
    <n v="3"/>
    <n v="3"/>
    <x v="1"/>
    <x v="0"/>
    <x v="3"/>
    <x v="2"/>
    <x v="1"/>
    <x v="3"/>
    <x v="3"/>
    <x v="0"/>
    <n v="3.4"/>
    <x v="4"/>
    <x v="7"/>
  </r>
  <r>
    <s v="PO-2026-00607"/>
    <s v="ORD-387303"/>
    <d v="2026-04-11T00:00:00"/>
    <d v="2026-04-22T00:00:00"/>
    <x v="117"/>
    <x v="4"/>
    <x v="4"/>
    <x v="4"/>
    <x v="2"/>
    <x v="0"/>
    <s v="SKU-MAC-148"/>
    <s v="Hydraulic Hose"/>
    <n v="1926.17"/>
    <s v="GHS"/>
    <n v="8.8999999999999996E-2"/>
    <n v="171.42912999999999"/>
    <n v="200"/>
    <n v="385234"/>
    <n v="385234"/>
    <n v="34285.826000000001"/>
    <n v="0"/>
    <n v="0"/>
    <n v="20"/>
    <n v="20"/>
    <n v="11"/>
    <n v="11"/>
    <n v="9"/>
    <n v="9"/>
    <x v="0"/>
    <x v="0"/>
    <x v="1"/>
    <x v="0"/>
    <x v="2"/>
    <x v="1"/>
    <x v="2"/>
    <x v="0"/>
    <n v="1.6"/>
    <x v="0"/>
    <x v="0"/>
  </r>
  <r>
    <s v="PO-2026-00608"/>
    <s v="ORD-189965"/>
    <d v="2026-01-30T00:00:00"/>
    <d v="2026-02-09T00:00:00"/>
    <x v="124"/>
    <x v="1"/>
    <x v="1"/>
    <x v="1"/>
    <x v="5"/>
    <x v="1"/>
    <s v="SKU-ELE-202"/>
    <s v="Power Adapter"/>
    <n v="3178.02"/>
    <s v="ZAR"/>
    <n v="6.0999999999999999E-2"/>
    <n v="193.85921999999999"/>
    <n v="250"/>
    <n v="794505"/>
    <n v="794505"/>
    <n v="48464.805"/>
    <n v="0"/>
    <n v="0"/>
    <n v="22"/>
    <n v="22"/>
    <n v="10"/>
    <n v="10"/>
    <n v="12"/>
    <n v="12"/>
    <x v="4"/>
    <x v="0"/>
    <x v="1"/>
    <x v="2"/>
    <x v="2"/>
    <x v="0"/>
    <x v="2"/>
    <x v="0"/>
    <n v="3"/>
    <x v="5"/>
    <x v="0"/>
  </r>
  <r>
    <s v="PO-2026-00609"/>
    <s v="ORD-648098"/>
    <d v="2026-04-04T00:00:00"/>
    <d v="2026-04-14T00:00:00"/>
    <x v="77"/>
    <x v="2"/>
    <x v="2"/>
    <x v="2"/>
    <x v="7"/>
    <x v="2"/>
    <s v="SKU-IND-188"/>
    <s v="Welding Rod"/>
    <n v="226.08"/>
    <s v="NGN"/>
    <n v="7.2999999999999996E-4"/>
    <n v="0.1650384"/>
    <n v="1000"/>
    <n v="226080"/>
    <n v="226080"/>
    <n v="165.0384"/>
    <n v="45"/>
    <n v="4.4999999999999998E-2"/>
    <n v="10"/>
    <n v="10"/>
    <n v="10"/>
    <n v="10"/>
    <n v="0"/>
    <n v="0"/>
    <x v="5"/>
    <x v="1"/>
    <x v="0"/>
    <x v="3"/>
    <x v="3"/>
    <x v="2"/>
    <x v="2"/>
    <x v="4"/>
    <n v="1.3"/>
    <x v="4"/>
    <x v="3"/>
  </r>
  <r>
    <s v="PO-2026-00610"/>
    <s v="ORD-115867"/>
    <d v="2026-05-03T00:00:00"/>
    <d v="2026-05-14T00:00:00"/>
    <x v="86"/>
    <x v="4"/>
    <x v="4"/>
    <x v="4"/>
    <x v="3"/>
    <x v="0"/>
    <s v="SKU-MAC-849"/>
    <s v="Gear Assembly"/>
    <n v="761.88"/>
    <s v="ZAR"/>
    <n v="6.0999999999999999E-2"/>
    <n v="46.474679999999999"/>
    <s v=""/>
    <n v="1523760"/>
    <e v="#VALUE!"/>
    <n v="92949.36"/>
    <n v="23"/>
    <n v="1.15E-2"/>
    <n v="16"/>
    <n v="16"/>
    <n v="11"/>
    <n v="11"/>
    <n v="5"/>
    <n v="5"/>
    <x v="1"/>
    <x v="0"/>
    <x v="1"/>
    <x v="2"/>
    <x v="1"/>
    <x v="0"/>
    <x v="1"/>
    <x v="0"/>
    <n v="-1"/>
    <x v="5"/>
    <x v="0"/>
  </r>
  <r>
    <s v="PO-2026-00611"/>
    <s v="ORD-720500"/>
    <d v="2026-06-07T00:00:00"/>
    <d v="2026-06-23T00:00:00"/>
    <x v="126"/>
    <x v="1"/>
    <x v="1"/>
    <x v="1"/>
    <x v="7"/>
    <x v="1"/>
    <s v="SKU-ELE-642"/>
    <s v="LED Driver"/>
    <n v="1176.9100000000001"/>
    <s v="KES"/>
    <n v="7.7000000000000002E-3"/>
    <n v="9.0622070000000008"/>
    <n v="300"/>
    <n v="353073"/>
    <n v="353073"/>
    <n v="2718.6621"/>
    <n v="8"/>
    <n v="2.6700000000000002E-2"/>
    <n v="16"/>
    <n v="16"/>
    <n v="16"/>
    <n v="16"/>
    <n v="0"/>
    <n v="0"/>
    <x v="2"/>
    <x v="0"/>
    <x v="3"/>
    <x v="3"/>
    <x v="0"/>
    <x v="1"/>
    <x v="2"/>
    <x v="0"/>
    <n v="3.4"/>
    <x v="1"/>
    <x v="4"/>
  </r>
  <r>
    <s v="PO-2026-00612"/>
    <s v="ORD-685733"/>
    <d v="2026-02-21T00:00:00"/>
    <d v="2026-03-14T00:00:00"/>
    <x v="158"/>
    <x v="0"/>
    <x v="0"/>
    <x v="0"/>
    <x v="5"/>
    <x v="0"/>
    <s v="SKU-MAC-469"/>
    <s v="Hydraulic Hose"/>
    <n v="2952.96"/>
    <s v="ZAR"/>
    <n v="6.0999999999999999E-2"/>
    <n v="180.13056"/>
    <n v="1000"/>
    <n v="2952960"/>
    <n v="2952960"/>
    <n v="180130.56"/>
    <n v="62"/>
    <n v="6.2E-2"/>
    <n v="26"/>
    <n v="26"/>
    <n v="21"/>
    <n v="21"/>
    <n v="5"/>
    <n v="5"/>
    <x v="1"/>
    <x v="1"/>
    <x v="0"/>
    <x v="1"/>
    <x v="1"/>
    <x v="1"/>
    <x v="3"/>
    <x v="5"/>
    <n v="2"/>
    <x v="6"/>
    <x v="1"/>
  </r>
  <r>
    <s v="PO-2026-00613"/>
    <s v="ORD-337515"/>
    <d v="2026-02-11T00:00:00"/>
    <d v="2026-03-07T00:00:00"/>
    <x v="34"/>
    <x v="8"/>
    <x v="8"/>
    <x v="7"/>
    <x v="3"/>
    <x v="1"/>
    <s v="SKU-ELE-828"/>
    <s v="Power Adapter"/>
    <n v="879.82"/>
    <s v="NGN"/>
    <n v="7.2999999999999996E-4"/>
    <n v="0.64226859999999997"/>
    <n v="750"/>
    <n v="0"/>
    <n v="659865"/>
    <n v="0"/>
    <n v="27"/>
    <n v="3.5999999999999997E-2"/>
    <n v="13"/>
    <n v="13"/>
    <n v="24"/>
    <n v="24"/>
    <n v="-11"/>
    <n v="-11"/>
    <x v="2"/>
    <x v="0"/>
    <x v="1"/>
    <x v="3"/>
    <x v="5"/>
    <x v="5"/>
    <x v="2"/>
    <x v="0"/>
    <n v="2.1"/>
    <x v="3"/>
    <x v="2"/>
  </r>
  <r>
    <s v="PO-2026-00614"/>
    <s v="ORD-460429"/>
    <d v="2026-06-24T00:00:00"/>
    <d v="2026-07-05T00:00:00"/>
    <x v="130"/>
    <x v="11"/>
    <x v="11"/>
    <x v="8"/>
    <x v="4"/>
    <x v="5"/>
    <s v="SKU-RAW-997"/>
    <s v="Polymer Resin"/>
    <n v="387.43"/>
    <s v="EGP"/>
    <n v="1.9E-2"/>
    <n v="7.3611699999999995"/>
    <n v="75"/>
    <n v="29057.25"/>
    <n v="29057.25"/>
    <n v="552.08775000000003"/>
    <n v="5"/>
    <n v="6.6699999999999995E-2"/>
    <n v="13"/>
    <n v="13"/>
    <n v="11"/>
    <n v="11"/>
    <n v="2"/>
    <n v="2"/>
    <x v="1"/>
    <x v="1"/>
    <x v="1"/>
    <x v="3"/>
    <x v="4"/>
    <x v="3"/>
    <x v="0"/>
    <x v="1"/>
    <n v="1.5"/>
    <x v="2"/>
    <x v="1"/>
  </r>
  <r>
    <s v="PO-2026-00615"/>
    <s v="ORD-842716"/>
    <d v="2026-04-18T00:00:00"/>
    <d v="2026-04-20T00:00:00"/>
    <x v="59"/>
    <x v="2"/>
    <x v="2"/>
    <x v="2"/>
    <x v="6"/>
    <x v="2"/>
    <s v="SKU-IND-785"/>
    <s v="Lubricant Drum"/>
    <n v="487.13"/>
    <s v="GHS"/>
    <n v="8.8999999999999996E-2"/>
    <n v="43.354569999999995"/>
    <n v="2000"/>
    <n v="974260"/>
    <n v="974260"/>
    <n v="86709.14"/>
    <n v="0"/>
    <n v="0"/>
    <n v="5"/>
    <n v="5"/>
    <n v="2"/>
    <n v="2"/>
    <n v="3"/>
    <n v="3"/>
    <x v="3"/>
    <x v="0"/>
    <x v="4"/>
    <x v="3"/>
    <x v="3"/>
    <x v="5"/>
    <x v="2"/>
    <x v="0"/>
    <n v="5"/>
    <x v="3"/>
    <x v="5"/>
  </r>
  <r>
    <s v="PO-2026-00616"/>
    <s v="ORD-981463"/>
    <d v="2026-05-23T00:00:00"/>
    <d v="2026-06-04T00:00:00"/>
    <x v="122"/>
    <x v="6"/>
    <x v="6"/>
    <x v="1"/>
    <x v="6"/>
    <x v="1"/>
    <s v="SKU-ELE-814"/>
    <s v="LED Driver"/>
    <n v="1413.86"/>
    <s v="ZAR"/>
    <n v="6.0999999999999999E-2"/>
    <n v="86.245459999999994"/>
    <n v="300"/>
    <n v="424158"/>
    <n v="424157.99999999994"/>
    <n v="25873.637999999999"/>
    <n v="5"/>
    <n v="1.67E-2"/>
    <n v="21"/>
    <n v="21"/>
    <n v="12"/>
    <n v="12"/>
    <n v="9"/>
    <n v="9"/>
    <x v="0"/>
    <x v="5"/>
    <x v="0"/>
    <x v="2"/>
    <x v="1"/>
    <x v="4"/>
    <x v="2"/>
    <x v="0"/>
    <n v="1.2"/>
    <x v="3"/>
    <x v="0"/>
  </r>
  <r>
    <s v="PO-2026-00617"/>
    <s v="ORD-422761"/>
    <d v="2026-03-26T00:00:00"/>
    <d v="2026-04-18T00:00:00"/>
    <x v="77"/>
    <x v="14"/>
    <x v="14"/>
    <x v="10"/>
    <x v="0"/>
    <x v="5"/>
    <s v="SKU-RAW-308"/>
    <s v="Input Granules"/>
    <n v="10.14"/>
    <s v="GHS"/>
    <n v="8.8999999999999996E-2"/>
    <n v="0.90246000000000004"/>
    <s v=""/>
    <n v="507"/>
    <e v="#VALUE!"/>
    <n v="45.122999999999998"/>
    <n v="3"/>
    <n v="0.06"/>
    <n v="19"/>
    <n v="19"/>
    <n v="23"/>
    <n v="23"/>
    <n v="-4"/>
    <n v="-4"/>
    <x v="2"/>
    <x v="1"/>
    <x v="3"/>
    <x v="5"/>
    <x v="4"/>
    <x v="3"/>
    <x v="4"/>
    <x v="4"/>
    <n v="2"/>
    <x v="0"/>
    <x v="8"/>
  </r>
  <r>
    <s v="PO-2026-00618"/>
    <s v="ORD-553019"/>
    <d v="2026-06-01T00:00:00"/>
    <d v="2026-06-09T00:00:00"/>
    <x v="74"/>
    <x v="4"/>
    <x v="4"/>
    <x v="4"/>
    <x v="1"/>
    <x v="0"/>
    <s v="SKU-MAC-143"/>
    <s v="Bearing Set"/>
    <n v="1812.41"/>
    <s v="RWF"/>
    <n v="6.8000000000000005E-4"/>
    <n v="1.2324388000000002"/>
    <n v="75"/>
    <s v=""/>
    <n v="135930.75"/>
    <s v=""/>
    <n v="1"/>
    <n v="1.3299999999999999E-2"/>
    <n v="19"/>
    <n v="19"/>
    <n v="8"/>
    <n v="8"/>
    <n v="11"/>
    <n v="11"/>
    <x v="0"/>
    <x v="0"/>
    <x v="1"/>
    <x v="0"/>
    <x v="2"/>
    <x v="6"/>
    <x v="3"/>
    <x v="0"/>
    <n v="3"/>
    <x v="1"/>
    <x v="0"/>
  </r>
  <r>
    <s v="PO-2026-00619"/>
    <s v="ORD-963407"/>
    <d v="2026-05-02T00:00:00"/>
    <d v="2026-05-11T00:00:00"/>
    <x v="116"/>
    <x v="10"/>
    <x v="10"/>
    <x v="2"/>
    <x v="8"/>
    <x v="6"/>
    <s v="SKU-MET-888"/>
    <s v="Copper Rod"/>
    <n v="1290.06"/>
    <s v="NGN"/>
    <n v="7.2999999999999996E-4"/>
    <n v="0.94174379999999991"/>
    <n v="1500"/>
    <s v=""/>
    <n v="1935090"/>
    <s v=""/>
    <n v="17"/>
    <n v="1.1299999999999999E-2"/>
    <n v="10"/>
    <n v="10"/>
    <n v="9"/>
    <n v="9"/>
    <n v="1"/>
    <n v="1"/>
    <x v="1"/>
    <x v="0"/>
    <x v="0"/>
    <x v="5"/>
    <x v="5"/>
    <x v="6"/>
    <x v="1"/>
    <x v="0"/>
    <n v="3.2"/>
    <x v="0"/>
    <x v="0"/>
  </r>
  <r>
    <s v="PO-2026-00620"/>
    <s v="ORD-951798"/>
    <d v="2026-02-03T00:00:00"/>
    <d v="2026-02-11T00:00:00"/>
    <x v="131"/>
    <x v="6"/>
    <x v="6"/>
    <x v="1"/>
    <x v="1"/>
    <x v="4"/>
    <s v="SKU-PAC-335"/>
    <s v="Plastic Film Roll"/>
    <n v="754.39"/>
    <s v="NGN"/>
    <n v="7.2999999999999996E-4"/>
    <n v="0.55070469999999994"/>
    <n v="100"/>
    <n v="75439"/>
    <n v="75439"/>
    <n v="55.07047"/>
    <n v="0"/>
    <n v="0"/>
    <n v="16"/>
    <n v="16"/>
    <n v="8"/>
    <n v="8"/>
    <n v="8"/>
    <n v="8"/>
    <x v="1"/>
    <x v="0"/>
    <x v="4"/>
    <x v="0"/>
    <x v="0"/>
    <x v="6"/>
    <x v="2"/>
    <x v="0"/>
    <n v="2.2999999999999998"/>
    <x v="0"/>
    <x v="5"/>
  </r>
  <r>
    <s v="PO-2026-00621"/>
    <s v="ORD-462055"/>
    <d v="2026-01-15T00:00:00"/>
    <d v="2026-02-11T00:00:00"/>
    <x v="168"/>
    <x v="7"/>
    <x v="7"/>
    <x v="6"/>
    <x v="8"/>
    <x v="2"/>
    <s v="SKU-IND-775"/>
    <s v="Welding Rod"/>
    <n v="754.44"/>
    <s v="KES"/>
    <n v="7.7000000000000002E-3"/>
    <n v="5.8091880000000007"/>
    <n v="1500"/>
    <n v="1131660"/>
    <n v="1131660"/>
    <n v="8713.7820000000011"/>
    <n v="33"/>
    <n v="2.1999999999999999E-2"/>
    <n v="22"/>
    <n v="22"/>
    <n v="27"/>
    <n v="27"/>
    <n v="-5"/>
    <n v="-5"/>
    <x v="2"/>
    <x v="3"/>
    <x v="2"/>
    <x v="1"/>
    <x v="2"/>
    <x v="0"/>
    <x v="2"/>
    <x v="0"/>
    <n v="3"/>
    <x v="0"/>
    <x v="4"/>
  </r>
  <r>
    <s v="PO-2026-00622"/>
    <s v="ORD-873072"/>
    <d v="2026-04-19T00:00:00"/>
    <d v="2026-05-08T00:00:00"/>
    <x v="73"/>
    <x v="8"/>
    <x v="8"/>
    <x v="7"/>
    <x v="4"/>
    <x v="0"/>
    <s v="SKU-MAC-984"/>
    <s v="Bearing Set"/>
    <n v="293.44"/>
    <s v="USD"/>
    <n v="1"/>
    <n v="293.44"/>
    <n v="750"/>
    <n v="220080"/>
    <n v="220080"/>
    <n v="220080"/>
    <n v="15"/>
    <n v="0.02"/>
    <n v="22"/>
    <n v="22"/>
    <n v="19"/>
    <n v="19"/>
    <n v="3"/>
    <n v="3"/>
    <x v="3"/>
    <x v="0"/>
    <x v="1"/>
    <x v="4"/>
    <x v="2"/>
    <x v="0"/>
    <x v="2"/>
    <x v="0"/>
    <n v="4.2"/>
    <x v="4"/>
    <x v="0"/>
  </r>
  <r>
    <s v="PO-2026-00460"/>
    <s v="ORD-489251"/>
    <d v="2026-06-10T00:00:00"/>
    <d v="2026-06-22T00:00:00"/>
    <x v="79"/>
    <x v="2"/>
    <x v="2"/>
    <x v="2"/>
    <x v="1"/>
    <x v="2"/>
    <s v="SKU-IND-258"/>
    <s v="Safety Gloves"/>
    <n v="512.49"/>
    <s v="USD"/>
    <n v="1"/>
    <n v="512.49"/>
    <n v="200"/>
    <n v="102498"/>
    <n v="102498"/>
    <n v="102498"/>
    <n v="0"/>
    <n v="0"/>
    <n v="26"/>
    <n v="26"/>
    <n v="12"/>
    <n v="12"/>
    <n v="14"/>
    <n v="14"/>
    <x v="0"/>
    <x v="0"/>
    <x v="1"/>
    <x v="4"/>
    <x v="0"/>
    <x v="0"/>
    <x v="3"/>
    <x v="0"/>
    <n v="1"/>
    <x v="3"/>
    <x v="0"/>
  </r>
  <r>
    <s v="PO-2026-00624"/>
    <s v="ORD-669300"/>
    <d v="2026-03-05T00:00:00"/>
    <d v="2026-03-15T00:00:00"/>
    <x v="7"/>
    <x v="4"/>
    <x v="4"/>
    <x v="4"/>
    <x v="2"/>
    <x v="0"/>
    <s v="SKU-MAC-891"/>
    <s v="Conveyor Belt"/>
    <n v="3402.86"/>
    <s v="EGP"/>
    <n v="1.9E-2"/>
    <n v="64.654340000000005"/>
    <n v="500"/>
    <n v="1701430"/>
    <n v="1701430"/>
    <n v="32327.17"/>
    <n v="14"/>
    <n v="2.8000000000000001E-2"/>
    <n v="12"/>
    <n v="12"/>
    <n v="10"/>
    <n v="10"/>
    <n v="2"/>
    <n v="2"/>
    <x v="1"/>
    <x v="0"/>
    <x v="0"/>
    <x v="5"/>
    <x v="3"/>
    <x v="4"/>
    <x v="2"/>
    <x v="0"/>
    <n v="3.7"/>
    <x v="5"/>
    <x v="0"/>
  </r>
  <r>
    <s v="PO-2026-00625"/>
    <s v="ORD-588167"/>
    <d v="2026-04-14T00:00:00"/>
    <d v="2026-04-21T00:00:00"/>
    <x v="171"/>
    <x v="11"/>
    <x v="11"/>
    <x v="8"/>
    <x v="2"/>
    <x v="5"/>
    <s v="SKU-RAW-631"/>
    <s v="Polymer Resin"/>
    <n v="186.26"/>
    <s v="NGN"/>
    <n v="7.2999999999999996E-4"/>
    <n v="0.13596979999999997"/>
    <n v="500"/>
    <n v="93130"/>
    <n v="93130"/>
    <n v="67.984899999999996"/>
    <n v="29"/>
    <n v="5.8000000000000003E-2"/>
    <n v="26"/>
    <n v="26"/>
    <n v="7"/>
    <n v="7"/>
    <n v="19"/>
    <n v="19"/>
    <x v="1"/>
    <x v="4"/>
    <x v="3"/>
    <x v="2"/>
    <x v="4"/>
    <x v="1"/>
    <x v="0"/>
    <x v="2"/>
    <n v="3.2"/>
    <x v="3"/>
    <x v="6"/>
  </r>
  <r>
    <s v="PO-2026-00626"/>
    <s v="ORD-203878"/>
    <d v="2026-02-22T00:00:00"/>
    <d v="2026-03-08T00:00:00"/>
    <x v="48"/>
    <x v="6"/>
    <x v="6"/>
    <x v="1"/>
    <x v="8"/>
    <x v="1"/>
    <s v="SKU-ELE-348"/>
    <s v="LED Driver"/>
    <n v="2023.18"/>
    <s v="NGN"/>
    <n v="7.2999999999999996E-4"/>
    <n v="1.4769213999999999"/>
    <n v="300"/>
    <n v="606954"/>
    <n v="606954"/>
    <n v="443.07641999999998"/>
    <n v="7"/>
    <n v="2.3300000000000001E-2"/>
    <n v="20"/>
    <n v="20"/>
    <n v="14"/>
    <n v="14"/>
    <n v="6"/>
    <n v="6"/>
    <x v="1"/>
    <x v="0"/>
    <x v="2"/>
    <x v="4"/>
    <x v="0"/>
    <x v="0"/>
    <x v="2"/>
    <x v="0"/>
    <n v="2.7"/>
    <x v="0"/>
    <x v="5"/>
  </r>
  <r>
    <s v="PO-2026-00627"/>
    <s v="ORD-695867"/>
    <d v="2026-06-29T00:00:00"/>
    <d v="2026-07-06T00:00:00"/>
    <x v="95"/>
    <x v="3"/>
    <x v="3"/>
    <x v="3"/>
    <x v="8"/>
    <x v="6"/>
    <s v="SKU-MET-362"/>
    <s v="Aluminium Sheet"/>
    <n v="3452.17"/>
    <s v="GHS"/>
    <n v="8.8999999999999996E-2"/>
    <n v="307.24313000000001"/>
    <n v="200"/>
    <n v="690434"/>
    <n v="690434"/>
    <n v="61448.625999999997"/>
    <n v="0"/>
    <n v="0"/>
    <n v="15"/>
    <n v="15"/>
    <n v="7"/>
    <n v="7"/>
    <n v="8"/>
    <n v="8"/>
    <x v="1"/>
    <x v="0"/>
    <x v="1"/>
    <x v="3"/>
    <x v="0"/>
    <x v="0"/>
    <x v="5"/>
    <x v="0"/>
    <n v="2.5"/>
    <x v="3"/>
    <x v="0"/>
  </r>
  <r>
    <s v="PO-2026-00628"/>
    <s v="ORD-902417"/>
    <d v="2026-05-16T00:00:00"/>
    <d v="2026-06-06T00:00:00"/>
    <x v="111"/>
    <x v="14"/>
    <x v="14"/>
    <x v="10"/>
    <x v="4"/>
    <x v="6"/>
    <s v="SKU-MET-400"/>
    <s v="Steel Coil"/>
    <n v="3345"/>
    <s v="USD"/>
    <n v="1"/>
    <n v="3345"/>
    <s v=""/>
    <n v="250875"/>
    <e v="#VALUE!"/>
    <n v="250875"/>
    <n v="7"/>
    <n v="9.3299999999999994E-2"/>
    <n v="24"/>
    <n v="24"/>
    <n v="21"/>
    <n v="21"/>
    <n v="3"/>
    <n v="3"/>
    <x v="1"/>
    <x v="2"/>
    <x v="3"/>
    <x v="3"/>
    <x v="0"/>
    <x v="3"/>
    <x v="4"/>
    <x v="2"/>
    <n v="2.1"/>
    <x v="4"/>
    <x v="6"/>
  </r>
  <r>
    <s v="PO-2026-00629"/>
    <s v="ORD-543885"/>
    <d v="2026-01-09T00:00:00"/>
    <d v="2026-01-10T00:00:00"/>
    <x v="183"/>
    <x v="9"/>
    <x v="9"/>
    <x v="2"/>
    <x v="0"/>
    <x v="4"/>
    <s v="SKU-PAC-972"/>
    <s v="Plastic Film Roll"/>
    <n v="13.15"/>
    <s v="KES"/>
    <n v="7.7000000000000002E-3"/>
    <n v="0.10125500000000001"/>
    <n v="200"/>
    <n v="2630"/>
    <n v="2630"/>
    <n v="20.251000000000001"/>
    <n v="0"/>
    <n v="0"/>
    <n v="0"/>
    <n v="0"/>
    <n v="1"/>
    <n v="1"/>
    <n v="-1"/>
    <m/>
    <x v="5"/>
    <x v="0"/>
    <x v="4"/>
    <x v="2"/>
    <x v="0"/>
    <x v="4"/>
    <x v="0"/>
    <x v="0"/>
    <n v="3.3"/>
    <x v="3"/>
    <x v="4"/>
  </r>
  <r>
    <s v="PO-2026-00630"/>
    <s v="ORD-889281"/>
    <d v="2026-06-11T00:00:00"/>
    <d v="2026-06-26T00:00:00"/>
    <x v="114"/>
    <x v="11"/>
    <x v="11"/>
    <x v="8"/>
    <x v="5"/>
    <x v="3"/>
    <s v="SKU-TEX-304"/>
    <s v="Label Tape"/>
    <n v="342.92"/>
    <s v="NGN"/>
    <n v="7.2999999999999996E-4"/>
    <n v="0.25033159999999999"/>
    <n v="75"/>
    <n v="25719"/>
    <n v="25719"/>
    <n v="18.77487"/>
    <n v="3"/>
    <n v="0.04"/>
    <n v="10"/>
    <n v="10"/>
    <n v="15"/>
    <n v="15"/>
    <n v="-5"/>
    <n v="-5"/>
    <x v="5"/>
    <x v="0"/>
    <x v="1"/>
    <x v="5"/>
    <x v="1"/>
    <x v="2"/>
    <x v="5"/>
    <x v="0"/>
    <n v="2.7"/>
    <x v="5"/>
    <x v="2"/>
  </r>
  <r>
    <s v="PO-2026-00631"/>
    <s v="ORD-726422"/>
    <d v="2026-04-28T00:00:00"/>
    <d v="2026-05-05T00:00:00"/>
    <x v="171"/>
    <x v="9"/>
    <x v="9"/>
    <x v="2"/>
    <x v="4"/>
    <x v="4"/>
    <s v="SKU-PAC-226"/>
    <s v="Bottle Caps"/>
    <n v="771.17"/>
    <s v="NGN"/>
    <n v="7.2999999999999996E-4"/>
    <n v="0.5629540999999999"/>
    <n v="300"/>
    <n v="231351"/>
    <n v="231351"/>
    <n v="168.88622999999998"/>
    <n v="0"/>
    <n v="0"/>
    <n v="12"/>
    <n v="12"/>
    <n v="7"/>
    <n v="7"/>
    <n v="5"/>
    <n v="5"/>
    <x v="1"/>
    <x v="0"/>
    <x v="4"/>
    <x v="5"/>
    <x v="0"/>
    <x v="0"/>
    <x v="2"/>
    <x v="0"/>
    <n v="3.7"/>
    <x v="4"/>
    <x v="5"/>
  </r>
  <r>
    <s v="PO-2026-00632"/>
    <s v="ORD-986896"/>
    <d v="2026-02-15T00:00:00"/>
    <d v="2026-02-22T00:00:00"/>
    <x v="48"/>
    <x v="1"/>
    <x v="1"/>
    <x v="1"/>
    <x v="2"/>
    <x v="3"/>
    <s v="SKU-TEX-728"/>
    <s v="Label Tape"/>
    <n v="191.94"/>
    <s v="USD"/>
    <n v="1"/>
    <n v="191.94"/>
    <n v="2000"/>
    <n v="383880"/>
    <n v="383880"/>
    <n v="383880"/>
    <n v="10"/>
    <n v="5.0000000000000001E-3"/>
    <n v="27"/>
    <n v="27"/>
    <n v="7"/>
    <n v="7"/>
    <n v="20"/>
    <n v="20"/>
    <x v="4"/>
    <x v="0"/>
    <x v="0"/>
    <x v="2"/>
    <x v="2"/>
    <x v="1"/>
    <x v="4"/>
    <x v="0"/>
    <n v="1.9"/>
    <x v="4"/>
    <x v="0"/>
  </r>
  <r>
    <s v="PO-2026-00633"/>
    <s v="ORD-854425"/>
    <d v="2026-01-14T00:00:00"/>
    <d v="2026-01-31T00:00:00"/>
    <x v="168"/>
    <x v="8"/>
    <x v="8"/>
    <x v="7"/>
    <x v="8"/>
    <x v="1"/>
    <s v="SKU-ELE-643"/>
    <s v="Control Board"/>
    <n v="752.47"/>
    <s v="NGN"/>
    <n v="7.2999999999999996E-4"/>
    <n v="0.54930310000000004"/>
    <n v="75"/>
    <n v="56435.25"/>
    <n v="56435.25"/>
    <n v="41.197732500000001"/>
    <n v="2"/>
    <n v="2.6700000000000002E-2"/>
    <n v="23"/>
    <n v="23"/>
    <n v="17"/>
    <n v="17"/>
    <n v="6"/>
    <n v="6"/>
    <x v="1"/>
    <x v="0"/>
    <x v="2"/>
    <x v="3"/>
    <x v="2"/>
    <x v="4"/>
    <x v="2"/>
    <x v="0"/>
    <n v="1.8"/>
    <x v="0"/>
    <x v="5"/>
  </r>
  <r>
    <s v="PO-2026-00634"/>
    <s v="ORD-562270"/>
    <d v="2026-02-19T00:00:00"/>
    <d v="2026-02-25T00:00:00"/>
    <x v="159"/>
    <x v="2"/>
    <x v="2"/>
    <x v="2"/>
    <x v="5"/>
    <x v="0"/>
    <s v="SKU-MAC-815"/>
    <s v="Bearing Set"/>
    <n v="2311.9299999999998"/>
    <s v="GHS"/>
    <n v="8.8999999999999996E-2"/>
    <n v="205.76176999999998"/>
    <n v="75"/>
    <n v="173394.75"/>
    <n v="173394.75"/>
    <n v="15432.132749999999"/>
    <n v="0"/>
    <n v="0"/>
    <n v="16"/>
    <n v="16"/>
    <n v="6"/>
    <n v="6"/>
    <n v="10"/>
    <n v="10"/>
    <x v="1"/>
    <x v="0"/>
    <x v="1"/>
    <x v="5"/>
    <x v="0"/>
    <x v="1"/>
    <x v="2"/>
    <x v="0"/>
    <n v="1.5"/>
    <x v="5"/>
    <x v="0"/>
  </r>
  <r>
    <s v="PO-2026-00635"/>
    <s v="ORD-912978"/>
    <d v="2026-05-22T00:00:00"/>
    <d v="2026-05-31T00:00:00"/>
    <x v="134"/>
    <x v="1"/>
    <x v="1"/>
    <x v="1"/>
    <x v="8"/>
    <x v="1"/>
    <s v="SKU-ELE-835"/>
    <s v="Power Adapter"/>
    <n v="1553.57"/>
    <s v="NGN"/>
    <n v="7.2999999999999996E-4"/>
    <n v="1.1341060999999999"/>
    <n v="200"/>
    <n v="310714"/>
    <n v="310714"/>
    <n v="226.82121999999998"/>
    <n v="10"/>
    <n v="0.05"/>
    <n v="17"/>
    <n v="17"/>
    <s v=""/>
    <n v="9"/>
    <n v="8"/>
    <n v="8"/>
    <x v="1"/>
    <x v="2"/>
    <x v="4"/>
    <x v="1"/>
    <x v="0"/>
    <x v="4"/>
    <x v="2"/>
    <x v="5"/>
    <n v="2.2000000000000002"/>
    <x v="2"/>
    <x v="6"/>
  </r>
  <r>
    <s v="PO-2026-00636"/>
    <s v="ORD-275099"/>
    <d v="2026-02-25T00:00:00"/>
    <d v="2026-03-14T00:00:00"/>
    <x v="60"/>
    <x v="0"/>
    <x v="0"/>
    <x v="0"/>
    <x v="0"/>
    <x v="0"/>
    <s v="SKU-MAC-139"/>
    <s v="Bearing Set"/>
    <n v="2053.8000000000002"/>
    <s v="USD"/>
    <n v="1"/>
    <n v="2053.8000000000002"/>
    <n v="1500"/>
    <n v="3080700"/>
    <n v="3080700.0000000005"/>
    <n v="3080700"/>
    <n v="0"/>
    <n v="0"/>
    <n v="19"/>
    <n v="19"/>
    <n v="17"/>
    <n v="17"/>
    <n v="2"/>
    <m/>
    <x v="1"/>
    <x v="0"/>
    <x v="0"/>
    <x v="3"/>
    <x v="5"/>
    <x v="3"/>
    <x v="4"/>
    <x v="0"/>
    <n v="4.5"/>
    <x v="6"/>
    <x v="0"/>
  </r>
  <r>
    <s v="PO-2026-00637"/>
    <s v="ORD-758755"/>
    <d v="2026-02-24T00:00:00"/>
    <d v="2026-03-12T00:00:00"/>
    <x v="53"/>
    <x v="6"/>
    <x v="6"/>
    <x v="1"/>
    <x v="2"/>
    <x v="4"/>
    <s v="SKU-PAC-150"/>
    <s v="Shipping Carton"/>
    <n v="534.98"/>
    <s v="GHS"/>
    <n v="8.8999999999999996E-2"/>
    <n v="47.613219999999998"/>
    <n v="200"/>
    <n v="106996"/>
    <n v="106996"/>
    <n v="9522.6440000000002"/>
    <n v="7"/>
    <n v="3.5000000000000003E-2"/>
    <n v="17"/>
    <n v="17"/>
    <n v="16"/>
    <n v="16"/>
    <n v="1"/>
    <n v="1"/>
    <x v="1"/>
    <x v="0"/>
    <x v="3"/>
    <x v="2"/>
    <x v="0"/>
    <x v="2"/>
    <x v="4"/>
    <x v="0"/>
    <n v="3.6"/>
    <x v="0"/>
    <x v="5"/>
  </r>
  <r>
    <s v="PO-2026-00638"/>
    <s v="ORD-584206"/>
    <d v="2026-06-22T00:00:00"/>
    <d v="2026-07-06T00:00:00"/>
    <x v="120"/>
    <x v="6"/>
    <x v="6"/>
    <x v="1"/>
    <x v="8"/>
    <x v="4"/>
    <s v="SKU-PAC-799"/>
    <s v="Plastic Film Roll"/>
    <n v="374.8"/>
    <s v="KES"/>
    <n v="7.7000000000000002E-3"/>
    <n v="2.8859600000000003"/>
    <n v="250"/>
    <n v="93700"/>
    <n v="93700"/>
    <n v="721.49"/>
    <n v="11"/>
    <n v="4.3999999999999997E-2"/>
    <n v="19"/>
    <n v="19"/>
    <n v="14"/>
    <n v="14"/>
    <n v="5"/>
    <n v="5"/>
    <x v="1"/>
    <x v="4"/>
    <x v="0"/>
    <x v="2"/>
    <x v="3"/>
    <x v="4"/>
    <x v="1"/>
    <x v="5"/>
    <n v="1.4"/>
    <x v="5"/>
    <x v="1"/>
  </r>
  <r>
    <s v="PO-2026-00068"/>
    <s v="ORD-473550"/>
    <d v="2026-02-14T00:00:00"/>
    <d v="2026-02-23T00:00:00"/>
    <x v="1"/>
    <x v="11"/>
    <x v="11"/>
    <x v="8"/>
    <x v="1"/>
    <x v="5"/>
    <s v="SKU-RAW-580"/>
    <s v="Agro Binder"/>
    <n v="647.35"/>
    <s v="GHS"/>
    <n v="8.8999999999999996E-2"/>
    <n v="57.614150000000002"/>
    <n v="150"/>
    <n v="97102.5"/>
    <n v="97102.5"/>
    <n v="8642.1224999999995"/>
    <n v="0"/>
    <n v="0"/>
    <n v="15"/>
    <n v="15"/>
    <n v="9"/>
    <n v="9"/>
    <n v="6"/>
    <n v="6"/>
    <x v="0"/>
    <x v="0"/>
    <x v="0"/>
    <x v="3"/>
    <x v="4"/>
    <x v="1"/>
    <x v="5"/>
    <x v="0"/>
    <n v="2.4"/>
    <x v="2"/>
    <x v="0"/>
  </r>
  <r>
    <s v="PO-2026-00640"/>
    <s v="ORD-645662"/>
    <d v="2026-04-18T00:00:00"/>
    <d v="2026-05-03T00:00:00"/>
    <x v="50"/>
    <x v="5"/>
    <x v="5"/>
    <x v="5"/>
    <x v="4"/>
    <x v="3"/>
    <s v="SKU-TEX-240"/>
    <s v="Polyester Roll"/>
    <n v="765.32"/>
    <s v="ZAR"/>
    <n v="6.0999999999999999E-2"/>
    <n v="46.684519999999999"/>
    <n v="2000"/>
    <n v="1530640"/>
    <n v="1530640"/>
    <n v="93369.04"/>
    <n v="14"/>
    <n v="7.0000000000000001E-3"/>
    <n v="21"/>
    <n v="21"/>
    <n v="15"/>
    <n v="15"/>
    <n v="6"/>
    <n v="6"/>
    <x v="4"/>
    <x v="0"/>
    <x v="0"/>
    <x v="2"/>
    <x v="0"/>
    <x v="4"/>
    <x v="2"/>
    <x v="0"/>
    <n v="1.4"/>
    <x v="3"/>
    <x v="0"/>
  </r>
  <r>
    <s v="PO-2026-00641"/>
    <s v="ORD-150285"/>
    <d v="2026-04-22T00:00:00"/>
    <d v="2026-05-05T00:00:00"/>
    <x v="102"/>
    <x v="4"/>
    <x v="4"/>
    <x v="4"/>
    <x v="4"/>
    <x v="0"/>
    <s v="SKU-MAC-978"/>
    <s v="Conveyor Belt"/>
    <n v="1654.98"/>
    <s v="EGP"/>
    <n v="1.9E-2"/>
    <n v="31.44462"/>
    <n v="300"/>
    <n v="496494"/>
    <n v="496494"/>
    <n v="9433.3860000000004"/>
    <n v="4"/>
    <n v="1.3299999999999999E-2"/>
    <n v="14"/>
    <n v="14"/>
    <n v="13"/>
    <n v="13"/>
    <n v="1"/>
    <n v="1"/>
    <x v="1"/>
    <x v="0"/>
    <x v="0"/>
    <x v="3"/>
    <x v="0"/>
    <x v="2"/>
    <x v="1"/>
    <x v="0"/>
    <n v="3.3"/>
    <x v="4"/>
    <x v="0"/>
  </r>
  <r>
    <s v="PO-2026-00642"/>
    <s v="ORD-950235"/>
    <d v="2026-05-19T00:00:00"/>
    <d v="2026-06-10T00:00:00"/>
    <x v="122"/>
    <x v="0"/>
    <x v="0"/>
    <x v="0"/>
    <x v="4"/>
    <x v="0"/>
    <s v="SKU-MAC-982"/>
    <s v="Hydraulic Hose"/>
    <n v="2286.81"/>
    <s v="ZAR"/>
    <n v="6.0999999999999999E-2"/>
    <n v="139.49540999999999"/>
    <n v="2000"/>
    <n v="0"/>
    <n v="4573620"/>
    <n v="0"/>
    <n v="128"/>
    <n v="6.4000000000000001E-2"/>
    <n v="25"/>
    <n v="25"/>
    <n v="22"/>
    <n v="22"/>
    <n v="3"/>
    <n v="3"/>
    <x v="1"/>
    <x v="1"/>
    <x v="0"/>
    <x v="3"/>
    <x v="5"/>
    <x v="3"/>
    <x v="3"/>
    <x v="5"/>
    <n v="2.8"/>
    <x v="1"/>
    <x v="1"/>
  </r>
  <r>
    <s v="PO-2026-00643"/>
    <s v="ORD-210233"/>
    <d v="2026-01-18T00:00:00"/>
    <d v="2026-01-26T00:00:00"/>
    <x v="153"/>
    <x v="2"/>
    <x v="2"/>
    <x v="2"/>
    <x v="8"/>
    <x v="2"/>
    <s v="SKU-IND-116"/>
    <s v="Lubricant Drum"/>
    <n v="750.53"/>
    <s v="USD"/>
    <n v="1"/>
    <n v="750.53"/>
    <n v="750"/>
    <n v="562897.5"/>
    <n v="562897.5"/>
    <n v="562897.5"/>
    <n v="15"/>
    <n v="0.02"/>
    <s v=""/>
    <n v="9"/>
    <n v="8"/>
    <n v="8"/>
    <n v="1"/>
    <n v="1"/>
    <x v="3"/>
    <x v="0"/>
    <x v="0"/>
    <x v="4"/>
    <x v="5"/>
    <x v="1"/>
    <x v="0"/>
    <x v="0"/>
    <n v="6"/>
    <x v="5"/>
    <x v="0"/>
  </r>
  <r>
    <s v="PO-2026-00644"/>
    <s v="ORD-910797"/>
    <d v="2026-01-16T00:00:00"/>
    <d v="2026-02-03T00:00:00"/>
    <x v="40"/>
    <x v="0"/>
    <x v="0"/>
    <x v="0"/>
    <x v="3"/>
    <x v="2"/>
    <s v="SKU-IND-365"/>
    <s v="Safety Gloves"/>
    <n v="698.39"/>
    <s v="TZS"/>
    <n v="3.8999999999999999E-4"/>
    <n v="0.27237210000000001"/>
    <n v="1500"/>
    <n v="1047585"/>
    <n v="1047585"/>
    <n v="408.55815000000001"/>
    <n v="43"/>
    <n v="2.87E-2"/>
    <n v="26"/>
    <n v="26"/>
    <n v="18"/>
    <n v="18"/>
    <n v="8"/>
    <n v="8"/>
    <x v="1"/>
    <x v="0"/>
    <x v="1"/>
    <x v="2"/>
    <x v="1"/>
    <x v="5"/>
    <x v="5"/>
    <x v="0"/>
    <n v="1.2"/>
    <x v="3"/>
    <x v="9"/>
  </r>
  <r>
    <s v="PO-2026-00645"/>
    <s v="ORD-570517"/>
    <d v="2026-02-04T00:00:00"/>
    <d v="2026-02-23T00:00:00"/>
    <x v="169"/>
    <x v="1"/>
    <x v="1"/>
    <x v="1"/>
    <x v="5"/>
    <x v="6"/>
    <s v="SKU-MET-437"/>
    <s v="Aluminium Sheet"/>
    <n v="1086.5899999999999"/>
    <s v="ZAR"/>
    <n v="6.0999999999999999E-2"/>
    <n v="66.281989999999993"/>
    <n v="200"/>
    <n v="217318"/>
    <n v="217317.99999999997"/>
    <n v="13256.397999999999"/>
    <n v="5"/>
    <n v="2.5000000000000001E-2"/>
    <n v="13"/>
    <n v="13"/>
    <n v="19"/>
    <n v="19"/>
    <n v="-6"/>
    <n v="-6"/>
    <x v="2"/>
    <x v="0"/>
    <x v="0"/>
    <x v="5"/>
    <x v="4"/>
    <x v="2"/>
    <x v="0"/>
    <x v="0"/>
    <n v="5"/>
    <x v="5"/>
    <x v="2"/>
  </r>
  <r>
    <s v="PO-2026-00646"/>
    <s v="ORD-591685"/>
    <d v="2026-04-11T00:00:00"/>
    <d v="2026-04-21T00:00:00"/>
    <x v="51"/>
    <x v="11"/>
    <x v="11"/>
    <x v="8"/>
    <x v="0"/>
    <x v="5"/>
    <s v="SKU-RAW-879"/>
    <s v="Input Granules"/>
    <n v="194.43"/>
    <s v="GHS"/>
    <n v="8.8999999999999996E-2"/>
    <n v="17.304269999999999"/>
    <n v="75"/>
    <n v="14582.25"/>
    <n v="14582.25"/>
    <n v="1297.82025"/>
    <n v="4"/>
    <n v="5.33E-2"/>
    <n v="15"/>
    <n v="15"/>
    <n v="10"/>
    <n v="10"/>
    <n v="5"/>
    <n v="5"/>
    <x v="4"/>
    <x v="1"/>
    <x v="2"/>
    <x v="3"/>
    <x v="0"/>
    <x v="5"/>
    <x v="1"/>
    <x v="4"/>
    <n v="1.1000000000000001"/>
    <x v="6"/>
    <x v="6"/>
  </r>
  <r>
    <s v="PO-2026-00647"/>
    <s v="ORD-126029"/>
    <d v="2026-02-21T00:00:00"/>
    <d v="2026-03-07T00:00:00"/>
    <x v="53"/>
    <x v="14"/>
    <x v="14"/>
    <x v="10"/>
    <x v="8"/>
    <x v="5"/>
    <s v="SKU-RAW-931"/>
    <s v="Input Granules"/>
    <n v="72.55"/>
    <s v="USD"/>
    <n v="1"/>
    <n v="72.55"/>
    <n v="250"/>
    <n v="18137.5"/>
    <n v="18137.5"/>
    <n v="18137.5"/>
    <n v="12"/>
    <n v="4.8000000000000001E-2"/>
    <n v="20"/>
    <n v="20"/>
    <n v="14"/>
    <n v="14"/>
    <n v="6"/>
    <n v="6"/>
    <x v="1"/>
    <x v="1"/>
    <x v="1"/>
    <x v="3"/>
    <x v="0"/>
    <x v="3"/>
    <x v="0"/>
    <x v="2"/>
    <n v="2.5"/>
    <x v="3"/>
    <x v="1"/>
  </r>
  <r>
    <s v="PO-2026-00648"/>
    <s v="ORD-804724"/>
    <d v="2026-03-06T00:00:00"/>
    <d v="2026-03-22T00:00:00"/>
    <x v="158"/>
    <x v="5"/>
    <x v="5"/>
    <x v="5"/>
    <x v="4"/>
    <x v="1"/>
    <s v="SKU-ELE-310"/>
    <s v="Power Adapter"/>
    <n v="4478.93"/>
    <s v="KES"/>
    <n v="7.7000000000000002E-3"/>
    <n v="34.487761000000006"/>
    <n v="100"/>
    <n v="447893"/>
    <n v="447893"/>
    <n v="3448.7761"/>
    <n v="5"/>
    <n v="0.05"/>
    <n v="13"/>
    <n v="13"/>
    <n v="16"/>
    <n v="16"/>
    <n v="-3"/>
    <n v="-3"/>
    <x v="2"/>
    <x v="1"/>
    <x v="1"/>
    <x v="2"/>
    <x v="0"/>
    <x v="5"/>
    <x v="0"/>
    <x v="2"/>
    <n v="3.4"/>
    <x v="0"/>
    <x v="3"/>
  </r>
  <r>
    <s v="PO-2026-00649"/>
    <s v="ORD-774288"/>
    <d v="2026-05-03T00:00:00"/>
    <d v="2026-05-21T00:00:00"/>
    <x v="57"/>
    <x v="4"/>
    <x v="4"/>
    <x v="4"/>
    <x v="5"/>
    <x v="0"/>
    <s v="SKU-MAC-600"/>
    <s v="Hydraulic Hose"/>
    <n v="1128.4100000000001"/>
    <s v="KES"/>
    <n v="7.7000000000000002E-3"/>
    <n v="8.6887570000000007"/>
    <n v="750"/>
    <s v=""/>
    <n v="846307.50000000012"/>
    <s v=""/>
    <n v="2"/>
    <n v="2.7000000000000001E-3"/>
    <n v="5"/>
    <n v="5"/>
    <n v="18"/>
    <n v="18"/>
    <n v="-13"/>
    <n v="-13"/>
    <x v="5"/>
    <x v="0"/>
    <x v="1"/>
    <x v="5"/>
    <x v="2"/>
    <x v="0"/>
    <x v="5"/>
    <x v="0"/>
    <n v="-1"/>
    <x v="4"/>
    <x v="2"/>
  </r>
  <r>
    <s v="PO-2026-00650"/>
    <s v="ORD-860910"/>
    <d v="2026-03-29T00:00:00"/>
    <d v="2026-04-21T00:00:00"/>
    <x v="42"/>
    <x v="0"/>
    <x v="0"/>
    <x v="0"/>
    <x v="1"/>
    <x v="3"/>
    <s v="SKU-TEX-493"/>
    <s v="Polyester Roll"/>
    <n v="681.13"/>
    <s v="USD"/>
    <n v="1"/>
    <n v="681.13"/>
    <n v="75"/>
    <n v="51084.75"/>
    <n v="51084.75"/>
    <n v="51084.75"/>
    <n v="2"/>
    <n v="2.6700000000000002E-2"/>
    <n v="14"/>
    <n v="14"/>
    <n v="23"/>
    <n v="23"/>
    <n v="-9"/>
    <n v="-9"/>
    <x v="2"/>
    <x v="0"/>
    <x v="1"/>
    <x v="4"/>
    <x v="1"/>
    <x v="1"/>
    <x v="5"/>
    <x v="0"/>
    <n v="4.2"/>
    <x v="1"/>
    <x v="2"/>
  </r>
  <r>
    <s v="PO-2026-00651"/>
    <s v="ORD-319962"/>
    <d v="2026-04-01T00:00:00"/>
    <d v="2026-04-10T00:00:00"/>
    <x v="96"/>
    <x v="3"/>
    <x v="3"/>
    <x v="3"/>
    <x v="8"/>
    <x v="4"/>
    <s v="SKU-PAC-254"/>
    <s v="Plastic Film Roll"/>
    <n v="608.01"/>
    <s v="ZAR"/>
    <n v="6.0999999999999999E-2"/>
    <n v="37.088609999999996"/>
    <n v="50"/>
    <n v="30400.5"/>
    <n v="30400.5"/>
    <n v="1854.4304999999999"/>
    <n v="4"/>
    <n v="0.08"/>
    <n v="12"/>
    <n v="12"/>
    <n v="9"/>
    <n v="9"/>
    <n v="3"/>
    <n v="3"/>
    <x v="1"/>
    <x v="1"/>
    <x v="0"/>
    <x v="4"/>
    <x v="5"/>
    <x v="1"/>
    <x v="2"/>
    <x v="4"/>
    <n v="1.8"/>
    <x v="5"/>
    <x v="1"/>
  </r>
  <r>
    <s v="PO-2026-00652"/>
    <s v="ORD-141312"/>
    <d v="2026-02-25T00:00:00"/>
    <d v="2026-03-03T00:00:00"/>
    <x v="184"/>
    <x v="10"/>
    <x v="10"/>
    <x v="2"/>
    <x v="8"/>
    <x v="6"/>
    <s v="SKU-MET-737"/>
    <s v="Steel Coil"/>
    <n v="1869.53"/>
    <s v="ZAR"/>
    <n v="6.0999999999999999E-2"/>
    <n v="114.04133"/>
    <n v="2000"/>
    <n v="3739060"/>
    <n v="3739060"/>
    <n v="228082.66"/>
    <n v="55"/>
    <n v="2.75E-2"/>
    <n v="18"/>
    <n v="18"/>
    <n v="6"/>
    <n v="6"/>
    <n v="12"/>
    <n v="12"/>
    <x v="4"/>
    <x v="0"/>
    <x v="1"/>
    <x v="2"/>
    <x v="2"/>
    <x v="0"/>
    <x v="5"/>
    <x v="0"/>
    <n v="6"/>
    <x v="2"/>
    <x v="0"/>
  </r>
  <r>
    <s v="PO-2026-00653"/>
    <s v="ORD-303980"/>
    <d v="2026-04-27T00:00:00"/>
    <d v="2026-05-09T00:00:00"/>
    <x v="110"/>
    <x v="10"/>
    <x v="10"/>
    <x v="2"/>
    <x v="1"/>
    <x v="6"/>
    <s v="SKU-MET-802"/>
    <s v="Copper Rod"/>
    <n v="1623.81"/>
    <s v="NGN"/>
    <n v="7.2999999999999996E-4"/>
    <n v="1.1853813"/>
    <n v="250"/>
    <n v="405952.5"/>
    <n v="405952.5"/>
    <n v="296.345325"/>
    <n v="0"/>
    <n v="0"/>
    <n v="16"/>
    <n v="16"/>
    <n v="12"/>
    <n v="12"/>
    <n v="4"/>
    <n v="4"/>
    <x v="0"/>
    <x v="0"/>
    <x v="0"/>
    <x v="3"/>
    <x v="0"/>
    <x v="0"/>
    <x v="4"/>
    <x v="0"/>
    <n v="3.8"/>
    <x v="2"/>
    <x v="0"/>
  </r>
  <r>
    <s v="PO-2026-00654"/>
    <s v="ORD-549221"/>
    <d v="2026-01-09T00:00:00"/>
    <d v="2026-01-23T00:00:00"/>
    <x v="89"/>
    <x v="1"/>
    <x v="1"/>
    <x v="1"/>
    <x v="6"/>
    <x v="1"/>
    <s v="SKU-ELE-612"/>
    <s v="LED Driver"/>
    <n v="595.83000000000004"/>
    <s v="ZAR"/>
    <n v="6.0999999999999999E-2"/>
    <n v="36.34563"/>
    <n v="250"/>
    <n v="148957.5"/>
    <n v="148957.5"/>
    <n v="9086.4074999999993"/>
    <n v="6"/>
    <n v="2.4E-2"/>
    <n v="9"/>
    <n v="9"/>
    <n v="14"/>
    <n v="14"/>
    <n v="-5"/>
    <n v="-5"/>
    <x v="2"/>
    <x v="0"/>
    <x v="1"/>
    <x v="0"/>
    <x v="0"/>
    <x v="6"/>
    <x v="2"/>
    <x v="0"/>
    <n v="4"/>
    <x v="0"/>
    <x v="2"/>
  </r>
  <r>
    <s v="PO-2026-00655"/>
    <s v="ORD-816875"/>
    <d v="2026-03-10T00:00:00"/>
    <d v="2026-03-21T00:00:00"/>
    <x v="180"/>
    <x v="4"/>
    <x v="4"/>
    <x v="4"/>
    <x v="6"/>
    <x v="3"/>
    <s v="SKU-TEX-574"/>
    <s v="Uniform Material"/>
    <n v="664.63"/>
    <s v="GHS"/>
    <n v="8.8999999999999996E-2"/>
    <n v="59.152069999999995"/>
    <n v="300"/>
    <n v="199389"/>
    <n v="199389"/>
    <n v="17745.620999999999"/>
    <n v="5"/>
    <n v="1.67E-2"/>
    <n v="15"/>
    <n v="15"/>
    <n v="11"/>
    <n v="11"/>
    <n v="4"/>
    <n v="4"/>
    <x v="4"/>
    <x v="0"/>
    <x v="0"/>
    <x v="0"/>
    <x v="5"/>
    <x v="2"/>
    <x v="5"/>
    <x v="0"/>
    <n v="3.9"/>
    <x v="0"/>
    <x v="0"/>
  </r>
  <r>
    <s v="PO-2026-00656"/>
    <s v="ORD-371823"/>
    <d v="2026-04-15T00:00:00"/>
    <d v="2026-04-27T00:00:00"/>
    <x v="110"/>
    <x v="1"/>
    <x v="1"/>
    <x v="1"/>
    <x v="1"/>
    <x v="1"/>
    <s v="SKU-ELE-598"/>
    <s v="Power Adapter"/>
    <n v="2636.72"/>
    <s v="EGP"/>
    <n v="1.9E-2"/>
    <n v="50.097679999999997"/>
    <n v="1000"/>
    <n v="2636720"/>
    <n v="2636720"/>
    <n v="50097.68"/>
    <n v="0"/>
    <n v="0"/>
    <n v="28"/>
    <n v="28"/>
    <n v="12"/>
    <n v="12"/>
    <n v="16"/>
    <n v="16"/>
    <x v="1"/>
    <x v="0"/>
    <x v="2"/>
    <x v="2"/>
    <x v="1"/>
    <x v="4"/>
    <x v="5"/>
    <x v="0"/>
    <n v="2.6"/>
    <x v="4"/>
    <x v="5"/>
  </r>
  <r>
    <s v="PO-2026-00657"/>
    <s v="ORD-966234"/>
    <d v="2026-06-21T00:00:00"/>
    <d v="2026-06-27T00:00:00"/>
    <x v="136"/>
    <x v="2"/>
    <x v="2"/>
    <x v="2"/>
    <x v="2"/>
    <x v="2"/>
    <s v="SKU-IND-568"/>
    <s v="Lubricant Drum"/>
    <n v="704.24"/>
    <s v="GHS"/>
    <n v="8.8999999999999996E-2"/>
    <n v="62.67736"/>
    <n v="200"/>
    <n v="140848"/>
    <n v="140848"/>
    <n v="12535.472"/>
    <m/>
    <n v="1.4999999999999999E-2"/>
    <n v="19"/>
    <n v="19"/>
    <n v="6"/>
    <n v="6"/>
    <n v="13"/>
    <n v="13"/>
    <x v="4"/>
    <x v="0"/>
    <x v="2"/>
    <x v="4"/>
    <x v="4"/>
    <x v="6"/>
    <x v="3"/>
    <x v="0"/>
    <n v="2.4"/>
    <x v="4"/>
    <x v="5"/>
  </r>
  <r>
    <s v="PO-2026-00658"/>
    <s v="ORD-561569"/>
    <d v="2026-04-07T00:00:00"/>
    <d v="2026-04-26T00:00:00"/>
    <x v="59"/>
    <x v="14"/>
    <x v="14"/>
    <x v="10"/>
    <x v="3"/>
    <x v="6"/>
    <s v="SKU-MET-667"/>
    <s v="Aluminium Sheet"/>
    <n v="1596.18"/>
    <s v="ZAR"/>
    <n v="6.0999999999999999E-2"/>
    <n v="97.366979999999998"/>
    <n v="75"/>
    <n v="119713.5"/>
    <n v="119713.5"/>
    <n v="7302.5235000000002"/>
    <n v="0"/>
    <n v="0"/>
    <n v="16"/>
    <n v="16"/>
    <n v="19"/>
    <n v="19"/>
    <n v="-3"/>
    <n v="-3"/>
    <x v="2"/>
    <x v="0"/>
    <x v="0"/>
    <x v="3"/>
    <x v="4"/>
    <x v="1"/>
    <x v="4"/>
    <x v="0"/>
    <n v="4.4000000000000004"/>
    <x v="6"/>
    <x v="2"/>
  </r>
  <r>
    <s v="PO-2026-00659"/>
    <s v="ORD-640240"/>
    <d v="2026-03-17T00:00:00"/>
    <d v="2026-04-05T00:00:00"/>
    <x v="77"/>
    <x v="0"/>
    <x v="0"/>
    <x v="0"/>
    <x v="1"/>
    <x v="0"/>
    <s v="SKU-MAC-306"/>
    <s v="Hydraulic Hose"/>
    <n v="106.97"/>
    <s v="ZAR"/>
    <n v="6.0999999999999999E-2"/>
    <n v="6.5251700000000001"/>
    <n v="100"/>
    <n v="10697"/>
    <n v="10697"/>
    <n v="652.51699999999994"/>
    <n v="5"/>
    <n v="0.05"/>
    <n v="28"/>
    <n v="28"/>
    <s v=""/>
    <n v="19"/>
    <n v="9"/>
    <n v="9"/>
    <x v="0"/>
    <x v="4"/>
    <x v="1"/>
    <x v="5"/>
    <x v="4"/>
    <x v="2"/>
    <x v="0"/>
    <x v="2"/>
    <n v="1.1000000000000001"/>
    <x v="2"/>
    <x v="1"/>
  </r>
  <r>
    <s v="PO-2026-00660"/>
    <s v="ORD-830907"/>
    <d v="2026-03-01T00:00:00"/>
    <d v="2026-03-08T00:00:00"/>
    <x v="46"/>
    <x v="2"/>
    <x v="2"/>
    <x v="2"/>
    <x v="5"/>
    <x v="6"/>
    <s v="SKU-MET-902"/>
    <s v="Aluminium Sheet"/>
    <n v="952.48"/>
    <s v="KES"/>
    <n v="7.7000000000000002E-3"/>
    <n v="7.3340960000000006"/>
    <n v="500"/>
    <n v="476240"/>
    <n v="476240"/>
    <n v="3667.0480000000002"/>
    <n v="0"/>
    <n v="0"/>
    <n v="11"/>
    <n v="11"/>
    <n v="7"/>
    <n v="7"/>
    <n v="4"/>
    <n v="4"/>
    <x v="1"/>
    <x v="0"/>
    <x v="4"/>
    <x v="5"/>
    <x v="2"/>
    <x v="2"/>
    <x v="4"/>
    <x v="0"/>
    <n v="4.8"/>
    <x v="4"/>
    <x v="5"/>
  </r>
  <r>
    <s v="PO-2026-00661"/>
    <s v="ORD-879046"/>
    <d v="2026-06-29T00:00:00"/>
    <d v="2026-07-20T00:00:00"/>
    <x v="185"/>
    <x v="0"/>
    <x v="0"/>
    <x v="0"/>
    <x v="1"/>
    <x v="4"/>
    <s v="SKU-PAC-205"/>
    <s v="Bottle Caps"/>
    <n v="333.4"/>
    <s v="NGN"/>
    <n v="7.2999999999999996E-4"/>
    <n v="0.24338199999999996"/>
    <n v="1500"/>
    <n v="500100"/>
    <n v="500099.99999999994"/>
    <n v="365.07299999999998"/>
    <n v="0"/>
    <n v="0"/>
    <n v="30"/>
    <n v="30"/>
    <n v="21"/>
    <n v="21"/>
    <n v="9"/>
    <n v="9"/>
    <x v="1"/>
    <x v="0"/>
    <x v="1"/>
    <x v="1"/>
    <x v="0"/>
    <x v="3"/>
    <x v="1"/>
    <x v="0"/>
    <n v="2.8"/>
    <x v="2"/>
    <x v="0"/>
  </r>
  <r>
    <s v="PO-2026-00662"/>
    <s v="ORD-900971"/>
    <d v="2026-03-15T00:00:00"/>
    <d v="2026-04-05T00:00:00"/>
    <x v="32"/>
    <x v="7"/>
    <x v="7"/>
    <x v="6"/>
    <x v="3"/>
    <x v="2"/>
    <s v="SKU-IND-973"/>
    <s v="Safety Gloves"/>
    <n v="259.33"/>
    <s v="ZAR"/>
    <n v="6.0999999999999999E-2"/>
    <n v="15.819129999999999"/>
    <n v="2000"/>
    <n v="518660"/>
    <n v="518659.99999999994"/>
    <n v="31638.26"/>
    <n v="2002"/>
    <n v="3.7499999999999999E-2"/>
    <n v="18"/>
    <n v="18"/>
    <n v="21"/>
    <n v="21"/>
    <n v="-3"/>
    <m/>
    <x v="2"/>
    <x v="0"/>
    <x v="0"/>
    <x v="3"/>
    <x v="0"/>
    <x v="4"/>
    <x v="2"/>
    <x v="0"/>
    <n v="2.1"/>
    <x v="2"/>
    <x v="2"/>
  </r>
  <r>
    <s v="PO-2026-00663"/>
    <s v="ORD-736191"/>
    <d v="2026-01-21T00:00:00"/>
    <d v="2026-01-30T00:00:00"/>
    <x v="93"/>
    <x v="11"/>
    <x v="11"/>
    <x v="8"/>
    <x v="1"/>
    <x v="5"/>
    <s v="SKU-RAW-636"/>
    <s v="Input Granules"/>
    <n v="744.86"/>
    <s v="GHS"/>
    <n v="8.8999999999999996E-2"/>
    <n v="66.292540000000002"/>
    <n v="150"/>
    <n v="111729"/>
    <n v="111729"/>
    <n v="9943.8809999999994"/>
    <m/>
    <n v="1.3299999999999999E-2"/>
    <n v="9"/>
    <n v="9"/>
    <n v="9"/>
    <n v="9"/>
    <n v="0"/>
    <n v="0"/>
    <x v="2"/>
    <x v="0"/>
    <x v="4"/>
    <x v="4"/>
    <x v="3"/>
    <x v="0"/>
    <x v="2"/>
    <x v="0"/>
    <n v="4.5999999999999996"/>
    <x v="2"/>
    <x v="4"/>
  </r>
  <r>
    <s v="PO-2026-00664"/>
    <s v="ORD-831646"/>
    <d v="2026-02-17T00:00:00"/>
    <d v="2026-03-05T00:00:00"/>
    <x v="46"/>
    <x v="5"/>
    <x v="5"/>
    <x v="5"/>
    <x v="3"/>
    <x v="3"/>
    <s v="SKU-TEX-653"/>
    <s v="Cotton Fabric"/>
    <n v="540.54999999999995"/>
    <s v="NGN"/>
    <n v="7.2999999999999996E-4"/>
    <n v="0.39460149999999994"/>
    <s v=""/>
    <n v="54055"/>
    <e v="#VALUE!"/>
    <n v="39.460149999999999"/>
    <n v="0"/>
    <n v="0"/>
    <n v="23"/>
    <n v="23"/>
    <n v="16"/>
    <n v="16"/>
    <n v="7"/>
    <n v="7"/>
    <x v="1"/>
    <x v="5"/>
    <x v="1"/>
    <x v="4"/>
    <x v="5"/>
    <x v="3"/>
    <x v="5"/>
    <x v="0"/>
    <n v="3.4"/>
    <x v="3"/>
    <x v="0"/>
  </r>
  <r>
    <s v="PO-2026-00665"/>
    <s v="ORD-235320"/>
    <d v="2026-06-03T00:00:00"/>
    <d v="2026-06-12T00:00:00"/>
    <x v="126"/>
    <x v="11"/>
    <x v="11"/>
    <x v="8"/>
    <x v="4"/>
    <x v="5"/>
    <s v="SKU-RAW-606"/>
    <s v="Chemical Additive"/>
    <n v="628.28"/>
    <s v="NGN"/>
    <n v="7.2999999999999996E-4"/>
    <n v="0.45864439999999995"/>
    <n v="750"/>
    <n v="471210"/>
    <n v="471210"/>
    <n v="343.98329999999999"/>
    <n v="0"/>
    <n v="0"/>
    <n v="20"/>
    <n v="20"/>
    <n v="9"/>
    <n v="9"/>
    <n v="11"/>
    <n v="11"/>
    <x v="1"/>
    <x v="0"/>
    <x v="1"/>
    <x v="2"/>
    <x v="2"/>
    <x v="5"/>
    <x v="2"/>
    <x v="0"/>
    <n v="1.4"/>
    <x v="2"/>
    <x v="0"/>
  </r>
  <r>
    <s v="PO-2026-00666"/>
    <s v="ORD-261632"/>
    <d v="2026-05-09T00:00:00"/>
    <d v="2026-05-26T00:00:00"/>
    <x v="44"/>
    <x v="8"/>
    <x v="8"/>
    <x v="7"/>
    <x v="6"/>
    <x v="1"/>
    <s v="SKU-ELE-569"/>
    <s v="LED Driver"/>
    <s v=""/>
    <s v="EGP"/>
    <n v="1.9E-2"/>
    <s v=""/>
    <n v="200"/>
    <n v="128180"/>
    <e v="#VALUE!"/>
    <n v="2435.42"/>
    <n v="1"/>
    <n v="5.0000000000000001E-3"/>
    <n v="18"/>
    <n v="18"/>
    <n v="17"/>
    <n v="17"/>
    <n v="1"/>
    <n v="1"/>
    <x v="3"/>
    <x v="0"/>
    <x v="1"/>
    <x v="3"/>
    <x v="1"/>
    <x v="1"/>
    <x v="2"/>
    <x v="0"/>
    <n v="4.7"/>
    <x v="0"/>
    <x v="0"/>
  </r>
  <r>
    <s v="PO-2026-00667"/>
    <s v="ORD-103903"/>
    <d v="2026-05-21T00:00:00"/>
    <d v="2026-05-31T00:00:00"/>
    <x v="12"/>
    <x v="3"/>
    <x v="3"/>
    <x v="3"/>
    <x v="2"/>
    <x v="4"/>
    <s v="SKU-PAC-257"/>
    <s v="Shipping Carton"/>
    <n v="372.32"/>
    <s v="ZAR"/>
    <n v="6.0999999999999999E-2"/>
    <n v="22.71152"/>
    <n v="1500"/>
    <n v="558480"/>
    <n v="558480"/>
    <n v="34067.279999999999"/>
    <n v="24"/>
    <n v="1.6E-2"/>
    <n v="20"/>
    <n v="20"/>
    <n v="10"/>
    <n v="10"/>
    <n v="10"/>
    <n v="10"/>
    <x v="1"/>
    <x v="3"/>
    <x v="0"/>
    <x v="4"/>
    <x v="4"/>
    <x v="0"/>
    <x v="3"/>
    <x v="0"/>
    <n v="3.3"/>
    <x v="2"/>
    <x v="0"/>
  </r>
  <r>
    <s v="PO-2026-00668"/>
    <s v="ORD-940699"/>
    <d v="2026-04-13T00:00:00"/>
    <d v="2026-04-24T00:00:00"/>
    <x v="104"/>
    <x v="11"/>
    <x v="11"/>
    <x v="8"/>
    <x v="0"/>
    <x v="5"/>
    <s v="SKU-RAW-382"/>
    <s v="Agro Binder"/>
    <n v="515.04"/>
    <s v="ZAR"/>
    <n v="6.0999999999999999E-2"/>
    <n v="31.417439999999996"/>
    <n v="300"/>
    <n v="154512"/>
    <n v="154512"/>
    <n v="9425.232"/>
    <n v="1"/>
    <n v="3.3E-3"/>
    <n v="8"/>
    <n v="8"/>
    <n v="11"/>
    <n v="11"/>
    <n v="-3"/>
    <n v="-3"/>
    <x v="2"/>
    <x v="0"/>
    <x v="0"/>
    <x v="2"/>
    <x v="4"/>
    <x v="3"/>
    <x v="2"/>
    <x v="0"/>
    <n v="2.1"/>
    <x v="1"/>
    <x v="2"/>
  </r>
  <r>
    <s v="PO-2026-00669"/>
    <s v="ORD-891925"/>
    <d v="2026-04-05T00:00:00"/>
    <d v="2026-04-19T00:00:00"/>
    <x v="140"/>
    <x v="6"/>
    <x v="6"/>
    <x v="1"/>
    <x v="7"/>
    <x v="2"/>
    <s v="SKU-IND-386"/>
    <s v="Safety Gloves"/>
    <n v="778.64"/>
    <s v="NGN"/>
    <n v="7.2999999999999996E-4"/>
    <n v="0.5684072"/>
    <n v="300"/>
    <n v="233592"/>
    <n v="233592"/>
    <n v="170.52215999999999"/>
    <n v="4"/>
    <n v="1.3299999999999999E-2"/>
    <n v="22"/>
    <n v="22"/>
    <n v="14"/>
    <n v="14"/>
    <n v="8"/>
    <n v="8"/>
    <x v="1"/>
    <x v="0"/>
    <x v="0"/>
    <x v="5"/>
    <x v="4"/>
    <x v="6"/>
    <x v="4"/>
    <x v="0"/>
    <n v="2.5"/>
    <x v="0"/>
    <x v="0"/>
  </r>
  <r>
    <s v="PO-2026-00670"/>
    <s v="ORD-446393"/>
    <d v="2026-03-29T00:00:00"/>
    <d v="2026-04-03T00:00:00"/>
    <x v="144"/>
    <x v="9"/>
    <x v="9"/>
    <x v="2"/>
    <x v="8"/>
    <x v="4"/>
    <s v="SKU-PAC-605"/>
    <s v="Plastic Film Roll"/>
    <n v="552.75"/>
    <s v="KES"/>
    <n v="7.7000000000000002E-3"/>
    <n v="4.2561749999999998"/>
    <n v="1500"/>
    <n v="829125"/>
    <n v="829125"/>
    <n v="6384.2624999999998"/>
    <n v="23"/>
    <n v="1.5299999999999999E-2"/>
    <n v="3"/>
    <n v="3"/>
    <n v="5"/>
    <n v="5"/>
    <n v="-2"/>
    <n v="-2"/>
    <x v="2"/>
    <x v="0"/>
    <x v="0"/>
    <x v="5"/>
    <x v="2"/>
    <x v="0"/>
    <x v="2"/>
    <x v="0"/>
    <n v="3"/>
    <x v="6"/>
    <x v="2"/>
  </r>
  <r>
    <s v="PO-2026-00671"/>
    <s v="ORD-746186"/>
    <d v="2026-06-23T00:00:00"/>
    <d v="2026-07-10T00:00:00"/>
    <x v="186"/>
    <x v="5"/>
    <x v="5"/>
    <x v="5"/>
    <x v="4"/>
    <x v="3"/>
    <s v="SKU-TEX-986"/>
    <s v="Label Tape"/>
    <n v="579.83000000000004"/>
    <s v="GHS"/>
    <n v="8.8999999999999996E-2"/>
    <n v="51.604869999999998"/>
    <n v="1000"/>
    <n v="579830"/>
    <n v="579830"/>
    <n v="51604.869999999995"/>
    <n v="0"/>
    <n v="0"/>
    <n v="32"/>
    <n v="32"/>
    <n v="17"/>
    <n v="17"/>
    <n v="15"/>
    <n v="15"/>
    <x v="4"/>
    <x v="0"/>
    <x v="1"/>
    <x v="0"/>
    <x v="3"/>
    <x v="4"/>
    <x v="2"/>
    <x v="0"/>
    <n v="3"/>
    <x v="0"/>
    <x v="0"/>
  </r>
  <r>
    <s v="PO-2026-00672"/>
    <s v="ORD-757578"/>
    <d v="2026-01-01T00:00:00"/>
    <d v="2026-01-15T00:00:00"/>
    <x v="183"/>
    <x v="4"/>
    <x v="4"/>
    <x v="4"/>
    <x v="6"/>
    <x v="0"/>
    <s v="SKU-MAC-870"/>
    <s v="Hydraulic Hose"/>
    <n v="24.56"/>
    <s v="GHS"/>
    <n v="8.8999999999999996E-2"/>
    <n v="2.1858399999999998"/>
    <n v="1500"/>
    <n v="36840"/>
    <n v="36840"/>
    <n v="3278.7599999999998"/>
    <n v="47"/>
    <n v="3.1300000000000001E-2"/>
    <n v="8"/>
    <n v="8"/>
    <n v="14"/>
    <n v="14"/>
    <n v="-6"/>
    <n v="-6"/>
    <x v="2"/>
    <x v="0"/>
    <x v="2"/>
    <x v="5"/>
    <x v="2"/>
    <x v="0"/>
    <x v="4"/>
    <x v="0"/>
    <n v="4.0999999999999996"/>
    <x v="2"/>
    <x v="4"/>
  </r>
  <r>
    <s v="PO-2026-00673"/>
    <s v="ORD-211253"/>
    <d v="2026-02-11T00:00:00"/>
    <d v="2026-02-24T00:00:00"/>
    <x v="49"/>
    <x v="4"/>
    <x v="4"/>
    <x v="4"/>
    <x v="8"/>
    <x v="0"/>
    <s v="SKU-MAC-878"/>
    <s v="Hydraulic Hose"/>
    <n v="92.05"/>
    <s v="USD"/>
    <n v="1"/>
    <n v="92.05"/>
    <n v="750"/>
    <n v="69037.5"/>
    <n v="69037.5"/>
    <n v="69037.5"/>
    <n v="4"/>
    <n v="5.3E-3"/>
    <n v="17"/>
    <n v="17"/>
    <n v="13"/>
    <n v="13"/>
    <n v="4"/>
    <n v="4"/>
    <x v="0"/>
    <x v="0"/>
    <x v="0"/>
    <x v="2"/>
    <x v="1"/>
    <x v="0"/>
    <x v="0"/>
    <x v="0"/>
    <n v="2.7"/>
    <x v="3"/>
    <x v="0"/>
  </r>
  <r>
    <s v="PO-2026-00674"/>
    <s v="ORD-480801"/>
    <d v="2026-04-14T00:00:00"/>
    <d v="2026-04-22T00:00:00"/>
    <x v="157"/>
    <x v="2"/>
    <x v="2"/>
    <x v="2"/>
    <x v="8"/>
    <x v="2"/>
    <s v="SKU-IND-263"/>
    <s v="Filter Cartridge"/>
    <n v="620.72"/>
    <s v="NGN"/>
    <n v="7.2999999999999996E-4"/>
    <n v="0.45312560000000002"/>
    <n v="100"/>
    <n v="62072"/>
    <n v="62072"/>
    <n v="45.312559999999998"/>
    <n v="2"/>
    <n v="0.02"/>
    <n v="18"/>
    <n v="18"/>
    <n v="8"/>
    <n v="8"/>
    <n v="10"/>
    <n v="10"/>
    <x v="1"/>
    <x v="0"/>
    <x v="4"/>
    <x v="5"/>
    <x v="3"/>
    <x v="5"/>
    <x v="2"/>
    <x v="0"/>
    <n v="3.2"/>
    <x v="3"/>
    <x v="5"/>
  </r>
  <r>
    <s v="PO-2026-00675"/>
    <s v="ORD-631599"/>
    <d v="2026-04-04T00:00:00"/>
    <d v="2026-04-14T00:00:00"/>
    <x v="187"/>
    <x v="11"/>
    <x v="11"/>
    <x v="8"/>
    <x v="0"/>
    <x v="5"/>
    <s v="SKU-RAW-391"/>
    <s v="Chemical Additive"/>
    <n v="506.71"/>
    <s v="ZAR"/>
    <n v="6.0999999999999999E-2"/>
    <n v="30.909309999999998"/>
    <n v="150"/>
    <n v="76006.5"/>
    <n v="76006.5"/>
    <n v="4636.3964999999998"/>
    <n v="0"/>
    <n v="0"/>
    <n v="5"/>
    <n v="5"/>
    <n v="10"/>
    <n v="10"/>
    <n v="-5"/>
    <n v="-5"/>
    <x v="2"/>
    <x v="0"/>
    <x v="0"/>
    <x v="0"/>
    <x v="5"/>
    <x v="3"/>
    <x v="2"/>
    <x v="0"/>
    <n v="4.8"/>
    <x v="2"/>
    <x v="2"/>
  </r>
  <r>
    <s v="PO-2026-00676"/>
    <s v="ORD-259209"/>
    <d v="2026-05-19T00:00:00"/>
    <d v="2026-06-09T00:00:00"/>
    <x v="111"/>
    <x v="0"/>
    <x v="0"/>
    <x v="0"/>
    <x v="0"/>
    <x v="0"/>
    <s v="SKU-MAC-450"/>
    <s v="Conveyor Belt"/>
    <n v="3023.02"/>
    <s v="KES"/>
    <n v="7.7000000000000002E-3"/>
    <n v="23.277253999999999"/>
    <n v="500"/>
    <n v="1511510"/>
    <n v="1511510"/>
    <n v="11638.627"/>
    <n v="23"/>
    <n v="4.5999999999999999E-2"/>
    <n v="21"/>
    <n v="21"/>
    <n v="21"/>
    <n v="21"/>
    <n v="0"/>
    <n v="0"/>
    <x v="2"/>
    <x v="1"/>
    <x v="0"/>
    <x v="3"/>
    <x v="0"/>
    <x v="0"/>
    <x v="2"/>
    <x v="3"/>
    <n v="2.5"/>
    <x v="3"/>
    <x v="3"/>
  </r>
  <r>
    <s v="PO-2026-00677"/>
    <s v="ORD-328340"/>
    <d v="2026-04-18T00:00:00"/>
    <d v="2026-05-07T00:00:00"/>
    <x v="50"/>
    <x v="8"/>
    <x v="8"/>
    <x v="7"/>
    <x v="0"/>
    <x v="6"/>
    <s v="SKU-MET-103"/>
    <s v="Copper Rod"/>
    <n v="139.77000000000001"/>
    <s v="EGP"/>
    <n v="1.9E-2"/>
    <n v="2.6556299999999999"/>
    <n v="200"/>
    <n v="27954"/>
    <n v="27954.000000000004"/>
    <n v="531.12599999999998"/>
    <n v="5"/>
    <n v="2.5000000000000001E-2"/>
    <n v="21"/>
    <n v="21"/>
    <n v="19"/>
    <n v="19"/>
    <n v="2"/>
    <n v="2"/>
    <x v="1"/>
    <x v="0"/>
    <x v="2"/>
    <x v="3"/>
    <x v="4"/>
    <x v="0"/>
    <x v="1"/>
    <x v="0"/>
    <n v="4.9000000000000004"/>
    <x v="3"/>
    <x v="5"/>
  </r>
  <r>
    <s v="PO-2026-00678"/>
    <s v="ORD-163029"/>
    <d v="2026-02-01T00:00:00"/>
    <d v="2026-02-14T00:00:00"/>
    <x v="35"/>
    <x v="13"/>
    <x v="13"/>
    <x v="9"/>
    <x v="7"/>
    <x v="3"/>
    <s v="SKU-TEX-525"/>
    <s v="Cotton Fabric"/>
    <n v="381.82"/>
    <s v="GHS"/>
    <n v="8.8999999999999996E-2"/>
    <n v="33.98198"/>
    <n v="50"/>
    <n v="19091"/>
    <n v="19091"/>
    <n v="1699.0989999999999"/>
    <n v="3"/>
    <n v="0.06"/>
    <n v="17"/>
    <n v="17"/>
    <n v="13"/>
    <n v="13"/>
    <n v="4"/>
    <n v="4"/>
    <x v="0"/>
    <x v="1"/>
    <x v="1"/>
    <x v="3"/>
    <x v="2"/>
    <x v="0"/>
    <x v="1"/>
    <x v="1"/>
    <n v="3"/>
    <x v="0"/>
    <x v="1"/>
  </r>
  <r>
    <s v="PO-2026-00679"/>
    <s v="ORD-566826"/>
    <d v="2026-05-11T00:00:00"/>
    <d v="2026-05-26T00:00:00"/>
    <x v="88"/>
    <x v="1"/>
    <x v="1"/>
    <x v="1"/>
    <x v="8"/>
    <x v="1"/>
    <s v="SKU-ELE-149"/>
    <s v="Sensor Module"/>
    <n v="2411.58"/>
    <s v="EGP"/>
    <n v="1.9E-2"/>
    <n v="45.82002"/>
    <n v="2000"/>
    <n v="4823160"/>
    <n v="4823160"/>
    <n v="91640.04"/>
    <n v="1"/>
    <n v="5.0000000000000001E-4"/>
    <n v="13"/>
    <n v="13"/>
    <n v="15"/>
    <n v="15"/>
    <n v="-2"/>
    <n v="-2"/>
    <x v="5"/>
    <x v="0"/>
    <x v="1"/>
    <x v="3"/>
    <x v="0"/>
    <x v="0"/>
    <x v="2"/>
    <x v="0"/>
    <n v="2.2999999999999998"/>
    <x v="3"/>
    <x v="2"/>
  </r>
  <r>
    <s v="PO-2026-00680"/>
    <s v="ORD-461264"/>
    <d v="2026-04-03T00:00:00"/>
    <d v="2026-04-15T00:00:00"/>
    <x v="24"/>
    <x v="14"/>
    <x v="14"/>
    <x v="10"/>
    <x v="2"/>
    <x v="5"/>
    <s v="SKU-RAW-403"/>
    <s v="Agro Binder"/>
    <s v=""/>
    <s v="NGN"/>
    <n v="7.2999999999999996E-4"/>
    <s v=""/>
    <n v="200"/>
    <n v="39810"/>
    <e v="#VALUE!"/>
    <n v="29.061299999999999"/>
    <n v="1"/>
    <n v="5.0000000000000001E-3"/>
    <n v="13"/>
    <n v="13"/>
    <n v="12"/>
    <n v="12"/>
    <n v="1"/>
    <n v="1"/>
    <x v="1"/>
    <x v="0"/>
    <x v="1"/>
    <x v="3"/>
    <x v="5"/>
    <x v="5"/>
    <x v="1"/>
    <x v="0"/>
    <n v="4.0999999999999996"/>
    <x v="1"/>
    <x v="0"/>
  </r>
  <r>
    <s v="PO-2026-00681"/>
    <s v="ORD-221967"/>
    <d v="2026-01-09T00:00:00"/>
    <d v="2026-01-30T00:00:00"/>
    <x v="167"/>
    <x v="7"/>
    <x v="7"/>
    <x v="6"/>
    <x v="5"/>
    <x v="2"/>
    <s v="SKU-IND-918"/>
    <s v="Welding Rod"/>
    <n v="620.78"/>
    <s v="EGP"/>
    <n v="1.9E-2"/>
    <n v="11.79482"/>
    <n v="50"/>
    <n v="31039"/>
    <n v="31039"/>
    <n v="589.74099999999999"/>
    <n v="0"/>
    <n v="0"/>
    <n v="16"/>
    <n v="16"/>
    <n v="21"/>
    <n v="21"/>
    <n v="-5"/>
    <n v="-5"/>
    <x v="2"/>
    <x v="0"/>
    <x v="4"/>
    <x v="1"/>
    <x v="2"/>
    <x v="0"/>
    <x v="3"/>
    <x v="0"/>
    <n v="4.7"/>
    <x v="0"/>
    <x v="4"/>
  </r>
  <r>
    <s v="PO-2026-00682"/>
    <s v="ORD-781827"/>
    <d v="2026-01-03T00:00:00"/>
    <d v="2026-01-11T00:00:00"/>
    <x v="188"/>
    <x v="9"/>
    <x v="9"/>
    <x v="2"/>
    <x v="1"/>
    <x v="4"/>
    <s v="SKU-PAC-164"/>
    <s v="Corrugated Box"/>
    <n v="724.07"/>
    <s v="NGN"/>
    <n v="7.2999999999999996E-4"/>
    <n v="0.52857109999999996"/>
    <n v="150"/>
    <n v="108610.5"/>
    <n v="108610.50000000001"/>
    <n v="79.285664999999995"/>
    <n v="1"/>
    <n v="6.7000000000000002E-3"/>
    <n v="0"/>
    <n v="0"/>
    <n v="8"/>
    <n v="8"/>
    <n v="-8"/>
    <n v="-8"/>
    <x v="2"/>
    <x v="5"/>
    <x v="4"/>
    <x v="1"/>
    <x v="4"/>
    <x v="0"/>
    <x v="0"/>
    <x v="0"/>
    <n v="4.4000000000000004"/>
    <x v="5"/>
    <x v="4"/>
  </r>
  <r>
    <s v="PO-2026-00683"/>
    <s v="ORD-480822"/>
    <d v="2026-06-10T00:00:00"/>
    <d v="2026-06-22T00:00:00"/>
    <x v="160"/>
    <x v="6"/>
    <x v="6"/>
    <x v="1"/>
    <x v="8"/>
    <x v="1"/>
    <s v="SKU-ELE-858"/>
    <s v="Power Adapter"/>
    <n v="1233.2"/>
    <s v="GHS"/>
    <n v="8.8999999999999996E-2"/>
    <n v="109.7548"/>
    <n v="300"/>
    <n v="369960"/>
    <n v="369960"/>
    <n v="32926.439999999995"/>
    <n v="10"/>
    <n v="3.3300000000000003E-2"/>
    <n v="15"/>
    <n v="15"/>
    <n v="12"/>
    <n v="12"/>
    <n v="3"/>
    <n v="3"/>
    <x v="1"/>
    <x v="0"/>
    <x v="1"/>
    <x v="1"/>
    <x v="5"/>
    <x v="0"/>
    <x v="2"/>
    <x v="0"/>
    <n v="4.5999999999999996"/>
    <x v="0"/>
    <x v="0"/>
  </r>
  <r>
    <s v="PO-2026-00684"/>
    <s v="ORD-267214"/>
    <d v="2026-04-30T00:00:00"/>
    <d v="2026-05-16T00:00:00"/>
    <x v="102"/>
    <x v="1"/>
    <x v="1"/>
    <x v="1"/>
    <x v="0"/>
    <x v="4"/>
    <s v="SKU-PAC-316"/>
    <s v="Plastic Film Roll"/>
    <n v="659.62"/>
    <s v="EGP"/>
    <n v="1.9E-2"/>
    <n v="12.532779999999999"/>
    <n v="75"/>
    <s v=""/>
    <n v="49471.5"/>
    <s v=""/>
    <n v="1"/>
    <n v="1.3299999999999999E-2"/>
    <n v="6"/>
    <n v="6"/>
    <n v="16"/>
    <n v="16"/>
    <n v="-10"/>
    <n v="-10"/>
    <x v="5"/>
    <x v="0"/>
    <x v="4"/>
    <x v="3"/>
    <x v="5"/>
    <x v="5"/>
    <x v="2"/>
    <x v="0"/>
    <n v="2.7"/>
    <x v="2"/>
    <x v="4"/>
  </r>
  <r>
    <s v="PO-2026-00685"/>
    <s v="ORD-137100"/>
    <d v="2026-02-17T00:00:00"/>
    <d v="2026-02-23T00:00:00"/>
    <x v="21"/>
    <x v="9"/>
    <x v="9"/>
    <x v="2"/>
    <x v="4"/>
    <x v="4"/>
    <s v="SKU-PAC-518"/>
    <s v="Bottle Caps"/>
    <n v="412.18"/>
    <s v="ZAR"/>
    <n v="6.0999999999999999E-2"/>
    <n v="25.142980000000001"/>
    <n v="150"/>
    <n v="61827"/>
    <n v="61827"/>
    <n v="3771.4470000000001"/>
    <n v="0"/>
    <n v="0"/>
    <n v="5"/>
    <n v="5"/>
    <n v="6"/>
    <n v="6"/>
    <n v="-1"/>
    <m/>
    <x v="2"/>
    <x v="0"/>
    <x v="2"/>
    <x v="3"/>
    <x v="5"/>
    <x v="6"/>
    <x v="5"/>
    <x v="0"/>
    <n v="2.5"/>
    <x v="1"/>
    <x v="4"/>
  </r>
  <r>
    <s v="PO-2026-00686"/>
    <s v="ORD-555934"/>
    <d v="2026-06-01T00:00:00"/>
    <d v="2026-06-15T00:00:00"/>
    <x v="4"/>
    <x v="1"/>
    <x v="1"/>
    <x v="1"/>
    <x v="6"/>
    <x v="5"/>
    <s v="SKU-RAW-158"/>
    <s v="Input Granules"/>
    <n v="433.58"/>
    <s v="KES"/>
    <n v="7.7000000000000002E-3"/>
    <n v="3.3385660000000001"/>
    <n v="250"/>
    <n v="108395"/>
    <n v="108395"/>
    <n v="834.64150000000006"/>
    <n v="0"/>
    <n v="0"/>
    <n v="11"/>
    <n v="11"/>
    <n v="14"/>
    <n v="14"/>
    <n v="-3"/>
    <n v="-3"/>
    <x v="2"/>
    <x v="0"/>
    <x v="1"/>
    <x v="1"/>
    <x v="4"/>
    <x v="3"/>
    <x v="0"/>
    <x v="0"/>
    <n v="2.1"/>
    <x v="5"/>
    <x v="2"/>
  </r>
  <r>
    <s v="PO-2026-00687"/>
    <s v="ORD-867197"/>
    <d v="2026-02-17T00:00:00"/>
    <d v="2026-03-08T00:00:00"/>
    <x v="158"/>
    <x v="8"/>
    <x v="8"/>
    <x v="7"/>
    <x v="5"/>
    <x v="1"/>
    <s v="SKU-ELE-242"/>
    <s v="Control Board"/>
    <n v="3229.19"/>
    <s v="USD"/>
    <n v="1"/>
    <n v="3229.19"/>
    <n v="500"/>
    <n v="1614595"/>
    <n v="1614595"/>
    <n v="1614595"/>
    <n v="4"/>
    <n v="8.0000000000000002E-3"/>
    <n v="30"/>
    <n v="30"/>
    <n v="19"/>
    <n v="19"/>
    <n v="11"/>
    <n v="11"/>
    <x v="1"/>
    <x v="0"/>
    <x v="0"/>
    <x v="4"/>
    <x v="3"/>
    <x v="6"/>
    <x v="5"/>
    <x v="0"/>
    <n v="3.2"/>
    <x v="2"/>
    <x v="0"/>
  </r>
  <r>
    <s v="PO-2026-00688"/>
    <s v="ORD-147929"/>
    <d v="2026-03-22T00:00:00"/>
    <d v="2026-04-02T00:00:00"/>
    <x v="144"/>
    <x v="3"/>
    <x v="3"/>
    <x v="3"/>
    <x v="8"/>
    <x v="1"/>
    <s v="SKU-ELE-322"/>
    <s v="Sensor Module"/>
    <n v="1423.17"/>
    <s v="USD"/>
    <n v="1"/>
    <n v="1423.17"/>
    <n v="1500"/>
    <n v="2134755"/>
    <n v="2134755"/>
    <n v="2134755"/>
    <n v="66"/>
    <n v="4.3999999999999997E-2"/>
    <n v="10"/>
    <n v="10"/>
    <n v="11"/>
    <n v="11"/>
    <n v="-1"/>
    <n v="-1"/>
    <x v="5"/>
    <x v="4"/>
    <x v="2"/>
    <x v="3"/>
    <x v="0"/>
    <x v="5"/>
    <x v="2"/>
    <x v="1"/>
    <n v="2.8"/>
    <x v="1"/>
    <x v="8"/>
  </r>
  <r>
    <s v="PO-2026-00689"/>
    <s v="ORD-364797"/>
    <d v="2026-03-20T00:00:00"/>
    <d v="2026-03-31T00:00:00"/>
    <x v="149"/>
    <x v="9"/>
    <x v="9"/>
    <x v="2"/>
    <x v="4"/>
    <x v="4"/>
    <s v="SKU-PAC-834"/>
    <s v="Shipping Carton"/>
    <n v="151.94"/>
    <s v="NGN"/>
    <n v="7.2999999999999996E-4"/>
    <n v="0.11091619999999999"/>
    <n v="2000"/>
    <n v="303880"/>
    <n v="303880"/>
    <n v="221.83239999999998"/>
    <n v="30"/>
    <n v="1.4999999999999999E-2"/>
    <n v="11"/>
    <n v="11"/>
    <n v="11"/>
    <n v="11"/>
    <n v="0"/>
    <n v="0"/>
    <x v="5"/>
    <x v="0"/>
    <x v="0"/>
    <x v="4"/>
    <x v="2"/>
    <x v="2"/>
    <x v="5"/>
    <x v="0"/>
    <n v="3.3"/>
    <x v="0"/>
    <x v="2"/>
  </r>
  <r>
    <s v="PO-2026-00690"/>
    <s v="ORD-411471"/>
    <d v="2026-05-09T00:00:00"/>
    <d v="2026-05-18T00:00:00"/>
    <x v="86"/>
    <x v="6"/>
    <x v="6"/>
    <x v="1"/>
    <x v="7"/>
    <x v="4"/>
    <s v="SKU-PAC-989"/>
    <s v="Shipping Carton"/>
    <n v="365.36"/>
    <s v="NGN"/>
    <n v="7.2999999999999996E-4"/>
    <n v="0.26671279999999997"/>
    <n v="150"/>
    <n v="54804"/>
    <n v="54804"/>
    <n v="40.006920000000001"/>
    <n v="2"/>
    <n v="1.3299999999999999E-2"/>
    <s v=""/>
    <n v="10"/>
    <n v="9"/>
    <n v="9"/>
    <n v="1"/>
    <m/>
    <x v="3"/>
    <x v="0"/>
    <x v="4"/>
    <x v="1"/>
    <x v="0"/>
    <x v="1"/>
    <x v="1"/>
    <x v="0"/>
    <n v="4.8"/>
    <x v="5"/>
    <x v="5"/>
  </r>
  <r>
    <s v="PO-2026-00691"/>
    <s v="ORD-335521"/>
    <d v="2026-02-24T00:00:00"/>
    <d v="2026-03-13T00:00:00"/>
    <x v="64"/>
    <x v="6"/>
    <x v="6"/>
    <x v="1"/>
    <x v="2"/>
    <x v="1"/>
    <s v="SKU-ELE-235"/>
    <s v="Sensor Module"/>
    <n v="186.73"/>
    <s v="USD"/>
    <n v="1"/>
    <n v="186.73"/>
    <n v="250"/>
    <n v="46682.5"/>
    <n v="46682.5"/>
    <n v="46682.5"/>
    <n v="12"/>
    <n v="4.8000000000000001E-2"/>
    <n v="13"/>
    <n v="13"/>
    <n v="17"/>
    <n v="17"/>
    <n v="-4"/>
    <n v="-4"/>
    <x v="2"/>
    <x v="2"/>
    <x v="1"/>
    <x v="0"/>
    <x v="0"/>
    <x v="3"/>
    <x v="1"/>
    <x v="5"/>
    <n v="1.9"/>
    <x v="1"/>
    <x v="3"/>
  </r>
  <r>
    <s v="PO-2026-00692"/>
    <s v="ORD-379223"/>
    <d v="2026-05-16T00:00:00"/>
    <d v="2026-05-29T00:00:00"/>
    <x v="72"/>
    <x v="6"/>
    <x v="6"/>
    <x v="1"/>
    <x v="1"/>
    <x v="1"/>
    <s v="SKU-ELE-733"/>
    <s v="Power Adapter"/>
    <n v="26.56"/>
    <s v="USD"/>
    <n v="1"/>
    <n v="26.56"/>
    <n v="100"/>
    <n v="2656"/>
    <n v="2656"/>
    <n v="2656"/>
    <n v="5"/>
    <n v="0.05"/>
    <n v="20"/>
    <n v="20"/>
    <n v="13"/>
    <n v="13"/>
    <n v="7"/>
    <n v="7"/>
    <x v="4"/>
    <x v="4"/>
    <x v="1"/>
    <x v="1"/>
    <x v="0"/>
    <x v="5"/>
    <x v="0"/>
    <x v="5"/>
    <n v="4"/>
    <x v="0"/>
    <x v="1"/>
  </r>
  <r>
    <s v="PO-2026-00501"/>
    <s v="ORD-109149"/>
    <d v="2026-04-01T00:00:00"/>
    <d v="2026-04-10T00:00:00"/>
    <x v="187"/>
    <x v="9"/>
    <x v="9"/>
    <x v="2"/>
    <x v="1"/>
    <x v="4"/>
    <s v="SKU-PAC-475"/>
    <s v="Plastic Film Roll"/>
    <n v="754.22"/>
    <s v="GHS"/>
    <n v="8.8999999999999996E-2"/>
    <n v="67.125579999999999"/>
    <n v="200"/>
    <n v="150844"/>
    <n v="150844"/>
    <n v="13425.116"/>
    <n v="3"/>
    <n v="1.4999999999999999E-2"/>
    <n v="8"/>
    <n v="8"/>
    <s v=""/>
    <n v="9"/>
    <n v="-1"/>
    <n v="-1"/>
    <x v="2"/>
    <x v="0"/>
    <x v="2"/>
    <x v="3"/>
    <x v="0"/>
    <x v="6"/>
    <x v="3"/>
    <x v="0"/>
    <n v="2.5"/>
    <x v="5"/>
    <x v="4"/>
  </r>
  <r>
    <s v="PO-2026-00694"/>
    <s v="ORD-213044"/>
    <d v="2026-06-27T00:00:00"/>
    <d v="2026-07-11T00:00:00"/>
    <x v="109"/>
    <x v="3"/>
    <x v="3"/>
    <x v="3"/>
    <x v="1"/>
    <x v="5"/>
    <s v="SKU-RAW-432"/>
    <s v="Polymer Resin"/>
    <n v="733.99"/>
    <s v="USD"/>
    <n v="1"/>
    <n v="733.99"/>
    <n v="200"/>
    <n v="146798"/>
    <n v="146798"/>
    <n v="146798"/>
    <n v="7"/>
    <n v="3.5000000000000003E-2"/>
    <n v="15"/>
    <n v="15"/>
    <n v="14"/>
    <n v="14"/>
    <n v="1"/>
    <n v="1"/>
    <x v="1"/>
    <x v="0"/>
    <x v="1"/>
    <x v="3"/>
    <x v="2"/>
    <x v="1"/>
    <x v="4"/>
    <x v="0"/>
    <n v="3.4"/>
    <x v="1"/>
    <x v="0"/>
  </r>
  <r>
    <s v="PO-2026-00203"/>
    <s v="ORD-738861"/>
    <d v="2026-01-02T00:00:00"/>
    <d v="2026-01-13T00:00:00"/>
    <x v="189"/>
    <x v="10"/>
    <x v="10"/>
    <x v="2"/>
    <x v="8"/>
    <x v="6"/>
    <s v="SKU-MET-802"/>
    <s v="Steel Coil"/>
    <n v="75.19"/>
    <s v="NGN"/>
    <n v="7.2999999999999996E-4"/>
    <n v="5.4888699999999999E-2"/>
    <n v="1500"/>
    <s v=""/>
    <n v="112785"/>
    <s v=""/>
    <n v="18"/>
    <n v="1.2E-2"/>
    <n v="3"/>
    <n v="3"/>
    <s v=""/>
    <n v="11"/>
    <n v="-8"/>
    <n v="-8"/>
    <x v="2"/>
    <x v="5"/>
    <x v="2"/>
    <x v="3"/>
    <x v="0"/>
    <x v="5"/>
    <x v="1"/>
    <x v="0"/>
    <n v="4.7"/>
    <x v="6"/>
    <x v="4"/>
  </r>
  <r>
    <s v="PO-2026-00696"/>
    <s v="ORD-608059"/>
    <d v="2026-04-26T00:00:00"/>
    <d v="2026-05-09T00:00:00"/>
    <x v="137"/>
    <x v="6"/>
    <x v="6"/>
    <x v="1"/>
    <x v="2"/>
    <x v="1"/>
    <s v="SKU-ELE-718"/>
    <s v="LED Driver"/>
    <n v="1686.6"/>
    <s v="KES"/>
    <n v="7.7000000000000002E-3"/>
    <n v="12.98682"/>
    <n v="75"/>
    <n v="126495"/>
    <n v="126495"/>
    <n v="974.01150000000007"/>
    <n v="3"/>
    <n v="0.04"/>
    <n v="19"/>
    <n v="19"/>
    <n v="13"/>
    <n v="13"/>
    <n v="6"/>
    <n v="6"/>
    <x v="0"/>
    <x v="0"/>
    <x v="1"/>
    <x v="1"/>
    <x v="0"/>
    <x v="0"/>
    <x v="5"/>
    <x v="0"/>
    <n v="3.4"/>
    <x v="2"/>
    <x v="0"/>
  </r>
  <r>
    <s v="PO-2026-00697"/>
    <s v="ORD-264107"/>
    <d v="2026-04-20T00:00:00"/>
    <d v="2026-05-04T00:00:00"/>
    <x v="139"/>
    <x v="12"/>
    <x v="12"/>
    <x v="2"/>
    <x v="1"/>
    <x v="4"/>
    <s v="SKU-PAC-773"/>
    <s v="Bottle Caps"/>
    <n v="542.35"/>
    <s v="EGP"/>
    <n v="1.9E-2"/>
    <n v="10.304650000000001"/>
    <n v="1500"/>
    <n v="813525"/>
    <n v="813525"/>
    <n v="15456.975"/>
    <n v="28"/>
    <n v="1.8700000000000001E-2"/>
    <n v="13"/>
    <n v="13"/>
    <n v="14"/>
    <n v="14"/>
    <n v="-1"/>
    <n v="-1"/>
    <x v="2"/>
    <x v="0"/>
    <x v="1"/>
    <x v="0"/>
    <x v="2"/>
    <x v="2"/>
    <x v="1"/>
    <x v="0"/>
    <n v="2.7"/>
    <x v="5"/>
    <x v="2"/>
  </r>
  <r>
    <s v="PO-2026-00698"/>
    <s v="ORD-524341"/>
    <d v="2026-02-13T00:00:00"/>
    <d v="2026-02-21T00:00:00"/>
    <x v="190"/>
    <x v="3"/>
    <x v="3"/>
    <x v="3"/>
    <x v="2"/>
    <x v="4"/>
    <s v="SKU-PAC-849"/>
    <s v="Plastic Film Roll"/>
    <n v="148.66"/>
    <s v="UGX"/>
    <n v="2.7E-4"/>
    <n v="4.0138199999999999E-2"/>
    <n v="150"/>
    <n v="22299"/>
    <n v="22299"/>
    <n v="6.0207300000000004"/>
    <n v="0"/>
    <n v="0"/>
    <n v="18"/>
    <n v="18"/>
    <n v="8"/>
    <n v="8"/>
    <n v="10"/>
    <n v="10"/>
    <x v="4"/>
    <x v="0"/>
    <x v="1"/>
    <x v="5"/>
    <x v="1"/>
    <x v="0"/>
    <x v="5"/>
    <x v="0"/>
    <n v="1.5"/>
    <x v="5"/>
    <x v="9"/>
  </r>
  <r>
    <s v="PO-2026-00699"/>
    <s v="ORD-798406"/>
    <d v="2026-03-17T00:00:00"/>
    <d v="2026-03-27T00:00:00"/>
    <x v="76"/>
    <x v="3"/>
    <x v="3"/>
    <x v="3"/>
    <x v="0"/>
    <x v="4"/>
    <s v="SKU-PAC-186"/>
    <s v="Plastic Film Roll"/>
    <n v="534.30999999999995"/>
    <s v="EGP"/>
    <n v="1.9E-2"/>
    <n v="10.151889999999998"/>
    <n v="500"/>
    <n v="267155"/>
    <n v="267155"/>
    <n v="5075.9449999999997"/>
    <n v="12"/>
    <n v="2.4E-2"/>
    <n v="21"/>
    <n v="21"/>
    <n v="10"/>
    <n v="10"/>
    <n v="11"/>
    <n v="11"/>
    <x v="4"/>
    <x v="0"/>
    <x v="3"/>
    <x v="3"/>
    <x v="4"/>
    <x v="2"/>
    <x v="2"/>
    <x v="0"/>
    <n v="2.6"/>
    <x v="0"/>
    <x v="5"/>
  </r>
  <r>
    <s v="PO-2026-00700"/>
    <s v="ORD-567914"/>
    <d v="2026-03-29T00:00:00"/>
    <d v="2026-04-20T00:00:00"/>
    <x v="145"/>
    <x v="5"/>
    <x v="5"/>
    <x v="5"/>
    <x v="6"/>
    <x v="3"/>
    <s v="SKU-TEX-246"/>
    <s v="Label Tape"/>
    <n v="309.37"/>
    <s v="ZAR"/>
    <n v="6.0999999999999999E-2"/>
    <n v="18.871569999999998"/>
    <n v="750"/>
    <n v="232027.5"/>
    <n v="232027.5"/>
    <n v="14153.6775"/>
    <n v="33"/>
    <n v="4.3999999999999997E-2"/>
    <n v="21"/>
    <n v="21"/>
    <n v="22"/>
    <n v="22"/>
    <n v="-1"/>
    <n v="-1"/>
    <x v="2"/>
    <x v="4"/>
    <x v="1"/>
    <x v="5"/>
    <x v="2"/>
    <x v="6"/>
    <x v="4"/>
    <x v="3"/>
    <n v="2.5"/>
    <x v="1"/>
    <x v="3"/>
  </r>
  <r>
    <s v="PO-2026-00701"/>
    <s v="ORD-769810"/>
    <d v="2026-01-11T00:00:00"/>
    <d v="2026-02-03T00:00:00"/>
    <x v="93"/>
    <x v="0"/>
    <x v="0"/>
    <x v="0"/>
    <x v="1"/>
    <x v="0"/>
    <s v="SKU-MAC-399"/>
    <s v="Conveyor Belt"/>
    <n v="1515.82"/>
    <s v="GHS"/>
    <n v="8.8999999999999996E-2"/>
    <n v="134.90797999999998"/>
    <n v="150"/>
    <n v="227373"/>
    <n v="227373"/>
    <n v="20236.197"/>
    <n v="7"/>
    <n v="4.6699999999999998E-2"/>
    <n v="19"/>
    <n v="19"/>
    <n v="23"/>
    <n v="23"/>
    <n v="-4"/>
    <n v="-4"/>
    <x v="2"/>
    <x v="1"/>
    <x v="0"/>
    <x v="4"/>
    <x v="0"/>
    <x v="5"/>
    <x v="2"/>
    <x v="1"/>
    <n v="1"/>
    <x v="6"/>
    <x v="3"/>
  </r>
  <r>
    <s v="PO-2026-00702"/>
    <s v="ORD-916126"/>
    <d v="2026-04-11T00:00:00"/>
    <d v="2026-04-17T00:00:00"/>
    <x v="145"/>
    <x v="3"/>
    <x v="3"/>
    <x v="3"/>
    <x v="6"/>
    <x v="4"/>
    <s v="SKU-PAC-175"/>
    <s v="Corrugated Box"/>
    <n v="542.88"/>
    <s v="EGP"/>
    <n v="1.9E-2"/>
    <n v="10.314719999999999"/>
    <n v="50"/>
    <n v="27144"/>
    <n v="27144"/>
    <n v="515.73599999999999"/>
    <n v="1"/>
    <n v="0.02"/>
    <n v="8"/>
    <n v="8"/>
    <n v="6"/>
    <n v="6"/>
    <n v="2"/>
    <n v="2"/>
    <x v="1"/>
    <x v="0"/>
    <x v="3"/>
    <x v="5"/>
    <x v="1"/>
    <x v="1"/>
    <x v="2"/>
    <x v="0"/>
    <n v="2.7"/>
    <x v="6"/>
    <x v="5"/>
  </r>
  <r>
    <s v="PO-2026-00703"/>
    <s v="ORD-294724"/>
    <d v="2026-02-03T00:00:00"/>
    <d v="2026-02-13T00:00:00"/>
    <x v="169"/>
    <x v="4"/>
    <x v="4"/>
    <x v="4"/>
    <x v="7"/>
    <x v="0"/>
    <s v="SKU-MAC-291"/>
    <s v="Bearing Set"/>
    <n v="36.380000000000003"/>
    <s v="NGN"/>
    <n v="7.2999999999999996E-4"/>
    <n v="2.6557400000000002E-2"/>
    <s v=""/>
    <n v="27285"/>
    <e v="#VALUE!"/>
    <n v="19.918049999999997"/>
    <n v="0"/>
    <n v="0"/>
    <n v="14"/>
    <n v="14"/>
    <n v="10"/>
    <n v="10"/>
    <n v="4"/>
    <n v="4"/>
    <x v="1"/>
    <x v="0"/>
    <x v="1"/>
    <x v="3"/>
    <x v="1"/>
    <x v="5"/>
    <x v="1"/>
    <x v="0"/>
    <n v="4.7"/>
    <x v="2"/>
    <x v="0"/>
  </r>
  <r>
    <s v="PO-2026-00704"/>
    <s v="ORD-759048"/>
    <d v="2026-06-03T00:00:00"/>
    <d v="2026-06-19T00:00:00"/>
    <x v="138"/>
    <x v="7"/>
    <x v="7"/>
    <x v="6"/>
    <x v="7"/>
    <x v="6"/>
    <s v="SKU-MET-439"/>
    <s v="Steel Coil"/>
    <n v="4096.0600000000004"/>
    <s v="EGP"/>
    <n v="1.9E-2"/>
    <n v="77.825140000000005"/>
    <n v="1500"/>
    <n v="6144090"/>
    <n v="6144090.0000000009"/>
    <n v="116737.70999999999"/>
    <n v="6"/>
    <n v="4.0000000000000001E-3"/>
    <n v="19"/>
    <n v="19"/>
    <n v="16"/>
    <n v="16"/>
    <n v="3"/>
    <n v="3"/>
    <x v="3"/>
    <x v="0"/>
    <x v="1"/>
    <x v="3"/>
    <x v="2"/>
    <x v="4"/>
    <x v="1"/>
    <x v="0"/>
    <n v="3.3"/>
    <x v="2"/>
    <x v="0"/>
  </r>
  <r>
    <s v="PO-2026-00705"/>
    <s v="ORD-938517"/>
    <d v="2026-01-14T00:00:00"/>
    <d v="2026-01-27T00:00:00"/>
    <x v="108"/>
    <x v="14"/>
    <x v="14"/>
    <x v="10"/>
    <x v="4"/>
    <x v="5"/>
    <s v="SKU-RAW-254"/>
    <s v="Input Granules"/>
    <n v="524.41"/>
    <s v="NGN"/>
    <n v="7.2999999999999996E-4"/>
    <n v="0.38281929999999997"/>
    <n v="150"/>
    <n v="78661.5"/>
    <n v="78661.5"/>
    <n v="57.422894999999997"/>
    <n v="8"/>
    <n v="5.33E-2"/>
    <n v="12"/>
    <n v="12"/>
    <n v="13"/>
    <n v="13"/>
    <n v="-1"/>
    <n v="-1"/>
    <x v="2"/>
    <x v="1"/>
    <x v="1"/>
    <x v="4"/>
    <x v="2"/>
    <x v="6"/>
    <x v="2"/>
    <x v="2"/>
    <n v="2.5"/>
    <x v="1"/>
    <x v="3"/>
  </r>
  <r>
    <s v="PO-2026-00706"/>
    <s v="ORD-105775"/>
    <d v="2026-01-28T00:00:00"/>
    <d v="2026-02-09T00:00:00"/>
    <x v="93"/>
    <x v="5"/>
    <x v="5"/>
    <x v="5"/>
    <x v="7"/>
    <x v="3"/>
    <s v="SKU-TEX-585"/>
    <s v="Polyester Roll"/>
    <n v="29.26"/>
    <s v="NGN"/>
    <n v="7.2999999999999996E-4"/>
    <n v="2.1359800000000002E-2"/>
    <s v=""/>
    <n v="5852"/>
    <e v="#VALUE!"/>
    <n v="4.27196"/>
    <n v="18"/>
    <n v="0.09"/>
    <n v="2"/>
    <n v="2"/>
    <n v="12"/>
    <n v="12"/>
    <n v="-10"/>
    <n v="-10"/>
    <x v="2"/>
    <x v="4"/>
    <x v="1"/>
    <x v="2"/>
    <x v="1"/>
    <x v="1"/>
    <x v="4"/>
    <x v="3"/>
    <n v="3.3"/>
    <x v="5"/>
    <x v="3"/>
  </r>
  <r>
    <s v="PO-2026-00707"/>
    <s v="ORD-862049"/>
    <d v="2026-04-04T00:00:00"/>
    <d v="2026-04-26T00:00:00"/>
    <x v="100"/>
    <x v="7"/>
    <x v="7"/>
    <x v="6"/>
    <x v="1"/>
    <x v="2"/>
    <s v="SKU-IND-901"/>
    <s v="Welding Rod"/>
    <n v="639.92999999999995"/>
    <s v="EGP"/>
    <n v="1.9E-2"/>
    <n v="12.158669999999999"/>
    <n v="250"/>
    <n v="159982.5"/>
    <n v="159982.5"/>
    <n v="3039.6675"/>
    <n v="4"/>
    <n v="1.6E-2"/>
    <n v="20"/>
    <n v="20"/>
    <n v="22"/>
    <n v="22"/>
    <n v="-2"/>
    <n v="-2"/>
    <x v="2"/>
    <x v="0"/>
    <x v="1"/>
    <x v="1"/>
    <x v="0"/>
    <x v="5"/>
    <x v="4"/>
    <x v="0"/>
    <n v="2.7"/>
    <x v="3"/>
    <x v="2"/>
  </r>
  <r>
    <s v="PO-2026-00708"/>
    <s v="ORD-639985"/>
    <d v="2026-06-04T00:00:00"/>
    <d v="2026-06-30T00:00:00"/>
    <x v="27"/>
    <x v="0"/>
    <x v="0"/>
    <x v="0"/>
    <x v="5"/>
    <x v="5"/>
    <s v="SKU-RAW-540"/>
    <s v="Agro Binder"/>
    <n v="603.5"/>
    <s v="ZAR"/>
    <n v="6.0999999999999999E-2"/>
    <n v="36.813499999999998"/>
    <n v="300"/>
    <n v="181050"/>
    <n v="181050"/>
    <n v="11044.05"/>
    <n v="11"/>
    <n v="3.6700000000000003E-2"/>
    <s v=""/>
    <n v="23"/>
    <n v="26"/>
    <n v="26"/>
    <n v="-3"/>
    <n v="-3"/>
    <x v="2"/>
    <x v="0"/>
    <x v="1"/>
    <x v="2"/>
    <x v="2"/>
    <x v="0"/>
    <x v="2"/>
    <x v="0"/>
    <n v="3.8"/>
    <x v="3"/>
    <x v="2"/>
  </r>
  <r>
    <s v="PO-2026-00709"/>
    <s v="ORD-699657"/>
    <d v="2026-02-25T00:00:00"/>
    <d v="2026-03-03T00:00:00"/>
    <x v="90"/>
    <x v="12"/>
    <x v="12"/>
    <x v="2"/>
    <x v="4"/>
    <x v="3"/>
    <s v="SKU-TEX-141"/>
    <s v="Cotton Fabric"/>
    <n v="680.82"/>
    <s v="NGN"/>
    <n v="7.2999999999999996E-4"/>
    <n v="0.49699860000000001"/>
    <n v="250"/>
    <n v="170205"/>
    <n v="170205"/>
    <n v="124.24964999999999"/>
    <n v="12"/>
    <n v="4.8000000000000001E-2"/>
    <n v="11"/>
    <n v="11"/>
    <n v="6"/>
    <n v="6"/>
    <n v="5"/>
    <n v="5"/>
    <x v="0"/>
    <x v="2"/>
    <x v="3"/>
    <x v="3"/>
    <x v="3"/>
    <x v="3"/>
    <x v="4"/>
    <x v="5"/>
    <n v="1.5"/>
    <x v="0"/>
    <x v="6"/>
  </r>
  <r>
    <s v="PO-2026-00710"/>
    <s v="ORD-894540"/>
    <d v="2026-02-12T00:00:00"/>
    <d v="2026-02-28T00:00:00"/>
    <x v="181"/>
    <x v="4"/>
    <x v="4"/>
    <x v="4"/>
    <x v="2"/>
    <x v="0"/>
    <s v="SKU-MAC-819"/>
    <s v="Hydraulic Hose"/>
    <n v="2887.97"/>
    <s v="EGP"/>
    <n v="1.9E-2"/>
    <n v="54.871429999999997"/>
    <n v="750"/>
    <n v="2165977.5"/>
    <n v="2165977.5"/>
    <n v="41153.572500000002"/>
    <n v="6"/>
    <n v="8.0000000000000002E-3"/>
    <n v="14"/>
    <n v="14"/>
    <n v="16"/>
    <n v="16"/>
    <n v="-2"/>
    <n v="-2"/>
    <x v="2"/>
    <x v="0"/>
    <x v="1"/>
    <x v="3"/>
    <x v="3"/>
    <x v="0"/>
    <x v="4"/>
    <x v="0"/>
    <n v="3.2"/>
    <x v="5"/>
    <x v="2"/>
  </r>
  <r>
    <s v="PO-2026-00711"/>
    <s v="ORD-525894"/>
    <d v="2026-05-16T00:00:00"/>
    <d v="2026-05-27T00:00:00"/>
    <x v="2"/>
    <x v="3"/>
    <x v="3"/>
    <x v="3"/>
    <x v="8"/>
    <x v="0"/>
    <s v="SKU-MAC-717"/>
    <s v="Gear Assembly"/>
    <n v="4175.74"/>
    <s v="EGP"/>
    <n v="1.9E-2"/>
    <n v="79.339059999999989"/>
    <n v="1500"/>
    <n v="6263610"/>
    <n v="6263610"/>
    <n v="119008.59"/>
    <n v="0"/>
    <n v="0"/>
    <n v="7"/>
    <n v="7"/>
    <n v="11"/>
    <n v="11"/>
    <n v="-4"/>
    <n v="-4"/>
    <x v="2"/>
    <x v="0"/>
    <x v="4"/>
    <x v="2"/>
    <x v="4"/>
    <x v="4"/>
    <x v="2"/>
    <x v="0"/>
    <n v="2.7"/>
    <x v="4"/>
    <x v="4"/>
  </r>
  <r>
    <s v="PO-2026-00712"/>
    <s v="ORD-773993"/>
    <d v="2026-03-24T00:00:00"/>
    <d v="2026-04-10T00:00:00"/>
    <x v="112"/>
    <x v="13"/>
    <x v="13"/>
    <x v="9"/>
    <x v="7"/>
    <x v="3"/>
    <s v="SKU-TEX-328"/>
    <s v="Label Tape"/>
    <n v="242.21"/>
    <s v="KES"/>
    <n v="7.7000000000000002E-3"/>
    <n v="1.8650170000000001"/>
    <n v="500"/>
    <n v="121105"/>
    <n v="121105"/>
    <n v="932.50850000000003"/>
    <n v="27"/>
    <n v="5.3999999999999999E-2"/>
    <n v="22"/>
    <n v="22"/>
    <n v="17"/>
    <n v="17"/>
    <n v="5"/>
    <n v="5"/>
    <x v="0"/>
    <x v="1"/>
    <x v="0"/>
    <x v="3"/>
    <x v="2"/>
    <x v="0"/>
    <x v="5"/>
    <x v="5"/>
    <n v="2.2999999999999998"/>
    <x v="2"/>
    <x v="1"/>
  </r>
  <r>
    <s v="PO-2026-00713"/>
    <s v="ORD-797063"/>
    <d v="2026-05-30T00:00:00"/>
    <d v="2026-06-06T00:00:00"/>
    <x v="12"/>
    <x v="12"/>
    <x v="12"/>
    <x v="2"/>
    <x v="8"/>
    <x v="4"/>
    <s v="SKU-PAC-260"/>
    <s v="Plastic Film Roll"/>
    <n v="647.14"/>
    <s v="ZAR"/>
    <n v="6.0999999999999999E-2"/>
    <n v="39.475539999999995"/>
    <n v="50"/>
    <n v="32357"/>
    <n v="32357"/>
    <n v="1973.777"/>
    <n v="3"/>
    <n v="0.06"/>
    <n v="11"/>
    <n v="11"/>
    <n v="7"/>
    <n v="7"/>
    <n v="4"/>
    <n v="4"/>
    <x v="0"/>
    <x v="1"/>
    <x v="0"/>
    <x v="3"/>
    <x v="5"/>
    <x v="0"/>
    <x v="2"/>
    <x v="5"/>
    <n v="1.4"/>
    <x v="0"/>
    <x v="1"/>
  </r>
  <r>
    <s v="PO-2026-00714"/>
    <s v="ORD-572994"/>
    <d v="2026-03-19T00:00:00"/>
    <d v="2026-03-27T00:00:00"/>
    <x v="47"/>
    <x v="10"/>
    <x v="10"/>
    <x v="2"/>
    <x v="2"/>
    <x v="6"/>
    <s v="SKU-MET-907"/>
    <s v="Aluminium Sheet"/>
    <n v="3039.21"/>
    <s v="KES"/>
    <n v="7.7000000000000002E-3"/>
    <n v="23.401917000000001"/>
    <n v="100"/>
    <n v="303921"/>
    <n v="303921"/>
    <n v="2340.1916999999999"/>
    <n v="0"/>
    <n v="0"/>
    <n v="8"/>
    <n v="8"/>
    <n v="8"/>
    <n v="8"/>
    <n v="0"/>
    <n v="0"/>
    <x v="2"/>
    <x v="0"/>
    <x v="1"/>
    <x v="1"/>
    <x v="4"/>
    <x v="6"/>
    <x v="2"/>
    <x v="0"/>
    <n v="2.2000000000000002"/>
    <x v="4"/>
    <x v="2"/>
  </r>
  <r>
    <s v="PO-2026-00715"/>
    <s v="ORD-413421"/>
    <d v="2026-01-12T00:00:00"/>
    <d v="2026-01-25T00:00:00"/>
    <x v="191"/>
    <x v="1"/>
    <x v="1"/>
    <x v="1"/>
    <x v="2"/>
    <x v="1"/>
    <s v="SKU-ELE-257"/>
    <s v="Power Adapter"/>
    <n v="2035.62"/>
    <s v="ZAR"/>
    <n v="6.0999999999999999E-2"/>
    <n v="124.17281999999999"/>
    <n v="75"/>
    <n v="152671.5"/>
    <n v="152671.5"/>
    <n v="9312.9614999999994"/>
    <n v="0"/>
    <n v="0"/>
    <n v="21"/>
    <n v="21"/>
    <n v="13"/>
    <n v="13"/>
    <n v="8"/>
    <n v="8"/>
    <x v="4"/>
    <x v="0"/>
    <x v="3"/>
    <x v="3"/>
    <x v="4"/>
    <x v="5"/>
    <x v="3"/>
    <x v="0"/>
    <n v="2.1"/>
    <x v="6"/>
    <x v="5"/>
  </r>
  <r>
    <s v="PO-2026-00716"/>
    <s v="ORD-622696"/>
    <d v="2026-06-22T00:00:00"/>
    <d v="2026-07-05T00:00:00"/>
    <x v="150"/>
    <x v="4"/>
    <x v="4"/>
    <x v="4"/>
    <x v="6"/>
    <x v="0"/>
    <s v="SKU-MAC-989"/>
    <s v="Conveyor Belt"/>
    <n v="511.91"/>
    <s v="GHS"/>
    <n v="8.8999999999999996E-2"/>
    <n v="45.559989999999999"/>
    <n v="1000"/>
    <n v="511910"/>
    <n v="511910"/>
    <n v="45559.99"/>
    <n v="25"/>
    <n v="2.5000000000000001E-2"/>
    <n v="9"/>
    <n v="9"/>
    <n v="13"/>
    <n v="13"/>
    <n v="-4"/>
    <n v="-4"/>
    <x v="2"/>
    <x v="0"/>
    <x v="4"/>
    <x v="5"/>
    <x v="2"/>
    <x v="5"/>
    <x v="2"/>
    <x v="0"/>
    <n v="2.2999999999999998"/>
    <x v="0"/>
    <x v="4"/>
  </r>
  <r>
    <s v="PO-2026-00717"/>
    <s v="ORD-818714"/>
    <d v="2026-04-13T00:00:00"/>
    <d v="2026-04-26T00:00:00"/>
    <x v="140"/>
    <x v="11"/>
    <x v="11"/>
    <x v="8"/>
    <x v="0"/>
    <x v="5"/>
    <s v="SKU-RAW-831"/>
    <s v="Polymer Resin"/>
    <n v="338.51"/>
    <s v="ZAR"/>
    <n v="6.0999999999999999E-2"/>
    <n v="20.64911"/>
    <n v="250"/>
    <n v="84627.5"/>
    <n v="84627.5"/>
    <n v="5162.2775000000001"/>
    <n v="8"/>
    <n v="3.2000000000000001E-2"/>
    <n v="14"/>
    <n v="14"/>
    <n v="13"/>
    <n v="13"/>
    <n v="1"/>
    <n v="1"/>
    <x v="1"/>
    <x v="0"/>
    <x v="1"/>
    <x v="3"/>
    <x v="2"/>
    <x v="6"/>
    <x v="3"/>
    <x v="0"/>
    <n v="2.7"/>
    <x v="1"/>
    <x v="0"/>
  </r>
  <r>
    <s v="PO-2026-00718"/>
    <s v="ORD-823620"/>
    <d v="2026-02-17T00:00:00"/>
    <d v="2026-02-21T00:00:00"/>
    <x v="1"/>
    <x v="9"/>
    <x v="9"/>
    <x v="2"/>
    <x v="1"/>
    <x v="4"/>
    <s v="SKU-PAC-847"/>
    <s v="Plastic Film Roll"/>
    <n v="411.93"/>
    <s v="KES"/>
    <n v="7.7000000000000002E-3"/>
    <n v="3.1718610000000003"/>
    <n v="1500"/>
    <n v="617895"/>
    <n v="617895"/>
    <n v="4757.7915000000003"/>
    <n v="22"/>
    <n v="1.47E-2"/>
    <s v=""/>
    <n v="12"/>
    <n v="4"/>
    <n v="4"/>
    <n v="8"/>
    <n v="8"/>
    <x v="0"/>
    <x v="0"/>
    <x v="1"/>
    <x v="1"/>
    <x v="2"/>
    <x v="4"/>
    <x v="5"/>
    <x v="0"/>
    <n v="1.9"/>
    <x v="2"/>
    <x v="0"/>
  </r>
  <r>
    <s v="PO-2026-00719"/>
    <s v="ORD-383360"/>
    <d v="2026-01-23T00:00:00"/>
    <d v="2026-02-10T00:00:00"/>
    <x v="119"/>
    <x v="13"/>
    <x v="13"/>
    <x v="9"/>
    <x v="4"/>
    <x v="3"/>
    <s v="SKU-TEX-471"/>
    <s v="Uniform Material"/>
    <n v="617.99"/>
    <s v="USD"/>
    <n v="1"/>
    <n v="617.99"/>
    <n v="75"/>
    <n v="46349.25"/>
    <n v="46349.25"/>
    <n v="46349.25"/>
    <n v="0"/>
    <n v="0"/>
    <n v="22"/>
    <n v="22"/>
    <n v="18"/>
    <n v="18"/>
    <n v="4"/>
    <n v="4"/>
    <x v="4"/>
    <x v="0"/>
    <x v="0"/>
    <x v="2"/>
    <x v="2"/>
    <x v="0"/>
    <x v="4"/>
    <x v="0"/>
    <n v="2.5"/>
    <x v="2"/>
    <x v="0"/>
  </r>
  <r>
    <s v="PO-2026-00720"/>
    <s v="ORD-680539"/>
    <d v="2026-02-04T00:00:00"/>
    <d v="2026-02-22T00:00:00"/>
    <x v="61"/>
    <x v="14"/>
    <x v="14"/>
    <x v="10"/>
    <x v="5"/>
    <x v="5"/>
    <s v="SKU-RAW-332"/>
    <s v="Polymer Resin"/>
    <n v="413.1"/>
    <s v="GHS"/>
    <n v="8.8999999999999996E-2"/>
    <n v="36.765900000000002"/>
    <n v="150"/>
    <n v="61965"/>
    <n v="61965"/>
    <n v="5514.8849999999993"/>
    <n v="9"/>
    <n v="0.06"/>
    <n v="21"/>
    <n v="21"/>
    <n v="18"/>
    <n v="18"/>
    <n v="3"/>
    <n v="3"/>
    <x v="1"/>
    <x v="2"/>
    <x v="3"/>
    <x v="4"/>
    <x v="3"/>
    <x v="6"/>
    <x v="3"/>
    <x v="5"/>
    <n v="2.1"/>
    <x v="6"/>
    <x v="6"/>
  </r>
  <r>
    <s v="PO-2026-00721"/>
    <s v="ORD-498207"/>
    <d v="2026-02-07T00:00:00"/>
    <d v="2026-02-16T00:00:00"/>
    <x v="101"/>
    <x v="6"/>
    <x v="6"/>
    <x v="1"/>
    <x v="5"/>
    <x v="5"/>
    <s v="SKU-RAW-692"/>
    <s v="Agro Binder"/>
    <n v="631.92999999999995"/>
    <s v="ZAR"/>
    <n v="6.0999999999999999E-2"/>
    <n v="38.547729999999994"/>
    <n v="200"/>
    <n v="126386"/>
    <n v="126385.99999999999"/>
    <n v="7709.5460000000003"/>
    <n v="1"/>
    <n v="5.0000000000000001E-3"/>
    <n v="8"/>
    <n v="8"/>
    <n v="9"/>
    <n v="9"/>
    <n v="-1"/>
    <n v="-1"/>
    <x v="2"/>
    <x v="0"/>
    <x v="1"/>
    <x v="5"/>
    <x v="3"/>
    <x v="6"/>
    <x v="2"/>
    <x v="0"/>
    <n v="4.3"/>
    <x v="4"/>
    <x v="2"/>
  </r>
  <r>
    <s v="PO-2026-00627"/>
    <s v="ORD-735624"/>
    <d v="2026-03-07T00:00:00"/>
    <d v="2026-03-19T00:00:00"/>
    <x v="0"/>
    <x v="14"/>
    <x v="14"/>
    <x v="10"/>
    <x v="6"/>
    <x v="1"/>
    <s v="SKU-ELE-807"/>
    <s v="Power Adapter"/>
    <n v="549.89"/>
    <s v="EGP"/>
    <n v="1.9E-2"/>
    <n v="10.44791"/>
    <n v="500"/>
    <n v="274945"/>
    <n v="274945"/>
    <n v="5223.9549999999999"/>
    <n v="25"/>
    <n v="0.05"/>
    <n v="23"/>
    <n v="23"/>
    <n v="12"/>
    <n v="12"/>
    <n v="11"/>
    <n v="11"/>
    <x v="4"/>
    <x v="1"/>
    <x v="2"/>
    <x v="3"/>
    <x v="2"/>
    <x v="0"/>
    <x v="3"/>
    <x v="5"/>
    <n v="1"/>
    <x v="3"/>
    <x v="6"/>
  </r>
  <r>
    <s v="PO-2026-00723"/>
    <s v="ORD-992358"/>
    <d v="2026-03-19T00:00:00"/>
    <d v="2026-04-04T00:00:00"/>
    <x v="161"/>
    <x v="13"/>
    <x v="13"/>
    <x v="1"/>
    <x v="3"/>
    <x v="3"/>
    <s v="SKU-TEX-213"/>
    <s v="Polyester Roll"/>
    <n v="517.71"/>
    <s v="KES"/>
    <n v="7.7000000000000002E-3"/>
    <n v="3.9863670000000004"/>
    <n v="1500"/>
    <n v="776565"/>
    <n v="776565"/>
    <n v="5979.5505000000003"/>
    <n v="90"/>
    <n v="0.06"/>
    <n v="20"/>
    <n v="20"/>
    <n v="16"/>
    <n v="16"/>
    <n v="4"/>
    <n v="4"/>
    <x v="1"/>
    <x v="2"/>
    <x v="2"/>
    <x v="3"/>
    <x v="1"/>
    <x v="1"/>
    <x v="0"/>
    <x v="1"/>
    <n v="2"/>
    <x v="6"/>
    <x v="6"/>
  </r>
  <r>
    <s v="PO-2026-00724"/>
    <s v="ORD-673713"/>
    <d v="2026-05-06T00:00:00"/>
    <d v="2026-05-15T00:00:00"/>
    <x v="151"/>
    <x v="9"/>
    <x v="9"/>
    <x v="2"/>
    <x v="2"/>
    <x v="4"/>
    <s v="SKU-PAC-940"/>
    <s v="Bottle Caps"/>
    <n v="821.5"/>
    <s v="KES"/>
    <n v="7.7000000000000002E-3"/>
    <n v="6.3255499999999998"/>
    <n v="75"/>
    <n v="61612.5"/>
    <n v="61612.5"/>
    <n v="474.41624999999999"/>
    <n v="1"/>
    <n v="1.3299999999999999E-2"/>
    <n v="11"/>
    <n v="11"/>
    <n v="9"/>
    <n v="9"/>
    <n v="2"/>
    <n v="2"/>
    <x v="1"/>
    <x v="0"/>
    <x v="1"/>
    <x v="4"/>
    <x v="4"/>
    <x v="1"/>
    <x v="2"/>
    <x v="0"/>
    <n v="4.9000000000000004"/>
    <x v="6"/>
    <x v="0"/>
  </r>
  <r>
    <s v="PO-2026-00725"/>
    <s v="ORD-843931"/>
    <d v="2026-05-17T00:00:00"/>
    <d v="2026-05-24T00:00:00"/>
    <x v="22"/>
    <x v="3"/>
    <x v="3"/>
    <x v="3"/>
    <x v="0"/>
    <x v="4"/>
    <s v="SKU-PAC-264"/>
    <s v="Shipping Carton"/>
    <n v="164.7"/>
    <s v="UGX"/>
    <n v="2.7E-4"/>
    <n v="4.4468999999999995E-2"/>
    <n v="200"/>
    <n v="32940"/>
    <n v="32940"/>
    <n v="8.8938000000000006"/>
    <n v="11"/>
    <n v="5.5E-2"/>
    <n v="4"/>
    <n v="4"/>
    <n v="7"/>
    <n v="7"/>
    <n v="-3"/>
    <n v="-3"/>
    <x v="2"/>
    <x v="4"/>
    <x v="0"/>
    <x v="1"/>
    <x v="1"/>
    <x v="3"/>
    <x v="2"/>
    <x v="3"/>
    <n v="2.7"/>
    <x v="4"/>
    <x v="3"/>
  </r>
  <r>
    <s v="PO-2026-00726"/>
    <s v="ORD-353302"/>
    <d v="2026-01-10T00:00:00"/>
    <d v="2026-01-17T00:00:00"/>
    <x v="118"/>
    <x v="10"/>
    <x v="10"/>
    <x v="2"/>
    <x v="2"/>
    <x v="6"/>
    <s v="SKU-MET-398"/>
    <s v="Steel Coil"/>
    <n v="984.83"/>
    <s v="GHS"/>
    <n v="8.8999999999999996E-2"/>
    <n v="87.649869999999993"/>
    <n v="50"/>
    <n v="49241.5"/>
    <n v="49241.5"/>
    <n v="4382.4934999999996"/>
    <n v="0"/>
    <n v="0"/>
    <n v="10"/>
    <n v="10"/>
    <n v="7"/>
    <n v="7"/>
    <n v="3"/>
    <n v="3"/>
    <x v="3"/>
    <x v="0"/>
    <x v="4"/>
    <x v="4"/>
    <x v="5"/>
    <x v="2"/>
    <x v="2"/>
    <x v="0"/>
    <n v="3"/>
    <x v="2"/>
    <x v="5"/>
  </r>
  <r>
    <s v="PO-2026-00727"/>
    <s v="ORD-988041"/>
    <d v="2026-05-03T00:00:00"/>
    <d v="2026-05-10T00:00:00"/>
    <x v="110"/>
    <x v="2"/>
    <x v="2"/>
    <x v="2"/>
    <x v="0"/>
    <x v="2"/>
    <s v="SKU-IND-606"/>
    <s v="Safety Gloves"/>
    <n v="35.99"/>
    <s v="KES"/>
    <n v="7.7000000000000002E-3"/>
    <n v="0.27712300000000001"/>
    <n v="1000"/>
    <n v="35990"/>
    <n v="35990"/>
    <n v="277.12299999999999"/>
    <n v="0"/>
    <n v="0"/>
    <n v="10"/>
    <n v="10"/>
    <n v="7"/>
    <n v="7"/>
    <n v="3"/>
    <n v="3"/>
    <x v="1"/>
    <x v="0"/>
    <x v="1"/>
    <x v="3"/>
    <x v="3"/>
    <x v="5"/>
    <x v="5"/>
    <x v="0"/>
    <n v="2.7"/>
    <x v="6"/>
    <x v="0"/>
  </r>
  <r>
    <s v="PO-2026-00728"/>
    <s v="ORD-599273"/>
    <d v="2026-02-03T00:00:00"/>
    <d v="2026-02-21T00:00:00"/>
    <x v="17"/>
    <x v="8"/>
    <x v="8"/>
    <x v="7"/>
    <x v="4"/>
    <x v="1"/>
    <s v="SKU-ELE-878"/>
    <s v="Sensor Module"/>
    <n v="1793"/>
    <s v="KES"/>
    <n v="7.7000000000000002E-3"/>
    <n v="13.806100000000001"/>
    <n v="50"/>
    <n v="89650"/>
    <n v="89650"/>
    <n v="690.30500000000006"/>
    <n v="3"/>
    <n v="0.06"/>
    <n v="30"/>
    <n v="30"/>
    <n v="18"/>
    <n v="18"/>
    <n v="12"/>
    <n v="12"/>
    <x v="0"/>
    <x v="4"/>
    <x v="4"/>
    <x v="5"/>
    <x v="4"/>
    <x v="1"/>
    <x v="2"/>
    <x v="5"/>
    <n v="3"/>
    <x v="5"/>
    <x v="6"/>
  </r>
  <r>
    <s v="PO-2026-00729"/>
    <s v="ORD-940229"/>
    <d v="2026-05-07T00:00:00"/>
    <d v="2026-05-18T00:00:00"/>
    <x v="86"/>
    <x v="12"/>
    <x v="12"/>
    <x v="2"/>
    <x v="3"/>
    <x v="4"/>
    <s v="SKU-PAC-329"/>
    <s v="Shipping Carton"/>
    <n v="10.78"/>
    <s v="NGN"/>
    <n v="7.2999999999999996E-4"/>
    <n v="7.8693999999999986E-3"/>
    <n v="1500"/>
    <n v="16170"/>
    <n v="16169.999999999998"/>
    <n v="11.8041"/>
    <n v="12"/>
    <n v="8.0000000000000002E-3"/>
    <n v="12"/>
    <n v="12"/>
    <n v="11"/>
    <n v="11"/>
    <n v="1"/>
    <n v="1"/>
    <x v="1"/>
    <x v="0"/>
    <x v="1"/>
    <x v="3"/>
    <x v="0"/>
    <x v="5"/>
    <x v="1"/>
    <x v="0"/>
    <n v="4.0999999999999996"/>
    <x v="1"/>
    <x v="0"/>
  </r>
  <r>
    <s v="PO-2026-00730"/>
    <s v="ORD-408136"/>
    <d v="2026-06-27T00:00:00"/>
    <d v="2026-07-09T00:00:00"/>
    <x v="192"/>
    <x v="3"/>
    <x v="3"/>
    <x v="3"/>
    <x v="7"/>
    <x v="4"/>
    <s v="SKU-PAC-994"/>
    <s v="Bottle Caps"/>
    <n v="162.62"/>
    <s v="ZAR"/>
    <n v="6.0999999999999999E-2"/>
    <n v="9.9198199999999996"/>
    <n v="750"/>
    <n v="121965"/>
    <n v="121965"/>
    <n v="7439.8649999999998"/>
    <n v="27"/>
    <n v="3.5999999999999997E-2"/>
    <n v="16"/>
    <n v="16"/>
    <n v="12"/>
    <n v="12"/>
    <n v="4"/>
    <n v="4"/>
    <x v="0"/>
    <x v="0"/>
    <x v="0"/>
    <x v="5"/>
    <x v="3"/>
    <x v="6"/>
    <x v="1"/>
    <x v="0"/>
    <n v="4"/>
    <x v="0"/>
    <x v="0"/>
  </r>
  <r>
    <s v="PO-2026-00731"/>
    <s v="ORD-198160"/>
    <d v="2026-02-05T00:00:00"/>
    <d v="2026-02-14T00:00:00"/>
    <x v="125"/>
    <x v="11"/>
    <x v="11"/>
    <x v="8"/>
    <x v="8"/>
    <x v="6"/>
    <s v="SKU-MET-730"/>
    <s v="Steel Coil"/>
    <n v="1902.2"/>
    <s v="ZAR"/>
    <n v="6.0999999999999999E-2"/>
    <n v="116.0342"/>
    <n v="75"/>
    <n v="142665"/>
    <n v="142665"/>
    <n v="8702.5650000000005"/>
    <n v="2"/>
    <n v="2.6700000000000002E-2"/>
    <n v="22"/>
    <n v="22"/>
    <n v="9"/>
    <n v="9"/>
    <n v="13"/>
    <n v="13"/>
    <x v="1"/>
    <x v="0"/>
    <x v="0"/>
    <x v="4"/>
    <x v="3"/>
    <x v="3"/>
    <x v="4"/>
    <x v="0"/>
    <n v="1.1000000000000001"/>
    <x v="3"/>
    <x v="0"/>
  </r>
  <r>
    <s v="PO-2026-00732"/>
    <s v="ORD-170296"/>
    <d v="2026-05-19T00:00:00"/>
    <d v="2026-05-24T00:00:00"/>
    <x v="132"/>
    <x v="9"/>
    <x v="9"/>
    <x v="2"/>
    <x v="5"/>
    <x v="6"/>
    <s v="SKU-MET-294"/>
    <s v="Rebar Bundle"/>
    <s v=""/>
    <s v="KES"/>
    <n v="7.7000000000000002E-3"/>
    <s v=""/>
    <n v="1500"/>
    <n v="3828540"/>
    <e v="#VALUE!"/>
    <n v="29479.758000000002"/>
    <n v="26"/>
    <n v="1.7299999999999999E-2"/>
    <n v="7"/>
    <n v="7"/>
    <n v="5"/>
    <n v="5"/>
    <n v="2"/>
    <n v="2"/>
    <x v="1"/>
    <x v="0"/>
    <x v="0"/>
    <x v="5"/>
    <x v="1"/>
    <x v="2"/>
    <x v="5"/>
    <x v="0"/>
    <n v="2.4"/>
    <x v="0"/>
    <x v="0"/>
  </r>
  <r>
    <s v="PO-2026-00733"/>
    <s v="ORD-511837"/>
    <d v="2026-05-28T00:00:00"/>
    <d v="2026-05-31T00:00:00"/>
    <x v="67"/>
    <x v="12"/>
    <x v="12"/>
    <x v="2"/>
    <x v="5"/>
    <x v="4"/>
    <s v="SKU-PAC-410"/>
    <s v="Bottle Caps"/>
    <n v="774.09"/>
    <s v="GHS"/>
    <n v="8.8999999999999996E-2"/>
    <n v="68.894009999999994"/>
    <n v="75"/>
    <n v="58056.75"/>
    <n v="58056.75"/>
    <n v="5167.0507499999994"/>
    <n v="1"/>
    <n v="1.3299999999999999E-2"/>
    <n v="21"/>
    <n v="21"/>
    <n v="3"/>
    <n v="3"/>
    <n v="18"/>
    <n v="18"/>
    <x v="0"/>
    <x v="0"/>
    <x v="1"/>
    <x v="5"/>
    <x v="0"/>
    <x v="4"/>
    <x v="1"/>
    <x v="0"/>
    <n v="2.2999999999999998"/>
    <x v="5"/>
    <x v="0"/>
  </r>
  <r>
    <s v="PO-2026-00734"/>
    <s v="ORD-819198"/>
    <d v="2026-02-18T00:00:00"/>
    <d v="2026-02-28T00:00:00"/>
    <x v="54"/>
    <x v="9"/>
    <x v="9"/>
    <x v="11"/>
    <x v="0"/>
    <x v="4"/>
    <s v="SKU-PAC-687"/>
    <s v="Shipping Carton"/>
    <n v="633.62"/>
    <s v="GHS"/>
    <n v="8.8999999999999996E-2"/>
    <n v="56.392179999999996"/>
    <n v="50"/>
    <n v="31681"/>
    <n v="31681"/>
    <n v="2819.6089999999999"/>
    <n v="0"/>
    <n v="0"/>
    <n v="12"/>
    <n v="12"/>
    <n v="10"/>
    <n v="10"/>
    <n v="2"/>
    <n v="2"/>
    <x v="1"/>
    <x v="0"/>
    <x v="1"/>
    <x v="4"/>
    <x v="2"/>
    <x v="6"/>
    <x v="2"/>
    <x v="0"/>
    <n v="4.0999999999999996"/>
    <x v="0"/>
    <x v="0"/>
  </r>
  <r>
    <s v="PO-2026-00735"/>
    <s v="ORD-528197"/>
    <d v="2026-01-07T00:00:00"/>
    <d v="2026-01-14T00:00:00"/>
    <x v="193"/>
    <x v="10"/>
    <x v="10"/>
    <x v="2"/>
    <x v="7"/>
    <x v="6"/>
    <s v="SKU-MET-582"/>
    <s v="Steel Coil"/>
    <n v="279.29000000000002"/>
    <s v="EGP"/>
    <n v="1.9E-2"/>
    <n v="5.3065100000000003"/>
    <n v="2000"/>
    <n v="558580"/>
    <n v="558580"/>
    <n v="10613.02"/>
    <n v="30"/>
    <n v="1.4999999999999999E-2"/>
    <n v="9"/>
    <n v="9"/>
    <n v="7"/>
    <n v="7"/>
    <n v="2"/>
    <n v="2"/>
    <x v="1"/>
    <x v="0"/>
    <x v="1"/>
    <x v="0"/>
    <x v="4"/>
    <x v="1"/>
    <x v="2"/>
    <x v="0"/>
    <n v="3.7"/>
    <x v="1"/>
    <x v="0"/>
  </r>
  <r>
    <s v="PO-2026-00736"/>
    <s v="ORD-640141"/>
    <d v="2026-02-20T00:00:00"/>
    <d v="2026-02-24T00:00:00"/>
    <x v="54"/>
    <x v="9"/>
    <x v="9"/>
    <x v="2"/>
    <x v="7"/>
    <x v="4"/>
    <s v="SKU-PAC-126"/>
    <s v="Bottle Caps"/>
    <n v="702.05"/>
    <s v="ZAR"/>
    <n v="6.0999999999999999E-2"/>
    <n v="42.825049999999997"/>
    <n v="300"/>
    <n v="210615"/>
    <n v="210615"/>
    <n v="12847.514999999999"/>
    <n v="-1"/>
    <n v="3.3E-3"/>
    <n v="10"/>
    <n v="10"/>
    <n v="4"/>
    <n v="4"/>
    <n v="6"/>
    <n v="6"/>
    <x v="0"/>
    <x v="0"/>
    <x v="2"/>
    <x v="0"/>
    <x v="0"/>
    <x v="5"/>
    <x v="4"/>
    <x v="0"/>
    <n v="3.1"/>
    <x v="2"/>
    <x v="5"/>
  </r>
  <r>
    <s v="PO-2026-00737"/>
    <s v="ORD-136027"/>
    <d v="2026-03-09T00:00:00"/>
    <d v="2026-03-16T00:00:00"/>
    <x v="29"/>
    <x v="10"/>
    <x v="10"/>
    <x v="2"/>
    <x v="7"/>
    <x v="6"/>
    <s v="SKU-MET-210"/>
    <s v="Steel Coil"/>
    <n v="1441.5"/>
    <s v="NGN"/>
    <n v="7.2999999999999996E-4"/>
    <n v="1.052295"/>
    <n v="200"/>
    <n v="288300"/>
    <n v="288300"/>
    <n v="210.459"/>
    <n v="2"/>
    <n v="0.01"/>
    <n v="15"/>
    <n v="15"/>
    <n v="7"/>
    <n v="7"/>
    <n v="8"/>
    <n v="8"/>
    <x v="0"/>
    <x v="0"/>
    <x v="1"/>
    <x v="4"/>
    <x v="0"/>
    <x v="0"/>
    <x v="5"/>
    <x v="0"/>
    <n v="1.2"/>
    <x v="4"/>
    <x v="0"/>
  </r>
  <r>
    <s v="PO-2026-00738"/>
    <s v="ORD-141855"/>
    <d v="2026-06-26T00:00:00"/>
    <d v="2026-07-01T00:00:00"/>
    <x v="99"/>
    <x v="9"/>
    <x v="9"/>
    <x v="2"/>
    <x v="1"/>
    <x v="4"/>
    <s v="SKU-PAC-521"/>
    <s v="Corrugated Box"/>
    <n v="644.66"/>
    <s v="ZAR"/>
    <n v="6.0999999999999999E-2"/>
    <n v="39.324259999999995"/>
    <n v="300"/>
    <n v="193398"/>
    <n v="193398"/>
    <n v="11797.278"/>
    <n v="0"/>
    <n v="0"/>
    <n v="7"/>
    <n v="7"/>
    <s v=""/>
    <n v="5"/>
    <n v="2"/>
    <m/>
    <x v="1"/>
    <x v="0"/>
    <x v="1"/>
    <x v="4"/>
    <x v="4"/>
    <x v="3"/>
    <x v="3"/>
    <x v="0"/>
    <n v="3.5"/>
    <x v="0"/>
    <x v="0"/>
  </r>
  <r>
    <s v="PO-2026-00739"/>
    <s v="ORD-996925"/>
    <d v="2026-04-24T00:00:00"/>
    <d v="2026-05-03T00:00:00"/>
    <x v="50"/>
    <x v="12"/>
    <x v="12"/>
    <x v="2"/>
    <x v="1"/>
    <x v="4"/>
    <s v="SKU-PAC-302"/>
    <s v="Corrugated Box"/>
    <n v="527.92999999999995"/>
    <s v="NGN"/>
    <n v="7.2999999999999996E-4"/>
    <n v="0.38538889999999992"/>
    <n v="300"/>
    <n v="158379"/>
    <n v="158378.99999999997"/>
    <n v="115.61667"/>
    <n v="10"/>
    <n v="3.3300000000000003E-2"/>
    <s v=""/>
    <n v="15"/>
    <n v="9"/>
    <n v="9"/>
    <n v="6"/>
    <n v="6"/>
    <x v="0"/>
    <x v="0"/>
    <x v="3"/>
    <x v="3"/>
    <x v="0"/>
    <x v="5"/>
    <x v="5"/>
    <x v="0"/>
    <n v="-1"/>
    <x v="3"/>
    <x v="5"/>
  </r>
  <r>
    <s v="PO-2026-00740"/>
    <s v="ORD-362716"/>
    <d v="2026-01-04T00:00:00"/>
    <d v="2026-01-10T00:00:00"/>
    <x v="183"/>
    <x v="2"/>
    <x v="2"/>
    <x v="2"/>
    <x v="6"/>
    <x v="2"/>
    <s v="SKU-IND-906"/>
    <s v="Filter Cartridge"/>
    <n v="213.15"/>
    <s v="KES"/>
    <n v="7.7000000000000002E-3"/>
    <n v="1.6412550000000001"/>
    <n v="150"/>
    <n v="31972.5"/>
    <n v="31972.5"/>
    <n v="246.18825000000001"/>
    <n v="5"/>
    <n v="3.3300000000000003E-2"/>
    <n v="5"/>
    <n v="5"/>
    <n v="6"/>
    <n v="6"/>
    <n v="-1"/>
    <n v="-1"/>
    <x v="2"/>
    <x v="0"/>
    <x v="1"/>
    <x v="3"/>
    <x v="4"/>
    <x v="5"/>
    <x v="3"/>
    <x v="0"/>
    <n v="2.5"/>
    <x v="0"/>
    <x v="2"/>
  </r>
  <r>
    <s v="PO-2026-00741"/>
    <s v="ORD-298573"/>
    <d v="2026-05-25T00:00:00"/>
    <d v="2026-06-16T00:00:00"/>
    <x v="126"/>
    <x v="7"/>
    <x v="7"/>
    <x v="6"/>
    <x v="7"/>
    <x v="2"/>
    <s v="SKU-IND-757"/>
    <s v="Filter Cartridge"/>
    <n v="773.21"/>
    <s v="USD"/>
    <n v="1"/>
    <n v="773.21"/>
    <n v="150"/>
    <n v="115981.5"/>
    <n v="115981.5"/>
    <n v="115981.5"/>
    <n v="1"/>
    <n v="6.7000000000000002E-3"/>
    <n v="29"/>
    <n v="29"/>
    <s v=""/>
    <n v="22"/>
    <n v="7"/>
    <n v="7"/>
    <x v="4"/>
    <x v="3"/>
    <x v="1"/>
    <x v="1"/>
    <x v="0"/>
    <x v="6"/>
    <x v="1"/>
    <x v="0"/>
    <n v="3"/>
    <x v="5"/>
    <x v="0"/>
  </r>
  <r>
    <s v="PO-2026-00742"/>
    <s v="ORD-605457"/>
    <d v="2026-04-25T00:00:00"/>
    <d v="2026-05-10T00:00:00"/>
    <x v="142"/>
    <x v="3"/>
    <x v="3"/>
    <x v="3"/>
    <x v="3"/>
    <x v="4"/>
    <s v="SKU-PAC-280"/>
    <s v="Bottle Caps"/>
    <n v="781.96"/>
    <s v="GHS"/>
    <n v="8.8999999999999996E-2"/>
    <n v="69.594440000000006"/>
    <n v="150"/>
    <n v="117294"/>
    <n v="117294"/>
    <n v="10439.165999999999"/>
    <n v="0"/>
    <n v="0"/>
    <n v="12"/>
    <n v="12"/>
    <n v="15"/>
    <n v="15"/>
    <n v="-3"/>
    <n v="-3"/>
    <x v="2"/>
    <x v="0"/>
    <x v="1"/>
    <x v="1"/>
    <x v="0"/>
    <x v="3"/>
    <x v="5"/>
    <x v="0"/>
    <n v="2.6"/>
    <x v="2"/>
    <x v="2"/>
  </r>
  <r>
    <s v="PO-2026-00743"/>
    <s v="ORD-762723"/>
    <d v="2026-03-19T00:00:00"/>
    <d v="2026-03-27T00:00:00"/>
    <x v="60"/>
    <x v="9"/>
    <x v="9"/>
    <x v="2"/>
    <x v="6"/>
    <x v="4"/>
    <s v="SKU-PAC-912"/>
    <s v="Plastic Film Roll"/>
    <n v="191"/>
    <s v="USD"/>
    <n v="1"/>
    <n v="191"/>
    <n v="250"/>
    <n v="47750"/>
    <n v="47750"/>
    <n v="47750"/>
    <n v="5"/>
    <n v="0.02"/>
    <n v="-3"/>
    <n v="-3"/>
    <n v="8"/>
    <n v="8"/>
    <n v="-11"/>
    <n v="-11"/>
    <x v="6"/>
    <x v="0"/>
    <x v="0"/>
    <x v="2"/>
    <x v="0"/>
    <x v="6"/>
    <x v="5"/>
    <x v="0"/>
    <n v="4.0999999999999996"/>
    <x v="4"/>
    <x v="2"/>
  </r>
  <r>
    <s v="PO-2026-00696"/>
    <s v="ORD-209218"/>
    <d v="2026-04-06T00:00:00"/>
    <d v="2026-04-18T00:00:00"/>
    <x v="52"/>
    <x v="4"/>
    <x v="4"/>
    <x v="4"/>
    <x v="2"/>
    <x v="2"/>
    <s v="SKU-IND-235"/>
    <s v="Filter Cartridge"/>
    <n v="594.03"/>
    <s v="USD"/>
    <n v="1"/>
    <n v="594.03"/>
    <n v="75"/>
    <n v="44552.25"/>
    <n v="44552.25"/>
    <n v="44552.25"/>
    <n v="0"/>
    <n v="0"/>
    <n v="11"/>
    <n v="11"/>
    <n v="12"/>
    <n v="12"/>
    <n v="-1"/>
    <m/>
    <x v="2"/>
    <x v="0"/>
    <x v="1"/>
    <x v="1"/>
    <x v="5"/>
    <x v="2"/>
    <x v="2"/>
    <x v="0"/>
    <n v="2.4"/>
    <x v="5"/>
    <x v="2"/>
  </r>
  <r>
    <s v="PO-2026-00745"/>
    <s v="ORD-946881"/>
    <d v="2026-03-22T00:00:00"/>
    <d v="2026-03-29T00:00:00"/>
    <x v="47"/>
    <x v="2"/>
    <x v="2"/>
    <x v="2"/>
    <x v="8"/>
    <x v="0"/>
    <s v="SKU-MAC-843"/>
    <s v="Gear Assembly"/>
    <n v="1027.73"/>
    <s v="GHS"/>
    <n v="8.8999999999999996E-2"/>
    <n v="91.467969999999994"/>
    <n v="1000"/>
    <n v="1027730"/>
    <n v="1027730"/>
    <n v="91467.97"/>
    <m/>
    <n v="1.4999999999999999E-2"/>
    <n v="5"/>
    <n v="5"/>
    <n v="7"/>
    <n v="7"/>
    <n v="-2"/>
    <n v="-2"/>
    <x v="5"/>
    <x v="0"/>
    <x v="0"/>
    <x v="5"/>
    <x v="5"/>
    <x v="0"/>
    <x v="3"/>
    <x v="0"/>
    <n v="3.5"/>
    <x v="6"/>
    <x v="2"/>
  </r>
  <r>
    <s v="PO-2026-00746"/>
    <s v="ORD-936148"/>
    <d v="2026-02-13T00:00:00"/>
    <d v="2026-02-24T00:00:00"/>
    <x v="34"/>
    <x v="3"/>
    <x v="3"/>
    <x v="3"/>
    <x v="3"/>
    <x v="4"/>
    <s v="SKU-PAC-148"/>
    <s v="Shipping Carton"/>
    <n v="600.80999999999995"/>
    <s v="GHS"/>
    <n v="8.8999999999999996E-2"/>
    <n v="53.472089999999994"/>
    <n v="2000"/>
    <n v="1201620"/>
    <n v="1201620"/>
    <n v="106944.18"/>
    <n v="10"/>
    <n v="5.0000000000000001E-3"/>
    <n v="11"/>
    <n v="11"/>
    <n v="11"/>
    <n v="11"/>
    <n v="0"/>
    <n v="0"/>
    <x v="2"/>
    <x v="0"/>
    <x v="1"/>
    <x v="0"/>
    <x v="4"/>
    <x v="2"/>
    <x v="2"/>
    <x v="0"/>
    <n v="2.6"/>
    <x v="3"/>
    <x v="2"/>
  </r>
  <r>
    <s v="PO-2026-00747"/>
    <s v="ORD-515022"/>
    <d v="2026-04-15T00:00:00"/>
    <d v="2026-04-28T00:00:00"/>
    <x v="25"/>
    <x v="3"/>
    <x v="3"/>
    <x v="3"/>
    <x v="6"/>
    <x v="4"/>
    <s v="SKU-PAC-963"/>
    <s v="Bottle Caps"/>
    <n v="303.37"/>
    <s v="EGP"/>
    <n v="1.9E-2"/>
    <n v="5.76403"/>
    <n v="250"/>
    <n v="75842.5"/>
    <n v="75842.5"/>
    <n v="1441.0074999999999"/>
    <n v="14"/>
    <n v="5.6000000000000001E-2"/>
    <n v="14"/>
    <n v="14"/>
    <s v=""/>
    <n v="13"/>
    <n v="1"/>
    <n v="1"/>
    <x v="1"/>
    <x v="4"/>
    <x v="1"/>
    <x v="3"/>
    <x v="2"/>
    <x v="2"/>
    <x v="0"/>
    <x v="5"/>
    <n v="2.6"/>
    <x v="4"/>
    <x v="1"/>
  </r>
  <r>
    <s v="PO-2026-00748"/>
    <s v="ORD-139472"/>
    <d v="2026-04-24T00:00:00"/>
    <d v="2026-05-11T00:00:00"/>
    <x v="6"/>
    <x v="13"/>
    <x v="13"/>
    <x v="9"/>
    <x v="7"/>
    <x v="2"/>
    <s v="SKU-IND-351"/>
    <s v="Safety Gloves"/>
    <n v="621.5"/>
    <s v="NGN"/>
    <n v="7.2999999999999996E-4"/>
    <n v="0.45369499999999996"/>
    <n v="50"/>
    <n v="31075"/>
    <n v="31075"/>
    <n v="22.684749999999998"/>
    <n v="0"/>
    <n v="0"/>
    <s v=""/>
    <n v="6"/>
    <n v="17"/>
    <n v="17"/>
    <n v="-11"/>
    <n v="-11"/>
    <x v="5"/>
    <x v="5"/>
    <x v="1"/>
    <x v="2"/>
    <x v="2"/>
    <x v="4"/>
    <x v="1"/>
    <x v="0"/>
    <n v="3.8"/>
    <x v="3"/>
    <x v="2"/>
  </r>
  <r>
    <s v="PO-2026-00749"/>
    <s v="ORD-373580"/>
    <d v="2026-01-24T00:00:00"/>
    <d v="2026-02-09T00:00:00"/>
    <x v="176"/>
    <x v="11"/>
    <x v="11"/>
    <x v="8"/>
    <x v="4"/>
    <x v="5"/>
    <s v="SKU-RAW-398"/>
    <s v="Agro Binder"/>
    <n v="451.89"/>
    <s v="KES"/>
    <n v="7.7000000000000002E-3"/>
    <n v="3.4795530000000001"/>
    <n v="150"/>
    <n v="67783.5"/>
    <n v="67783.5"/>
    <n v="521.93295000000001"/>
    <n v="0"/>
    <n v="0"/>
    <n v="14"/>
    <n v="14"/>
    <n v="16"/>
    <n v="16"/>
    <n v="-2"/>
    <n v="-2"/>
    <x v="5"/>
    <x v="3"/>
    <x v="3"/>
    <x v="0"/>
    <x v="2"/>
    <x v="5"/>
    <x v="2"/>
    <x v="0"/>
    <n v="4.0999999999999996"/>
    <x v="2"/>
    <x v="4"/>
  </r>
  <r>
    <s v="PO-2026-00750"/>
    <s v="ORD-501211"/>
    <d v="2026-03-19T00:00:00"/>
    <d v="2026-04-06T00:00:00"/>
    <x v="149"/>
    <x v="5"/>
    <x v="5"/>
    <x v="5"/>
    <x v="3"/>
    <x v="3"/>
    <s v="SKU-TEX-200"/>
    <s v="Polyester Roll"/>
    <n v="826.52"/>
    <s v="KES"/>
    <n v="7.7000000000000002E-3"/>
    <n v="6.364204"/>
    <n v="750"/>
    <n v="619890"/>
    <n v="619890"/>
    <n v="4773.1530000000002"/>
    <n v="0"/>
    <n v="0"/>
    <n v="12"/>
    <n v="12"/>
    <n v="18"/>
    <n v="18"/>
    <n v="-6"/>
    <n v="-6"/>
    <x v="2"/>
    <x v="0"/>
    <x v="3"/>
    <x v="2"/>
    <x v="0"/>
    <x v="4"/>
    <x v="5"/>
    <x v="0"/>
    <n v="3"/>
    <x v="0"/>
    <x v="4"/>
  </r>
  <r>
    <s v="PO-2026-00751"/>
    <s v="ORD-368544"/>
    <d v="2026-02-07T00:00:00"/>
    <d v="2026-02-13T00:00:00"/>
    <x v="40"/>
    <x v="11"/>
    <x v="11"/>
    <x v="8"/>
    <x v="1"/>
    <x v="5"/>
    <s v="SKU-RAW-589"/>
    <s v="Input Granules"/>
    <n v="697.16"/>
    <s v="EGP"/>
    <n v="1.9E-2"/>
    <n v="13.246039999999999"/>
    <n v="50"/>
    <n v="34858"/>
    <n v="34858"/>
    <n v="662.30200000000002"/>
    <n v="0"/>
    <n v="0"/>
    <n v="4"/>
    <n v="4"/>
    <n v="6"/>
    <n v="6"/>
    <n v="-2"/>
    <n v="-2"/>
    <x v="2"/>
    <x v="0"/>
    <x v="0"/>
    <x v="2"/>
    <x v="4"/>
    <x v="1"/>
    <x v="3"/>
    <x v="0"/>
    <n v="2.5"/>
    <x v="0"/>
    <x v="2"/>
  </r>
  <r>
    <s v="PO-2026-00752"/>
    <s v="ORD-900542"/>
    <d v="2026-04-08T00:00:00"/>
    <d v="2026-04-20T00:00:00"/>
    <x v="59"/>
    <x v="10"/>
    <x v="10"/>
    <x v="2"/>
    <x v="8"/>
    <x v="1"/>
    <s v="SKU-ELE-356"/>
    <s v="LED Driver"/>
    <n v="1897.71"/>
    <s v="USD"/>
    <n v="1"/>
    <n v="1897.71"/>
    <n v="2000"/>
    <n v="3795420"/>
    <n v="3795420"/>
    <n v="3795420"/>
    <n v="38"/>
    <n v="1.9E-2"/>
    <n v="15"/>
    <n v="15"/>
    <n v="12"/>
    <n v="12"/>
    <n v="3"/>
    <n v="3"/>
    <x v="1"/>
    <x v="0"/>
    <x v="0"/>
    <x v="5"/>
    <x v="1"/>
    <x v="0"/>
    <x v="2"/>
    <x v="0"/>
    <n v="2.6"/>
    <x v="3"/>
    <x v="0"/>
  </r>
  <r>
    <s v="PO-2026-00753"/>
    <s v="ORD-248643"/>
    <d v="2026-01-01T00:00:00"/>
    <d v="2026-01-16T00:00:00"/>
    <x v="143"/>
    <x v="8"/>
    <x v="8"/>
    <x v="7"/>
    <x v="6"/>
    <x v="1"/>
    <s v="SKU-ELE-986"/>
    <s v="Control Board"/>
    <n v="2127.3200000000002"/>
    <s v="USD"/>
    <n v="1"/>
    <n v="2127.3200000000002"/>
    <n v="500"/>
    <n v="1063660"/>
    <n v="1063660"/>
    <n v="1063660"/>
    <n v="9"/>
    <n v="1.7999999999999999E-2"/>
    <n v="16"/>
    <n v="16"/>
    <n v="15"/>
    <n v="15"/>
    <n v="1"/>
    <n v="1"/>
    <x v="1"/>
    <x v="0"/>
    <x v="1"/>
    <x v="3"/>
    <x v="3"/>
    <x v="5"/>
    <x v="0"/>
    <x v="0"/>
    <n v="3.1"/>
    <x v="4"/>
    <x v="0"/>
  </r>
  <r>
    <s v="PO-2026-00754"/>
    <s v="ORD-545756"/>
    <d v="2026-03-30T00:00:00"/>
    <d v="2026-04-06T00:00:00"/>
    <x v="165"/>
    <x v="10"/>
    <x v="10"/>
    <x v="2"/>
    <x v="1"/>
    <x v="6"/>
    <s v="SKU-MET-185"/>
    <s v="Copper Rod"/>
    <n v="1354.11"/>
    <s v="NGN"/>
    <n v="7.2999999999999996E-4"/>
    <n v="0.98850029999999989"/>
    <n v="75"/>
    <n v="101558.25"/>
    <n v="101558.24999999999"/>
    <n v="74.137522500000003"/>
    <n v="0"/>
    <n v="0"/>
    <n v="4"/>
    <n v="4"/>
    <n v="7"/>
    <n v="7"/>
    <n v="-3"/>
    <n v="-3"/>
    <x v="2"/>
    <x v="0"/>
    <x v="3"/>
    <x v="3"/>
    <x v="4"/>
    <x v="0"/>
    <x v="2"/>
    <x v="0"/>
    <n v="2.1"/>
    <x v="1"/>
    <x v="4"/>
  </r>
  <r>
    <s v="PO-2026-00755"/>
    <s v="ORD-194983"/>
    <d v="2026-01-24T00:00:00"/>
    <d v="2026-02-01T00:00:00"/>
    <x v="147"/>
    <x v="3"/>
    <x v="3"/>
    <x v="3"/>
    <x v="6"/>
    <x v="4"/>
    <s v="SKU-PAC-930"/>
    <s v="Corrugated Box"/>
    <n v="76.72"/>
    <s v="UGX"/>
    <n v="2.7E-4"/>
    <n v="2.0714400000000001E-2"/>
    <n v="75"/>
    <n v="5754"/>
    <n v="5754"/>
    <n v="1.55358"/>
    <n v="0"/>
    <n v="0"/>
    <n v="10"/>
    <n v="10"/>
    <n v="8"/>
    <n v="8"/>
    <n v="2"/>
    <n v="2"/>
    <x v="3"/>
    <x v="0"/>
    <x v="1"/>
    <x v="1"/>
    <x v="0"/>
    <x v="0"/>
    <x v="3"/>
    <x v="0"/>
    <n v="2.2999999999999998"/>
    <x v="4"/>
    <x v="0"/>
  </r>
  <r>
    <s v="PO-2026-00756"/>
    <s v="ORD-830826"/>
    <d v="2026-06-01T00:00:00"/>
    <d v="2026-06-10T00:00:00"/>
    <x v="127"/>
    <x v="4"/>
    <x v="4"/>
    <x v="4"/>
    <x v="8"/>
    <x v="6"/>
    <s v="SKU-MET-813"/>
    <s v="Copper Rod"/>
    <n v="323.61"/>
    <s v="RWF"/>
    <n v="6.8000000000000005E-4"/>
    <n v="0.22005480000000002"/>
    <n v="2000"/>
    <n v="647220"/>
    <n v="647220"/>
    <n v="440.10960000000006"/>
    <n v="39"/>
    <n v="1.95E-2"/>
    <n v="14"/>
    <n v="14"/>
    <n v="9"/>
    <n v="9"/>
    <n v="5"/>
    <n v="5"/>
    <x v="4"/>
    <x v="0"/>
    <x v="1"/>
    <x v="3"/>
    <x v="0"/>
    <x v="1"/>
    <x v="0"/>
    <x v="0"/>
    <n v="3.4"/>
    <x v="0"/>
    <x v="0"/>
  </r>
  <r>
    <s v="PO-2026-00757"/>
    <s v="ORD-836848"/>
    <d v="2026-03-18T00:00:00"/>
    <d v="2026-04-07T00:00:00"/>
    <x v="77"/>
    <x v="8"/>
    <x v="8"/>
    <x v="7"/>
    <x v="4"/>
    <x v="1"/>
    <s v="SKU-ELE-797"/>
    <s v="Control Board"/>
    <n v="2579.6999999999998"/>
    <s v="GHS"/>
    <n v="8.8999999999999996E-2"/>
    <n v="229.59329999999997"/>
    <n v="150"/>
    <n v="386955"/>
    <n v="386955"/>
    <n v="34438.994999999995"/>
    <n v="0"/>
    <n v="0"/>
    <n v="27"/>
    <n v="27"/>
    <n v="20"/>
    <n v="20"/>
    <n v="7"/>
    <n v="7"/>
    <x v="4"/>
    <x v="0"/>
    <x v="1"/>
    <x v="5"/>
    <x v="2"/>
    <x v="2"/>
    <x v="1"/>
    <x v="0"/>
    <n v="2.8"/>
    <x v="0"/>
    <x v="0"/>
  </r>
  <r>
    <s v="PO-2026-00758"/>
    <s v="ORD-781205"/>
    <d v="2026-05-01T00:00:00"/>
    <d v="2026-05-17T00:00:00"/>
    <x v="137"/>
    <x v="1"/>
    <x v="1"/>
    <x v="1"/>
    <x v="7"/>
    <x v="1"/>
    <s v="SKU-ELE-490"/>
    <s v="LED Driver"/>
    <n v="509.79"/>
    <s v="ZAR"/>
    <n v="6.0999999999999999E-2"/>
    <n v="31.097190000000001"/>
    <n v="300"/>
    <n v="152937"/>
    <n v="152937"/>
    <n v="9329.1569999999992"/>
    <n v="19"/>
    <n v="6.3299999999999995E-2"/>
    <n v="14"/>
    <n v="14"/>
    <n v="16"/>
    <n v="16"/>
    <n v="-2"/>
    <n v="-2"/>
    <x v="2"/>
    <x v="1"/>
    <x v="3"/>
    <x v="5"/>
    <x v="0"/>
    <x v="4"/>
    <x v="3"/>
    <x v="4"/>
    <n v="2.1"/>
    <x v="6"/>
    <x v="8"/>
  </r>
  <r>
    <s v="PO-2026-00759"/>
    <s v="ORD-245052"/>
    <d v="2026-05-12T00:00:00"/>
    <d v="2026-05-23T00:00:00"/>
    <x v="80"/>
    <x v="1"/>
    <x v="1"/>
    <x v="1"/>
    <x v="1"/>
    <x v="1"/>
    <s v="SKU-ELE-216"/>
    <s v="Power Adapter"/>
    <n v="1591.73"/>
    <s v="KES"/>
    <n v="7.7000000000000002E-3"/>
    <n v="12.256321"/>
    <n v="150"/>
    <n v="238759.5"/>
    <n v="238759.5"/>
    <n v="1838.4481500000002"/>
    <n v="2"/>
    <n v="1.3299999999999999E-2"/>
    <n v="17"/>
    <n v="17"/>
    <n v="11"/>
    <n v="11"/>
    <n v="6"/>
    <n v="6"/>
    <x v="1"/>
    <x v="0"/>
    <x v="2"/>
    <x v="3"/>
    <x v="3"/>
    <x v="6"/>
    <x v="1"/>
    <x v="0"/>
    <n v="1.2"/>
    <x v="6"/>
    <x v="5"/>
  </r>
  <r>
    <s v="PO-2026-00760"/>
    <s v="ORD-793788"/>
    <d v="2026-02-22T00:00:00"/>
    <d v="2026-03-14T00:00:00"/>
    <x v="17"/>
    <x v="0"/>
    <x v="0"/>
    <x v="0"/>
    <x v="1"/>
    <x v="0"/>
    <s v="SKU-MAC-498"/>
    <s v="Bearing Set"/>
    <n v="2821.62"/>
    <s v="TZS"/>
    <n v="3.8999999999999999E-4"/>
    <n v="1.1004318"/>
    <n v="1000"/>
    <n v="2821620"/>
    <n v="2821620"/>
    <n v="1100.4318000000001"/>
    <n v="26"/>
    <n v="2.5999999999999999E-2"/>
    <s v=""/>
    <n v="11"/>
    <n v="20"/>
    <n v="20"/>
    <n v="-9"/>
    <n v="-9"/>
    <x v="5"/>
    <x v="0"/>
    <x v="4"/>
    <x v="3"/>
    <x v="2"/>
    <x v="3"/>
    <x v="0"/>
    <x v="0"/>
    <n v="4"/>
    <x v="1"/>
    <x v="4"/>
  </r>
  <r>
    <s v="PO-2026-00629"/>
    <s v="ORD-374684"/>
    <d v="2026-02-04T00:00:00"/>
    <d v="2026-02-16T00:00:00"/>
    <x v="61"/>
    <x v="7"/>
    <x v="7"/>
    <x v="6"/>
    <x v="5"/>
    <x v="2"/>
    <s v="SKU-IND-667"/>
    <s v="Lubricant Drum"/>
    <n v="468.39"/>
    <s v="GHS"/>
    <n v="8.8999999999999996E-2"/>
    <n v="41.686709999999998"/>
    <n v="300"/>
    <n v="140517"/>
    <n v="140517"/>
    <n v="12506.012999999999"/>
    <n v="9"/>
    <n v="0.03"/>
    <n v="21"/>
    <n v="21"/>
    <n v="12"/>
    <n v="12"/>
    <n v="9"/>
    <n v="9"/>
    <x v="4"/>
    <x v="0"/>
    <x v="1"/>
    <x v="3"/>
    <x v="3"/>
    <x v="0"/>
    <x v="2"/>
    <x v="0"/>
    <n v="1.3"/>
    <x v="2"/>
    <x v="0"/>
  </r>
  <r>
    <s v="PO-2026-00762"/>
    <s v="ORD-378061"/>
    <d v="2026-06-02T00:00:00"/>
    <d v="2026-06-10T00:00:00"/>
    <x v="81"/>
    <x v="4"/>
    <x v="4"/>
    <x v="4"/>
    <x v="0"/>
    <x v="0"/>
    <s v="SKU-MAC-573"/>
    <s v="Bearing Set"/>
    <n v="1217.54"/>
    <s v="KES"/>
    <n v="7.7000000000000002E-3"/>
    <n v="9.3750579999999992"/>
    <n v="150"/>
    <n v="182631"/>
    <n v="182631"/>
    <n v="1406.2587000000001"/>
    <n v="7"/>
    <n v="4.6699999999999998E-2"/>
    <n v="15"/>
    <n v="15"/>
    <n v="8"/>
    <n v="8"/>
    <n v="7"/>
    <n v="7"/>
    <x v="1"/>
    <x v="2"/>
    <x v="1"/>
    <x v="4"/>
    <x v="0"/>
    <x v="0"/>
    <x v="2"/>
    <x v="5"/>
    <n v="1.1000000000000001"/>
    <x v="5"/>
    <x v="1"/>
  </r>
  <r>
    <s v="PO-2026-00763"/>
    <s v="ORD-824666"/>
    <d v="2026-03-03T00:00:00"/>
    <d v="2026-03-12T00:00:00"/>
    <x v="71"/>
    <x v="11"/>
    <x v="11"/>
    <x v="8"/>
    <x v="7"/>
    <x v="5"/>
    <s v="SKU-RAW-747"/>
    <s v="Polymer Resin"/>
    <n v="63.45"/>
    <s v="USD"/>
    <n v="1"/>
    <n v="63.45"/>
    <n v="250"/>
    <s v=""/>
    <n v="15862.5"/>
    <s v=""/>
    <n v="8"/>
    <n v="3.2000000000000001E-2"/>
    <n v="18"/>
    <n v="18"/>
    <n v="9"/>
    <n v="9"/>
    <n v="9"/>
    <n v="9"/>
    <x v="4"/>
    <x v="0"/>
    <x v="1"/>
    <x v="4"/>
    <x v="2"/>
    <x v="6"/>
    <x v="3"/>
    <x v="0"/>
    <n v="1.2"/>
    <x v="2"/>
    <x v="0"/>
  </r>
  <r>
    <s v="PO-2026-00764"/>
    <s v="ORD-997118"/>
    <d v="2026-06-07T00:00:00"/>
    <d v="2026-07-01T00:00:00"/>
    <x v="30"/>
    <x v="13"/>
    <x v="13"/>
    <x v="9"/>
    <x v="4"/>
    <x v="3"/>
    <s v="SKU-TEX-227"/>
    <s v="Uniform Material"/>
    <n v="185.59"/>
    <s v="GHS"/>
    <n v="8.8999999999999996E-2"/>
    <n v="16.517509999999998"/>
    <n v="750"/>
    <n v="139192.5"/>
    <n v="139192.5"/>
    <n v="12388.1325"/>
    <n v="13"/>
    <n v="1.7299999999999999E-2"/>
    <n v="21"/>
    <n v="21"/>
    <n v="24"/>
    <n v="24"/>
    <n v="-3"/>
    <n v="-3"/>
    <x v="2"/>
    <x v="0"/>
    <x v="3"/>
    <x v="0"/>
    <x v="5"/>
    <x v="3"/>
    <x v="2"/>
    <x v="0"/>
    <n v="5"/>
    <x v="4"/>
    <x v="4"/>
  </r>
  <r>
    <s v="PO-2026-00765"/>
    <s v="ORD-197707"/>
    <d v="2026-05-09T00:00:00"/>
    <d v="2026-05-29T00:00:00"/>
    <x v="194"/>
    <x v="8"/>
    <x v="8"/>
    <x v="7"/>
    <x v="6"/>
    <x v="1"/>
    <s v="SKU-ELE-964"/>
    <s v="Power Adapter"/>
    <n v="3754.26"/>
    <s v="KES"/>
    <n v="7.7000000000000002E-3"/>
    <n v="28.907802000000004"/>
    <n v="150"/>
    <n v="563139"/>
    <n v="563139"/>
    <n v="4336.1702999999998"/>
    <n v="3"/>
    <n v="0.02"/>
    <n v="21"/>
    <n v="21"/>
    <n v="20"/>
    <n v="20"/>
    <n v="1"/>
    <n v="1"/>
    <x v="1"/>
    <x v="0"/>
    <x v="3"/>
    <x v="3"/>
    <x v="0"/>
    <x v="5"/>
    <x v="3"/>
    <x v="0"/>
    <n v="3"/>
    <x v="6"/>
    <x v="5"/>
  </r>
  <r>
    <s v="PO-2026-00766"/>
    <s v="ORD-574841"/>
    <d v="2026-01-12T00:00:00"/>
    <d v="2026-01-28T00:00:00"/>
    <x v="107"/>
    <x v="1"/>
    <x v="1"/>
    <x v="1"/>
    <x v="6"/>
    <x v="3"/>
    <s v="SKU-TEX-199"/>
    <s v="Label Tape"/>
    <n v="145.44999999999999"/>
    <s v="ZAR"/>
    <n v="6.0999999999999999E-2"/>
    <n v="8.8724499999999988"/>
    <n v="75"/>
    <n v="10908.75"/>
    <n v="10908.75"/>
    <n v="665.43375000000003"/>
    <n v="0"/>
    <n v="0"/>
    <n v="29"/>
    <n v="29"/>
    <n v="16"/>
    <n v="16"/>
    <n v="13"/>
    <n v="13"/>
    <x v="0"/>
    <x v="0"/>
    <x v="1"/>
    <x v="1"/>
    <x v="5"/>
    <x v="5"/>
    <x v="5"/>
    <x v="0"/>
    <n v="1.8"/>
    <x v="5"/>
    <x v="0"/>
  </r>
  <r>
    <s v="PO-2026-00767"/>
    <s v="ORD-967695"/>
    <d v="2026-04-13T00:00:00"/>
    <d v="2026-04-25T00:00:00"/>
    <x v="100"/>
    <x v="11"/>
    <x v="11"/>
    <x v="8"/>
    <x v="8"/>
    <x v="5"/>
    <s v="SKU-RAW-288"/>
    <s v="Agro Binder"/>
    <n v="673.45"/>
    <s v="ZAR"/>
    <n v="6.0999999999999999E-2"/>
    <n v="41.080449999999999"/>
    <n v="2000"/>
    <n v="1346900"/>
    <n v="1346900"/>
    <n v="82160.899999999994"/>
    <n v="70"/>
    <n v="3.5000000000000003E-2"/>
    <n v="11"/>
    <n v="11"/>
    <n v="12"/>
    <n v="12"/>
    <n v="-1"/>
    <n v="-1"/>
    <x v="2"/>
    <x v="0"/>
    <x v="1"/>
    <x v="4"/>
    <x v="0"/>
    <x v="0"/>
    <x v="5"/>
    <x v="0"/>
    <n v="2.5"/>
    <x v="4"/>
    <x v="2"/>
  </r>
  <r>
    <s v="PO-2026-00768"/>
    <s v="ORD-448560"/>
    <d v="2026-03-24T00:00:00"/>
    <d v="2026-04-05T00:00:00"/>
    <x v="32"/>
    <x v="2"/>
    <x v="2"/>
    <x v="2"/>
    <x v="7"/>
    <x v="2"/>
    <s v="SKU-IND-778"/>
    <s v="Safety Gloves"/>
    <n v="273.8"/>
    <s v="KES"/>
    <n v="7.7000000000000002E-3"/>
    <n v="2.10826"/>
    <n v="1000"/>
    <n v="273800"/>
    <n v="273800"/>
    <n v="2108.2600000000002"/>
    <n v="38"/>
    <n v="3.7999999999999999E-2"/>
    <n v="9"/>
    <n v="9"/>
    <n v="12"/>
    <n v="12"/>
    <n v="-3"/>
    <n v="-3"/>
    <x v="2"/>
    <x v="0"/>
    <x v="1"/>
    <x v="3"/>
    <x v="0"/>
    <x v="2"/>
    <x v="1"/>
    <x v="0"/>
    <n v="4.5"/>
    <x v="5"/>
    <x v="2"/>
  </r>
  <r>
    <s v="PO-2026-00769"/>
    <s v="ORD-797691"/>
    <d v="2026-01-15T00:00:00"/>
    <d v="2026-01-27T00:00:00"/>
    <x v="168"/>
    <x v="1"/>
    <x v="1"/>
    <x v="1"/>
    <x v="8"/>
    <x v="1"/>
    <s v="SKU-ELE-298"/>
    <s v="LED Driver"/>
    <s v=""/>
    <s v="KES"/>
    <n v="7.7000000000000002E-3"/>
    <s v=""/>
    <n v="75"/>
    <n v="144540.75"/>
    <e v="#VALUE!"/>
    <n v="1112.9637749999999"/>
    <n v="0"/>
    <n v="0"/>
    <n v="22"/>
    <n v="22"/>
    <n v="12"/>
    <n v="12"/>
    <n v="10"/>
    <n v="10"/>
    <x v="1"/>
    <x v="0"/>
    <x v="1"/>
    <x v="0"/>
    <x v="2"/>
    <x v="0"/>
    <x v="4"/>
    <x v="0"/>
    <n v="1.5"/>
    <x v="2"/>
    <x v="0"/>
  </r>
  <r>
    <s v="PO-2026-00770"/>
    <s v="ORD-596867"/>
    <d v="2026-01-29T00:00:00"/>
    <d v="2026-02-11T00:00:00"/>
    <x v="35"/>
    <x v="2"/>
    <x v="2"/>
    <x v="2"/>
    <x v="1"/>
    <x v="2"/>
    <s v="SKU-IND-376"/>
    <s v="Welding Rod"/>
    <n v="40.270000000000003"/>
    <s v="EGP"/>
    <n v="1.9E-2"/>
    <n v="0.76513000000000009"/>
    <n v="250"/>
    <n v="10067.5"/>
    <n v="10067.5"/>
    <n v="191.2825"/>
    <n v="7"/>
    <n v="2.8000000000000001E-2"/>
    <n v="20"/>
    <n v="20"/>
    <n v="13"/>
    <n v="13"/>
    <n v="7"/>
    <n v="7"/>
    <x v="1"/>
    <x v="0"/>
    <x v="0"/>
    <x v="3"/>
    <x v="2"/>
    <x v="0"/>
    <x v="5"/>
    <x v="0"/>
    <n v="2.4"/>
    <x v="4"/>
    <x v="0"/>
  </r>
  <r>
    <s v="PO-2026-00771"/>
    <s v="ORD-237935"/>
    <d v="2026-01-17T00:00:00"/>
    <d v="2026-01-27T00:00:00"/>
    <x v="105"/>
    <x v="3"/>
    <x v="3"/>
    <x v="3"/>
    <x v="8"/>
    <x v="4"/>
    <s v="SKU-PAC-597"/>
    <s v="Corrugated Box"/>
    <n v="831.82"/>
    <s v="GHS"/>
    <n v="8.8999999999999996E-2"/>
    <n v="74.031980000000004"/>
    <n v="2000"/>
    <n v="1663640"/>
    <n v="1663640"/>
    <n v="148063.96"/>
    <n v="105"/>
    <n v="5.2499999999999998E-2"/>
    <n v="15"/>
    <n v="15"/>
    <n v="10"/>
    <n v="10"/>
    <n v="5"/>
    <m/>
    <x v="4"/>
    <x v="1"/>
    <x v="1"/>
    <x v="0"/>
    <x v="0"/>
    <x v="5"/>
    <x v="0"/>
    <x v="2"/>
    <n v="1.6"/>
    <x v="5"/>
    <x v="1"/>
  </r>
  <r>
    <s v="PO-2026-00772"/>
    <s v="ORD-985853"/>
    <d v="2026-06-28T00:00:00"/>
    <d v="2026-07-04T00:00:00"/>
    <x v="130"/>
    <x v="3"/>
    <x v="3"/>
    <x v="3"/>
    <x v="0"/>
    <x v="4"/>
    <s v="SKU-PAC-180"/>
    <s v="Bottle Caps"/>
    <n v="245.5"/>
    <s v="KES"/>
    <n v="7.7000000000000002E-3"/>
    <n v="1.89035"/>
    <n v="100"/>
    <n v="24550"/>
    <n v="24550"/>
    <n v="189.035"/>
    <n v="9"/>
    <n v="0.09"/>
    <n v="9"/>
    <n v="9"/>
    <n v="6"/>
    <n v="6"/>
    <n v="3"/>
    <n v="3"/>
    <x v="1"/>
    <x v="2"/>
    <x v="4"/>
    <x v="1"/>
    <x v="5"/>
    <x v="0"/>
    <x v="4"/>
    <x v="4"/>
    <n v="3.1"/>
    <x v="0"/>
    <x v="6"/>
  </r>
  <r>
    <s v="PO-2026-00773"/>
    <s v="ORD-455566"/>
    <d v="2026-01-12T00:00:00"/>
    <d v="2026-02-02T00:00:00"/>
    <x v="16"/>
    <x v="5"/>
    <x v="5"/>
    <x v="5"/>
    <x v="5"/>
    <x v="0"/>
    <s v="SKU-MAC-119"/>
    <s v="Gear Assembly"/>
    <n v="2250.13"/>
    <s v="EGP"/>
    <n v="1.9E-2"/>
    <n v="42.752470000000002"/>
    <n v="300"/>
    <n v="675039"/>
    <n v="675039"/>
    <n v="12825.741"/>
    <n v="0"/>
    <n v="0"/>
    <n v="23"/>
    <n v="23"/>
    <n v="21"/>
    <n v="21"/>
    <n v="2"/>
    <n v="2"/>
    <x v="1"/>
    <x v="0"/>
    <x v="4"/>
    <x v="5"/>
    <x v="1"/>
    <x v="2"/>
    <x v="3"/>
    <x v="0"/>
    <n v="3"/>
    <x v="6"/>
    <x v="5"/>
  </r>
  <r>
    <s v="PO-2026-00774"/>
    <s v="ORD-728425"/>
    <d v="2026-06-16T00:00:00"/>
    <d v="2026-06-30T00:00:00"/>
    <x v="172"/>
    <x v="13"/>
    <x v="13"/>
    <x v="9"/>
    <x v="7"/>
    <x v="3"/>
    <s v="SKU-TEX-827"/>
    <s v="Polyester Roll"/>
    <n v="143.79"/>
    <s v="NGN"/>
    <n v="7.2999999999999996E-4"/>
    <n v="0.10496669999999998"/>
    <n v="75"/>
    <n v="10784.25"/>
    <n v="10784.25"/>
    <n v="7.8725024999999995"/>
    <n v="3"/>
    <n v="0.04"/>
    <n v="30"/>
    <n v="30"/>
    <n v="14"/>
    <n v="14"/>
    <n v="16"/>
    <n v="16"/>
    <x v="4"/>
    <x v="0"/>
    <x v="1"/>
    <x v="2"/>
    <x v="0"/>
    <x v="6"/>
    <x v="2"/>
    <x v="0"/>
    <n v="2.4"/>
    <x v="2"/>
    <x v="0"/>
  </r>
  <r>
    <s v="PO-2026-00775"/>
    <s v="ORD-190447"/>
    <d v="2026-03-21T00:00:00"/>
    <d v="2026-03-22T00:00:00"/>
    <x v="11"/>
    <x v="9"/>
    <x v="9"/>
    <x v="2"/>
    <x v="0"/>
    <x v="4"/>
    <s v="SKU-PAC-828"/>
    <s v="Plastic Film Roll"/>
    <n v="416.59"/>
    <s v="USD"/>
    <n v="1"/>
    <n v="416.59"/>
    <n v="500"/>
    <n v="208295"/>
    <n v="208295"/>
    <n v="208295"/>
    <n v="7"/>
    <n v="1.4E-2"/>
    <n v="14"/>
    <n v="14"/>
    <n v="1"/>
    <n v="1"/>
    <n v="13"/>
    <n v="13"/>
    <x v="4"/>
    <x v="0"/>
    <x v="1"/>
    <x v="5"/>
    <x v="1"/>
    <x v="0"/>
    <x v="5"/>
    <x v="0"/>
    <n v="2.8"/>
    <x v="1"/>
    <x v="0"/>
  </r>
  <r>
    <s v="PO-2026-00776"/>
    <s v="ORD-926416"/>
    <d v="2026-05-30T00:00:00"/>
    <d v="2026-06-11T00:00:00"/>
    <x v="163"/>
    <x v="6"/>
    <x v="6"/>
    <x v="1"/>
    <x v="8"/>
    <x v="1"/>
    <s v="SKU-ELE-574"/>
    <s v="Sensor Module"/>
    <n v="3004.28"/>
    <s v="ZAR"/>
    <n v="6.0999999999999999E-2"/>
    <n v="183.26108000000002"/>
    <n v="1500"/>
    <n v="4506420"/>
    <n v="4506420"/>
    <n v="274891.62"/>
    <n v="26"/>
    <n v="1.7299999999999999E-2"/>
    <n v="5"/>
    <n v="5"/>
    <n v="12"/>
    <n v="12"/>
    <n v="-7"/>
    <n v="-7"/>
    <x v="2"/>
    <x v="0"/>
    <x v="1"/>
    <x v="3"/>
    <x v="0"/>
    <x v="3"/>
    <x v="2"/>
    <x v="0"/>
    <n v="3.2"/>
    <x v="1"/>
    <x v="2"/>
  </r>
  <r>
    <s v="PO-2026-00777"/>
    <s v="ORD-109297"/>
    <d v="2026-04-07T00:00:00"/>
    <d v="2026-04-21T00:00:00"/>
    <x v="177"/>
    <x v="6"/>
    <x v="6"/>
    <x v="1"/>
    <x v="4"/>
    <x v="1"/>
    <s v="SKU-ELE-682"/>
    <s v="Sensor Module"/>
    <n v="137.83000000000001"/>
    <s v="EGP"/>
    <n v="1.9E-2"/>
    <n v="2.61877"/>
    <n v="750"/>
    <n v="103372.5"/>
    <n v="103372.50000000001"/>
    <n v="1964.0774999999999"/>
    <n v="0"/>
    <n v="0"/>
    <n v="13"/>
    <n v="13"/>
    <n v="14"/>
    <n v="14"/>
    <n v="-1"/>
    <n v="-1"/>
    <x v="2"/>
    <x v="0"/>
    <x v="1"/>
    <x v="5"/>
    <x v="2"/>
    <x v="0"/>
    <x v="0"/>
    <x v="0"/>
    <n v="2.7"/>
    <x v="2"/>
    <x v="2"/>
  </r>
  <r>
    <s v="PO-2026-00778"/>
    <s v="ORD-753614"/>
    <d v="2026-02-04T00:00:00"/>
    <d v="2026-02-17T00:00:00"/>
    <x v="35"/>
    <x v="4"/>
    <x v="4"/>
    <x v="4"/>
    <x v="4"/>
    <x v="0"/>
    <s v="SKU-MAC-840"/>
    <s v="Conveyor Belt"/>
    <n v="2251.91"/>
    <s v="GHS"/>
    <n v="8.8999999999999996E-2"/>
    <n v="200.41998999999998"/>
    <n v="75"/>
    <n v="168893.25"/>
    <n v="168893.25"/>
    <n v="15031.499249999999"/>
    <n v="4"/>
    <n v="5.33E-2"/>
    <n v="14"/>
    <n v="14"/>
    <n v="13"/>
    <n v="13"/>
    <n v="1"/>
    <n v="1"/>
    <x v="1"/>
    <x v="2"/>
    <x v="1"/>
    <x v="4"/>
    <x v="3"/>
    <x v="2"/>
    <x v="2"/>
    <x v="5"/>
    <n v="2.8"/>
    <x v="1"/>
    <x v="1"/>
  </r>
  <r>
    <s v="PO-2026-00779"/>
    <s v="ORD-405468"/>
    <d v="2026-05-12T00:00:00"/>
    <d v="2026-05-29T00:00:00"/>
    <x v="97"/>
    <x v="5"/>
    <x v="5"/>
    <x v="5"/>
    <x v="6"/>
    <x v="1"/>
    <s v="SKU-ELE-431"/>
    <s v="Sensor Module"/>
    <n v="3087.32"/>
    <s v="GHS"/>
    <n v="8.8999999999999996E-2"/>
    <n v="274.77148"/>
    <n v="1500"/>
    <n v="4630980"/>
    <n v="4630980"/>
    <n v="412157.22"/>
    <n v="38"/>
    <n v="2.53E-2"/>
    <n v="22"/>
    <n v="22"/>
    <s v=""/>
    <n v="17"/>
    <n v="5"/>
    <n v="5"/>
    <x v="1"/>
    <x v="0"/>
    <x v="1"/>
    <x v="1"/>
    <x v="1"/>
    <x v="3"/>
    <x v="4"/>
    <x v="0"/>
    <n v="3.6"/>
    <x v="1"/>
    <x v="0"/>
  </r>
  <r>
    <s v="PO-2026-00780"/>
    <s v="ORD-580858"/>
    <d v="2026-02-14T00:00:00"/>
    <d v="2026-02-25T00:00:00"/>
    <x v="17"/>
    <x v="14"/>
    <x v="14"/>
    <x v="10"/>
    <x v="1"/>
    <x v="2"/>
    <s v="SKU-IND-661"/>
    <s v="Welding Rod"/>
    <n v="106.36"/>
    <s v="NGN"/>
    <n v="7.2999999999999996E-4"/>
    <n v="7.7642799999999998E-2"/>
    <n v="750"/>
    <n v="79770"/>
    <n v="79770"/>
    <n v="58.232099999999996"/>
    <n v="4"/>
    <n v="5.3E-3"/>
    <n v="19"/>
    <n v="19"/>
    <n v="11"/>
    <n v="11"/>
    <n v="8"/>
    <n v="8"/>
    <x v="1"/>
    <x v="0"/>
    <x v="0"/>
    <x v="3"/>
    <x v="4"/>
    <x v="0"/>
    <x v="4"/>
    <x v="0"/>
    <n v="1.8"/>
    <x v="0"/>
    <x v="0"/>
  </r>
  <r>
    <s v="PO-2026-00781"/>
    <s v="ORD-263737"/>
    <d v="2026-04-01T00:00:00"/>
    <d v="2026-04-08T00:00:00"/>
    <x v="24"/>
    <x v="12"/>
    <x v="12"/>
    <x v="2"/>
    <x v="7"/>
    <x v="4"/>
    <s v="SKU-PAC-197"/>
    <s v="Corrugated Box"/>
    <n v="130.99"/>
    <s v="KES"/>
    <n v="7.7000000000000002E-3"/>
    <n v="1.008623"/>
    <n v="150"/>
    <n v="19648.5"/>
    <n v="19648.5"/>
    <n v="151.29345000000001"/>
    <n v="5"/>
    <n v="3.3300000000000003E-2"/>
    <n v="15"/>
    <n v="15"/>
    <n v="7"/>
    <n v="7"/>
    <n v="8"/>
    <n v="8"/>
    <x v="1"/>
    <x v="0"/>
    <x v="4"/>
    <x v="4"/>
    <x v="0"/>
    <x v="6"/>
    <x v="0"/>
    <x v="0"/>
    <n v="3"/>
    <x v="2"/>
    <x v="5"/>
  </r>
  <r>
    <s v="PO-2026-00782"/>
    <s v="ORD-500411"/>
    <d v="2026-03-13T00:00:00"/>
    <d v="2026-03-26T00:00:00"/>
    <x v="32"/>
    <x v="5"/>
    <x v="5"/>
    <x v="5"/>
    <x v="8"/>
    <x v="3"/>
    <s v="SKU-TEX-837"/>
    <s v="Cotton Fabric"/>
    <n v="581.42999999999995"/>
    <s v="EGP"/>
    <n v="1.9E-2"/>
    <n v="11.047169999999999"/>
    <n v="150"/>
    <n v="87214.5"/>
    <n v="87214.499999999985"/>
    <n v="1657.0754999999999"/>
    <n v="7"/>
    <n v="4.6699999999999998E-2"/>
    <n v="20"/>
    <n v="20"/>
    <n v="13"/>
    <n v="13"/>
    <n v="7"/>
    <n v="7"/>
    <x v="4"/>
    <x v="1"/>
    <x v="1"/>
    <x v="5"/>
    <x v="3"/>
    <x v="0"/>
    <x v="2"/>
    <x v="4"/>
    <n v="2.6"/>
    <x v="3"/>
    <x v="1"/>
  </r>
  <r>
    <s v="PO-2026-00783"/>
    <s v="ORD-655538"/>
    <d v="2026-04-04T00:00:00"/>
    <d v="2026-04-23T00:00:00"/>
    <x v="19"/>
    <x v="7"/>
    <x v="7"/>
    <x v="6"/>
    <x v="1"/>
    <x v="6"/>
    <s v="SKU-MET-517"/>
    <s v="Rebar Bundle"/>
    <n v="1208.95"/>
    <s v="USD"/>
    <n v="1"/>
    <n v="1208.95"/>
    <n v="100"/>
    <n v="120895"/>
    <n v="120895"/>
    <n v="120895"/>
    <n v="0"/>
    <n v="0"/>
    <s v=""/>
    <n v="21"/>
    <n v="19"/>
    <n v="19"/>
    <n v="2"/>
    <n v="2"/>
    <x v="1"/>
    <x v="0"/>
    <x v="1"/>
    <x v="5"/>
    <x v="2"/>
    <x v="5"/>
    <x v="5"/>
    <x v="0"/>
    <n v="3.4"/>
    <x v="4"/>
    <x v="0"/>
  </r>
  <r>
    <s v="PO-2026-00784"/>
    <s v="ORD-199828"/>
    <d v="2026-04-13T00:00:00"/>
    <d v="2026-04-20T00:00:00"/>
    <x v="104"/>
    <x v="12"/>
    <x v="12"/>
    <x v="2"/>
    <x v="8"/>
    <x v="4"/>
    <s v="SKU-PAC-761"/>
    <s v="Shipping Carton"/>
    <n v="340.21"/>
    <s v="NGN"/>
    <n v="7.2999999999999996E-4"/>
    <n v="0.24835329999999997"/>
    <n v="100"/>
    <n v="34021"/>
    <n v="34021"/>
    <n v="24.835329999999999"/>
    <n v="5"/>
    <n v="0.05"/>
    <n v="8"/>
    <n v="8"/>
    <n v="7"/>
    <n v="7"/>
    <n v="1"/>
    <n v="1"/>
    <x v="3"/>
    <x v="4"/>
    <x v="3"/>
    <x v="3"/>
    <x v="2"/>
    <x v="3"/>
    <x v="5"/>
    <x v="1"/>
    <n v="1.9"/>
    <x v="5"/>
    <x v="6"/>
  </r>
  <r>
    <s v="PO-2026-00785"/>
    <s v="ORD-888360"/>
    <d v="2026-01-11T00:00:00"/>
    <d v="2026-01-24T00:00:00"/>
    <x v="167"/>
    <x v="13"/>
    <x v="13"/>
    <x v="9"/>
    <x v="3"/>
    <x v="1"/>
    <s v="SKU-ELE-925"/>
    <s v="LED Driver"/>
    <n v="406.73"/>
    <s v="USD"/>
    <n v="1"/>
    <n v="406.73"/>
    <n v="300"/>
    <n v="122019"/>
    <n v="122019"/>
    <n v="122019"/>
    <n v="16"/>
    <n v="5.33E-2"/>
    <n v="14"/>
    <n v="14"/>
    <n v="13"/>
    <n v="13"/>
    <n v="1"/>
    <n v="1"/>
    <x v="1"/>
    <x v="4"/>
    <x v="4"/>
    <x v="0"/>
    <x v="2"/>
    <x v="2"/>
    <x v="2"/>
    <x v="4"/>
    <n v="3.2"/>
    <x v="1"/>
    <x v="6"/>
  </r>
  <r>
    <s v="PO-2026-00786"/>
    <s v="ORD-234904"/>
    <d v="2026-06-03T00:00:00"/>
    <d v="2026-06-15T00:00:00"/>
    <x v="67"/>
    <x v="3"/>
    <x v="3"/>
    <x v="3"/>
    <x v="0"/>
    <x v="2"/>
    <s v="SKU-IND-489"/>
    <s v="Welding Rod"/>
    <n v="630.98"/>
    <s v="NGN"/>
    <n v="7.2999999999999996E-4"/>
    <n v="0.46061540000000001"/>
    <n v="750"/>
    <n v="473235"/>
    <n v="473235"/>
    <n v="345.46154999999999"/>
    <n v="22"/>
    <n v="2.93E-2"/>
    <n v="15"/>
    <n v="15"/>
    <n v="12"/>
    <n v="12"/>
    <n v="3"/>
    <n v="3"/>
    <x v="1"/>
    <x v="0"/>
    <x v="2"/>
    <x v="0"/>
    <x v="0"/>
    <x v="0"/>
    <x v="2"/>
    <x v="0"/>
    <n v="2.6"/>
    <x v="1"/>
    <x v="5"/>
  </r>
  <r>
    <s v="PO-2026-00787"/>
    <s v="ORD-396492"/>
    <d v="2026-05-04T00:00:00"/>
    <d v="2026-05-18T00:00:00"/>
    <x v="123"/>
    <x v="13"/>
    <x v="13"/>
    <x v="9"/>
    <x v="3"/>
    <x v="3"/>
    <s v="SKU-TEX-221"/>
    <s v="Label Tape"/>
    <n v="176.23"/>
    <s v="NGN"/>
    <n v="7.2999999999999996E-4"/>
    <n v="0.12864789999999998"/>
    <n v="1000"/>
    <n v="176230"/>
    <n v="176230"/>
    <n v="128.64789999999999"/>
    <n v="12"/>
    <n v="1.2E-2"/>
    <n v="18"/>
    <n v="18"/>
    <s v=""/>
    <n v="14"/>
    <n v="4"/>
    <n v="4"/>
    <x v="4"/>
    <x v="0"/>
    <x v="2"/>
    <x v="3"/>
    <x v="0"/>
    <x v="6"/>
    <x v="2"/>
    <x v="0"/>
    <n v="2.1"/>
    <x v="2"/>
    <x v="5"/>
  </r>
  <r>
    <s v="PO-2026-00788"/>
    <s v="ORD-794319"/>
    <d v="2026-01-30T00:00:00"/>
    <d v="2026-02-16T00:00:00"/>
    <x v="169"/>
    <x v="8"/>
    <x v="8"/>
    <x v="7"/>
    <x v="0"/>
    <x v="1"/>
    <s v="SKU-ELE-291"/>
    <s v="Power Adapter"/>
    <s v=""/>
    <s v="EGP"/>
    <n v="1.9E-2"/>
    <s v=""/>
    <n v="500"/>
    <n v="362020"/>
    <e v="#VALUE!"/>
    <n v="6878.38"/>
    <n v="12"/>
    <n v="2.4E-2"/>
    <n v="18"/>
    <n v="18"/>
    <n v="17"/>
    <n v="17"/>
    <n v="1"/>
    <n v="1"/>
    <x v="1"/>
    <x v="0"/>
    <x v="0"/>
    <x v="2"/>
    <x v="2"/>
    <x v="6"/>
    <x v="3"/>
    <x v="0"/>
    <n v="2.6"/>
    <x v="4"/>
    <x v="0"/>
  </r>
  <r>
    <s v="PO-2026-00789"/>
    <s v="ORD-811540"/>
    <d v="2026-05-03T00:00:00"/>
    <d v="2026-05-12T00:00:00"/>
    <x v="151"/>
    <x v="10"/>
    <x v="10"/>
    <x v="2"/>
    <x v="0"/>
    <x v="6"/>
    <s v="SKU-MET-210"/>
    <s v="Copper Rod"/>
    <n v="706.01"/>
    <s v="GHS"/>
    <n v="8.8999999999999996E-2"/>
    <n v="62.834889999999994"/>
    <s v=""/>
    <n v="176502.5"/>
    <e v="#VALUE!"/>
    <n v="15708.7225"/>
    <n v="5"/>
    <n v="0.02"/>
    <n v="14"/>
    <n v="14"/>
    <n v="9"/>
    <n v="9"/>
    <n v="5"/>
    <n v="5"/>
    <x v="4"/>
    <x v="0"/>
    <x v="4"/>
    <x v="0"/>
    <x v="2"/>
    <x v="3"/>
    <x v="5"/>
    <x v="0"/>
    <n v="3"/>
    <x v="1"/>
    <x v="5"/>
  </r>
  <r>
    <s v="PO-2026-00790"/>
    <s v="ORD-833058"/>
    <d v="2026-05-11T00:00:00"/>
    <d v="2026-05-19T00:00:00"/>
    <x v="45"/>
    <x v="3"/>
    <x v="3"/>
    <x v="3"/>
    <x v="4"/>
    <x v="4"/>
    <s v="SKU-PAC-727"/>
    <s v="Bottle Caps"/>
    <n v="336.85"/>
    <s v="NGN"/>
    <n v="7.2999999999999996E-4"/>
    <n v="0.24590049999999999"/>
    <n v="150"/>
    <n v="50527.5"/>
    <n v="50527.5"/>
    <n v="36.885075000000001"/>
    <n v="5"/>
    <n v="3.3300000000000003E-2"/>
    <n v="5"/>
    <n v="5"/>
    <n v="8"/>
    <n v="8"/>
    <n v="-3"/>
    <n v="-3"/>
    <x v="2"/>
    <x v="0"/>
    <x v="4"/>
    <x v="3"/>
    <x v="2"/>
    <x v="2"/>
    <x v="2"/>
    <x v="0"/>
    <n v="4"/>
    <x v="6"/>
    <x v="4"/>
  </r>
  <r>
    <s v="PO-2026-00791"/>
    <s v="ORD-683336"/>
    <d v="2026-05-30T00:00:00"/>
    <d v="2026-06-18T00:00:00"/>
    <x v="39"/>
    <x v="13"/>
    <x v="13"/>
    <x v="9"/>
    <x v="5"/>
    <x v="3"/>
    <s v="SKU-TEX-384"/>
    <s v="Cotton Fabric"/>
    <n v="484.24"/>
    <s v="EGP"/>
    <n v="1.9E-2"/>
    <n v="9.2005599999999994"/>
    <n v="75"/>
    <n v="36318"/>
    <n v="36318"/>
    <n v="690.04200000000003"/>
    <n v="1"/>
    <n v="1.3299999999999999E-2"/>
    <n v="25"/>
    <n v="25"/>
    <n v="19"/>
    <n v="19"/>
    <n v="6"/>
    <n v="6"/>
    <x v="0"/>
    <x v="0"/>
    <x v="0"/>
    <x v="5"/>
    <x v="4"/>
    <x v="0"/>
    <x v="1"/>
    <x v="0"/>
    <n v="1.8"/>
    <x v="2"/>
    <x v="0"/>
  </r>
  <r>
    <s v="PO-2026-00792"/>
    <s v="ORD-578465"/>
    <d v="2026-06-13T00:00:00"/>
    <d v="2026-07-01T00:00:00"/>
    <x v="55"/>
    <x v="0"/>
    <x v="0"/>
    <x v="0"/>
    <x v="4"/>
    <x v="0"/>
    <s v="SKU-MAC-887"/>
    <s v="Gear Assembly"/>
    <n v="1162.55"/>
    <s v="KES"/>
    <n v="7.7000000000000002E-3"/>
    <n v="8.9516349999999996"/>
    <n v="500"/>
    <n v="581275"/>
    <n v="581275"/>
    <n v="4475.8175000000001"/>
    <n v="46"/>
    <n v="9.1999999999999998E-2"/>
    <n v="22"/>
    <n v="22"/>
    <n v="18"/>
    <n v="18"/>
    <n v="4"/>
    <n v="4"/>
    <x v="0"/>
    <x v="1"/>
    <x v="4"/>
    <x v="4"/>
    <x v="1"/>
    <x v="2"/>
    <x v="4"/>
    <x v="3"/>
    <n v="1.5"/>
    <x v="4"/>
    <x v="6"/>
  </r>
  <r>
    <s v="PO-2026-00793"/>
    <s v="ORD-488171"/>
    <d v="2026-02-27T00:00:00"/>
    <d v="2026-03-13T00:00:00"/>
    <x v="85"/>
    <x v="12"/>
    <x v="12"/>
    <x v="2"/>
    <x v="5"/>
    <x v="4"/>
    <s v="SKU-PAC-434"/>
    <s v="Corrugated Box"/>
    <n v="366.87"/>
    <s v="KES"/>
    <n v="7.7000000000000002E-3"/>
    <n v="2.8248990000000003"/>
    <n v="200"/>
    <n v="73374"/>
    <n v="73374"/>
    <n v="564.97980000000007"/>
    <n v="0"/>
    <n v="0"/>
    <n v="11"/>
    <n v="11"/>
    <n v="14"/>
    <n v="14"/>
    <n v="-3"/>
    <n v="-3"/>
    <x v="5"/>
    <x v="0"/>
    <x v="1"/>
    <x v="4"/>
    <x v="4"/>
    <x v="0"/>
    <x v="4"/>
    <x v="0"/>
    <n v="4.8"/>
    <x v="3"/>
    <x v="2"/>
  </r>
  <r>
    <s v="PO-2026-00794"/>
    <s v="ORD-971258"/>
    <d v="2026-01-02T00:00:00"/>
    <d v="2026-01-14T00:00:00"/>
    <x v="195"/>
    <x v="6"/>
    <x v="6"/>
    <x v="1"/>
    <x v="0"/>
    <x v="4"/>
    <s v="SKU-PAC-732"/>
    <s v="Corrugated Box"/>
    <n v="589.38"/>
    <s v="KES"/>
    <n v="7.7000000000000002E-3"/>
    <n v="4.5382259999999999"/>
    <n v="1500"/>
    <n v="884070"/>
    <n v="884070"/>
    <n v="6807.3389999999999"/>
    <n v="47"/>
    <n v="3.1300000000000001E-2"/>
    <n v="11"/>
    <n v="11"/>
    <n v="12"/>
    <n v="12"/>
    <n v="-1"/>
    <n v="-1"/>
    <x v="2"/>
    <x v="0"/>
    <x v="1"/>
    <x v="1"/>
    <x v="4"/>
    <x v="3"/>
    <x v="0"/>
    <x v="0"/>
    <n v="3"/>
    <x v="2"/>
    <x v="2"/>
  </r>
  <r>
    <s v="PO-2026-00795"/>
    <s v="ORD-574693"/>
    <d v="2026-02-20T00:00:00"/>
    <d v="2026-03-05T00:00:00"/>
    <x v="175"/>
    <x v="13"/>
    <x v="13"/>
    <x v="9"/>
    <x v="3"/>
    <x v="3"/>
    <s v="SKU-TEX-460"/>
    <s v="Cotton Fabric"/>
    <n v="597.85"/>
    <s v="KES"/>
    <n v="7.7000000000000002E-3"/>
    <n v="4.6034450000000007"/>
    <n v="1000"/>
    <n v="597850"/>
    <n v="597850"/>
    <n v="4603.4449999999997"/>
    <n v="44"/>
    <n v="4.3999999999999997E-2"/>
    <n v="14"/>
    <n v="14"/>
    <n v="13"/>
    <n v="13"/>
    <n v="1"/>
    <n v="1"/>
    <x v="3"/>
    <x v="1"/>
    <x v="0"/>
    <x v="3"/>
    <x v="0"/>
    <x v="0"/>
    <x v="5"/>
    <x v="2"/>
    <n v="3.1"/>
    <x v="0"/>
    <x v="1"/>
  </r>
  <r>
    <s v="PO-2026-00796"/>
    <s v="ORD-935014"/>
    <d v="2026-03-25T00:00:00"/>
    <d v="2026-04-03T00:00:00"/>
    <x v="187"/>
    <x v="3"/>
    <x v="3"/>
    <x v="3"/>
    <x v="4"/>
    <x v="4"/>
    <s v="SKU-PAC-431"/>
    <s v="Bottle Caps"/>
    <n v="558.46"/>
    <s v="KES"/>
    <n v="7.7000000000000002E-3"/>
    <n v="4.3001420000000001"/>
    <n v="1500"/>
    <n v="837690"/>
    <n v="837690"/>
    <n v="6450.2130000000006"/>
    <n v="0"/>
    <n v="0"/>
    <n v="15"/>
    <n v="15"/>
    <n v="9"/>
    <n v="9"/>
    <n v="6"/>
    <n v="6"/>
    <x v="4"/>
    <x v="0"/>
    <x v="1"/>
    <x v="3"/>
    <x v="5"/>
    <x v="0"/>
    <x v="3"/>
    <x v="0"/>
    <n v="1.8"/>
    <x v="4"/>
    <x v="0"/>
  </r>
  <r>
    <s v="PO-2026-00797"/>
    <s v="ORD-447744"/>
    <d v="2026-03-18T00:00:00"/>
    <d v="2026-04-02T00:00:00"/>
    <x v="76"/>
    <x v="14"/>
    <x v="14"/>
    <x v="10"/>
    <x v="4"/>
    <x v="6"/>
    <s v="SKU-MET-269"/>
    <s v="Copper Rod"/>
    <n v="1701.23"/>
    <s v="NGN"/>
    <n v="7.2999999999999996E-4"/>
    <n v="1.2418978999999999"/>
    <n v="1500"/>
    <n v="2551845"/>
    <n v="2551845"/>
    <n v="1862.8468499999999"/>
    <n v="122"/>
    <n v="8.1299999999999997E-2"/>
    <n v="20"/>
    <n v="20"/>
    <n v="15"/>
    <n v="15"/>
    <n v="5"/>
    <n v="5"/>
    <x v="4"/>
    <x v="2"/>
    <x v="4"/>
    <x v="1"/>
    <x v="4"/>
    <x v="4"/>
    <x v="0"/>
    <x v="5"/>
    <n v="1"/>
    <x v="6"/>
    <x v="6"/>
  </r>
  <r>
    <s v="PO-2026-00798"/>
    <s v="ORD-755721"/>
    <d v="2026-04-21T00:00:00"/>
    <d v="2026-05-13T00:00:00"/>
    <x v="137"/>
    <x v="8"/>
    <x v="8"/>
    <x v="7"/>
    <x v="3"/>
    <x v="1"/>
    <s v="SKU-ELE-313"/>
    <s v="Power Adapter"/>
    <n v="3683.27"/>
    <s v="USD"/>
    <n v="1"/>
    <n v="3683.27"/>
    <n v="1500"/>
    <n v="5524905"/>
    <n v="5524905"/>
    <n v="5524905"/>
    <n v="42"/>
    <n v="2.8000000000000001E-2"/>
    <n v="24"/>
    <n v="24"/>
    <n v="22"/>
    <n v="22"/>
    <n v="2"/>
    <n v="2"/>
    <x v="3"/>
    <x v="0"/>
    <x v="2"/>
    <x v="0"/>
    <x v="0"/>
    <x v="2"/>
    <x v="1"/>
    <x v="0"/>
    <n v="2.8"/>
    <x v="0"/>
    <x v="5"/>
  </r>
  <r>
    <s v="PO-2026-00065"/>
    <s v="ORD-932175"/>
    <d v="2026-06-28T00:00:00"/>
    <d v="2026-07-07T00:00:00"/>
    <x v="150"/>
    <x v="2"/>
    <x v="2"/>
    <x v="2"/>
    <x v="8"/>
    <x v="5"/>
    <s v="SKU-RAW-586"/>
    <s v="Chemical Additive"/>
    <n v="778.93"/>
    <s v="NGN"/>
    <n v="7.2999999999999996E-4"/>
    <n v="0.56861889999999993"/>
    <n v="750"/>
    <n v="584197.5"/>
    <n v="584197.5"/>
    <n v="426.46417499999995"/>
    <n v="29"/>
    <n v="3.8699999999999998E-2"/>
    <n v="3"/>
    <n v="3"/>
    <n v="9"/>
    <n v="9"/>
    <n v="-6"/>
    <n v="-6"/>
    <x v="2"/>
    <x v="0"/>
    <x v="3"/>
    <x v="5"/>
    <x v="1"/>
    <x v="2"/>
    <x v="2"/>
    <x v="0"/>
    <n v="4"/>
    <x v="6"/>
    <x v="4"/>
  </r>
  <r>
    <s v="PO-2026-00800"/>
    <s v="ORD-788972"/>
    <d v="2026-06-18T00:00:00"/>
    <d v="2026-07-14T00:00:00"/>
    <x v="162"/>
    <x v="0"/>
    <x v="0"/>
    <x v="0"/>
    <x v="4"/>
    <x v="0"/>
    <s v="SKU-MAC-436"/>
    <s v="Conveyor Belt"/>
    <n v="78.61"/>
    <s v="ZAR"/>
    <n v="6.0999999999999999E-2"/>
    <n v="4.79521"/>
    <n v="300"/>
    <n v="23583"/>
    <n v="23583"/>
    <n v="1438.5629999999999"/>
    <n v="23"/>
    <n v="7.6700000000000004E-2"/>
    <n v="16"/>
    <n v="16"/>
    <n v="26"/>
    <n v="26"/>
    <n v="-10"/>
    <n v="-10"/>
    <x v="2"/>
    <x v="4"/>
    <x v="1"/>
    <x v="5"/>
    <x v="1"/>
    <x v="6"/>
    <x v="5"/>
    <x v="4"/>
    <n v="2.7"/>
    <x v="4"/>
    <x v="3"/>
  </r>
  <r>
    <s v="PO-2026-00801"/>
    <s v="ORD-236970"/>
    <d v="2026-01-29T00:00:00"/>
    <d v="2026-02-13T00:00:00"/>
    <x v="1"/>
    <x v="5"/>
    <x v="5"/>
    <x v="5"/>
    <x v="5"/>
    <x v="3"/>
    <s v="SKU-TEX-155"/>
    <s v="Polyester Roll"/>
    <n v="673.71"/>
    <s v="GHS"/>
    <n v="8.8999999999999996E-2"/>
    <n v="59.960189999999997"/>
    <n v="2000"/>
    <n v="1347420"/>
    <n v="1347420"/>
    <n v="119920.37999999999"/>
    <n v="0"/>
    <n v="0"/>
    <n v="31"/>
    <n v="31"/>
    <n v="15"/>
    <n v="15"/>
    <n v="16"/>
    <n v="16"/>
    <x v="1"/>
    <x v="0"/>
    <x v="0"/>
    <x v="1"/>
    <x v="2"/>
    <x v="0"/>
    <x v="2"/>
    <x v="0"/>
    <n v="1.5"/>
    <x v="2"/>
    <x v="0"/>
  </r>
  <r>
    <s v="PO-2026-00802"/>
    <s v="ORD-527329"/>
    <d v="2026-05-25T00:00:00"/>
    <d v="2026-06-09T00:00:00"/>
    <x v="111"/>
    <x v="5"/>
    <x v="5"/>
    <x v="5"/>
    <x v="7"/>
    <x v="3"/>
    <s v="SKU-TEX-353"/>
    <s v="Cotton Fabric"/>
    <n v="762.83"/>
    <s v="NGN"/>
    <n v="7.2999999999999996E-4"/>
    <n v="0.55686590000000002"/>
    <n v="750"/>
    <n v="572122.5"/>
    <n v="572122.5"/>
    <n v="417.64942499999995"/>
    <n v="55"/>
    <n v="7.3300000000000004E-2"/>
    <n v="15"/>
    <n v="15"/>
    <n v="15"/>
    <n v="15"/>
    <n v="0"/>
    <n v="0"/>
    <x v="2"/>
    <x v="1"/>
    <x v="4"/>
    <x v="5"/>
    <x v="2"/>
    <x v="4"/>
    <x v="2"/>
    <x v="3"/>
    <n v="3.1"/>
    <x v="5"/>
    <x v="8"/>
  </r>
  <r>
    <s v="PO-2026-00803"/>
    <s v="ORD-931653"/>
    <d v="2026-01-09T00:00:00"/>
    <d v="2026-01-16T00:00:00"/>
    <x v="91"/>
    <x v="2"/>
    <x v="2"/>
    <x v="2"/>
    <x v="3"/>
    <x v="2"/>
    <s v="SKU-IND-135"/>
    <s v="Safety Gloves"/>
    <n v="41.19"/>
    <s v="NGN"/>
    <n v="7.2999999999999996E-4"/>
    <n v="3.0068699999999997E-2"/>
    <n v="200"/>
    <n v="8238"/>
    <n v="8238"/>
    <n v="6.0137399999999994"/>
    <n v="2"/>
    <n v="0.01"/>
    <n v="10"/>
    <n v="10"/>
    <n v="7"/>
    <n v="7"/>
    <n v="3"/>
    <n v="3"/>
    <x v="1"/>
    <x v="0"/>
    <x v="1"/>
    <x v="2"/>
    <x v="5"/>
    <x v="2"/>
    <x v="2"/>
    <x v="0"/>
    <n v="3.3"/>
    <x v="3"/>
    <x v="0"/>
  </r>
  <r>
    <s v="PO-2026-00804"/>
    <s v="ORD-290919"/>
    <d v="2026-03-21T00:00:00"/>
    <d v="2026-04-01T00:00:00"/>
    <x v="165"/>
    <x v="9"/>
    <x v="9"/>
    <x v="2"/>
    <x v="1"/>
    <x v="4"/>
    <s v="SKU-PAC-319"/>
    <s v="Bottle Caps"/>
    <n v="539.29999999999995"/>
    <s v="ZAR"/>
    <n v="6.0999999999999999E-2"/>
    <n v="32.897299999999994"/>
    <n v="2000"/>
    <n v="1078600"/>
    <n v="1078600"/>
    <n v="65794.600000000006"/>
    <n v="30"/>
    <n v="1.4999999999999999E-2"/>
    <n v="13"/>
    <n v="13"/>
    <n v="11"/>
    <n v="11"/>
    <n v="2"/>
    <n v="2"/>
    <x v="1"/>
    <x v="0"/>
    <x v="2"/>
    <x v="5"/>
    <x v="1"/>
    <x v="4"/>
    <x v="2"/>
    <x v="0"/>
    <n v="2.7"/>
    <x v="1"/>
    <x v="5"/>
  </r>
  <r>
    <s v="PO-2026-00805"/>
    <s v="ORD-661519"/>
    <d v="2026-05-20T00:00:00"/>
    <d v="2026-05-26T00:00:00"/>
    <x v="196"/>
    <x v="10"/>
    <x v="10"/>
    <x v="2"/>
    <x v="0"/>
    <x v="6"/>
    <s v="SKU-MET-145"/>
    <s v="Rebar Bundle"/>
    <n v="2721.18"/>
    <s v="KES"/>
    <n v="7.7000000000000002E-3"/>
    <n v="20.953085999999999"/>
    <n v="1000"/>
    <n v="2721180"/>
    <n v="2721180"/>
    <n v="20953.085999999999"/>
    <n v="28"/>
    <n v="2.8000000000000001E-2"/>
    <n v="5"/>
    <n v="5"/>
    <n v="6"/>
    <n v="6"/>
    <n v="-1"/>
    <n v="-1"/>
    <x v="5"/>
    <x v="0"/>
    <x v="0"/>
    <x v="3"/>
    <x v="2"/>
    <x v="5"/>
    <x v="5"/>
    <x v="0"/>
    <n v="2.4"/>
    <x v="3"/>
    <x v="2"/>
  </r>
  <r>
    <s v="PO-2026-00806"/>
    <s v="ORD-894273"/>
    <d v="2026-06-17T00:00:00"/>
    <d v="2026-06-23T00:00:00"/>
    <x v="160"/>
    <x v="9"/>
    <x v="9"/>
    <x v="2"/>
    <x v="0"/>
    <x v="4"/>
    <s v="SKU-PAC-870"/>
    <s v="Shipping Carton"/>
    <n v="752.47"/>
    <s v="EGP"/>
    <n v="1.9E-2"/>
    <n v="14.29693"/>
    <n v="500"/>
    <n v="376235"/>
    <n v="376235"/>
    <n v="7148.4650000000001"/>
    <n v="0"/>
    <n v="0"/>
    <n v="8"/>
    <n v="8"/>
    <n v="6"/>
    <n v="6"/>
    <n v="2"/>
    <n v="2"/>
    <x v="1"/>
    <x v="0"/>
    <x v="0"/>
    <x v="4"/>
    <x v="1"/>
    <x v="5"/>
    <x v="2"/>
    <x v="0"/>
    <n v="2.5"/>
    <x v="2"/>
    <x v="0"/>
  </r>
  <r>
    <s v="PO-2026-00807"/>
    <s v="ORD-675882"/>
    <d v="2026-05-20T00:00:00"/>
    <d v="2026-06-08T00:00:00"/>
    <x v="4"/>
    <x v="13"/>
    <x v="13"/>
    <x v="9"/>
    <x v="1"/>
    <x v="3"/>
    <s v="SKU-TEX-475"/>
    <s v="Polyester Roll"/>
    <n v="418.3"/>
    <s v="KES"/>
    <n v="7.7000000000000002E-3"/>
    <n v="3.2209100000000004"/>
    <n v="200"/>
    <n v="83660"/>
    <n v="83660"/>
    <n v="644.18200000000002"/>
    <n v="3"/>
    <n v="1.4999999999999999E-2"/>
    <n v="23"/>
    <n v="23"/>
    <n v="19"/>
    <n v="19"/>
    <n v="4"/>
    <n v="4"/>
    <x v="0"/>
    <x v="0"/>
    <x v="4"/>
    <x v="1"/>
    <x v="0"/>
    <x v="1"/>
    <x v="0"/>
    <x v="0"/>
    <n v="3.5"/>
    <x v="5"/>
    <x v="5"/>
  </r>
  <r>
    <s v="PO-2026-00808"/>
    <s v="ORD-867593"/>
    <d v="2026-03-02T00:00:00"/>
    <d v="2026-03-15T00:00:00"/>
    <x v="15"/>
    <x v="12"/>
    <x v="12"/>
    <x v="2"/>
    <x v="0"/>
    <x v="4"/>
    <s v="SKU-PAC-643"/>
    <s v="Corrugated Box"/>
    <n v="279.39999999999998"/>
    <s v="KES"/>
    <n v="7.7000000000000002E-3"/>
    <n v="2.1513800000000001"/>
    <n v="1000"/>
    <n v="279400"/>
    <n v="279400"/>
    <n v="2151.38"/>
    <n v="45"/>
    <n v="4.4999999999999998E-2"/>
    <n v="9"/>
    <n v="9"/>
    <n v="13"/>
    <n v="13"/>
    <n v="-4"/>
    <n v="-4"/>
    <x v="5"/>
    <x v="2"/>
    <x v="4"/>
    <x v="5"/>
    <x v="5"/>
    <x v="2"/>
    <x v="2"/>
    <x v="2"/>
    <n v="1"/>
    <x v="2"/>
    <x v="8"/>
  </r>
  <r>
    <s v="PO-2026-00809"/>
    <s v="ORD-112289"/>
    <d v="2026-01-17T00:00:00"/>
    <d v="2026-01-26T00:00:00"/>
    <x v="36"/>
    <x v="11"/>
    <x v="11"/>
    <x v="8"/>
    <x v="7"/>
    <x v="5"/>
    <s v="SKU-RAW-155"/>
    <s v="Agro Binder"/>
    <n v="50.65"/>
    <s v="USD"/>
    <n v="1"/>
    <n v="50.65"/>
    <n v="150"/>
    <n v="7597.5"/>
    <n v="7597.5"/>
    <n v="7597.5"/>
    <n v="1"/>
    <n v="6.7000000000000002E-3"/>
    <n v="14"/>
    <n v="14"/>
    <n v="9"/>
    <n v="9"/>
    <n v="5"/>
    <n v="5"/>
    <x v="0"/>
    <x v="0"/>
    <x v="2"/>
    <x v="3"/>
    <x v="1"/>
    <x v="2"/>
    <x v="5"/>
    <x v="0"/>
    <n v="3"/>
    <x v="5"/>
    <x v="5"/>
  </r>
  <r>
    <s v="PO-2026-00810"/>
    <s v="ORD-966766"/>
    <d v="2026-01-07T00:00:00"/>
    <d v="2026-01-21T00:00:00"/>
    <x v="28"/>
    <x v="14"/>
    <x v="14"/>
    <x v="10"/>
    <x v="8"/>
    <x v="5"/>
    <s v="SKU-RAW-643"/>
    <s v="Polymer Resin"/>
    <n v="721.3"/>
    <s v="USD"/>
    <n v="1"/>
    <n v="721.3"/>
    <n v="300"/>
    <n v="216390"/>
    <n v="216390"/>
    <n v="216390"/>
    <n v="13"/>
    <n v="4.3299999999999998E-2"/>
    <n v="17"/>
    <n v="17"/>
    <n v="14"/>
    <n v="14"/>
    <n v="3"/>
    <n v="3"/>
    <x v="3"/>
    <x v="2"/>
    <x v="1"/>
    <x v="3"/>
    <x v="0"/>
    <x v="4"/>
    <x v="0"/>
    <x v="1"/>
    <n v="2.1"/>
    <x v="4"/>
    <x v="1"/>
  </r>
  <r>
    <s v="PO-2026-00811"/>
    <s v="ORD-954385"/>
    <d v="2026-05-11T00:00:00"/>
    <d v="2026-05-19T00:00:00"/>
    <x v="137"/>
    <x v="9"/>
    <x v="9"/>
    <x v="2"/>
    <x v="4"/>
    <x v="4"/>
    <s v="SKU-PAC-129"/>
    <s v="Plastic Film Roll"/>
    <n v="588.61"/>
    <s v="KES"/>
    <n v="7.7000000000000002E-3"/>
    <n v="4.5322970000000007"/>
    <n v="500"/>
    <n v="294305"/>
    <n v="294305"/>
    <n v="2266.1485000000002"/>
    <n v="10"/>
    <n v="0.02"/>
    <n v="4"/>
    <n v="4"/>
    <n v="8"/>
    <n v="8"/>
    <n v="-4"/>
    <n v="-4"/>
    <x v="2"/>
    <x v="0"/>
    <x v="3"/>
    <x v="0"/>
    <x v="3"/>
    <x v="1"/>
    <x v="5"/>
    <x v="0"/>
    <n v="4.0999999999999996"/>
    <x v="3"/>
    <x v="4"/>
  </r>
  <r>
    <s v="PO-2026-00812"/>
    <s v="ORD-759982"/>
    <d v="2026-03-08T00:00:00"/>
    <d v="2026-03-24T00:00:00"/>
    <x v="152"/>
    <x v="14"/>
    <x v="14"/>
    <x v="10"/>
    <x v="0"/>
    <x v="5"/>
    <s v="SKU-RAW-437"/>
    <s v="Agro Binder"/>
    <n v="317.68"/>
    <s v="USD"/>
    <n v="1"/>
    <n v="317.68"/>
    <n v="2000"/>
    <n v="635360"/>
    <n v="635360"/>
    <n v="635360"/>
    <n v="119"/>
    <n v="5.9499999999999997E-2"/>
    <n v="18"/>
    <n v="18"/>
    <n v="16"/>
    <n v="16"/>
    <n v="2"/>
    <n v="2"/>
    <x v="3"/>
    <x v="2"/>
    <x v="0"/>
    <x v="3"/>
    <x v="2"/>
    <x v="2"/>
    <x v="2"/>
    <x v="3"/>
    <n v="2.8"/>
    <x v="6"/>
    <x v="1"/>
  </r>
  <r>
    <s v="PO-2026-00813"/>
    <s v="ORD-956084"/>
    <d v="2026-01-31T00:00:00"/>
    <d v="2026-02-19T00:00:00"/>
    <x v="38"/>
    <x v="5"/>
    <x v="5"/>
    <x v="5"/>
    <x v="8"/>
    <x v="3"/>
    <s v="SKU-TEX-574"/>
    <s v="Polyester Roll"/>
    <n v="488.72"/>
    <s v="ZAR"/>
    <n v="6.0999999999999999E-2"/>
    <n v="29.811920000000001"/>
    <n v="50"/>
    <n v="24436"/>
    <n v="24436"/>
    <n v="1490.596"/>
    <n v="2"/>
    <n v="0.04"/>
    <n v="12"/>
    <n v="12"/>
    <n v="19"/>
    <n v="19"/>
    <n v="-7"/>
    <n v="-7"/>
    <x v="2"/>
    <x v="0"/>
    <x v="3"/>
    <x v="3"/>
    <x v="2"/>
    <x v="4"/>
    <x v="3"/>
    <x v="0"/>
    <n v="2.4"/>
    <x v="2"/>
    <x v="4"/>
  </r>
  <r>
    <s v="PO-2026-00814"/>
    <s v="ORD-604622"/>
    <d v="2026-01-27T00:00:00"/>
    <d v="2026-01-29T00:00:00"/>
    <x v="166"/>
    <x v="9"/>
    <x v="9"/>
    <x v="2"/>
    <x v="0"/>
    <x v="4"/>
    <s v="SKU-PAC-582"/>
    <s v="Plastic Film Roll"/>
    <n v="720.56"/>
    <s v="ZAR"/>
    <n v="6.0999999999999999E-2"/>
    <n v="43.954159999999995"/>
    <n v="150"/>
    <n v="108084"/>
    <n v="108083.99999999999"/>
    <n v="6593.1239999999998"/>
    <n v="1"/>
    <n v="6.7000000000000002E-3"/>
    <n v="12"/>
    <n v="12"/>
    <n v="2"/>
    <n v="2"/>
    <n v="10"/>
    <n v="10"/>
    <x v="1"/>
    <x v="0"/>
    <x v="1"/>
    <x v="5"/>
    <x v="0"/>
    <x v="3"/>
    <x v="3"/>
    <x v="0"/>
    <n v="1.9"/>
    <x v="0"/>
    <x v="0"/>
  </r>
  <r>
    <s v="PO-2026-00815"/>
    <s v="ORD-584536"/>
    <d v="2026-04-11T00:00:00"/>
    <d v="2026-04-18T00:00:00"/>
    <x v="51"/>
    <x v="10"/>
    <x v="10"/>
    <x v="2"/>
    <x v="2"/>
    <x v="6"/>
    <s v="SKU-MET-460"/>
    <s v="Aluminium Sheet"/>
    <n v="1497.29"/>
    <s v="GHS"/>
    <n v="8.8999999999999996E-2"/>
    <n v="133.25880999999998"/>
    <n v="75"/>
    <n v="112296.75"/>
    <n v="112296.75"/>
    <n v="9994.4107499999991"/>
    <n v="2"/>
    <n v="2.6700000000000002E-2"/>
    <n v="15"/>
    <n v="15"/>
    <n v="7"/>
    <n v="7"/>
    <n v="8"/>
    <n v="8"/>
    <x v="0"/>
    <x v="0"/>
    <x v="4"/>
    <x v="1"/>
    <x v="3"/>
    <x v="4"/>
    <x v="1"/>
    <x v="0"/>
    <n v="1.5"/>
    <x v="5"/>
    <x v="5"/>
  </r>
  <r>
    <s v="PO-2026-00816"/>
    <s v="ORD-338612"/>
    <d v="2026-05-05T00:00:00"/>
    <d v="2026-05-15T00:00:00"/>
    <x v="5"/>
    <x v="10"/>
    <x v="10"/>
    <x v="2"/>
    <x v="7"/>
    <x v="6"/>
    <s v="SKU-MET-101"/>
    <s v="Steel Coil"/>
    <n v="407.99"/>
    <s v="EGP"/>
    <n v="1.9E-2"/>
    <n v="7.7518099999999999"/>
    <n v="1500"/>
    <n v="611985"/>
    <n v="611985"/>
    <n v="11627.715"/>
    <n v="32"/>
    <n v="2.1299999999999999E-2"/>
    <n v="13"/>
    <n v="13"/>
    <n v="10"/>
    <n v="10"/>
    <n v="3"/>
    <n v="3"/>
    <x v="1"/>
    <x v="0"/>
    <x v="1"/>
    <x v="2"/>
    <x v="1"/>
    <x v="3"/>
    <x v="2"/>
    <x v="0"/>
    <n v="4"/>
    <x v="6"/>
    <x v="0"/>
  </r>
  <r>
    <s v="PO-2026-00192"/>
    <s v="ORD-746985"/>
    <d v="2026-03-10T00:00:00"/>
    <d v="2026-03-28T00:00:00"/>
    <x v="165"/>
    <x v="8"/>
    <x v="8"/>
    <x v="7"/>
    <x v="2"/>
    <x v="1"/>
    <s v="SKU-ELE-947"/>
    <s v="Sensor Module"/>
    <n v="3216.21"/>
    <s v="EGP"/>
    <n v="1.9E-2"/>
    <n v="61.107990000000001"/>
    <n v="250"/>
    <n v="804052.5"/>
    <n v="804052.5"/>
    <n v="15276.997499999999"/>
    <n v="11"/>
    <n v="4.3999999999999997E-2"/>
    <n v="24"/>
    <n v="24"/>
    <n v="18"/>
    <n v="18"/>
    <n v="6"/>
    <n v="6"/>
    <x v="1"/>
    <x v="1"/>
    <x v="2"/>
    <x v="4"/>
    <x v="0"/>
    <x v="0"/>
    <x v="2"/>
    <x v="3"/>
    <n v="2.6"/>
    <x v="4"/>
    <x v="6"/>
  </r>
  <r>
    <s v="PO-2026-00818"/>
    <s v="ORD-116781"/>
    <d v="2026-06-07T00:00:00"/>
    <d v="2026-06-12T00:00:00"/>
    <x v="4"/>
    <x v="9"/>
    <x v="9"/>
    <x v="2"/>
    <x v="3"/>
    <x v="4"/>
    <s v="SKU-PAC-161"/>
    <s v="Plastic Film Roll"/>
    <n v="684.1"/>
    <s v="KES"/>
    <n v="7.7000000000000002E-3"/>
    <n v="5.2675700000000001"/>
    <s v=""/>
    <n v="205230"/>
    <e v="#VALUE!"/>
    <n v="1580.271"/>
    <n v="8"/>
    <n v="2.6700000000000002E-2"/>
    <n v="1"/>
    <n v="5"/>
    <n v="5"/>
    <n v="5"/>
    <n v="0"/>
    <m/>
    <x v="2"/>
    <x v="0"/>
    <x v="1"/>
    <x v="4"/>
    <x v="4"/>
    <x v="3"/>
    <x v="1"/>
    <x v="0"/>
    <n v="4.9000000000000004"/>
    <x v="4"/>
    <x v="2"/>
  </r>
  <r>
    <s v="PO-2026-00819"/>
    <s v="ORD-210394"/>
    <d v="2026-05-16T00:00:00"/>
    <d v="2026-05-25T00:00:00"/>
    <x v="45"/>
    <x v="2"/>
    <x v="2"/>
    <x v="2"/>
    <x v="3"/>
    <x v="2"/>
    <s v="SKU-IND-245"/>
    <s v="Filter Cartridge"/>
    <n v="340.67"/>
    <s v="NGN"/>
    <n v="7.2999999999999996E-4"/>
    <n v="0.2486891"/>
    <s v=""/>
    <n v="51100.5"/>
    <n v="51100.5"/>
    <n v="37.303364999999999"/>
    <n v="6"/>
    <n v="0.04"/>
    <s v=""/>
    <n v="0"/>
    <s v=""/>
    <n v="9"/>
    <n v="-9"/>
    <n v="-9"/>
    <x v="2"/>
    <x v="0"/>
    <x v="1"/>
    <x v="4"/>
    <x v="5"/>
    <x v="4"/>
    <x v="3"/>
    <x v="0"/>
    <n v="3.5"/>
    <x v="2"/>
    <x v="2"/>
  </r>
  <r>
    <s v="PO-2026-00820"/>
    <s v="ORD-874113"/>
    <d v="2026-01-20T00:00:00"/>
    <d v="2026-02-07T00:00:00"/>
    <x v="147"/>
    <x v="0"/>
    <x v="0"/>
    <x v="0"/>
    <x v="8"/>
    <x v="0"/>
    <s v="SKU-MAC-735"/>
    <s v="Conveyor Belt"/>
    <n v="1481.95"/>
    <s v="GHS"/>
    <n v="8.8999999999999996E-2"/>
    <n v="131.89355"/>
    <n v="150"/>
    <n v="222292.5"/>
    <n v="222292.5"/>
    <n v="19784.032499999998"/>
    <n v="0"/>
    <n v="0"/>
    <n v="14"/>
    <n v="14"/>
    <n v="18"/>
    <n v="18"/>
    <n v="-4"/>
    <n v="-4"/>
    <x v="2"/>
    <x v="0"/>
    <x v="0"/>
    <x v="3"/>
    <x v="2"/>
    <x v="4"/>
    <x v="3"/>
    <x v="0"/>
    <n v="3.8"/>
    <x v="3"/>
    <x v="2"/>
  </r>
  <r>
    <s v="PO-2026-00821"/>
    <s v="ORD-989687"/>
    <d v="2026-02-03T00:00:00"/>
    <d v="2026-02-17T00:00:00"/>
    <x v="34"/>
    <x v="14"/>
    <x v="14"/>
    <x v="10"/>
    <x v="7"/>
    <x v="5"/>
    <s v="SKU-RAW-663"/>
    <s v="Polymer Resin"/>
    <n v="486.77"/>
    <s v="XOF"/>
    <n v="1.8E-3"/>
    <n v="0.87618599999999991"/>
    <n v="75"/>
    <n v="36507.75"/>
    <n v="36507.75"/>
    <n v="65.713949999999997"/>
    <n v="9"/>
    <n v="0.12"/>
    <n v="21"/>
    <n v="21"/>
    <n v="14"/>
    <n v="14"/>
    <n v="7"/>
    <n v="7"/>
    <x v="0"/>
    <x v="1"/>
    <x v="3"/>
    <x v="3"/>
    <x v="2"/>
    <x v="0"/>
    <x v="5"/>
    <x v="5"/>
    <n v="1.8"/>
    <x v="6"/>
    <x v="6"/>
  </r>
  <r>
    <s v="PO-2026-00822"/>
    <s v="ORD-519407"/>
    <d v="2026-06-17T00:00:00"/>
    <d v="2026-07-04T00:00:00"/>
    <x v="55"/>
    <x v="5"/>
    <x v="5"/>
    <x v="5"/>
    <x v="4"/>
    <x v="3"/>
    <s v="SKU-TEX-921"/>
    <s v="Label Tape"/>
    <n v="572.97"/>
    <s v="GHS"/>
    <n v="8.8999999999999996E-2"/>
    <n v="50.994329999999998"/>
    <n v="500"/>
    <n v="286485"/>
    <n v="286485"/>
    <n v="25497.164999999997"/>
    <n v="26"/>
    <n v="5.1999999999999998E-2"/>
    <n v="18"/>
    <n v="18"/>
    <n v="17"/>
    <n v="17"/>
    <n v="1"/>
    <n v="1"/>
    <x v="1"/>
    <x v="1"/>
    <x v="0"/>
    <x v="4"/>
    <x v="3"/>
    <x v="2"/>
    <x v="3"/>
    <x v="5"/>
    <n v="2.7"/>
    <x v="3"/>
    <x v="1"/>
  </r>
  <r>
    <s v="PO-2026-00823"/>
    <s v="ORD-110290"/>
    <d v="2026-05-10T00:00:00"/>
    <d v="2026-05-24T00:00:00"/>
    <x v="88"/>
    <x v="3"/>
    <x v="3"/>
    <x v="3"/>
    <x v="5"/>
    <x v="2"/>
    <s v="SKU-IND-524"/>
    <s v="Welding Rod"/>
    <n v="309.91000000000003"/>
    <s v="USD"/>
    <n v="1"/>
    <n v="309.91000000000003"/>
    <n v="200"/>
    <n v="61982"/>
    <n v="61982.000000000007"/>
    <n v="61982"/>
    <n v="10"/>
    <n v="0.05"/>
    <n v="14"/>
    <n v="14"/>
    <n v="14"/>
    <n v="14"/>
    <n v="0"/>
    <n v="0"/>
    <x v="2"/>
    <x v="1"/>
    <x v="1"/>
    <x v="3"/>
    <x v="2"/>
    <x v="0"/>
    <x v="2"/>
    <x v="2"/>
    <n v="1.8"/>
    <x v="0"/>
    <x v="3"/>
  </r>
  <r>
    <s v="PO-2026-00824"/>
    <s v="ORD-587104"/>
    <d v="2026-05-01T00:00:00"/>
    <d v="2026-05-22T00:00:00"/>
    <x v="13"/>
    <x v="0"/>
    <x v="0"/>
    <x v="0"/>
    <x v="3"/>
    <x v="0"/>
    <s v="SKU-MAC-112"/>
    <s v="Hydraulic Hose"/>
    <n v="553.61"/>
    <s v="GHS"/>
    <n v="8.8999999999999996E-2"/>
    <n v="49.27129"/>
    <n v="1000"/>
    <n v="553610"/>
    <n v="553610"/>
    <n v="49271.29"/>
    <n v="77"/>
    <n v="7.6999999999999999E-2"/>
    <n v="30"/>
    <n v="30"/>
    <n v="21"/>
    <n v="21"/>
    <n v="9"/>
    <n v="9"/>
    <x v="4"/>
    <x v="1"/>
    <x v="1"/>
    <x v="4"/>
    <x v="4"/>
    <x v="3"/>
    <x v="2"/>
    <x v="2"/>
    <n v="1.1000000000000001"/>
    <x v="4"/>
    <x v="1"/>
  </r>
  <r>
    <s v="PO-2026-00825"/>
    <s v="ORD-733084"/>
    <d v="2026-03-09T00:00:00"/>
    <d v="2026-03-24T00:00:00"/>
    <x v="71"/>
    <x v="5"/>
    <x v="5"/>
    <x v="5"/>
    <x v="7"/>
    <x v="3"/>
    <s v="SKU-TEX-209"/>
    <s v="Cotton Fabric"/>
    <n v="837.59"/>
    <s v="USD"/>
    <n v="1"/>
    <n v="837.59"/>
    <n v="300"/>
    <n v="251277"/>
    <n v="251277"/>
    <n v="251277"/>
    <n v="19"/>
    <n v="6.3299999999999995E-2"/>
    <n v="12"/>
    <n v="12"/>
    <n v="15"/>
    <n v="15"/>
    <n v="-3"/>
    <n v="-3"/>
    <x v="2"/>
    <x v="1"/>
    <x v="3"/>
    <x v="2"/>
    <x v="4"/>
    <x v="2"/>
    <x v="5"/>
    <x v="3"/>
    <n v="2"/>
    <x v="3"/>
    <x v="8"/>
  </r>
  <r>
    <s v="PO-2026-00826"/>
    <s v="ORD-416636"/>
    <d v="2026-06-18T00:00:00"/>
    <d v="2026-07-03T00:00:00"/>
    <x v="120"/>
    <x v="5"/>
    <x v="5"/>
    <x v="5"/>
    <x v="1"/>
    <x v="5"/>
    <s v="SKU-RAW-767"/>
    <s v="Input Granules"/>
    <n v="22.76"/>
    <s v="ZAR"/>
    <n v="6.0999999999999999E-2"/>
    <n v="1.38836"/>
    <n v="200"/>
    <n v="4552"/>
    <n v="4552"/>
    <n v="277.67199999999997"/>
    <n v="0"/>
    <n v="0"/>
    <s v=""/>
    <n v="23"/>
    <n v="15"/>
    <n v="15"/>
    <n v="8"/>
    <n v="8"/>
    <x v="4"/>
    <x v="0"/>
    <x v="3"/>
    <x v="4"/>
    <x v="3"/>
    <x v="1"/>
    <x v="4"/>
    <x v="0"/>
    <n v="1.9"/>
    <x v="1"/>
    <x v="5"/>
  </r>
  <r>
    <s v="PO-2026-00827"/>
    <s v="ORD-795531"/>
    <d v="2026-05-21T00:00:00"/>
    <d v="2026-06-10T00:00:00"/>
    <x v="4"/>
    <x v="7"/>
    <x v="7"/>
    <x v="6"/>
    <x v="8"/>
    <x v="2"/>
    <s v="SKU-IND-731"/>
    <s v="Welding Rod"/>
    <n v="576.57000000000005"/>
    <s v="ZAR"/>
    <n v="6.0999999999999999E-2"/>
    <n v="35.170770000000005"/>
    <n v="1500"/>
    <n v="0"/>
    <n v="864855.00000000012"/>
    <n v="0"/>
    <n v="31"/>
    <n v="2.07E-2"/>
    <n v="22"/>
    <n v="22"/>
    <n v="20"/>
    <n v="20"/>
    <n v="2"/>
    <n v="2"/>
    <x v="1"/>
    <x v="0"/>
    <x v="1"/>
    <x v="3"/>
    <x v="2"/>
    <x v="6"/>
    <x v="3"/>
    <x v="0"/>
    <n v="4.2"/>
    <x v="4"/>
    <x v="0"/>
  </r>
  <r>
    <s v="PO-2026-00828"/>
    <s v="ORD-506462"/>
    <d v="2026-05-19T00:00:00"/>
    <d v="2026-06-08T00:00:00"/>
    <x v="122"/>
    <x v="7"/>
    <x v="7"/>
    <x v="6"/>
    <x v="3"/>
    <x v="2"/>
    <s v="SKU-IND-777"/>
    <s v="Safety Gloves"/>
    <n v="512.17999999999995"/>
    <s v="USD"/>
    <n v="1"/>
    <n v="512.17999999999995"/>
    <n v="200"/>
    <n v="102436"/>
    <n v="102435.99999999999"/>
    <n v="102436"/>
    <n v="0"/>
    <n v="0"/>
    <n v="25"/>
    <n v="25"/>
    <n v="20"/>
    <n v="20"/>
    <n v="5"/>
    <n v="5"/>
    <x v="4"/>
    <x v="0"/>
    <x v="0"/>
    <x v="2"/>
    <x v="2"/>
    <x v="3"/>
    <x v="3"/>
    <x v="0"/>
    <n v="4.3"/>
    <x v="5"/>
    <x v="0"/>
  </r>
  <r>
    <s v="PO-2026-00829"/>
    <s v="ORD-579048"/>
    <d v="2026-05-17T00:00:00"/>
    <d v="2026-06-04T00:00:00"/>
    <x v="80"/>
    <x v="0"/>
    <x v="0"/>
    <x v="0"/>
    <x v="8"/>
    <x v="2"/>
    <s v="SKU-IND-827"/>
    <s v="Filter Cartridge"/>
    <s v=""/>
    <s v="GHS"/>
    <n v="8.8999999999999996E-2"/>
    <s v=""/>
    <n v="300"/>
    <n v="208389"/>
    <e v="#VALUE!"/>
    <n v="18546.620999999999"/>
    <n v="7"/>
    <n v="2.3300000000000001E-2"/>
    <n v="12"/>
    <n v="12"/>
    <n v="18"/>
    <n v="18"/>
    <n v="-6"/>
    <n v="-6"/>
    <x v="2"/>
    <x v="0"/>
    <x v="1"/>
    <x v="3"/>
    <x v="3"/>
    <x v="0"/>
    <x v="4"/>
    <x v="0"/>
    <n v="3.5"/>
    <x v="1"/>
    <x v="2"/>
  </r>
  <r>
    <s v="PO-2026-00830"/>
    <s v="ORD-620548"/>
    <d v="2026-01-16T00:00:00"/>
    <d v="2026-01-26T00:00:00"/>
    <x v="94"/>
    <x v="14"/>
    <x v="14"/>
    <x v="10"/>
    <x v="6"/>
    <x v="5"/>
    <s v="SKU-RAW-340"/>
    <s v="Agro Binder"/>
    <n v="233.12"/>
    <s v="ZAR"/>
    <n v="6.0999999999999999E-2"/>
    <n v="14.220319999999999"/>
    <n v="1500"/>
    <n v="349680"/>
    <n v="349680"/>
    <n v="21330.48"/>
    <n v="31"/>
    <n v="2.07E-2"/>
    <n v="28"/>
    <n v="28"/>
    <s v=""/>
    <n v="10"/>
    <n v="18"/>
    <n v="18"/>
    <x v="0"/>
    <x v="0"/>
    <x v="3"/>
    <x v="1"/>
    <x v="2"/>
    <x v="1"/>
    <x v="2"/>
    <x v="0"/>
    <n v="2.4"/>
    <x v="4"/>
    <x v="5"/>
  </r>
  <r>
    <s v="PO-2026-00831"/>
    <s v="ORD-443275"/>
    <d v="2026-02-22T00:00:00"/>
    <d v="2026-02-27T00:00:00"/>
    <x v="64"/>
    <x v="10"/>
    <x v="10"/>
    <x v="2"/>
    <x v="0"/>
    <x v="0"/>
    <s v="SKU-MAC-801"/>
    <s v="Conveyor Belt"/>
    <n v="879.92"/>
    <s v="GHS"/>
    <n v="8.8999999999999996E-2"/>
    <n v="78.312879999999993"/>
    <n v="250"/>
    <n v="219980"/>
    <n v="219980"/>
    <n v="19578.219999999998"/>
    <n v="4"/>
    <n v="1.6E-2"/>
    <n v="15"/>
    <n v="15"/>
    <n v="5"/>
    <n v="5"/>
    <n v="10"/>
    <n v="10"/>
    <x v="0"/>
    <x v="0"/>
    <x v="1"/>
    <x v="1"/>
    <x v="0"/>
    <x v="5"/>
    <x v="2"/>
    <x v="0"/>
    <n v="2.4"/>
    <x v="1"/>
    <x v="0"/>
  </r>
  <r>
    <s v="PO-2026-00832"/>
    <s v="ORD-956955"/>
    <d v="2026-04-04T00:00:00"/>
    <d v="2026-04-20T00:00:00"/>
    <x v="24"/>
    <x v="8"/>
    <x v="8"/>
    <x v="7"/>
    <x v="5"/>
    <x v="1"/>
    <s v="SKU-ELE-672"/>
    <s v="Control Board"/>
    <n v="1580.75"/>
    <s v="GHS"/>
    <n v="8.8999999999999996E-2"/>
    <n v="140.68674999999999"/>
    <n v="1500"/>
    <n v="2371125"/>
    <n v="2371125"/>
    <n v="211030.125"/>
    <n v="4"/>
    <n v="2.7000000000000001E-3"/>
    <n v="12"/>
    <n v="12"/>
    <n v="16"/>
    <n v="16"/>
    <n v="-4"/>
    <n v="-4"/>
    <x v="5"/>
    <x v="0"/>
    <x v="3"/>
    <x v="1"/>
    <x v="3"/>
    <x v="0"/>
    <x v="1"/>
    <x v="0"/>
    <n v="4.5"/>
    <x v="2"/>
    <x v="4"/>
  </r>
  <r>
    <s v="PO-2026-00833"/>
    <s v="ORD-614037"/>
    <d v="2026-06-11T00:00:00"/>
    <d v="2026-06-21T00:00:00"/>
    <x v="81"/>
    <x v="2"/>
    <x v="2"/>
    <x v="2"/>
    <x v="3"/>
    <x v="2"/>
    <s v="SKU-IND-595"/>
    <s v="Filter Cartridge"/>
    <n v="638.88"/>
    <s v="ZAR"/>
    <n v="6.0999999999999999E-2"/>
    <n v="38.971679999999999"/>
    <n v="150"/>
    <s v=""/>
    <n v="95832"/>
    <s v=""/>
    <n v="0"/>
    <n v="0"/>
    <n v="6"/>
    <n v="6"/>
    <s v=""/>
    <n v="10"/>
    <n v="-4"/>
    <n v="-4"/>
    <x v="2"/>
    <x v="0"/>
    <x v="1"/>
    <x v="1"/>
    <x v="3"/>
    <x v="5"/>
    <x v="2"/>
    <x v="0"/>
    <n v="2.7"/>
    <x v="5"/>
    <x v="2"/>
  </r>
  <r>
    <s v="PO-2026-00834"/>
    <s v="ORD-986430"/>
    <d v="2026-01-25T00:00:00"/>
    <d v="2026-02-09T00:00:00"/>
    <x v="34"/>
    <x v="13"/>
    <x v="13"/>
    <x v="9"/>
    <x v="6"/>
    <x v="3"/>
    <s v="SKU-TEX-318"/>
    <s v="Polyester Roll"/>
    <n v="240.42"/>
    <s v="NGN"/>
    <n v="7.2999999999999996E-4"/>
    <n v="0.17550659999999998"/>
    <n v="250"/>
    <n v="60105"/>
    <n v="60105"/>
    <n v="43.876649999999998"/>
    <n v="7"/>
    <n v="2.8000000000000001E-2"/>
    <n v="30"/>
    <n v="30"/>
    <s v=""/>
    <n v="15"/>
    <n v="15"/>
    <n v="15"/>
    <x v="4"/>
    <x v="0"/>
    <x v="0"/>
    <x v="5"/>
    <x v="5"/>
    <x v="0"/>
    <x v="2"/>
    <x v="0"/>
    <n v="2"/>
    <x v="1"/>
    <x v="0"/>
  </r>
  <r>
    <s v="PO-2026-00835"/>
    <s v="ORD-326900"/>
    <d v="2026-06-22T00:00:00"/>
    <d v="2026-07-04T00:00:00"/>
    <x v="136"/>
    <x v="1"/>
    <x v="1"/>
    <x v="1"/>
    <x v="4"/>
    <x v="1"/>
    <s v="SKU-ELE-219"/>
    <s v="Sensor Module"/>
    <n v="798.68"/>
    <s v="USD"/>
    <n v="1"/>
    <n v="798.68"/>
    <n v="1000"/>
    <n v="798680"/>
    <n v="798680"/>
    <n v="798680"/>
    <n v="26"/>
    <n v="2.5999999999999999E-2"/>
    <n v="18"/>
    <n v="18"/>
    <n v="12"/>
    <n v="12"/>
    <n v="6"/>
    <n v="6"/>
    <x v="4"/>
    <x v="0"/>
    <x v="2"/>
    <x v="1"/>
    <x v="1"/>
    <x v="1"/>
    <x v="3"/>
    <x v="0"/>
    <n v="2.1"/>
    <x v="2"/>
    <x v="5"/>
  </r>
  <r>
    <s v="PO-2026-00836"/>
    <s v="ORD-530329"/>
    <d v="2026-05-16T00:00:00"/>
    <d v="2026-05-25T00:00:00"/>
    <x v="13"/>
    <x v="3"/>
    <x v="3"/>
    <x v="3"/>
    <x v="8"/>
    <x v="4"/>
    <s v="SKU-PAC-580"/>
    <s v="Plastic Film Roll"/>
    <n v="74.28"/>
    <s v="NGN"/>
    <n v="7.2999999999999996E-4"/>
    <n v="5.4224399999999999E-2"/>
    <n v="1000"/>
    <n v="74280"/>
    <n v="74280"/>
    <n v="54.224399999999996"/>
    <n v="37"/>
    <n v="3.6999999999999998E-2"/>
    <n v="15"/>
    <n v="15"/>
    <n v="9"/>
    <n v="9"/>
    <n v="6"/>
    <n v="6"/>
    <x v="1"/>
    <x v="0"/>
    <x v="1"/>
    <x v="2"/>
    <x v="5"/>
    <x v="3"/>
    <x v="2"/>
    <x v="0"/>
    <n v="1.8"/>
    <x v="2"/>
    <x v="0"/>
  </r>
  <r>
    <s v="PO-2026-00837"/>
    <s v="ORD-872816"/>
    <d v="2026-03-23T00:00:00"/>
    <d v="2026-04-11T00:00:00"/>
    <x v="148"/>
    <x v="13"/>
    <x v="13"/>
    <x v="9"/>
    <x v="0"/>
    <x v="3"/>
    <s v="SKU-TEX-799"/>
    <s v="Polyester Roll"/>
    <n v="765.16"/>
    <s v="GHS"/>
    <n v="8.8999999999999996E-2"/>
    <n v="68.099239999999995"/>
    <n v="1000"/>
    <n v="765160"/>
    <n v="765160"/>
    <n v="68099.239999999991"/>
    <n v="20"/>
    <n v="0.02"/>
    <n v="13"/>
    <n v="13"/>
    <n v="19"/>
    <n v="19"/>
    <n v="-6"/>
    <n v="-6"/>
    <x v="2"/>
    <x v="0"/>
    <x v="3"/>
    <x v="4"/>
    <x v="2"/>
    <x v="0"/>
    <x v="0"/>
    <x v="0"/>
    <n v="4.4000000000000004"/>
    <x v="1"/>
    <x v="4"/>
  </r>
  <r>
    <s v="PO-2026-00838"/>
    <s v="ORD-120248"/>
    <d v="2026-06-26T00:00:00"/>
    <d v="2026-07-08T00:00:00"/>
    <x v="197"/>
    <x v="1"/>
    <x v="1"/>
    <x v="6"/>
    <x v="2"/>
    <x v="1"/>
    <s v="SKU-ELE-319"/>
    <s v="Power Adapter"/>
    <n v="3281.62"/>
    <s v="ZAR"/>
    <n v="6.0999999999999999E-2"/>
    <n v="200.17882"/>
    <n v="250"/>
    <n v="820405"/>
    <n v="820405"/>
    <n v="50044.705000000002"/>
    <n v="13"/>
    <n v="5.1999999999999998E-2"/>
    <n v="25"/>
    <n v="25"/>
    <n v="12"/>
    <n v="12"/>
    <n v="13"/>
    <n v="13"/>
    <x v="0"/>
    <x v="4"/>
    <x v="1"/>
    <x v="3"/>
    <x v="1"/>
    <x v="3"/>
    <x v="4"/>
    <x v="3"/>
    <n v="1.7"/>
    <x v="5"/>
    <x v="1"/>
  </r>
  <r>
    <s v="PO-2026-00839"/>
    <s v="ORD-833315"/>
    <d v="2026-04-17T00:00:00"/>
    <d v="2026-05-05T00:00:00"/>
    <x v="139"/>
    <x v="13"/>
    <x v="13"/>
    <x v="9"/>
    <x v="3"/>
    <x v="5"/>
    <s v="SKU-RAW-266"/>
    <s v="Polymer Resin"/>
    <n v="236.19"/>
    <s v="GHS"/>
    <n v="8.8999999999999996E-2"/>
    <n v="21.020909999999997"/>
    <n v="1000"/>
    <n v="236190"/>
    <n v="236190"/>
    <n v="21020.91"/>
    <n v="0"/>
    <n v="0"/>
    <n v="16"/>
    <n v="16"/>
    <n v="18"/>
    <n v="18"/>
    <n v="-2"/>
    <n v="-2"/>
    <x v="2"/>
    <x v="0"/>
    <x v="3"/>
    <x v="0"/>
    <x v="2"/>
    <x v="0"/>
    <x v="5"/>
    <x v="0"/>
    <n v="4.9000000000000004"/>
    <x v="4"/>
    <x v="4"/>
  </r>
  <r>
    <s v="PO-2026-00840"/>
    <s v="ORD-165497"/>
    <d v="2026-02-01T00:00:00"/>
    <d v="2026-02-11T00:00:00"/>
    <x v="38"/>
    <x v="10"/>
    <x v="10"/>
    <x v="2"/>
    <x v="3"/>
    <x v="3"/>
    <s v="SKU-TEX-450"/>
    <s v="Label Tape"/>
    <n v="424.22"/>
    <s v="KES"/>
    <n v="7.7000000000000002E-3"/>
    <n v="3.2664940000000002"/>
    <n v="1500"/>
    <n v="636330"/>
    <n v="636330"/>
    <n v="4899.741"/>
    <m/>
    <n v="2.6700000000000002E-2"/>
    <n v="11"/>
    <n v="11"/>
    <n v="10"/>
    <n v="10"/>
    <n v="1"/>
    <n v="1"/>
    <x v="3"/>
    <x v="0"/>
    <x v="1"/>
    <x v="3"/>
    <x v="2"/>
    <x v="5"/>
    <x v="2"/>
    <x v="0"/>
    <n v="3.2"/>
    <x v="4"/>
    <x v="0"/>
  </r>
  <r>
    <s v="PO-2026-00841"/>
    <s v="ORD-740232"/>
    <d v="2026-05-23T00:00:00"/>
    <d v="2026-05-29T00:00:00"/>
    <x v="194"/>
    <x v="9"/>
    <x v="9"/>
    <x v="2"/>
    <x v="1"/>
    <x v="4"/>
    <s v="SKU-PAC-507"/>
    <s v="Corrugated Box"/>
    <n v="19.34"/>
    <s v="NGN"/>
    <n v="7.2999999999999996E-4"/>
    <n v="1.4118199999999999E-2"/>
    <n v="2000"/>
    <s v=""/>
    <n v="38680"/>
    <s v=""/>
    <n v="3"/>
    <n v="1.5E-3"/>
    <n v="7"/>
    <n v="7"/>
    <n v="6"/>
    <n v="6"/>
    <n v="1"/>
    <n v="1"/>
    <x v="1"/>
    <x v="0"/>
    <x v="1"/>
    <x v="1"/>
    <x v="5"/>
    <x v="0"/>
    <x v="4"/>
    <x v="0"/>
    <n v="3.3"/>
    <x v="5"/>
    <x v="0"/>
  </r>
  <r>
    <s v="PO-2026-00842"/>
    <s v="ORD-434891"/>
    <d v="2026-06-11T00:00:00"/>
    <d v="2026-06-30T00:00:00"/>
    <x v="136"/>
    <x v="0"/>
    <x v="0"/>
    <x v="0"/>
    <x v="8"/>
    <x v="0"/>
    <s v="SKU-MAC-231"/>
    <s v="Gear Assembly"/>
    <n v="1198.44"/>
    <s v="NGN"/>
    <n v="7.2999999999999996E-4"/>
    <n v="0.87486120000000001"/>
    <n v="100"/>
    <n v="119844"/>
    <n v="119844"/>
    <n v="87.48612"/>
    <n v="5"/>
    <n v="0.05"/>
    <n v="29"/>
    <n v="29"/>
    <n v="19"/>
    <n v="19"/>
    <n v="10"/>
    <n v="10"/>
    <x v="1"/>
    <x v="4"/>
    <x v="2"/>
    <x v="4"/>
    <x v="2"/>
    <x v="3"/>
    <x v="5"/>
    <x v="1"/>
    <n v="2.2999999999999998"/>
    <x v="1"/>
    <x v="13"/>
  </r>
  <r>
    <s v="PO-2026-00843"/>
    <s v="ORD-566609"/>
    <d v="2026-03-13T00:00:00"/>
    <d v="2026-03-23T00:00:00"/>
    <x v="68"/>
    <x v="11"/>
    <x v="11"/>
    <x v="8"/>
    <x v="6"/>
    <x v="5"/>
    <s v="SKU-RAW-802"/>
    <s v="Chemical Additive"/>
    <n v="60.48"/>
    <s v="NGN"/>
    <n v="7.2999999999999996E-4"/>
    <n v="4.4150399999999992E-2"/>
    <n v="1000"/>
    <n v="60480"/>
    <n v="60480"/>
    <n v="44.150399999999998"/>
    <n v="30"/>
    <n v="0.03"/>
    <n v="15"/>
    <n v="15"/>
    <n v="10"/>
    <n v="10"/>
    <n v="5"/>
    <n v="5"/>
    <x v="0"/>
    <x v="0"/>
    <x v="0"/>
    <x v="5"/>
    <x v="2"/>
    <x v="2"/>
    <x v="4"/>
    <x v="0"/>
    <n v="2.6"/>
    <x v="1"/>
    <x v="0"/>
  </r>
  <r>
    <s v="PO-2026-00844"/>
    <s v="ORD-609723"/>
    <d v="2026-06-04T00:00:00"/>
    <d v="2026-06-20T00:00:00"/>
    <x v="128"/>
    <x v="5"/>
    <x v="5"/>
    <x v="5"/>
    <x v="7"/>
    <x v="3"/>
    <s v="SKU-TEX-681"/>
    <s v="Label Tape"/>
    <n v="349.21"/>
    <s v="NGN"/>
    <n v="7.2999999999999996E-4"/>
    <n v="0.25492329999999996"/>
    <n v="750"/>
    <n v="261907.5"/>
    <n v="261907.49999999997"/>
    <n v="191.192475"/>
    <n v="29"/>
    <n v="3.8699999999999998E-2"/>
    <n v="15"/>
    <n v="15"/>
    <n v="16"/>
    <n v="16"/>
    <n v="-1"/>
    <n v="-1"/>
    <x v="2"/>
    <x v="0"/>
    <x v="1"/>
    <x v="2"/>
    <x v="1"/>
    <x v="6"/>
    <x v="4"/>
    <x v="0"/>
    <n v="4.7"/>
    <x v="1"/>
    <x v="2"/>
  </r>
  <r>
    <s v="PO-2026-00845"/>
    <s v="ORD-411152"/>
    <d v="2026-06-22T00:00:00"/>
    <d v="2026-07-09T00:00:00"/>
    <x v="162"/>
    <x v="6"/>
    <x v="6"/>
    <x v="1"/>
    <x v="0"/>
    <x v="1"/>
    <s v="SKU-ELE-962"/>
    <s v="LED Driver"/>
    <n v="665"/>
    <s v="EGP"/>
    <n v="1.9E-2"/>
    <n v="12.635"/>
    <n v="300"/>
    <n v="199500"/>
    <n v="199500"/>
    <n v="3790.5"/>
    <n v="14"/>
    <n v="4.6699999999999998E-2"/>
    <n v="12"/>
    <n v="12"/>
    <n v="17"/>
    <n v="17"/>
    <n v="-5"/>
    <n v="-5"/>
    <x v="5"/>
    <x v="4"/>
    <x v="1"/>
    <x v="4"/>
    <x v="0"/>
    <x v="6"/>
    <x v="1"/>
    <x v="3"/>
    <n v="1.5"/>
    <x v="6"/>
    <x v="3"/>
  </r>
  <r>
    <s v="PO-2026-00846"/>
    <s v="ORD-294987"/>
    <d v="2026-06-03T00:00:00"/>
    <d v="2026-06-10T00:00:00"/>
    <x v="155"/>
    <x v="10"/>
    <x v="10"/>
    <x v="2"/>
    <x v="0"/>
    <x v="6"/>
    <s v="SKU-MET-771"/>
    <s v="Steel Coil"/>
    <n v="524.82000000000005"/>
    <s v="USD"/>
    <n v="1"/>
    <n v="524.82000000000005"/>
    <n v="750"/>
    <n v="393615"/>
    <n v="393615.00000000006"/>
    <n v="393615"/>
    <n v="761"/>
    <n v="9.2999999999999992E-3"/>
    <n v="8"/>
    <n v="8"/>
    <n v="7"/>
    <n v="7"/>
    <n v="1"/>
    <n v="1"/>
    <x v="1"/>
    <x v="0"/>
    <x v="4"/>
    <x v="3"/>
    <x v="1"/>
    <x v="3"/>
    <x v="5"/>
    <x v="0"/>
    <n v="2.5"/>
    <x v="0"/>
    <x v="5"/>
  </r>
  <r>
    <s v="PO-2026-00847"/>
    <s v="ORD-726210"/>
    <d v="2026-02-20T00:00:00"/>
    <d v="2026-03-05T00:00:00"/>
    <x v="17"/>
    <x v="1"/>
    <x v="1"/>
    <x v="1"/>
    <x v="5"/>
    <x v="1"/>
    <s v="SKU-ELE-493"/>
    <s v="Control Board"/>
    <n v="1188.55"/>
    <s v="EGP"/>
    <n v="1.9E-2"/>
    <n v="22.582449999999998"/>
    <n v="1500"/>
    <n v="1782825"/>
    <n v="1782825"/>
    <n v="33873.674999999996"/>
    <n v="29"/>
    <n v="1.9300000000000001E-2"/>
    <n v="13"/>
    <n v="13"/>
    <n v="13"/>
    <n v="13"/>
    <n v="0"/>
    <n v="0"/>
    <x v="2"/>
    <x v="0"/>
    <x v="4"/>
    <x v="1"/>
    <x v="2"/>
    <x v="3"/>
    <x v="2"/>
    <x v="0"/>
    <n v="4"/>
    <x v="3"/>
    <x v="4"/>
  </r>
  <r>
    <s v="PO-2026-00848"/>
    <s v="ORD-776436"/>
    <d v="2026-02-26T00:00:00"/>
    <d v="2026-03-06T00:00:00"/>
    <x v="180"/>
    <x v="13"/>
    <x v="13"/>
    <x v="9"/>
    <x v="5"/>
    <x v="3"/>
    <s v="SKU-TEX-667"/>
    <s v="Label Tape"/>
    <n v="838.36"/>
    <s v="EGP"/>
    <n v="1.9E-2"/>
    <n v="15.928839999999999"/>
    <n v="1500"/>
    <n v="1257540"/>
    <n v="1257540"/>
    <n v="23893.26"/>
    <n v="55"/>
    <n v="3.6700000000000003E-2"/>
    <n v="-5"/>
    <n v="27"/>
    <s v=""/>
    <n v="8"/>
    <n v="19"/>
    <n v="19"/>
    <x v="4"/>
    <x v="0"/>
    <x v="2"/>
    <x v="0"/>
    <x v="3"/>
    <x v="6"/>
    <x v="0"/>
    <x v="0"/>
    <n v="2.7"/>
    <x v="2"/>
    <x v="5"/>
  </r>
  <r>
    <s v="PO-2026-00849"/>
    <s v="ORD-932210"/>
    <d v="2026-02-10T00:00:00"/>
    <d v="2026-02-12T00:00:00"/>
    <x v="124"/>
    <x v="9"/>
    <x v="9"/>
    <x v="2"/>
    <x v="6"/>
    <x v="4"/>
    <s v="SKU-PAC-238"/>
    <s v="Bottle Caps"/>
    <n v="600.89"/>
    <s v="NGN"/>
    <n v="7.2999999999999996E-4"/>
    <n v="0.43864969999999998"/>
    <n v="750"/>
    <n v="450667.5"/>
    <n v="450667.5"/>
    <n v="328.98727500000001"/>
    <n v="16"/>
    <n v="2.1299999999999999E-2"/>
    <n v="11"/>
    <n v="11"/>
    <n v="2"/>
    <n v="2"/>
    <n v="9"/>
    <n v="9"/>
    <x v="0"/>
    <x v="0"/>
    <x v="2"/>
    <x v="2"/>
    <x v="0"/>
    <x v="4"/>
    <x v="0"/>
    <x v="0"/>
    <n v="3.2"/>
    <x v="0"/>
    <x v="5"/>
  </r>
  <r>
    <s v="PO-2026-00850"/>
    <s v="ORD-413133"/>
    <d v="2026-01-19T00:00:00"/>
    <d v="2026-01-28T00:00:00"/>
    <x v="56"/>
    <x v="3"/>
    <x v="3"/>
    <x v="3"/>
    <x v="6"/>
    <x v="4"/>
    <s v="SKU-PAC-801"/>
    <s v="Bottle Caps"/>
    <n v="228.66"/>
    <s v="NGN"/>
    <n v="7.2999999999999996E-4"/>
    <n v="0.16692179999999998"/>
    <n v="300"/>
    <n v="68598"/>
    <n v="68598"/>
    <n v="50.076539999999994"/>
    <n v="1"/>
    <n v="3.3E-3"/>
    <n v="9"/>
    <n v="9"/>
    <n v="9"/>
    <n v="9"/>
    <n v="0"/>
    <n v="0"/>
    <x v="2"/>
    <x v="0"/>
    <x v="4"/>
    <x v="5"/>
    <x v="2"/>
    <x v="2"/>
    <x v="3"/>
    <x v="0"/>
    <n v="3.6"/>
    <x v="0"/>
    <x v="4"/>
  </r>
  <r>
    <s v="PO-2026-00851"/>
    <s v="ORD-317463"/>
    <d v="2026-03-13T00:00:00"/>
    <d v="2026-03-28T00:00:00"/>
    <x v="158"/>
    <x v="6"/>
    <x v="6"/>
    <x v="1"/>
    <x v="3"/>
    <x v="1"/>
    <s v="SKU-ELE-192"/>
    <s v="LED Driver"/>
    <n v="564.78"/>
    <s v="GHS"/>
    <n v="8.8999999999999996E-2"/>
    <n v="50.265419999999992"/>
    <n v="500"/>
    <n v="282390"/>
    <n v="282390"/>
    <n v="25132.71"/>
    <n v="6"/>
    <n v="1.2E-2"/>
    <n v="6"/>
    <n v="6"/>
    <n v="15"/>
    <n v="15"/>
    <n v="-9"/>
    <n v="-9"/>
    <x v="2"/>
    <x v="3"/>
    <x v="2"/>
    <x v="1"/>
    <x v="0"/>
    <x v="6"/>
    <x v="4"/>
    <x v="0"/>
    <n v="4.0999999999999996"/>
    <x v="2"/>
    <x v="4"/>
  </r>
  <r>
    <s v="PO-2026-00852"/>
    <s v="ORD-385268"/>
    <d v="2026-02-17T00:00:00"/>
    <d v="2026-03-01T00:00:00"/>
    <x v="15"/>
    <x v="1"/>
    <x v="1"/>
    <x v="1"/>
    <x v="2"/>
    <x v="6"/>
    <s v="SKU-MET-432"/>
    <s v="Rebar Bundle"/>
    <n v="2056.5300000000002"/>
    <s v="EGP"/>
    <n v="1.9E-2"/>
    <n v="39.074070000000006"/>
    <n v="100"/>
    <n v="205653"/>
    <n v="205653.00000000003"/>
    <n v="3907.4069999999997"/>
    <n v="1"/>
    <n v="0.01"/>
    <n v="22"/>
    <n v="22"/>
    <s v=""/>
    <n v="12"/>
    <n v="10"/>
    <n v="10"/>
    <x v="0"/>
    <x v="0"/>
    <x v="1"/>
    <x v="2"/>
    <x v="4"/>
    <x v="4"/>
    <x v="5"/>
    <x v="0"/>
    <n v="1.8"/>
    <x v="4"/>
    <x v="0"/>
  </r>
  <r>
    <s v="PO-2026-00853"/>
    <s v="ORD-218620"/>
    <d v="2026-04-28T00:00:00"/>
    <d v="2026-05-09T00:00:00"/>
    <x v="113"/>
    <x v="4"/>
    <x v="4"/>
    <x v="4"/>
    <x v="6"/>
    <x v="0"/>
    <s v="SKU-MAC-175"/>
    <s v="Bearing Set"/>
    <n v="929.36"/>
    <s v="ZAR"/>
    <n v="6.0999999999999999E-2"/>
    <n v="56.690959999999997"/>
    <n v="250"/>
    <n v="232340"/>
    <n v="232340"/>
    <n v="14172.74"/>
    <n v="3"/>
    <n v="1.2E-2"/>
    <n v="16"/>
    <n v="16"/>
    <n v="11"/>
    <n v="11"/>
    <n v="5"/>
    <m/>
    <x v="4"/>
    <x v="0"/>
    <x v="0"/>
    <x v="5"/>
    <x v="0"/>
    <x v="4"/>
    <x v="1"/>
    <x v="0"/>
    <n v="4.0999999999999996"/>
    <x v="5"/>
    <x v="0"/>
  </r>
  <r>
    <s v="PO-2026-00854"/>
    <s v="ORD-677715"/>
    <d v="2026-02-13T00:00:00"/>
    <d v="2026-02-24T00:00:00"/>
    <x v="8"/>
    <x v="11"/>
    <x v="11"/>
    <x v="8"/>
    <x v="2"/>
    <x v="5"/>
    <s v="SKU-RAW-187"/>
    <s v="Agro Binder"/>
    <n v="224.34"/>
    <s v="ZAR"/>
    <n v="6.0999999999999999E-2"/>
    <n v="13.68474"/>
    <n v="1500"/>
    <n v="336510"/>
    <n v="336510"/>
    <n v="20527.11"/>
    <n v="32"/>
    <n v="2.1299999999999999E-2"/>
    <n v="19"/>
    <n v="19"/>
    <n v="11"/>
    <n v="11"/>
    <n v="8"/>
    <n v="8"/>
    <x v="4"/>
    <x v="0"/>
    <x v="4"/>
    <x v="4"/>
    <x v="2"/>
    <x v="5"/>
    <x v="2"/>
    <x v="0"/>
    <n v="3.2"/>
    <x v="6"/>
    <x v="5"/>
  </r>
  <r>
    <s v="PO-2026-00855"/>
    <s v="ORD-980937"/>
    <d v="2026-06-29T00:00:00"/>
    <d v="2026-07-10T00:00:00"/>
    <x v="120"/>
    <x v="11"/>
    <x v="11"/>
    <x v="8"/>
    <x v="5"/>
    <x v="5"/>
    <s v="SKU-RAW-125"/>
    <s v="Input Granules"/>
    <n v="346.62"/>
    <s v="NGN"/>
    <n v="7.2999999999999996E-4"/>
    <n v="0.2530326"/>
    <n v="500"/>
    <n v="173310"/>
    <n v="173310"/>
    <n v="126.51629999999999"/>
    <n v="21"/>
    <n v="4.2000000000000003E-2"/>
    <n v="12"/>
    <n v="12"/>
    <n v="11"/>
    <n v="11"/>
    <n v="1"/>
    <n v="1"/>
    <x v="1"/>
    <x v="2"/>
    <x v="0"/>
    <x v="3"/>
    <x v="1"/>
    <x v="5"/>
    <x v="2"/>
    <x v="4"/>
    <n v="2.2000000000000002"/>
    <x v="0"/>
    <x v="1"/>
  </r>
  <r>
    <s v="PO-2026-00856"/>
    <s v="ORD-285748"/>
    <d v="2026-05-10T00:00:00"/>
    <d v="2026-05-16T00:00:00"/>
    <x v="123"/>
    <x v="9"/>
    <x v="9"/>
    <x v="2"/>
    <x v="3"/>
    <x v="4"/>
    <s v="SKU-PAC-641"/>
    <s v="Shipping Carton"/>
    <n v="715.65"/>
    <s v="KES"/>
    <n v="7.7000000000000002E-3"/>
    <n v="5.5105050000000002"/>
    <n v="2000"/>
    <n v="1431300"/>
    <n v="1431300"/>
    <n v="11021.01"/>
    <n v="41"/>
    <n v="2.0500000000000001E-2"/>
    <n v="12"/>
    <n v="12"/>
    <n v="6"/>
    <n v="6"/>
    <n v="6"/>
    <n v="6"/>
    <x v="0"/>
    <x v="0"/>
    <x v="1"/>
    <x v="0"/>
    <x v="1"/>
    <x v="1"/>
    <x v="3"/>
    <x v="0"/>
    <n v="1.6"/>
    <x v="0"/>
    <x v="0"/>
  </r>
  <r>
    <s v="PO-2026-00857"/>
    <s v="ORD-889406"/>
    <d v="2026-01-14T00:00:00"/>
    <d v="2026-01-20T00:00:00"/>
    <x v="153"/>
    <x v="11"/>
    <x v="11"/>
    <x v="8"/>
    <x v="7"/>
    <x v="5"/>
    <s v="SKU-RAW-143"/>
    <s v="Input Granules"/>
    <n v="804.62"/>
    <s v="KES"/>
    <n v="7.7000000000000002E-3"/>
    <n v="6.1955740000000006"/>
    <n v="750"/>
    <n v="603465"/>
    <n v="603465"/>
    <n v="4646.6805000000004"/>
    <n v="15"/>
    <n v="0.02"/>
    <n v="13"/>
    <n v="13"/>
    <n v="6"/>
    <n v="6"/>
    <n v="7"/>
    <n v="7"/>
    <x v="0"/>
    <x v="0"/>
    <x v="0"/>
    <x v="4"/>
    <x v="3"/>
    <x v="2"/>
    <x v="4"/>
    <x v="0"/>
    <n v="2.4"/>
    <x v="4"/>
    <x v="0"/>
  </r>
  <r>
    <s v="PO-2026-00858"/>
    <s v="ORD-220374"/>
    <d v="2026-02-02T00:00:00"/>
    <d v="2026-02-17T00:00:00"/>
    <x v="131"/>
    <x v="6"/>
    <x v="6"/>
    <x v="1"/>
    <x v="0"/>
    <x v="1"/>
    <s v="SKU-ELE-151"/>
    <s v="Sensor Module"/>
    <n v="2204.71"/>
    <s v="NGN"/>
    <n v="7.2999999999999996E-4"/>
    <n v="1.6094382999999999"/>
    <n v="1000"/>
    <n v="2204710"/>
    <n v="2204710"/>
    <n v="1609.4383"/>
    <n v="22"/>
    <n v="2.1999999999999999E-2"/>
    <n v="17"/>
    <n v="17"/>
    <n v="15"/>
    <n v="15"/>
    <n v="2"/>
    <n v="2"/>
    <x v="1"/>
    <x v="0"/>
    <x v="1"/>
    <x v="2"/>
    <x v="3"/>
    <x v="2"/>
    <x v="2"/>
    <x v="0"/>
    <n v="2.9"/>
    <x v="5"/>
    <x v="0"/>
  </r>
  <r>
    <s v="PO-2026-00859"/>
    <s v="ORD-942595"/>
    <d v="2026-03-13T00:00:00"/>
    <d v="2026-03-24T00:00:00"/>
    <x v="152"/>
    <x v="3"/>
    <x v="3"/>
    <x v="3"/>
    <x v="5"/>
    <x v="4"/>
    <s v="SKU-PAC-171"/>
    <s v="Corrugated Box"/>
    <n v="255.74"/>
    <s v="GHS"/>
    <n v="8.8999999999999996E-2"/>
    <n v="22.760860000000001"/>
    <n v="150"/>
    <n v="38361"/>
    <n v="38361"/>
    <n v="3414.1289999999999"/>
    <n v="6"/>
    <n v="0.04"/>
    <n v="13"/>
    <n v="13"/>
    <n v="11"/>
    <n v="11"/>
    <n v="2"/>
    <n v="2"/>
    <x v="1"/>
    <x v="0"/>
    <x v="4"/>
    <x v="3"/>
    <x v="0"/>
    <x v="5"/>
    <x v="1"/>
    <x v="0"/>
    <n v="2.1"/>
    <x v="4"/>
    <x v="5"/>
  </r>
  <r>
    <s v="PO-2026-00860"/>
    <s v="ORD-383582"/>
    <d v="2026-01-21T00:00:00"/>
    <d v="2026-01-28T00:00:00"/>
    <x v="168"/>
    <x v="2"/>
    <x v="2"/>
    <x v="2"/>
    <x v="5"/>
    <x v="2"/>
    <s v="SKU-IND-861"/>
    <s v="Welding Rod"/>
    <n v="38.909999999999997"/>
    <s v="NGN"/>
    <n v="7.2999999999999996E-4"/>
    <n v="2.8404299999999997E-2"/>
    <n v="200"/>
    <n v="7782"/>
    <n v="7781.9999999999991"/>
    <n v="5.68086"/>
    <n v="9"/>
    <n v="4.4999999999999998E-2"/>
    <s v=""/>
    <n v="16"/>
    <n v="7"/>
    <n v="7"/>
    <n v="9"/>
    <n v="9"/>
    <x v="0"/>
    <x v="2"/>
    <x v="0"/>
    <x v="1"/>
    <x v="5"/>
    <x v="6"/>
    <x v="3"/>
    <x v="4"/>
    <n v="3.1"/>
    <x v="4"/>
    <x v="1"/>
  </r>
  <r>
    <s v="PO-2026-00861"/>
    <s v="ORD-239771"/>
    <d v="2026-01-29T00:00:00"/>
    <d v="2026-02-13T00:00:00"/>
    <x v="40"/>
    <x v="14"/>
    <x v="14"/>
    <x v="10"/>
    <x v="4"/>
    <x v="5"/>
    <s v="SKU-RAW-394"/>
    <s v="Agro Binder"/>
    <n v="309.77"/>
    <s v="USD"/>
    <n v="1"/>
    <n v="309.77"/>
    <n v="300"/>
    <n v="92931"/>
    <n v="92931"/>
    <n v="92931"/>
    <n v="-1"/>
    <n v="1.67E-2"/>
    <s v=""/>
    <n v="13"/>
    <n v="15"/>
    <n v="15"/>
    <n v="-2"/>
    <n v="-2"/>
    <x v="5"/>
    <x v="0"/>
    <x v="3"/>
    <x v="3"/>
    <x v="1"/>
    <x v="5"/>
    <x v="1"/>
    <x v="0"/>
    <n v="4.8"/>
    <x v="4"/>
    <x v="4"/>
  </r>
  <r>
    <s v="PO-2026-00862"/>
    <s v="ORD-994062"/>
    <d v="2026-02-17T00:00:00"/>
    <d v="2026-03-01T00:00:00"/>
    <x v="175"/>
    <x v="6"/>
    <x v="6"/>
    <x v="1"/>
    <x v="1"/>
    <x v="1"/>
    <s v="SKU-ELE-405"/>
    <s v="LED Driver"/>
    <n v="2027.74"/>
    <s v="NGN"/>
    <n v="7.2999999999999996E-4"/>
    <n v="1.4802502"/>
    <s v=""/>
    <n v="1520805"/>
    <e v="#VALUE!"/>
    <n v="1110.1876499999998"/>
    <n v="19"/>
    <n v="2.53E-2"/>
    <n v="17"/>
    <n v="17"/>
    <n v="12"/>
    <n v="12"/>
    <n v="5"/>
    <n v="5"/>
    <x v="0"/>
    <x v="0"/>
    <x v="1"/>
    <x v="1"/>
    <x v="4"/>
    <x v="1"/>
    <x v="5"/>
    <x v="0"/>
    <n v="2.2000000000000002"/>
    <x v="0"/>
    <x v="0"/>
  </r>
  <r>
    <s v="PO-2026-00863"/>
    <s v="ORD-996732"/>
    <d v="2026-06-10T00:00:00"/>
    <d v="2026-07-04T00:00:00"/>
    <x v="14"/>
    <x v="8"/>
    <x v="8"/>
    <x v="7"/>
    <x v="4"/>
    <x v="1"/>
    <s v="SKU-ELE-975"/>
    <s v="Sensor Module"/>
    <n v="1116.9000000000001"/>
    <s v="NGN"/>
    <n v="7.2999999999999996E-4"/>
    <n v="0.81533699999999998"/>
    <n v="50"/>
    <n v="55845"/>
    <n v="55845.000000000007"/>
    <n v="40.766849999999998"/>
    <n v="2"/>
    <n v="0.04"/>
    <n v="16"/>
    <n v="16"/>
    <n v="24"/>
    <n v="24"/>
    <n v="-8"/>
    <n v="-8"/>
    <x v="5"/>
    <x v="0"/>
    <x v="1"/>
    <x v="0"/>
    <x v="5"/>
    <x v="5"/>
    <x v="4"/>
    <x v="0"/>
    <n v="4.5999999999999996"/>
    <x v="0"/>
    <x v="2"/>
  </r>
  <r>
    <s v="PO-2026-00864"/>
    <s v="ORD-340835"/>
    <d v="2026-02-22T00:00:00"/>
    <d v="2026-03-06T00:00:00"/>
    <x v="46"/>
    <x v="2"/>
    <x v="2"/>
    <x v="2"/>
    <x v="2"/>
    <x v="2"/>
    <s v="SKU-IND-968"/>
    <s v="Filter Cartridge"/>
    <n v="423.94"/>
    <s v="NGN"/>
    <n v="7.2999999999999996E-4"/>
    <n v="0.30947619999999998"/>
    <n v="200"/>
    <n v="84788"/>
    <n v="84788"/>
    <n v="61.895239999999994"/>
    <n v="0"/>
    <n v="0"/>
    <n v="18"/>
    <n v="18"/>
    <n v="12"/>
    <n v="12"/>
    <n v="6"/>
    <n v="6"/>
    <x v="0"/>
    <x v="0"/>
    <x v="0"/>
    <x v="3"/>
    <x v="0"/>
    <x v="0"/>
    <x v="1"/>
    <x v="0"/>
    <n v="1.5"/>
    <x v="4"/>
    <x v="0"/>
  </r>
  <r>
    <s v="PO-2026-00865"/>
    <s v="ORD-543766"/>
    <d v="2026-02-12T00:00:00"/>
    <d v="2026-03-02T00:00:00"/>
    <x v="49"/>
    <x v="8"/>
    <x v="8"/>
    <x v="7"/>
    <x v="1"/>
    <x v="1"/>
    <s v="SKU-ELE-103"/>
    <s v="Sensor Module"/>
    <n v="2687.06"/>
    <s v="NGN"/>
    <n v="7.2999999999999996E-4"/>
    <n v="1.9615537999999999"/>
    <n v="200"/>
    <n v="537412"/>
    <n v="537412"/>
    <n v="392.31075999999996"/>
    <n v="7"/>
    <n v="3.5000000000000003E-2"/>
    <n v="16"/>
    <n v="16"/>
    <n v="18"/>
    <n v="18"/>
    <n v="-2"/>
    <n v="-2"/>
    <x v="2"/>
    <x v="0"/>
    <x v="1"/>
    <x v="3"/>
    <x v="2"/>
    <x v="6"/>
    <x v="2"/>
    <x v="0"/>
    <n v="3"/>
    <x v="5"/>
    <x v="2"/>
  </r>
  <r>
    <s v="PO-2026-00866"/>
    <s v="ORD-856921"/>
    <d v="2026-03-10T00:00:00"/>
    <d v="2026-03-21T00:00:00"/>
    <x v="158"/>
    <x v="3"/>
    <x v="3"/>
    <x v="3"/>
    <x v="1"/>
    <x v="0"/>
    <s v="SKU-MAC-723"/>
    <s v="Bearing Set"/>
    <s v=""/>
    <s v="USD"/>
    <n v="1"/>
    <s v=""/>
    <n v="200"/>
    <n v="103470"/>
    <e v="#VALUE!"/>
    <n v="103470"/>
    <n v="11"/>
    <n v="5.5E-2"/>
    <n v="9"/>
    <n v="9"/>
    <n v="11"/>
    <n v="11"/>
    <n v="-2"/>
    <n v="-2"/>
    <x v="2"/>
    <x v="1"/>
    <x v="1"/>
    <x v="2"/>
    <x v="0"/>
    <x v="6"/>
    <x v="2"/>
    <x v="3"/>
    <n v="1.3"/>
    <x v="2"/>
    <x v="3"/>
  </r>
  <r>
    <s v="PO-2026-00867"/>
    <s v="ORD-323911"/>
    <d v="2026-01-15T00:00:00"/>
    <d v="2026-01-31T00:00:00"/>
    <x v="167"/>
    <x v="4"/>
    <x v="4"/>
    <x v="4"/>
    <x v="7"/>
    <x v="2"/>
    <s v="SKU-IND-434"/>
    <s v="Lubricant Drum"/>
    <n v="229.75"/>
    <s v="USD"/>
    <n v="1"/>
    <n v="229.75"/>
    <n v="200"/>
    <n v="45950"/>
    <n v="45950"/>
    <n v="45950"/>
    <n v="2"/>
    <n v="0.01"/>
    <n v="10"/>
    <n v="10"/>
    <n v="16"/>
    <n v="16"/>
    <n v="-6"/>
    <n v="-6"/>
    <x v="5"/>
    <x v="0"/>
    <x v="1"/>
    <x v="2"/>
    <x v="2"/>
    <x v="1"/>
    <x v="0"/>
    <x v="0"/>
    <n v="2.2999999999999998"/>
    <x v="2"/>
    <x v="2"/>
  </r>
  <r>
    <s v="PO-2026-00868"/>
    <s v="ORD-716790"/>
    <d v="2026-05-03T00:00:00"/>
    <d v="2026-05-19T00:00:00"/>
    <x v="65"/>
    <x v="6"/>
    <x v="6"/>
    <x v="1"/>
    <x v="6"/>
    <x v="4"/>
    <s v="SKU-PAC-865"/>
    <s v="Plastic Film Roll"/>
    <n v="62.97"/>
    <s v="ZAR"/>
    <n v="6.0999999999999999E-2"/>
    <n v="3.84117"/>
    <n v="500"/>
    <n v="31485"/>
    <n v="31485"/>
    <n v="1920.585"/>
    <n v="10"/>
    <n v="0.02"/>
    <n v="17"/>
    <n v="17"/>
    <n v="16"/>
    <n v="16"/>
    <n v="1"/>
    <n v="1"/>
    <x v="3"/>
    <x v="0"/>
    <x v="4"/>
    <x v="2"/>
    <x v="0"/>
    <x v="1"/>
    <x v="0"/>
    <x v="0"/>
    <n v="4.5999999999999996"/>
    <x v="2"/>
    <x v="5"/>
  </r>
  <r>
    <s v="PO-2026-00869"/>
    <s v="ORD-450033"/>
    <d v="2026-06-08T00:00:00"/>
    <d v="2026-06-14T00:00:00"/>
    <x v="39"/>
    <x v="2"/>
    <x v="2"/>
    <x v="2"/>
    <x v="1"/>
    <x v="2"/>
    <s v="SKU-IND-268"/>
    <s v="Welding Rod"/>
    <n v="308.62"/>
    <s v="USD"/>
    <n v="1"/>
    <n v="308.62"/>
    <n v="100"/>
    <s v=""/>
    <n v="30862"/>
    <s v=""/>
    <n v="0"/>
    <n v="0"/>
    <n v="16"/>
    <n v="16"/>
    <n v="6"/>
    <n v="6"/>
    <n v="10"/>
    <n v="10"/>
    <x v="1"/>
    <x v="0"/>
    <x v="2"/>
    <x v="4"/>
    <x v="4"/>
    <x v="2"/>
    <x v="0"/>
    <x v="0"/>
    <n v="1.8"/>
    <x v="3"/>
    <x v="5"/>
  </r>
  <r>
    <s v="PO-2026-00870"/>
    <s v="ORD-756959"/>
    <d v="2026-06-25T00:00:00"/>
    <d v="2026-07-12T00:00:00"/>
    <x v="120"/>
    <x v="1"/>
    <x v="1"/>
    <x v="1"/>
    <x v="3"/>
    <x v="1"/>
    <s v="SKU-ELE-752"/>
    <s v="Power Adapter"/>
    <n v="31.05"/>
    <s v="GHS"/>
    <n v="8.8999999999999996E-2"/>
    <n v="2.7634499999999997"/>
    <n v="50"/>
    <n v="1552.5"/>
    <n v="1552.5"/>
    <n v="138.17249999999999"/>
    <n v="2"/>
    <n v="0.04"/>
    <n v="16"/>
    <n v="16"/>
    <n v="17"/>
    <n v="17"/>
    <n v="-1"/>
    <n v="-1"/>
    <x v="2"/>
    <x v="0"/>
    <x v="0"/>
    <x v="4"/>
    <x v="3"/>
    <x v="1"/>
    <x v="0"/>
    <x v="0"/>
    <n v="4.5"/>
    <x v="5"/>
    <x v="2"/>
  </r>
  <r>
    <s v="PO-2026-00871"/>
    <s v="ORD-228473"/>
    <d v="2026-06-29T00:00:00"/>
    <d v="2026-07-11T00:00:00"/>
    <x v="62"/>
    <x v="11"/>
    <x v="11"/>
    <x v="8"/>
    <x v="1"/>
    <x v="5"/>
    <s v="SKU-RAW-238"/>
    <s v="Polymer Resin"/>
    <n v="233.37"/>
    <s v="USD"/>
    <n v="1"/>
    <n v="233.37"/>
    <n v="1500"/>
    <n v="350055"/>
    <n v="350055"/>
    <n v="350055"/>
    <n v="43"/>
    <n v="2.87E-2"/>
    <n v="20"/>
    <n v="20"/>
    <n v="12"/>
    <n v="12"/>
    <n v="8"/>
    <n v="8"/>
    <x v="1"/>
    <x v="0"/>
    <x v="0"/>
    <x v="4"/>
    <x v="3"/>
    <x v="1"/>
    <x v="0"/>
    <x v="0"/>
    <n v="2.7"/>
    <x v="0"/>
    <x v="0"/>
  </r>
  <r>
    <s v="PO-2026-00872"/>
    <s v="ORD-577625"/>
    <d v="2026-03-08T00:00:00"/>
    <d v="2026-03-23T00:00:00"/>
    <x v="180"/>
    <x v="6"/>
    <x v="6"/>
    <x v="1"/>
    <x v="1"/>
    <x v="1"/>
    <s v="SKU-ELE-762"/>
    <s v="Power Adapter"/>
    <n v="670.6"/>
    <s v="GHS"/>
    <n v="8.8999999999999996E-2"/>
    <n v="59.683399999999999"/>
    <n v="500"/>
    <n v="335300"/>
    <n v="335300"/>
    <n v="29841.699999999997"/>
    <n v="23"/>
    <n v="4.5999999999999999E-2"/>
    <n v="17"/>
    <n v="17"/>
    <n v="15"/>
    <n v="15"/>
    <n v="2"/>
    <n v="2"/>
    <x v="1"/>
    <x v="1"/>
    <x v="1"/>
    <x v="0"/>
    <x v="1"/>
    <x v="1"/>
    <x v="4"/>
    <x v="5"/>
    <n v="3.2"/>
    <x v="2"/>
    <x v="1"/>
  </r>
  <r>
    <s v="PO-2026-00873"/>
    <s v="ORD-290607"/>
    <d v="2026-02-13T00:00:00"/>
    <d v="2026-03-07T00:00:00"/>
    <x v="49"/>
    <x v="7"/>
    <x v="7"/>
    <x v="6"/>
    <x v="5"/>
    <x v="4"/>
    <s v="SKU-PAC-587"/>
    <s v="Plastic Film Roll"/>
    <n v="222.15"/>
    <s v="NGN"/>
    <n v="7.2999999999999996E-4"/>
    <n v="0.16216949999999999"/>
    <n v="200"/>
    <n v="44430"/>
    <n v="44430"/>
    <n v="32.433900000000001"/>
    <n v="202"/>
    <n v="0.02"/>
    <n v="15"/>
    <n v="15"/>
    <s v=""/>
    <n v="22"/>
    <n v="-7"/>
    <n v="-7"/>
    <x v="5"/>
    <x v="0"/>
    <x v="3"/>
    <x v="5"/>
    <x v="5"/>
    <x v="0"/>
    <x v="3"/>
    <x v="0"/>
    <n v="2.7"/>
    <x v="5"/>
    <x v="4"/>
  </r>
  <r>
    <s v="PO-2026-00874"/>
    <s v="ORD-161758"/>
    <d v="2026-01-29T00:00:00"/>
    <d v="2026-02-06T00:00:00"/>
    <x v="107"/>
    <x v="10"/>
    <x v="10"/>
    <x v="2"/>
    <x v="4"/>
    <x v="1"/>
    <s v="SKU-ELE-473"/>
    <s v="Sensor Module"/>
    <n v="1707.13"/>
    <s v="NGN"/>
    <n v="7.2999999999999996E-4"/>
    <n v="1.2462048999999999"/>
    <n v="1500"/>
    <n v="2560695"/>
    <n v="2560695"/>
    <n v="1869.3073499999998"/>
    <n v="43"/>
    <n v="2.87E-2"/>
    <n v="12"/>
    <n v="12"/>
    <s v=""/>
    <n v="8"/>
    <n v="4"/>
    <n v="4"/>
    <x v="0"/>
    <x v="0"/>
    <x v="1"/>
    <x v="5"/>
    <x v="4"/>
    <x v="6"/>
    <x v="5"/>
    <x v="0"/>
    <n v="3.3"/>
    <x v="6"/>
    <x v="0"/>
  </r>
  <r>
    <s v="PO-2026-00875"/>
    <s v="ORD-529368"/>
    <d v="2026-04-16T00:00:00"/>
    <d v="2026-05-07T00:00:00"/>
    <x v="113"/>
    <x v="0"/>
    <x v="0"/>
    <x v="0"/>
    <x v="1"/>
    <x v="0"/>
    <s v="SKU-MAC-523"/>
    <s v="Hydraulic Hose"/>
    <n v="1786.2"/>
    <s v="GHS"/>
    <n v="8.8999999999999996E-2"/>
    <n v="158.9718"/>
    <n v="1000"/>
    <n v="1786200"/>
    <n v="1786200"/>
    <n v="158971.79999999999"/>
    <n v="39"/>
    <n v="3.9E-2"/>
    <n v="28"/>
    <n v="28"/>
    <s v=""/>
    <n v="21"/>
    <n v="7"/>
    <n v="7"/>
    <x v="4"/>
    <x v="0"/>
    <x v="1"/>
    <x v="3"/>
    <x v="2"/>
    <x v="6"/>
    <x v="2"/>
    <x v="0"/>
    <n v="2.4"/>
    <x v="0"/>
    <x v="0"/>
  </r>
  <r>
    <s v="PO-2026-00876"/>
    <s v="ORD-553592"/>
    <d v="2026-01-27T00:00:00"/>
    <d v="2026-02-09T00:00:00"/>
    <x v="101"/>
    <x v="1"/>
    <x v="1"/>
    <x v="1"/>
    <x v="3"/>
    <x v="1"/>
    <s v="SKU-ELE-577"/>
    <s v="LED Driver"/>
    <n v="1445.24"/>
    <s v="ZAR"/>
    <n v="6.0999999999999999E-2"/>
    <n v="88.159639999999996"/>
    <n v="300"/>
    <n v="433572"/>
    <n v="433572"/>
    <n v="26447.892"/>
    <n v="5"/>
    <n v="1.67E-2"/>
    <n v="19"/>
    <n v="19"/>
    <n v="13"/>
    <n v="13"/>
    <n v="6"/>
    <n v="6"/>
    <x v="0"/>
    <x v="0"/>
    <x v="0"/>
    <x v="3"/>
    <x v="3"/>
    <x v="2"/>
    <x v="0"/>
    <x v="0"/>
    <n v="3"/>
    <x v="5"/>
    <x v="0"/>
  </r>
  <r>
    <s v="PO-2026-00877"/>
    <s v="ORD-236784"/>
    <d v="2026-05-18T00:00:00"/>
    <d v="2026-06-02T00:00:00"/>
    <x v="111"/>
    <x v="1"/>
    <x v="1"/>
    <x v="1"/>
    <x v="8"/>
    <x v="1"/>
    <s v="SKU-ELE-250"/>
    <s v="Control Board"/>
    <n v="2043.88"/>
    <s v="EGP"/>
    <n v="1.9E-2"/>
    <n v="38.83372"/>
    <n v="1500"/>
    <n v="3065820"/>
    <n v="3065820"/>
    <n v="58250.58"/>
    <n v="64"/>
    <n v="4.2700000000000002E-2"/>
    <n v="22"/>
    <n v="22"/>
    <n v="15"/>
    <n v="15"/>
    <n v="7"/>
    <n v="7"/>
    <x v="0"/>
    <x v="1"/>
    <x v="1"/>
    <x v="0"/>
    <x v="5"/>
    <x v="3"/>
    <x v="2"/>
    <x v="3"/>
    <n v="2"/>
    <x v="5"/>
    <x v="1"/>
  </r>
  <r>
    <s v="PO-2026-00878"/>
    <s v="ORD-399866"/>
    <d v="2026-05-20T00:00:00"/>
    <d v="2026-05-30T00:00:00"/>
    <x v="9"/>
    <x v="2"/>
    <x v="2"/>
    <x v="2"/>
    <x v="0"/>
    <x v="2"/>
    <s v="SKU-IND-367"/>
    <s v="Lubricant Drum"/>
    <n v="399.76"/>
    <s v="EGP"/>
    <n v="1.9E-2"/>
    <n v="7.59544"/>
    <n v="200"/>
    <n v="79952"/>
    <n v="79952"/>
    <n v="1519.088"/>
    <n v="5"/>
    <n v="2.5000000000000001E-2"/>
    <n v="18"/>
    <n v="18"/>
    <n v="10"/>
    <n v="10"/>
    <n v="8"/>
    <n v="8"/>
    <x v="1"/>
    <x v="0"/>
    <x v="1"/>
    <x v="2"/>
    <x v="3"/>
    <x v="0"/>
    <x v="1"/>
    <x v="0"/>
    <n v="1.6"/>
    <x v="0"/>
    <x v="0"/>
  </r>
  <r>
    <s v="PO-2026-00879"/>
    <s v="ORD-170367"/>
    <d v="2026-06-16T00:00:00"/>
    <d v="2026-06-30T00:00:00"/>
    <x v="30"/>
    <x v="7"/>
    <x v="7"/>
    <x v="6"/>
    <x v="3"/>
    <x v="2"/>
    <s v="SKU-IND-789"/>
    <s v="Safety Gloves"/>
    <n v="23.4"/>
    <s v="KES"/>
    <n v="7.7000000000000002E-3"/>
    <n v="0.18018000000000001"/>
    <n v="250"/>
    <n v="5850"/>
    <n v="5850"/>
    <n v="45.045000000000002"/>
    <n v="6"/>
    <n v="2.4E-2"/>
    <n v="12"/>
    <n v="12"/>
    <n v="14"/>
    <n v="14"/>
    <n v="-2"/>
    <n v="-2"/>
    <x v="2"/>
    <x v="0"/>
    <x v="4"/>
    <x v="4"/>
    <x v="2"/>
    <x v="4"/>
    <x v="1"/>
    <x v="0"/>
    <n v="3.7"/>
    <x v="4"/>
    <x v="4"/>
  </r>
  <r>
    <s v="PO-2026-00880"/>
    <s v="ORD-743405"/>
    <d v="2026-06-10T00:00:00"/>
    <d v="2026-07-06T00:00:00"/>
    <x v="83"/>
    <x v="7"/>
    <x v="7"/>
    <x v="6"/>
    <x v="0"/>
    <x v="2"/>
    <s v="SKU-IND-533"/>
    <s v="Welding Rod"/>
    <n v="190.85"/>
    <s v="USD"/>
    <n v="1"/>
    <n v="190.85"/>
    <n v="75"/>
    <n v="14313.75"/>
    <n v="14313.75"/>
    <n v="14313.75"/>
    <n v="3"/>
    <n v="0.04"/>
    <n v="28"/>
    <n v="28"/>
    <n v="26"/>
    <n v="26"/>
    <n v="2"/>
    <n v="2"/>
    <x v="1"/>
    <x v="0"/>
    <x v="3"/>
    <x v="3"/>
    <x v="3"/>
    <x v="5"/>
    <x v="0"/>
    <x v="0"/>
    <n v="4.8"/>
    <x v="5"/>
    <x v="5"/>
  </r>
  <r>
    <s v="PO-2026-00881"/>
    <s v="ORD-551477"/>
    <d v="2026-03-30T00:00:00"/>
    <d v="2026-04-07T00:00:00"/>
    <x v="41"/>
    <x v="2"/>
    <x v="2"/>
    <x v="2"/>
    <x v="1"/>
    <x v="2"/>
    <s v="SKU-IND-843"/>
    <s v="Filter Cartridge"/>
    <n v="675.56"/>
    <s v="GHS"/>
    <n v="8.8999999999999996E-2"/>
    <n v="60.124839999999992"/>
    <n v="2000"/>
    <n v="1351120"/>
    <n v="1351120"/>
    <n v="120249.68"/>
    <n v="40"/>
    <n v="0.02"/>
    <n v="7"/>
    <n v="7"/>
    <n v="8"/>
    <n v="8"/>
    <n v="-1"/>
    <n v="-1"/>
    <x v="2"/>
    <x v="0"/>
    <x v="3"/>
    <x v="3"/>
    <x v="1"/>
    <x v="5"/>
    <x v="4"/>
    <x v="0"/>
    <n v="2.2000000000000002"/>
    <x v="2"/>
    <x v="4"/>
  </r>
  <r>
    <s v="PO-2026-00882"/>
    <s v="ORD-866653"/>
    <d v="2026-03-10T00:00:00"/>
    <d v="2026-03-30T00:00:00"/>
    <x v="47"/>
    <x v="8"/>
    <x v="8"/>
    <x v="7"/>
    <x v="0"/>
    <x v="1"/>
    <s v="SKU-ELE-565"/>
    <s v="Sensor Module"/>
    <n v="50.31"/>
    <s v="ZAR"/>
    <n v="6.0999999999999999E-2"/>
    <n v="3.0689100000000002"/>
    <n v="100"/>
    <n v="5031"/>
    <n v="5031"/>
    <n v="306.89100000000002"/>
    <n v="0"/>
    <n v="0"/>
    <n v="17"/>
    <n v="17"/>
    <n v="20"/>
    <n v="20"/>
    <n v="-3"/>
    <n v="-3"/>
    <x v="2"/>
    <x v="0"/>
    <x v="3"/>
    <x v="3"/>
    <x v="2"/>
    <x v="0"/>
    <x v="3"/>
    <x v="0"/>
    <n v="3.7"/>
    <x v="2"/>
    <x v="12"/>
  </r>
  <r>
    <s v="PO-2026-00883"/>
    <s v="ORD-409885"/>
    <d v="2026-04-14T00:00:00"/>
    <d v="2026-04-23T00:00:00"/>
    <x v="177"/>
    <x v="11"/>
    <x v="11"/>
    <x v="8"/>
    <x v="8"/>
    <x v="5"/>
    <s v="SKU-RAW-472"/>
    <s v="Agro Binder"/>
    <n v="45.87"/>
    <s v="ZAR"/>
    <n v="6.0999999999999999E-2"/>
    <n v="2.7980699999999996"/>
    <n v="200"/>
    <n v="9174"/>
    <n v="9174"/>
    <n v="559.61400000000003"/>
    <n v="1"/>
    <n v="5.0000000000000001E-3"/>
    <n v="6"/>
    <n v="6"/>
    <n v="9"/>
    <n v="9"/>
    <n v="-3"/>
    <n v="-3"/>
    <x v="2"/>
    <x v="0"/>
    <x v="1"/>
    <x v="5"/>
    <x v="2"/>
    <x v="4"/>
    <x v="0"/>
    <x v="0"/>
    <n v="4.4000000000000004"/>
    <x v="6"/>
    <x v="2"/>
  </r>
  <r>
    <s v="PO-2026-00884"/>
    <s v="ORD-873628"/>
    <d v="2026-01-18T00:00:00"/>
    <d v="2026-01-21T00:00:00"/>
    <x v="89"/>
    <x v="9"/>
    <x v="9"/>
    <x v="2"/>
    <x v="1"/>
    <x v="4"/>
    <s v="SKU-PAC-733"/>
    <s v="Shipping Carton"/>
    <n v="496.79"/>
    <s v="NGN"/>
    <n v="7.2999999999999996E-4"/>
    <n v="0.3626567"/>
    <n v="75"/>
    <n v="37259.25"/>
    <n v="37259.25"/>
    <n v="27.1992525"/>
    <n v="4"/>
    <n v="5.33E-2"/>
    <n v="0"/>
    <n v="0"/>
    <n v="3"/>
    <n v="3"/>
    <n v="-3"/>
    <n v="-3"/>
    <x v="2"/>
    <x v="1"/>
    <x v="0"/>
    <x v="0"/>
    <x v="4"/>
    <x v="3"/>
    <x v="0"/>
    <x v="2"/>
    <n v="2.2999999999999998"/>
    <x v="5"/>
    <x v="3"/>
  </r>
  <r>
    <s v="PO-2026-00885"/>
    <s v="ORD-449563"/>
    <d v="2026-04-04T00:00:00"/>
    <d v="2026-04-16T00:00:00"/>
    <x v="26"/>
    <x v="11"/>
    <x v="11"/>
    <x v="8"/>
    <x v="2"/>
    <x v="5"/>
    <s v="SKU-RAW-327"/>
    <s v="Input Granules"/>
    <n v="259.52"/>
    <s v="ZAR"/>
    <n v="6.0999999999999999E-2"/>
    <n v="15.830719999999998"/>
    <n v="50"/>
    <n v="12976"/>
    <n v="12976"/>
    <n v="791.53599999999994"/>
    <n v="-1"/>
    <n v="0.02"/>
    <n v="18"/>
    <n v="18"/>
    <n v="12"/>
    <n v="12"/>
    <n v="6"/>
    <n v="6"/>
    <x v="4"/>
    <x v="0"/>
    <x v="1"/>
    <x v="0"/>
    <x v="2"/>
    <x v="3"/>
    <x v="3"/>
    <x v="0"/>
    <n v="1.2"/>
    <x v="2"/>
    <x v="0"/>
  </r>
  <r>
    <s v="PO-2026-00886"/>
    <s v="ORD-955211"/>
    <d v="2026-03-20T00:00:00"/>
    <d v="2026-03-28T00:00:00"/>
    <x v="41"/>
    <x v="4"/>
    <x v="4"/>
    <x v="4"/>
    <x v="1"/>
    <x v="0"/>
    <s v="SKU-MAC-555"/>
    <s v="Conveyor Belt"/>
    <n v="3711.32"/>
    <s v="KES"/>
    <n v="7.7000000000000002E-3"/>
    <n v="28.577164000000003"/>
    <n v="50"/>
    <n v="185566"/>
    <n v="185566"/>
    <n v="1428.8582000000001"/>
    <n v="2"/>
    <n v="0.04"/>
    <n v="17"/>
    <n v="17"/>
    <n v="8"/>
    <n v="8"/>
    <n v="9"/>
    <n v="9"/>
    <x v="4"/>
    <x v="0"/>
    <x v="1"/>
    <x v="4"/>
    <x v="0"/>
    <x v="4"/>
    <x v="4"/>
    <x v="0"/>
    <n v="1.4"/>
    <x v="0"/>
    <x v="0"/>
  </r>
  <r>
    <s v="PO-2026-00887"/>
    <s v="ORD-124617"/>
    <d v="2026-01-11T00:00:00"/>
    <d v="2026-01-20T00:00:00"/>
    <x v="191"/>
    <x v="11"/>
    <x v="11"/>
    <x v="8"/>
    <x v="1"/>
    <x v="5"/>
    <s v="SKU-RAW-363"/>
    <s v="Chemical Additive"/>
    <n v="678.42"/>
    <s v="ZAR"/>
    <n v="6.0999999999999999E-2"/>
    <n v="41.383619999999993"/>
    <s v=""/>
    <n v="169605"/>
    <e v="#VALUE!"/>
    <n v="10345.905000000001"/>
    <n v="0"/>
    <n v="0"/>
    <n v="22"/>
    <n v="22"/>
    <n v="9"/>
    <n v="9"/>
    <n v="13"/>
    <n v="13"/>
    <x v="0"/>
    <x v="0"/>
    <x v="2"/>
    <x v="3"/>
    <x v="5"/>
    <x v="2"/>
    <x v="2"/>
    <x v="0"/>
    <n v="2.6"/>
    <x v="6"/>
    <x v="5"/>
  </r>
  <r>
    <s v="PO-2026-00888"/>
    <s v="ORD-601205"/>
    <d v="2026-04-15T00:00:00"/>
    <d v="2026-04-28T00:00:00"/>
    <x v="102"/>
    <x v="2"/>
    <x v="2"/>
    <x v="2"/>
    <x v="0"/>
    <x v="2"/>
    <s v="SKU-IND-361"/>
    <s v="Welding Rod"/>
    <n v="511.09"/>
    <s v="EGP"/>
    <n v="1.9E-2"/>
    <n v="9.7107099999999988"/>
    <n v="300"/>
    <n v="153327"/>
    <n v="153327"/>
    <n v="2913.2129999999997"/>
    <n v="0"/>
    <n v="0"/>
    <n v="21"/>
    <n v="21"/>
    <n v="13"/>
    <n v="13"/>
    <n v="8"/>
    <n v="8"/>
    <x v="1"/>
    <x v="0"/>
    <x v="0"/>
    <x v="3"/>
    <x v="1"/>
    <x v="3"/>
    <x v="5"/>
    <x v="0"/>
    <n v="1.5"/>
    <x v="2"/>
    <x v="0"/>
  </r>
  <r>
    <s v="PO-2026-00889"/>
    <s v="ORD-219461"/>
    <d v="2026-03-13T00:00:00"/>
    <d v="2026-03-18T00:00:00"/>
    <x v="184"/>
    <x v="9"/>
    <x v="9"/>
    <x v="2"/>
    <x v="7"/>
    <x v="4"/>
    <s v="SKU-PAC-388"/>
    <s v="Corrugated Box"/>
    <s v=""/>
    <s v="KES"/>
    <n v="7.7000000000000002E-3"/>
    <s v=""/>
    <n v="750"/>
    <n v="420877.5"/>
    <e v="#VALUE!"/>
    <n v="3240.75675"/>
    <n v="6"/>
    <n v="8.0000000000000002E-3"/>
    <n v="2"/>
    <n v="2"/>
    <n v="5"/>
    <n v="5"/>
    <n v="-3"/>
    <n v="-3"/>
    <x v="2"/>
    <x v="0"/>
    <x v="1"/>
    <x v="3"/>
    <x v="2"/>
    <x v="1"/>
    <x v="4"/>
    <x v="0"/>
    <n v="4.2"/>
    <x v="0"/>
    <x v="2"/>
  </r>
  <r>
    <s v="PO-2026-00890"/>
    <s v="ORD-689801"/>
    <d v="2026-06-04T00:00:00"/>
    <d v="2026-06-08T00:00:00"/>
    <x v="150"/>
    <x v="9"/>
    <x v="9"/>
    <x v="2"/>
    <x v="2"/>
    <x v="4"/>
    <s v="SKU-PAC-286"/>
    <s v="Plastic Film Roll"/>
    <n v="734.62"/>
    <s v="EGP"/>
    <n v="1.9E-2"/>
    <n v="13.95778"/>
    <n v="100"/>
    <n v="73462"/>
    <n v="73462"/>
    <n v="1395.778"/>
    <n v="1"/>
    <n v="0.01"/>
    <s v=""/>
    <n v="27"/>
    <n v="4"/>
    <n v="4"/>
    <n v="23"/>
    <n v="23"/>
    <x v="1"/>
    <x v="3"/>
    <x v="1"/>
    <x v="5"/>
    <x v="2"/>
    <x v="1"/>
    <x v="5"/>
    <x v="0"/>
    <n v="2.9"/>
    <x v="3"/>
    <x v="0"/>
  </r>
  <r>
    <s v="PO-2026-00891"/>
    <s v="ORD-633731"/>
    <d v="2026-01-13T00:00:00"/>
    <d v="2026-01-26T00:00:00"/>
    <x v="106"/>
    <x v="6"/>
    <x v="6"/>
    <x v="1"/>
    <x v="8"/>
    <x v="0"/>
    <s v="SKU-MAC-612"/>
    <s v="Gear Assembly"/>
    <n v="3488.88"/>
    <s v="ZAR"/>
    <n v="6.0999999999999999E-2"/>
    <n v="212.82168000000001"/>
    <n v="150"/>
    <n v="523332"/>
    <n v="523332"/>
    <n v="31923.252"/>
    <n v="0"/>
    <n v="0"/>
    <n v="16"/>
    <n v="16"/>
    <n v="13"/>
    <n v="13"/>
    <n v="3"/>
    <n v="3"/>
    <x v="1"/>
    <x v="0"/>
    <x v="1"/>
    <x v="0"/>
    <x v="0"/>
    <x v="2"/>
    <x v="2"/>
    <x v="0"/>
    <n v="2.7"/>
    <x v="5"/>
    <x v="0"/>
  </r>
  <r>
    <s v="PO-2026-00892"/>
    <s v="ORD-201293"/>
    <d v="2026-06-19T00:00:00"/>
    <d v="2026-06-26T00:00:00"/>
    <x v="37"/>
    <x v="11"/>
    <x v="11"/>
    <x v="8"/>
    <x v="2"/>
    <x v="5"/>
    <s v="SKU-RAW-802"/>
    <s v="Input Granules"/>
    <n v="20.43"/>
    <s v="NGN"/>
    <n v="7.2999999999999996E-4"/>
    <n v="1.4913899999999999E-2"/>
    <n v="2000"/>
    <n v="40860"/>
    <n v="40860"/>
    <n v="29.8278"/>
    <n v="88"/>
    <n v="4.3999999999999997E-2"/>
    <n v="10"/>
    <n v="10"/>
    <n v="7"/>
    <n v="7"/>
    <n v="3"/>
    <n v="3"/>
    <x v="3"/>
    <x v="1"/>
    <x v="0"/>
    <x v="3"/>
    <x v="5"/>
    <x v="5"/>
    <x v="2"/>
    <x v="2"/>
    <n v="1.7"/>
    <x v="4"/>
    <x v="1"/>
  </r>
  <r>
    <s v="PO-2026-00893"/>
    <s v="ORD-593590"/>
    <d v="2026-02-06T00:00:00"/>
    <d v="2026-02-20T00:00:00"/>
    <x v="54"/>
    <x v="5"/>
    <x v="5"/>
    <x v="5"/>
    <x v="8"/>
    <x v="3"/>
    <s v="SKU-TEX-576"/>
    <s v="Cotton Fabric"/>
    <n v="760.75"/>
    <s v="EGP"/>
    <n v="1.9E-2"/>
    <n v="14.45425"/>
    <n v="750"/>
    <n v="570562.5"/>
    <n v="570562.5"/>
    <n v="10840.6875"/>
    <n v="47"/>
    <n v="6.2700000000000006E-2"/>
    <n v="24"/>
    <n v="24"/>
    <n v="14"/>
    <n v="14"/>
    <n v="10"/>
    <n v="10"/>
    <x v="0"/>
    <x v="1"/>
    <x v="3"/>
    <x v="3"/>
    <x v="0"/>
    <x v="4"/>
    <x v="0"/>
    <x v="3"/>
    <n v="2.2999999999999998"/>
    <x v="3"/>
    <x v="6"/>
  </r>
  <r>
    <s v="PO-2026-00894"/>
    <s v="ORD-782804"/>
    <d v="2026-04-01T00:00:00"/>
    <d v="2026-04-07T00:00:00"/>
    <x v="84"/>
    <x v="9"/>
    <x v="9"/>
    <x v="2"/>
    <x v="2"/>
    <x v="0"/>
    <s v="SKU-MAC-402"/>
    <s v="Hydraulic Hose"/>
    <n v="1569.39"/>
    <s v="EGP"/>
    <n v="1.9E-2"/>
    <n v="29.81841"/>
    <n v="1500"/>
    <n v="2354085"/>
    <n v="2354085"/>
    <n v="44727.614999999998"/>
    <m/>
    <n v="0.01"/>
    <n v="10"/>
    <n v="10"/>
    <n v="6"/>
    <n v="6"/>
    <n v="4"/>
    <n v="4"/>
    <x v="0"/>
    <x v="0"/>
    <x v="1"/>
    <x v="3"/>
    <x v="0"/>
    <x v="4"/>
    <x v="4"/>
    <x v="0"/>
    <n v="4.4000000000000004"/>
    <x v="5"/>
    <x v="0"/>
  </r>
  <r>
    <s v="PO-2026-00237"/>
    <s v="ORD-592251"/>
    <d v="2026-01-07T00:00:00"/>
    <d v="2026-01-25T00:00:00"/>
    <x v="170"/>
    <x v="13"/>
    <x v="13"/>
    <x v="9"/>
    <x v="6"/>
    <x v="3"/>
    <s v="SKU-TEX-460"/>
    <s v="Polyester Roll"/>
    <n v="352.21"/>
    <s v="KES"/>
    <n v="7.7000000000000002E-3"/>
    <n v="2.7120169999999999"/>
    <n v="500"/>
    <n v="176105"/>
    <n v="176105"/>
    <n v="1356.0085000000001"/>
    <n v="8"/>
    <n v="1.6E-2"/>
    <n v="8"/>
    <n v="8"/>
    <n v="18"/>
    <n v="18"/>
    <n v="-10"/>
    <n v="-10"/>
    <x v="2"/>
    <x v="0"/>
    <x v="1"/>
    <x v="5"/>
    <x v="5"/>
    <x v="5"/>
    <x v="2"/>
    <x v="0"/>
    <n v="3.7"/>
    <x v="3"/>
    <x v="2"/>
  </r>
  <r>
    <s v="PO-2026-00896"/>
    <s v="ORD-159255"/>
    <d v="2026-06-03T00:00:00"/>
    <d v="2026-06-14T00:00:00"/>
    <x v="127"/>
    <x v="4"/>
    <x v="4"/>
    <x v="4"/>
    <x v="2"/>
    <x v="0"/>
    <s v="SKU-MAC-485"/>
    <s v="Gear Assembly"/>
    <n v="389.56"/>
    <s v="KES"/>
    <n v="7.7000000000000002E-3"/>
    <n v="2.9996119999999999"/>
    <n v="1000"/>
    <n v="389560"/>
    <n v="389560"/>
    <n v="2999.6120000000001"/>
    <n v="21"/>
    <n v="2.1000000000000001E-2"/>
    <n v="12"/>
    <n v="12"/>
    <n v="11"/>
    <n v="11"/>
    <n v="1"/>
    <n v="1"/>
    <x v="3"/>
    <x v="0"/>
    <x v="1"/>
    <x v="4"/>
    <x v="2"/>
    <x v="6"/>
    <x v="1"/>
    <x v="0"/>
    <n v="3.4"/>
    <x v="1"/>
    <x v="0"/>
  </r>
  <r>
    <s v="PO-2026-00897"/>
    <s v="ORD-299432"/>
    <d v="2026-05-15T00:00:00"/>
    <d v="2026-05-27T00:00:00"/>
    <x v="194"/>
    <x v="1"/>
    <x v="1"/>
    <x v="1"/>
    <x v="4"/>
    <x v="1"/>
    <s v="SKU-ELE-902"/>
    <s v="Control Board"/>
    <n v="1830.84"/>
    <s v="KES"/>
    <n v="7.7000000000000002E-3"/>
    <n v="14.097467999999999"/>
    <n v="250"/>
    <n v="457710"/>
    <n v="457710"/>
    <n v="3524.3670000000002"/>
    <n v="14"/>
    <n v="5.6000000000000001E-2"/>
    <n v="15"/>
    <n v="15"/>
    <n v="12"/>
    <n v="12"/>
    <n v="3"/>
    <n v="3"/>
    <x v="3"/>
    <x v="1"/>
    <x v="3"/>
    <x v="3"/>
    <x v="2"/>
    <x v="6"/>
    <x v="2"/>
    <x v="4"/>
    <n v="2"/>
    <x v="5"/>
    <x v="6"/>
  </r>
  <r>
    <s v="PO-2026-00898"/>
    <s v="ORD-253934"/>
    <d v="2026-01-26T00:00:00"/>
    <d v="2026-02-04T00:00:00"/>
    <x v="129"/>
    <x v="3"/>
    <x v="3"/>
    <x v="3"/>
    <x v="0"/>
    <x v="4"/>
    <s v="SKU-PAC-155"/>
    <s v="Bottle Caps"/>
    <n v="752.28"/>
    <s v="ZAR"/>
    <n v="6.0999999999999999E-2"/>
    <n v="45.88908"/>
    <n v="2000"/>
    <n v="1504560"/>
    <n v="1504560"/>
    <n v="91778.16"/>
    <n v="42"/>
    <n v="2.1000000000000001E-2"/>
    <n v="14"/>
    <n v="14"/>
    <n v="9"/>
    <n v="9"/>
    <n v="5"/>
    <n v="5"/>
    <x v="0"/>
    <x v="0"/>
    <x v="1"/>
    <x v="3"/>
    <x v="4"/>
    <x v="5"/>
    <x v="2"/>
    <x v="0"/>
    <n v="4"/>
    <x v="6"/>
    <x v="0"/>
  </r>
  <r>
    <s v="PO-2026-00899"/>
    <s v="ORD-509383"/>
    <d v="2026-06-01T00:00:00"/>
    <d v="2026-06-10T00:00:00"/>
    <x v="154"/>
    <x v="2"/>
    <x v="2"/>
    <x v="2"/>
    <x v="5"/>
    <x v="2"/>
    <s v="SKU-IND-363"/>
    <s v="Welding Rod"/>
    <n v="603"/>
    <s v="USD"/>
    <n v="1"/>
    <n v="603"/>
    <n v="750"/>
    <n v="452250"/>
    <n v="452250"/>
    <n v="452250"/>
    <n v="4"/>
    <n v="5.3E-3"/>
    <n v="13"/>
    <n v="13"/>
    <n v="9"/>
    <n v="9"/>
    <n v="4"/>
    <n v="4"/>
    <x v="0"/>
    <x v="0"/>
    <x v="2"/>
    <x v="5"/>
    <x v="2"/>
    <x v="6"/>
    <x v="4"/>
    <x v="0"/>
    <n v="3.9"/>
    <x v="2"/>
    <x v="5"/>
  </r>
  <r>
    <s v="PO-2026-00900"/>
    <s v="ORD-331893"/>
    <d v="2026-03-13T00:00:00"/>
    <d v="2026-03-24T00:00:00"/>
    <x v="47"/>
    <x v="13"/>
    <x v="13"/>
    <x v="9"/>
    <x v="3"/>
    <x v="2"/>
    <s v="SKU-IND-449"/>
    <s v="Lubricant Drum"/>
    <n v="211.19"/>
    <s v="NGN"/>
    <n v="7.2999999999999996E-4"/>
    <n v="0.15416869999999999"/>
    <n v="150"/>
    <n v="31678.5"/>
    <n v="31678.5"/>
    <n v="23.125304999999997"/>
    <n v="4"/>
    <n v="2.6700000000000002E-2"/>
    <n v="14"/>
    <n v="14"/>
    <n v="11"/>
    <n v="11"/>
    <n v="3"/>
    <n v="3"/>
    <x v="1"/>
    <x v="0"/>
    <x v="1"/>
    <x v="4"/>
    <x v="0"/>
    <x v="4"/>
    <x v="0"/>
    <x v="0"/>
    <n v="2.5"/>
    <x v="0"/>
    <x v="0"/>
  </r>
  <r>
    <s v="PO-2026-00901"/>
    <s v="ORD-384908"/>
    <d v="2026-03-22T00:00:00"/>
    <d v="2026-04-01T00:00:00"/>
    <x v="32"/>
    <x v="1"/>
    <x v="1"/>
    <x v="1"/>
    <x v="0"/>
    <x v="1"/>
    <s v="SKU-ELE-665"/>
    <s v="Sensor Module"/>
    <n v="2057.66"/>
    <s v="EGP"/>
    <n v="1.9E-2"/>
    <n v="39.09554"/>
    <n v="150"/>
    <n v="308649"/>
    <n v="308649"/>
    <n v="5864.3310000000001"/>
    <n v="9"/>
    <n v="0.06"/>
    <n v="11"/>
    <n v="11"/>
    <n v="10"/>
    <n v="10"/>
    <n v="1"/>
    <n v="1"/>
    <x v="1"/>
    <x v="2"/>
    <x v="1"/>
    <x v="0"/>
    <x v="4"/>
    <x v="1"/>
    <x v="2"/>
    <x v="1"/>
    <n v="1"/>
    <x v="0"/>
    <x v="1"/>
  </r>
  <r>
    <s v="PO-2026-00873"/>
    <s v="ORD-236808"/>
    <d v="2026-03-13T00:00:00"/>
    <d v="2026-04-05T00:00:00"/>
    <x v="41"/>
    <x v="0"/>
    <x v="0"/>
    <x v="0"/>
    <x v="2"/>
    <x v="0"/>
    <s v="SKU-MAC-444"/>
    <s v="Hydraulic Hose"/>
    <n v="4399.58"/>
    <s v="EGP"/>
    <n v="1.9E-2"/>
    <n v="83.592019999999991"/>
    <n v="300"/>
    <n v="1319874"/>
    <n v="1319874"/>
    <n v="25077.606"/>
    <n v="0"/>
    <n v="0"/>
    <n v="24"/>
    <n v="24"/>
    <n v="23"/>
    <n v="23"/>
    <n v="1"/>
    <n v="1"/>
    <x v="1"/>
    <x v="0"/>
    <x v="1"/>
    <x v="3"/>
    <x v="0"/>
    <x v="0"/>
    <x v="0"/>
    <x v="0"/>
    <n v="4.5999999999999996"/>
    <x v="6"/>
    <x v="0"/>
  </r>
  <r>
    <s v="PO-2026-00903"/>
    <s v="ORD-543235"/>
    <d v="2026-04-14T00:00:00"/>
    <d v="2026-04-30T00:00:00"/>
    <x v="82"/>
    <x v="7"/>
    <x v="7"/>
    <x v="8"/>
    <x v="5"/>
    <x v="2"/>
    <s v="SKU-IND-884"/>
    <s v="Filter Cartridge"/>
    <n v="779.97"/>
    <s v="GHS"/>
    <n v="8.8999999999999996E-2"/>
    <n v="69.417329999999993"/>
    <n v="200"/>
    <n v="155994"/>
    <n v="155994"/>
    <n v="13883.465999999999"/>
    <n v="1"/>
    <n v="5.0000000000000001E-3"/>
    <n v="20"/>
    <n v="20"/>
    <n v="16"/>
    <n v="16"/>
    <n v="4"/>
    <n v="4"/>
    <x v="1"/>
    <x v="0"/>
    <x v="0"/>
    <x v="3"/>
    <x v="4"/>
    <x v="6"/>
    <x v="3"/>
    <x v="0"/>
    <n v="4.5"/>
    <x v="6"/>
    <x v="0"/>
  </r>
  <r>
    <s v="PO-2026-00904"/>
    <s v="ORD-640580"/>
    <d v="2026-06-25T00:00:00"/>
    <d v="2026-07-13T00:00:00"/>
    <x v="192"/>
    <x v="13"/>
    <x v="13"/>
    <x v="9"/>
    <x v="1"/>
    <x v="3"/>
    <s v="SKU-TEX-877"/>
    <s v="Label Tape"/>
    <n v="457.88"/>
    <s v="NGN"/>
    <n v="7.2999999999999996E-4"/>
    <n v="0.33425240000000001"/>
    <n v="150"/>
    <n v="68682"/>
    <n v="68682"/>
    <n v="50.137859999999996"/>
    <n v="5"/>
    <n v="3.3300000000000003E-2"/>
    <n v="18"/>
    <n v="18"/>
    <n v="18"/>
    <n v="18"/>
    <n v="0"/>
    <n v="0"/>
    <x v="2"/>
    <x v="0"/>
    <x v="0"/>
    <x v="1"/>
    <x v="0"/>
    <x v="4"/>
    <x v="3"/>
    <x v="0"/>
    <n v="4.5999999999999996"/>
    <x v="5"/>
    <x v="2"/>
  </r>
  <r>
    <s v="PO-2026-00905"/>
    <s v="ORD-357911"/>
    <d v="2026-01-15T00:00:00"/>
    <d v="2026-02-08T00:00:00"/>
    <x v="38"/>
    <x v="7"/>
    <x v="7"/>
    <x v="6"/>
    <x v="5"/>
    <x v="2"/>
    <s v="SKU-IND-954"/>
    <s v="Filter Cartridge"/>
    <n v="644.30999999999995"/>
    <s v="USD"/>
    <n v="1"/>
    <n v="644.30999999999995"/>
    <n v="50"/>
    <n v="32215.5"/>
    <n v="32215.499999999996"/>
    <n v="32215.5"/>
    <n v="0"/>
    <n v="0"/>
    <n v="28"/>
    <n v="28"/>
    <n v="24"/>
    <n v="24"/>
    <n v="4"/>
    <n v="4"/>
    <x v="0"/>
    <x v="0"/>
    <x v="1"/>
    <x v="3"/>
    <x v="0"/>
    <x v="5"/>
    <x v="3"/>
    <x v="0"/>
    <n v="3.3"/>
    <x v="2"/>
    <x v="0"/>
  </r>
  <r>
    <s v="PO-2026-00906"/>
    <s v="ORD-311942"/>
    <d v="2026-05-23T00:00:00"/>
    <d v="2026-06-15T00:00:00"/>
    <x v="155"/>
    <x v="7"/>
    <x v="7"/>
    <x v="6"/>
    <x v="8"/>
    <x v="2"/>
    <s v="SKU-IND-385"/>
    <s v="Lubricant Drum"/>
    <n v="496.22"/>
    <s v="EGP"/>
    <n v="1.9E-2"/>
    <n v="9.4281800000000011"/>
    <n v="1500"/>
    <n v="744330"/>
    <n v="744330"/>
    <n v="14142.27"/>
    <n v="28"/>
    <n v="1.8700000000000001E-2"/>
    <s v=""/>
    <n v="19"/>
    <n v="23"/>
    <n v="23"/>
    <n v="-4"/>
    <n v="-4"/>
    <x v="5"/>
    <x v="0"/>
    <x v="1"/>
    <x v="0"/>
    <x v="0"/>
    <x v="1"/>
    <x v="5"/>
    <x v="0"/>
    <n v="4.3"/>
    <x v="4"/>
    <x v="2"/>
  </r>
  <r>
    <s v="PO-2026-00907"/>
    <s v="ORD-390938"/>
    <d v="2026-04-24T00:00:00"/>
    <d v="2026-05-06T00:00:00"/>
    <x v="139"/>
    <x v="3"/>
    <x v="3"/>
    <x v="3"/>
    <x v="3"/>
    <x v="4"/>
    <s v="SKU-PAC-841"/>
    <s v="Corrugated Box"/>
    <n v="841.14"/>
    <s v="EGP"/>
    <n v="1.9E-2"/>
    <n v="15.98166"/>
    <n v="300"/>
    <n v="252342"/>
    <n v="252342"/>
    <n v="4794.4979999999996"/>
    <n v="17"/>
    <n v="5.67E-2"/>
    <n v="9"/>
    <n v="9"/>
    <n v="12"/>
    <n v="12"/>
    <n v="-3"/>
    <n v="-3"/>
    <x v="2"/>
    <x v="2"/>
    <x v="1"/>
    <x v="1"/>
    <x v="0"/>
    <x v="4"/>
    <x v="5"/>
    <x v="2"/>
    <n v="1.9"/>
    <x v="6"/>
    <x v="3"/>
  </r>
  <r>
    <s v="PO-2026-00908"/>
    <s v="ORD-586255"/>
    <d v="2026-06-11T00:00:00"/>
    <d v="2026-07-01T00:00:00"/>
    <x v="130"/>
    <x v="0"/>
    <x v="0"/>
    <x v="0"/>
    <x v="0"/>
    <x v="5"/>
    <s v="SKU-RAW-838"/>
    <s v="Chemical Additive"/>
    <n v="675.02"/>
    <s v="EGP"/>
    <n v="1.9E-2"/>
    <n v="12.825379999999999"/>
    <n v="250"/>
    <n v="168755"/>
    <n v="168755"/>
    <n v="3206.3449999999998"/>
    <n v="39"/>
    <n v="0.156"/>
    <n v="26"/>
    <n v="26"/>
    <n v="20"/>
    <n v="20"/>
    <n v="6"/>
    <n v="6"/>
    <x v="4"/>
    <x v="1"/>
    <x v="3"/>
    <x v="4"/>
    <x v="4"/>
    <x v="6"/>
    <x v="4"/>
    <x v="1"/>
    <n v="3.3"/>
    <x v="2"/>
    <x v="6"/>
  </r>
  <r>
    <s v="PO-2026-00909"/>
    <s v="ORD-619376"/>
    <d v="2026-01-03T00:00:00"/>
    <d v="2026-01-22T00:00:00"/>
    <x v="153"/>
    <x v="8"/>
    <x v="8"/>
    <x v="7"/>
    <x v="4"/>
    <x v="1"/>
    <s v="SKU-ELE-966"/>
    <s v="Sensor Module"/>
    <n v="1344.92"/>
    <s v="NGN"/>
    <n v="7.2999999999999996E-4"/>
    <n v="0.98179159999999999"/>
    <n v="500"/>
    <n v="672460"/>
    <n v="672460"/>
    <n v="490.89579999999995"/>
    <n v="8"/>
    <n v="1.6E-2"/>
    <n v="24"/>
    <n v="24"/>
    <n v="19"/>
    <n v="19"/>
    <n v="5"/>
    <n v="5"/>
    <x v="1"/>
    <x v="0"/>
    <x v="1"/>
    <x v="0"/>
    <x v="2"/>
    <x v="0"/>
    <x v="2"/>
    <x v="0"/>
    <n v="4.3"/>
    <x v="6"/>
    <x v="9"/>
  </r>
  <r>
    <s v="PO-2026-00910"/>
    <s v="ORD-171345"/>
    <d v="2026-05-09T00:00:00"/>
    <d v="2026-06-03T00:00:00"/>
    <x v="58"/>
    <x v="7"/>
    <x v="7"/>
    <x v="6"/>
    <x v="7"/>
    <x v="2"/>
    <s v="SKU-IND-573"/>
    <s v="Lubricant Drum"/>
    <n v="347.98"/>
    <s v="USD"/>
    <n v="1"/>
    <n v="347.98"/>
    <n v="1000"/>
    <n v="347980"/>
    <n v="347980"/>
    <n v="347980"/>
    <n v="20"/>
    <n v="0.02"/>
    <n v="28"/>
    <n v="28"/>
    <n v="25"/>
    <n v="25"/>
    <n v="3"/>
    <n v="3"/>
    <x v="1"/>
    <x v="0"/>
    <x v="2"/>
    <x v="0"/>
    <x v="3"/>
    <x v="0"/>
    <x v="4"/>
    <x v="0"/>
    <n v="4.0999999999999996"/>
    <x v="3"/>
    <x v="5"/>
  </r>
  <r>
    <s v="PO-2026-00911"/>
    <s v="ORD-553331"/>
    <d v="2026-01-31T00:00:00"/>
    <d v="2026-02-06T00:00:00"/>
    <x v="176"/>
    <x v="10"/>
    <x v="10"/>
    <x v="2"/>
    <x v="8"/>
    <x v="5"/>
    <s v="SKU-RAW-396"/>
    <s v="Chemical Additive"/>
    <n v="299.86"/>
    <s v="ZAR"/>
    <n v="6.0999999999999999E-2"/>
    <n v="18.291460000000001"/>
    <n v="75"/>
    <n v="22489.5"/>
    <n v="22489.5"/>
    <n v="1371.8595"/>
    <n v="1"/>
    <n v="1.3299999999999999E-2"/>
    <n v="-5"/>
    <n v="7"/>
    <n v="6"/>
    <n v="6"/>
    <n v="1"/>
    <n v="1"/>
    <x v="1"/>
    <x v="5"/>
    <x v="2"/>
    <x v="0"/>
    <x v="2"/>
    <x v="6"/>
    <x v="5"/>
    <x v="0"/>
    <n v="2.4"/>
    <x v="2"/>
    <x v="5"/>
  </r>
  <r>
    <s v="PO-2026-00912"/>
    <s v="ORD-944666"/>
    <d v="2026-02-19T00:00:00"/>
    <d v="2026-02-25T00:00:00"/>
    <x v="175"/>
    <x v="12"/>
    <x v="12"/>
    <x v="2"/>
    <x v="3"/>
    <x v="4"/>
    <s v="SKU-PAC-837"/>
    <s v="Bottle Caps"/>
    <n v="570.54999999999995"/>
    <s v="NGN"/>
    <n v="7.2999999999999996E-4"/>
    <n v="0.41650149999999997"/>
    <n v="50"/>
    <n v="28527.5"/>
    <n v="28527.499999999996"/>
    <n v="20.825074999999998"/>
    <n v="0"/>
    <n v="0"/>
    <n v="15"/>
    <n v="15"/>
    <n v="6"/>
    <n v="6"/>
    <n v="9"/>
    <n v="9"/>
    <x v="4"/>
    <x v="0"/>
    <x v="1"/>
    <x v="4"/>
    <x v="3"/>
    <x v="0"/>
    <x v="2"/>
    <x v="0"/>
    <n v="1"/>
    <x v="4"/>
    <x v="0"/>
  </r>
  <r>
    <s v="PO-2026-00913"/>
    <s v="ORD-927286"/>
    <d v="2026-06-18T00:00:00"/>
    <d v="2026-06-23T00:00:00"/>
    <x v="99"/>
    <x v="1"/>
    <x v="1"/>
    <x v="1"/>
    <x v="1"/>
    <x v="1"/>
    <s v="SKU-ELE-552"/>
    <s v="Power Adapter"/>
    <n v="2171.58"/>
    <s v="NGN"/>
    <n v="7.2999999999999996E-4"/>
    <n v="1.5852533999999998"/>
    <n v="250"/>
    <n v="542895"/>
    <n v="542895"/>
    <n v="396.31334999999996"/>
    <n v="22"/>
    <n v="8.7999999999999995E-2"/>
    <n v="15"/>
    <n v="15"/>
    <n v="5"/>
    <n v="5"/>
    <n v="10"/>
    <n v="10"/>
    <x v="4"/>
    <x v="1"/>
    <x v="3"/>
    <x v="4"/>
    <x v="0"/>
    <x v="4"/>
    <x v="1"/>
    <x v="2"/>
    <n v="3.3"/>
    <x v="1"/>
    <x v="6"/>
  </r>
  <r>
    <s v="PO-2026-00625"/>
    <s v="ORD-130843"/>
    <d v="2026-04-03T00:00:00"/>
    <d v="2026-04-11T00:00:00"/>
    <x v="177"/>
    <x v="2"/>
    <x v="2"/>
    <x v="2"/>
    <x v="1"/>
    <x v="2"/>
    <s v="SKU-IND-517"/>
    <s v="Safety Gloves"/>
    <n v="150.02000000000001"/>
    <s v="GHS"/>
    <n v="8.8999999999999996E-2"/>
    <n v="13.35178"/>
    <s v=""/>
    <n v="15002"/>
    <e v="#VALUE!"/>
    <n v="1335.1779999999999"/>
    <n v="4"/>
    <n v="0.04"/>
    <n v="17"/>
    <n v="17"/>
    <n v="8"/>
    <n v="8"/>
    <n v="9"/>
    <m/>
    <x v="0"/>
    <x v="0"/>
    <x v="1"/>
    <x v="1"/>
    <x v="0"/>
    <x v="4"/>
    <x v="0"/>
    <x v="0"/>
    <n v="2.5"/>
    <x v="0"/>
    <x v="0"/>
  </r>
  <r>
    <s v="PO-2026-00915"/>
    <s v="ORD-395997"/>
    <d v="2026-03-23T00:00:00"/>
    <d v="2026-04-04T00:00:00"/>
    <x v="161"/>
    <x v="4"/>
    <x v="4"/>
    <x v="4"/>
    <x v="0"/>
    <x v="5"/>
    <s v="SKU-RAW-937"/>
    <s v="Agro Binder"/>
    <n v="826.06"/>
    <s v="KES"/>
    <n v="7.7000000000000002E-3"/>
    <n v="6.3606619999999996"/>
    <n v="300"/>
    <n v="247818"/>
    <n v="247817.99999999997"/>
    <n v="1908.1986000000002"/>
    <n v="4"/>
    <n v="1.3299999999999999E-2"/>
    <n v="16"/>
    <n v="16"/>
    <s v=""/>
    <n v="12"/>
    <n v="4"/>
    <n v="4"/>
    <x v="1"/>
    <x v="0"/>
    <x v="4"/>
    <x v="5"/>
    <x v="4"/>
    <x v="2"/>
    <x v="3"/>
    <x v="0"/>
    <n v="2.8"/>
    <x v="0"/>
    <x v="5"/>
  </r>
  <r>
    <s v="PO-2026-00916"/>
    <s v="ORD-839086"/>
    <d v="2026-01-16T00:00:00"/>
    <d v="2026-01-29T00:00:00"/>
    <x v="36"/>
    <x v="2"/>
    <x v="2"/>
    <x v="2"/>
    <x v="8"/>
    <x v="5"/>
    <s v="SKU-RAW-858"/>
    <s v="Chemical Additive"/>
    <n v="684.02"/>
    <s v="ZAR"/>
    <n v="6.0999999999999999E-2"/>
    <n v="41.72522"/>
    <n v="100"/>
    <n v="68402"/>
    <n v="68402"/>
    <n v="4172.5219999999999"/>
    <n v="2"/>
    <n v="0.02"/>
    <n v="15"/>
    <n v="15"/>
    <n v="13"/>
    <n v="13"/>
    <n v="2"/>
    <n v="2"/>
    <x v="1"/>
    <x v="0"/>
    <x v="1"/>
    <x v="2"/>
    <x v="3"/>
    <x v="5"/>
    <x v="2"/>
    <x v="0"/>
    <n v="3.5"/>
    <x v="3"/>
    <x v="0"/>
  </r>
  <r>
    <s v="PO-2026-00917"/>
    <s v="ORD-126331"/>
    <d v="2026-05-16T00:00:00"/>
    <d v="2026-05-23T00:00:00"/>
    <x v="2"/>
    <x v="12"/>
    <x v="12"/>
    <x v="2"/>
    <x v="5"/>
    <x v="4"/>
    <s v="SKU-PAC-212"/>
    <s v="Corrugated Box"/>
    <n v="607"/>
    <s v="USD"/>
    <n v="1"/>
    <n v="607"/>
    <n v="100"/>
    <n v="60700"/>
    <n v="60700"/>
    <n v="60700"/>
    <n v="1"/>
    <n v="0.01"/>
    <n v="7"/>
    <n v="7"/>
    <n v="7"/>
    <n v="7"/>
    <n v="0"/>
    <n v="0"/>
    <x v="2"/>
    <x v="0"/>
    <x v="1"/>
    <x v="3"/>
    <x v="2"/>
    <x v="5"/>
    <x v="3"/>
    <x v="0"/>
    <n v="2.9"/>
    <x v="6"/>
    <x v="2"/>
  </r>
  <r>
    <s v="PO-2026-00918"/>
    <s v="ORD-286461"/>
    <d v="2026-06-02T00:00:00"/>
    <d v="2026-06-21T00:00:00"/>
    <x v="121"/>
    <x v="7"/>
    <x v="7"/>
    <x v="6"/>
    <x v="8"/>
    <x v="4"/>
    <s v="SKU-PAC-344"/>
    <s v="Shipping Carton"/>
    <n v="763.52"/>
    <s v="NGN"/>
    <n v="7.2999999999999996E-4"/>
    <n v="0.55736959999999991"/>
    <n v="150"/>
    <n v="114528"/>
    <n v="114528"/>
    <n v="83.605440000000002"/>
    <n v="0"/>
    <n v="0"/>
    <n v="14"/>
    <n v="14"/>
    <n v="19"/>
    <n v="19"/>
    <n v="-5"/>
    <n v="-5"/>
    <x v="2"/>
    <x v="0"/>
    <x v="2"/>
    <x v="2"/>
    <x v="0"/>
    <x v="4"/>
    <x v="5"/>
    <x v="0"/>
    <n v="4.5999999999999996"/>
    <x v="5"/>
    <x v="4"/>
  </r>
  <r>
    <s v="PO-2026-00919"/>
    <s v="ORD-472583"/>
    <d v="2026-03-31T00:00:00"/>
    <d v="2026-04-10T00:00:00"/>
    <x v="104"/>
    <x v="12"/>
    <x v="12"/>
    <x v="2"/>
    <x v="4"/>
    <x v="4"/>
    <s v="SKU-PAC-233"/>
    <s v="Plastic Film Roll"/>
    <n v="138.22"/>
    <s v="ZAR"/>
    <n v="6.0999999999999999E-2"/>
    <n v="8.4314199999999992"/>
    <n v="50"/>
    <n v="6911"/>
    <n v="6911"/>
    <n v="421.57099999999997"/>
    <n v="2"/>
    <n v="0.04"/>
    <n v="21"/>
    <n v="21"/>
    <n v="10"/>
    <n v="10"/>
    <n v="11"/>
    <n v="11"/>
    <x v="4"/>
    <x v="0"/>
    <x v="0"/>
    <x v="2"/>
    <x v="4"/>
    <x v="1"/>
    <x v="1"/>
    <x v="0"/>
    <n v="1.5"/>
    <x v="4"/>
    <x v="0"/>
  </r>
  <r>
    <s v="PO-2026-00920"/>
    <s v="ORD-451609"/>
    <d v="2026-06-17T00:00:00"/>
    <d v="2026-06-22T00:00:00"/>
    <x v="39"/>
    <x v="11"/>
    <x v="11"/>
    <x v="8"/>
    <x v="3"/>
    <x v="1"/>
    <s v="SKU-ELE-906"/>
    <s v="Control Board"/>
    <n v="1308.74"/>
    <s v="EGP"/>
    <n v="1.9E-2"/>
    <n v="24.866060000000001"/>
    <n v="250"/>
    <n v="327185"/>
    <n v="327185"/>
    <n v="6216.5149999999994"/>
    <n v="3"/>
    <n v="1.2E-2"/>
    <s v=""/>
    <n v="7"/>
    <n v="5"/>
    <n v="5"/>
    <n v="2"/>
    <n v="2"/>
    <x v="1"/>
    <x v="0"/>
    <x v="0"/>
    <x v="3"/>
    <x v="0"/>
    <x v="3"/>
    <x v="5"/>
    <x v="0"/>
    <n v="2.5"/>
    <x v="1"/>
    <x v="0"/>
  </r>
  <r>
    <s v="PO-2026-00921"/>
    <s v="ORD-804897"/>
    <d v="2026-04-22T00:00:00"/>
    <d v="2026-04-29T00:00:00"/>
    <x v="142"/>
    <x v="12"/>
    <x v="12"/>
    <x v="2"/>
    <x v="4"/>
    <x v="4"/>
    <s v="SKU-PAC-757"/>
    <s v="Corrugated Box"/>
    <n v="465.95"/>
    <s v="ZAR"/>
    <n v="6.0999999999999999E-2"/>
    <n v="28.42295"/>
    <n v="500"/>
    <n v="232975"/>
    <n v="232975"/>
    <n v="14211.475"/>
    <n v="4"/>
    <n v="8.0000000000000002E-3"/>
    <n v="15"/>
    <n v="15"/>
    <n v="7"/>
    <n v="7"/>
    <n v="8"/>
    <n v="8"/>
    <x v="0"/>
    <x v="0"/>
    <x v="0"/>
    <x v="5"/>
    <x v="1"/>
    <x v="0"/>
    <x v="3"/>
    <x v="0"/>
    <n v="1.5"/>
    <x v="0"/>
    <x v="0"/>
  </r>
  <r>
    <s v="PO-2026-00910"/>
    <s v="ORD-958151"/>
    <d v="2026-04-18T00:00:00"/>
    <d v="2026-05-07T00:00:00"/>
    <x v="157"/>
    <x v="13"/>
    <x v="13"/>
    <x v="9"/>
    <x v="5"/>
    <x v="3"/>
    <s v="SKU-TEX-116"/>
    <s v="Polyester Roll"/>
    <n v="840.04"/>
    <s v="ZAR"/>
    <n v="6.0999999999999999E-2"/>
    <n v="51.242439999999995"/>
    <n v="500"/>
    <n v="420020"/>
    <n v="420020"/>
    <n v="25621.22"/>
    <n v="1"/>
    <n v="2E-3"/>
    <n v="14"/>
    <n v="14"/>
    <n v="19"/>
    <n v="19"/>
    <n v="-5"/>
    <n v="-5"/>
    <x v="2"/>
    <x v="0"/>
    <x v="1"/>
    <x v="5"/>
    <x v="3"/>
    <x v="4"/>
    <x v="4"/>
    <x v="0"/>
    <n v="3.7"/>
    <x v="0"/>
    <x v="2"/>
  </r>
  <r>
    <s v="PO-2026-00923"/>
    <s v="ORD-552012"/>
    <d v="2026-02-04T00:00:00"/>
    <d v="2026-02-17T00:00:00"/>
    <x v="124"/>
    <x v="3"/>
    <x v="3"/>
    <x v="3"/>
    <x v="3"/>
    <x v="4"/>
    <s v="SKU-PAC-652"/>
    <s v="Plastic Film Roll"/>
    <n v="754.6"/>
    <s v="USD"/>
    <n v="1"/>
    <n v="754.6"/>
    <n v="500"/>
    <n v="377300"/>
    <n v="377300"/>
    <n v="377300"/>
    <n v="23"/>
    <n v="4.5999999999999999E-2"/>
    <n v="17"/>
    <n v="17"/>
    <n v="13"/>
    <n v="13"/>
    <n v="4"/>
    <n v="4"/>
    <x v="0"/>
    <x v="1"/>
    <x v="0"/>
    <x v="3"/>
    <x v="0"/>
    <x v="5"/>
    <x v="5"/>
    <x v="1"/>
    <n v="1.3"/>
    <x v="0"/>
    <x v="1"/>
  </r>
  <r>
    <s v="PO-2026-00924"/>
    <s v="ORD-577737"/>
    <d v="2026-03-09T00:00:00"/>
    <d v="2026-03-22T00:00:00"/>
    <x v="47"/>
    <x v="11"/>
    <x v="11"/>
    <x v="8"/>
    <x v="3"/>
    <x v="5"/>
    <s v="SKU-RAW-257"/>
    <s v="Agro Binder"/>
    <n v="330.24"/>
    <s v="GHS"/>
    <n v="8.8999999999999996E-2"/>
    <n v="29.391359999999999"/>
    <n v="50"/>
    <n v="16512"/>
    <n v="16512"/>
    <n v="1469.568"/>
    <n v="2"/>
    <n v="0.04"/>
    <n v="18"/>
    <n v="18"/>
    <n v="13"/>
    <n v="13"/>
    <n v="5"/>
    <m/>
    <x v="1"/>
    <x v="0"/>
    <x v="1"/>
    <x v="3"/>
    <x v="0"/>
    <x v="4"/>
    <x v="2"/>
    <x v="0"/>
    <n v="4.8"/>
    <x v="2"/>
    <x v="0"/>
  </r>
  <r>
    <s v="PO-2026-00925"/>
    <s v="ORD-509869"/>
    <d v="2026-03-17T00:00:00"/>
    <d v="2026-03-27T00:00:00"/>
    <x v="165"/>
    <x v="6"/>
    <x v="6"/>
    <x v="1"/>
    <x v="7"/>
    <x v="1"/>
    <s v="SKU-ELE-188"/>
    <s v="LED Driver"/>
    <n v="1559.61"/>
    <s v="USD"/>
    <n v="1"/>
    <n v="1559.61"/>
    <n v="250"/>
    <n v="389902.5"/>
    <n v="389902.5"/>
    <n v="389902.5"/>
    <n v="11"/>
    <n v="4.3999999999999997E-2"/>
    <n v="17"/>
    <n v="17"/>
    <n v="10"/>
    <n v="10"/>
    <n v="7"/>
    <n v="7"/>
    <x v="0"/>
    <x v="4"/>
    <x v="0"/>
    <x v="5"/>
    <x v="1"/>
    <x v="5"/>
    <x v="0"/>
    <x v="5"/>
    <n v="2.2999999999999998"/>
    <x v="1"/>
    <x v="1"/>
  </r>
  <r>
    <s v="PO-2026-00926"/>
    <s v="ORD-647941"/>
    <d v="2026-04-18T00:00:00"/>
    <d v="2026-05-07T00:00:00"/>
    <x v="50"/>
    <x v="6"/>
    <x v="6"/>
    <x v="1"/>
    <x v="1"/>
    <x v="1"/>
    <s v="SKU-ELE-365"/>
    <s v="Sensor Module"/>
    <n v="2662.25"/>
    <s v="NGN"/>
    <n v="7.2999999999999996E-4"/>
    <n v="1.9434425"/>
    <n v="150"/>
    <n v="399337.5"/>
    <n v="399337.5"/>
    <n v="291.51637499999998"/>
    <n v="6"/>
    <n v="0.04"/>
    <n v="21"/>
    <n v="21"/>
    <n v="19"/>
    <n v="19"/>
    <n v="2"/>
    <n v="2"/>
    <x v="1"/>
    <x v="0"/>
    <x v="1"/>
    <x v="2"/>
    <x v="5"/>
    <x v="4"/>
    <x v="2"/>
    <x v="0"/>
    <n v="4.3"/>
    <x v="3"/>
    <x v="0"/>
  </r>
  <r>
    <s v="PO-2026-00927"/>
    <s v="ORD-275636"/>
    <d v="2026-03-30T00:00:00"/>
    <d v="2026-04-10T00:00:00"/>
    <x v="149"/>
    <x v="9"/>
    <x v="9"/>
    <x v="2"/>
    <x v="6"/>
    <x v="4"/>
    <s v="SKU-PAC-757"/>
    <s v="Shipping Carton"/>
    <n v="261.44"/>
    <s v="NGN"/>
    <n v="7.2999999999999996E-4"/>
    <n v="0.1908512"/>
    <n v="750"/>
    <n v="196080"/>
    <n v="196080"/>
    <n v="143.13839999999999"/>
    <n v="15"/>
    <n v="0.02"/>
    <n v="1"/>
    <n v="1"/>
    <n v="11"/>
    <n v="11"/>
    <n v="-10"/>
    <n v="-10"/>
    <x v="5"/>
    <x v="0"/>
    <x v="3"/>
    <x v="4"/>
    <x v="5"/>
    <x v="6"/>
    <x v="4"/>
    <x v="0"/>
    <n v="4.5999999999999996"/>
    <x v="4"/>
    <x v="4"/>
  </r>
  <r>
    <s v="PO-2026-00928"/>
    <s v="ORD-280771"/>
    <d v="2026-06-11T00:00:00"/>
    <d v="2026-06-28T00:00:00"/>
    <x v="114"/>
    <x v="1"/>
    <x v="1"/>
    <x v="1"/>
    <x v="3"/>
    <x v="1"/>
    <s v="SKU-ELE-197"/>
    <s v="LED Driver"/>
    <n v="1310.24"/>
    <s v="GHS"/>
    <n v="8.8999999999999996E-2"/>
    <n v="116.61135999999999"/>
    <n v="2000"/>
    <n v="2620480"/>
    <n v="2620480"/>
    <n v="233222.72"/>
    <n v="74"/>
    <n v="3.6999999999999998E-2"/>
    <n v="10"/>
    <n v="10"/>
    <s v=""/>
    <n v="17"/>
    <n v="-7"/>
    <n v="-7"/>
    <x v="5"/>
    <x v="0"/>
    <x v="1"/>
    <x v="5"/>
    <x v="2"/>
    <x v="1"/>
    <x v="2"/>
    <x v="0"/>
    <n v="3.7"/>
    <x v="2"/>
    <x v="2"/>
  </r>
  <r>
    <s v="PO-2026-00929"/>
    <s v="ORD-364218"/>
    <d v="2026-05-19T00:00:00"/>
    <d v="2026-06-03T00:00:00"/>
    <x v="132"/>
    <x v="5"/>
    <x v="5"/>
    <x v="5"/>
    <x v="5"/>
    <x v="3"/>
    <s v="SKU-TEX-399"/>
    <s v="Uniform Material"/>
    <n v="218.72"/>
    <s v="EGP"/>
    <n v="1.9E-2"/>
    <n v="4.1556800000000003"/>
    <n v="75"/>
    <n v="16404"/>
    <n v="16404"/>
    <n v="311.67599999999999"/>
    <n v="0"/>
    <n v="0"/>
    <n v="7"/>
    <n v="7"/>
    <n v="15"/>
    <n v="15"/>
    <n v="-8"/>
    <n v="-8"/>
    <x v="2"/>
    <x v="0"/>
    <x v="0"/>
    <x v="4"/>
    <x v="2"/>
    <x v="3"/>
    <x v="2"/>
    <x v="0"/>
    <n v="3.2"/>
    <x v="6"/>
    <x v="2"/>
  </r>
  <r>
    <s v="PO-2026-00930"/>
    <s v="ORD-191710"/>
    <d v="2026-01-17T00:00:00"/>
    <d v="2026-01-18T00:00:00"/>
    <x v="106"/>
    <x v="9"/>
    <x v="9"/>
    <x v="2"/>
    <x v="8"/>
    <x v="4"/>
    <s v="SKU-PAC-936"/>
    <s v="Bottle Caps"/>
    <n v="449.33"/>
    <s v="NGN"/>
    <n v="7.2999999999999996E-4"/>
    <n v="0.32801089999999999"/>
    <n v="50"/>
    <n v="22466.5"/>
    <n v="22466.5"/>
    <n v="16.400544999999997"/>
    <n v="0"/>
    <n v="0"/>
    <n v="12"/>
    <n v="12"/>
    <n v="1"/>
    <n v="1"/>
    <n v="11"/>
    <n v="11"/>
    <x v="1"/>
    <x v="0"/>
    <x v="0"/>
    <x v="1"/>
    <x v="5"/>
    <x v="2"/>
    <x v="4"/>
    <x v="0"/>
    <n v="2.7"/>
    <x v="3"/>
    <x v="9"/>
  </r>
  <r>
    <s v="PO-2026-00931"/>
    <s v="ORD-428537"/>
    <d v="2026-04-24T00:00:00"/>
    <d v="2026-05-12T00:00:00"/>
    <x v="157"/>
    <x v="6"/>
    <x v="6"/>
    <x v="1"/>
    <x v="3"/>
    <x v="1"/>
    <s v="SKU-ELE-825"/>
    <s v="Power Adapter"/>
    <s v=""/>
    <s v="USD"/>
    <n v="1"/>
    <s v=""/>
    <n v="1000"/>
    <n v="4184090"/>
    <e v="#VALUE!"/>
    <n v="4184090"/>
    <n v="24"/>
    <n v="2.4E-2"/>
    <n v="8"/>
    <n v="8"/>
    <n v="18"/>
    <n v="18"/>
    <n v="-10"/>
    <n v="-10"/>
    <x v="2"/>
    <x v="0"/>
    <x v="1"/>
    <x v="0"/>
    <x v="0"/>
    <x v="2"/>
    <x v="2"/>
    <x v="0"/>
    <n v="4.2"/>
    <x v="4"/>
    <x v="2"/>
  </r>
  <r>
    <s v="PO-2026-00932"/>
    <s v="ORD-825114"/>
    <d v="2026-03-13T00:00:00"/>
    <d v="2026-03-28T00:00:00"/>
    <x v="29"/>
    <x v="14"/>
    <x v="14"/>
    <x v="10"/>
    <x v="1"/>
    <x v="2"/>
    <s v="SKU-IND-995"/>
    <s v="Filter Cartridge"/>
    <n v="580.20000000000005"/>
    <s v="ZAR"/>
    <n v="6.0999999999999999E-2"/>
    <n v="35.392200000000003"/>
    <n v="150"/>
    <n v="87030"/>
    <n v="87030"/>
    <n v="5308.83"/>
    <n v="0"/>
    <n v="0"/>
    <s v=""/>
    <n v="11"/>
    <n v="15"/>
    <n v="15"/>
    <n v="-4"/>
    <n v="-4"/>
    <x v="2"/>
    <x v="0"/>
    <x v="2"/>
    <x v="2"/>
    <x v="0"/>
    <x v="0"/>
    <x v="5"/>
    <x v="0"/>
    <n v="4.9000000000000004"/>
    <x v="3"/>
    <x v="4"/>
  </r>
  <r>
    <s v="PO-2026-00933"/>
    <s v="ORD-936914"/>
    <d v="2026-06-21T00:00:00"/>
    <d v="2026-06-29T00:00:00"/>
    <x v="99"/>
    <x v="10"/>
    <x v="10"/>
    <x v="2"/>
    <x v="8"/>
    <x v="1"/>
    <s v="SKU-ELE-659"/>
    <s v="Power Adapter"/>
    <n v="2713.04"/>
    <s v="NGN"/>
    <n v="7.2999999999999996E-4"/>
    <n v="1.9805191999999998"/>
    <n v="300"/>
    <n v="813912"/>
    <n v="813912"/>
    <n v="594.15575999999999"/>
    <n v="4"/>
    <n v="1.3299999999999999E-2"/>
    <n v="12"/>
    <n v="12"/>
    <n v="8"/>
    <n v="8"/>
    <n v="4"/>
    <n v="4"/>
    <x v="0"/>
    <x v="0"/>
    <x v="0"/>
    <x v="0"/>
    <x v="0"/>
    <x v="3"/>
    <x v="3"/>
    <x v="0"/>
    <n v="3.8"/>
    <x v="5"/>
    <x v="0"/>
  </r>
  <r>
    <s v="PO-2026-00934"/>
    <s v="ORD-685579"/>
    <d v="2026-05-26T00:00:00"/>
    <d v="2026-06-05T00:00:00"/>
    <x v="13"/>
    <x v="1"/>
    <x v="1"/>
    <x v="1"/>
    <x v="5"/>
    <x v="1"/>
    <s v="SKU-ELE-363"/>
    <s v="Power Adapter"/>
    <n v="659.21"/>
    <s v="USD"/>
    <n v="1"/>
    <n v="659.21"/>
    <n v="75"/>
    <n v="49440.75"/>
    <n v="49440.75"/>
    <n v="49440.75"/>
    <n v="9"/>
    <n v="0.12"/>
    <n v="5"/>
    <n v="5"/>
    <n v="10"/>
    <n v="10"/>
    <n v="-5"/>
    <n v="-5"/>
    <x v="5"/>
    <x v="1"/>
    <x v="0"/>
    <x v="4"/>
    <x v="1"/>
    <x v="3"/>
    <x v="2"/>
    <x v="5"/>
    <n v="6"/>
    <x v="5"/>
    <x v="15"/>
  </r>
  <r>
    <s v="PO-2026-00935"/>
    <s v="ORD-336425"/>
    <d v="2026-03-24T00:00:00"/>
    <d v="2026-04-04T00:00:00"/>
    <x v="32"/>
    <x v="3"/>
    <x v="3"/>
    <x v="3"/>
    <x v="1"/>
    <x v="4"/>
    <s v="SKU-PAC-975"/>
    <s v="Shipping Carton"/>
    <n v="646.12"/>
    <s v="KES"/>
    <n v="7.7000000000000002E-3"/>
    <n v="4.9751240000000001"/>
    <n v="150"/>
    <n v="96918"/>
    <n v="96918"/>
    <n v="746.26859999999999"/>
    <n v="9"/>
    <n v="0.06"/>
    <n v="9"/>
    <n v="9"/>
    <n v="11"/>
    <n v="11"/>
    <n v="-2"/>
    <n v="-2"/>
    <x v="2"/>
    <x v="4"/>
    <x v="2"/>
    <x v="3"/>
    <x v="5"/>
    <x v="2"/>
    <x v="0"/>
    <x v="2"/>
    <n v="1.3"/>
    <x v="0"/>
    <x v="8"/>
  </r>
  <r>
    <s v="PO-2026-00936"/>
    <s v="ORD-130264"/>
    <d v="2026-05-09T00:00:00"/>
    <d v="2026-05-24T00:00:00"/>
    <x v="31"/>
    <x v="14"/>
    <x v="14"/>
    <x v="10"/>
    <x v="3"/>
    <x v="0"/>
    <s v="SKU-MAC-826"/>
    <s v="Gear Assembly"/>
    <n v="2361.5700000000002"/>
    <s v="ZAR"/>
    <n v="6.0999999999999999E-2"/>
    <n v="144.05577"/>
    <n v="500"/>
    <n v="1180785"/>
    <n v="1180785"/>
    <n v="72027.884999999995"/>
    <n v="8"/>
    <n v="1.6E-2"/>
    <n v="19"/>
    <n v="19"/>
    <n v="15"/>
    <n v="15"/>
    <n v="4"/>
    <n v="4"/>
    <x v="4"/>
    <x v="0"/>
    <x v="4"/>
    <x v="4"/>
    <x v="1"/>
    <x v="6"/>
    <x v="0"/>
    <x v="0"/>
    <n v="4.7"/>
    <x v="2"/>
    <x v="5"/>
  </r>
  <r>
    <s v="PO-2026-00931"/>
    <s v="ORD-758185"/>
    <d v="2026-04-13T00:00:00"/>
    <d v="2026-04-17T00:00:00"/>
    <x v="177"/>
    <x v="3"/>
    <x v="3"/>
    <x v="3"/>
    <x v="0"/>
    <x v="4"/>
    <s v="SKU-PAC-503"/>
    <s v="Corrugated Box"/>
    <n v="223.59"/>
    <s v="KES"/>
    <n v="7.7000000000000002E-3"/>
    <n v="1.721643"/>
    <n v="50"/>
    <n v="11179.5"/>
    <n v="11179.5"/>
    <n v="86.082149999999999"/>
    <n v="0"/>
    <n v="0"/>
    <n v="7"/>
    <n v="7"/>
    <n v="4"/>
    <n v="4"/>
    <n v="3"/>
    <n v="3"/>
    <x v="1"/>
    <x v="0"/>
    <x v="1"/>
    <x v="3"/>
    <x v="5"/>
    <x v="2"/>
    <x v="2"/>
    <x v="0"/>
    <n v="3.8"/>
    <x v="3"/>
    <x v="0"/>
  </r>
  <r>
    <s v="PO-2026-00938"/>
    <s v="ORD-926276"/>
    <d v="2026-05-23T00:00:00"/>
    <d v="2026-06-06T00:00:00"/>
    <x v="122"/>
    <x v="8"/>
    <x v="8"/>
    <x v="7"/>
    <x v="4"/>
    <x v="1"/>
    <s v="SKU-ELE-610"/>
    <s v="Sensor Module"/>
    <n v="525.83000000000004"/>
    <s v="NGN"/>
    <n v="7.2999999999999996E-4"/>
    <n v="0.38385590000000003"/>
    <n v="1000"/>
    <n v="525830"/>
    <n v="525830"/>
    <n v="383.85589999999996"/>
    <n v="8"/>
    <n v="8.0000000000000002E-3"/>
    <n v="21"/>
    <n v="21"/>
    <n v="14"/>
    <n v="14"/>
    <n v="7"/>
    <n v="7"/>
    <x v="4"/>
    <x v="0"/>
    <x v="0"/>
    <x v="2"/>
    <x v="3"/>
    <x v="6"/>
    <x v="3"/>
    <x v="0"/>
    <n v="2.5"/>
    <x v="3"/>
    <x v="0"/>
  </r>
  <r>
    <s v="PO-2026-00939"/>
    <s v="ORD-925155"/>
    <d v="2026-01-25T00:00:00"/>
    <d v="2026-02-15T00:00:00"/>
    <x v="181"/>
    <x v="7"/>
    <x v="7"/>
    <x v="6"/>
    <x v="2"/>
    <x v="2"/>
    <s v="SKU-IND-224"/>
    <s v="Welding Rod"/>
    <n v="304.73"/>
    <s v="USD"/>
    <n v="1"/>
    <n v="304.73"/>
    <n v="1500"/>
    <n v="457095"/>
    <n v="457095"/>
    <n v="457095"/>
    <n v="31"/>
    <n v="2.07E-2"/>
    <n v="32"/>
    <n v="32"/>
    <n v="21"/>
    <n v="21"/>
    <n v="11"/>
    <n v="11"/>
    <x v="4"/>
    <x v="0"/>
    <x v="3"/>
    <x v="0"/>
    <x v="1"/>
    <x v="4"/>
    <x v="4"/>
    <x v="0"/>
    <n v="3.2"/>
    <x v="5"/>
    <x v="5"/>
  </r>
  <r>
    <s v="PO-2026-00940"/>
    <s v="ORD-104622"/>
    <d v="2026-05-28T00:00:00"/>
    <d v="2026-06-04T00:00:00"/>
    <x v="12"/>
    <x v="11"/>
    <x v="11"/>
    <x v="8"/>
    <x v="2"/>
    <x v="4"/>
    <s v="SKU-PAC-436"/>
    <s v="Corrugated Box"/>
    <n v="592.28"/>
    <s v="USD"/>
    <n v="1"/>
    <n v="592.28"/>
    <n v="100"/>
    <n v="59228"/>
    <n v="59228"/>
    <n v="59228"/>
    <n v="2"/>
    <n v="0.02"/>
    <n v="13"/>
    <n v="13"/>
    <n v="7"/>
    <n v="7"/>
    <n v="6"/>
    <n v="6"/>
    <x v="4"/>
    <x v="0"/>
    <x v="4"/>
    <x v="2"/>
    <x v="4"/>
    <x v="3"/>
    <x v="3"/>
    <x v="0"/>
    <n v="2.9"/>
    <x v="4"/>
    <x v="5"/>
  </r>
  <r>
    <s v="PO-2026-00941"/>
    <s v="ORD-250270"/>
    <d v="2026-01-31T00:00:00"/>
    <d v="2026-02-07T00:00:00"/>
    <x v="191"/>
    <x v="12"/>
    <x v="12"/>
    <x v="2"/>
    <x v="2"/>
    <x v="4"/>
    <s v="SKU-PAC-473"/>
    <s v="Bottle Caps"/>
    <n v="106.48"/>
    <s v="GHS"/>
    <n v="8.8999999999999996E-2"/>
    <n v="9.4767200000000003"/>
    <n v="1000"/>
    <n v="106480"/>
    <n v="106480"/>
    <n v="9476.7199999999993"/>
    <n v="53"/>
    <n v="5.2999999999999999E-2"/>
    <n v="2"/>
    <n v="2"/>
    <n v="7"/>
    <n v="7"/>
    <n v="-5"/>
    <n v="-5"/>
    <x v="5"/>
    <x v="2"/>
    <x v="1"/>
    <x v="1"/>
    <x v="5"/>
    <x v="4"/>
    <x v="4"/>
    <x v="5"/>
    <n v="3.1"/>
    <x v="2"/>
    <x v="3"/>
  </r>
  <r>
    <s v="PO-2026-00942"/>
    <s v="ORD-859368"/>
    <d v="2026-04-03T00:00:00"/>
    <d v="2026-04-18T00:00:00"/>
    <x v="104"/>
    <x v="8"/>
    <x v="8"/>
    <x v="7"/>
    <x v="0"/>
    <x v="1"/>
    <s v="SKU-ELE-740"/>
    <s v="Sensor Module"/>
    <n v="1969.5"/>
    <s v="EGP"/>
    <n v="1.9E-2"/>
    <n v="37.420499999999997"/>
    <n v="300"/>
    <n v="590850"/>
    <n v="590850"/>
    <n v="11226.15"/>
    <n v="2"/>
    <n v="6.7000000000000002E-3"/>
    <n v="18"/>
    <n v="18"/>
    <n v="15"/>
    <n v="15"/>
    <n v="3"/>
    <n v="3"/>
    <x v="3"/>
    <x v="5"/>
    <x v="1"/>
    <x v="5"/>
    <x v="2"/>
    <x v="1"/>
    <x v="4"/>
    <x v="0"/>
    <n v="2.9"/>
    <x v="4"/>
    <x v="0"/>
  </r>
  <r>
    <s v="PO-2026-00943"/>
    <s v="ORD-803253"/>
    <d v="2026-03-25T00:00:00"/>
    <d v="2026-04-06T00:00:00"/>
    <x v="24"/>
    <x v="14"/>
    <x v="14"/>
    <x v="10"/>
    <x v="3"/>
    <x v="5"/>
    <s v="SKU-RAW-858"/>
    <s v="Polymer Resin"/>
    <n v="410.42"/>
    <s v="NGN"/>
    <n v="7.2999999999999996E-4"/>
    <n v="0.2996066"/>
    <n v="75"/>
    <n v="30781.5"/>
    <n v="30781.5"/>
    <n v="22.470495"/>
    <n v="0"/>
    <n v="0"/>
    <n v="22"/>
    <n v="22"/>
    <n v="12"/>
    <n v="12"/>
    <n v="10"/>
    <n v="10"/>
    <x v="4"/>
    <x v="3"/>
    <x v="1"/>
    <x v="5"/>
    <x v="1"/>
    <x v="5"/>
    <x v="5"/>
    <x v="0"/>
    <n v="2.6"/>
    <x v="2"/>
    <x v="0"/>
  </r>
  <r>
    <s v="PO-2026-00944"/>
    <s v="ORD-892095"/>
    <d v="2026-06-09T00:00:00"/>
    <d v="2026-06-26T00:00:00"/>
    <x v="30"/>
    <x v="13"/>
    <x v="13"/>
    <x v="9"/>
    <x v="7"/>
    <x v="3"/>
    <s v="SKU-TEX-607"/>
    <s v="Label Tape"/>
    <n v="730.18"/>
    <s v="ZAR"/>
    <n v="6.0999999999999999E-2"/>
    <n v="44.540979999999998"/>
    <n v="1500"/>
    <n v="1095270"/>
    <n v="1095270"/>
    <n v="66811.47"/>
    <n v="25"/>
    <n v="1.67E-2"/>
    <n v="19"/>
    <n v="19"/>
    <n v="17"/>
    <n v="17"/>
    <n v="2"/>
    <n v="2"/>
    <x v="1"/>
    <x v="0"/>
    <x v="4"/>
    <x v="1"/>
    <x v="3"/>
    <x v="6"/>
    <x v="3"/>
    <x v="0"/>
    <n v="3.4"/>
    <x v="3"/>
    <x v="5"/>
  </r>
  <r>
    <s v="PO-2026-00945"/>
    <s v="ORD-786064"/>
    <d v="2026-03-02T00:00:00"/>
    <d v="2026-03-21T00:00:00"/>
    <x v="71"/>
    <x v="0"/>
    <x v="0"/>
    <x v="0"/>
    <x v="1"/>
    <x v="0"/>
    <s v="SKU-MAC-959"/>
    <s v="Conveyor Belt"/>
    <n v="1317.68"/>
    <s v="TZS"/>
    <n v="3.8999999999999999E-4"/>
    <n v="0.5138952"/>
    <n v="150"/>
    <n v="197652"/>
    <n v="197652"/>
    <n v="77.084279999999993"/>
    <n v="1"/>
    <n v="6.7000000000000002E-3"/>
    <n v="19"/>
    <n v="19"/>
    <n v="19"/>
    <n v="19"/>
    <n v="0"/>
    <n v="0"/>
    <x v="5"/>
    <x v="0"/>
    <x v="0"/>
    <x v="0"/>
    <x v="5"/>
    <x v="3"/>
    <x v="2"/>
    <x v="0"/>
    <n v="3.6"/>
    <x v="2"/>
    <x v="2"/>
  </r>
  <r>
    <s v="PO-2026-00946"/>
    <s v="ORD-179813"/>
    <d v="2026-06-02T00:00:00"/>
    <d v="2026-06-08T00:00:00"/>
    <x v="128"/>
    <x v="12"/>
    <x v="12"/>
    <x v="2"/>
    <x v="7"/>
    <x v="4"/>
    <s v="SKU-PAC-517"/>
    <s v="Shipping Carton"/>
    <n v="633.19000000000005"/>
    <s v="USD"/>
    <n v="1"/>
    <n v="633.19000000000005"/>
    <n v="250"/>
    <n v="158297.5"/>
    <n v="158297.5"/>
    <n v="158297.5"/>
    <n v="4"/>
    <n v="1.6E-2"/>
    <n v="17"/>
    <n v="17"/>
    <n v="6"/>
    <n v="6"/>
    <n v="11"/>
    <n v="11"/>
    <x v="1"/>
    <x v="0"/>
    <x v="1"/>
    <x v="2"/>
    <x v="4"/>
    <x v="2"/>
    <x v="4"/>
    <x v="0"/>
    <n v="1.8"/>
    <x v="6"/>
    <x v="0"/>
  </r>
  <r>
    <s v="PO-2026-00947"/>
    <s v="ORD-679645"/>
    <d v="2026-03-03T00:00:00"/>
    <d v="2026-03-20T00:00:00"/>
    <x v="68"/>
    <x v="1"/>
    <x v="1"/>
    <x v="1"/>
    <x v="4"/>
    <x v="1"/>
    <s v="SKU-ELE-443"/>
    <s v="Power Adapter"/>
    <n v="1456.78"/>
    <s v="USD"/>
    <n v="1"/>
    <n v="1456.78"/>
    <n v="50"/>
    <s v=""/>
    <n v="72839"/>
    <s v=""/>
    <n v="0"/>
    <n v="0"/>
    <n v="25"/>
    <n v="25"/>
    <n v="17"/>
    <n v="17"/>
    <n v="8"/>
    <n v="8"/>
    <x v="0"/>
    <x v="0"/>
    <x v="1"/>
    <x v="3"/>
    <x v="3"/>
    <x v="4"/>
    <x v="1"/>
    <x v="0"/>
    <n v="2.8"/>
    <x v="1"/>
    <x v="0"/>
  </r>
  <r>
    <s v="PO-2026-00948"/>
    <s v="ORD-105935"/>
    <d v="2026-06-02T00:00:00"/>
    <d v="2026-06-23T00:00:00"/>
    <x v="74"/>
    <x v="0"/>
    <x v="0"/>
    <x v="0"/>
    <x v="6"/>
    <x v="0"/>
    <s v="SKU-MAC-899"/>
    <s v="Hydraulic Hose"/>
    <n v="225.51"/>
    <s v="KES"/>
    <n v="7.7000000000000002E-3"/>
    <n v="1.7364269999999999"/>
    <n v="750"/>
    <n v="169132.5"/>
    <n v="169132.5"/>
    <n v="1302.32025"/>
    <n v="38"/>
    <n v="5.0700000000000002E-2"/>
    <n v="18"/>
    <n v="18"/>
    <n v="21"/>
    <n v="21"/>
    <n v="-3"/>
    <n v="-3"/>
    <x v="2"/>
    <x v="4"/>
    <x v="4"/>
    <x v="1"/>
    <x v="2"/>
    <x v="3"/>
    <x v="5"/>
    <x v="4"/>
    <n v="2.1"/>
    <x v="2"/>
    <x v="8"/>
  </r>
  <r>
    <s v="PO-2026-00949"/>
    <s v="ORD-104516"/>
    <d v="2026-05-24T00:00:00"/>
    <d v="2026-06-06T00:00:00"/>
    <x v="9"/>
    <x v="4"/>
    <x v="4"/>
    <x v="4"/>
    <x v="2"/>
    <x v="0"/>
    <s v="SKU-MAC-748"/>
    <s v="Hydraulic Hose"/>
    <n v="2040.06"/>
    <s v="EGP"/>
    <n v="1.9E-2"/>
    <n v="38.761139999999997"/>
    <n v="2000"/>
    <n v="4080120"/>
    <n v="4080120"/>
    <n v="77522.28"/>
    <n v="55"/>
    <n v="2.75E-2"/>
    <n v="14"/>
    <n v="14"/>
    <n v="13"/>
    <n v="13"/>
    <n v="1"/>
    <n v="1"/>
    <x v="1"/>
    <x v="0"/>
    <x v="1"/>
    <x v="2"/>
    <x v="2"/>
    <x v="0"/>
    <x v="1"/>
    <x v="0"/>
    <n v="3.4"/>
    <x v="2"/>
    <x v="0"/>
  </r>
  <r>
    <s v="PO-2026-00950"/>
    <s v="ORD-157483"/>
    <d v="2026-03-29T00:00:00"/>
    <d v="2026-04-08T00:00:00"/>
    <x v="161"/>
    <x v="4"/>
    <x v="4"/>
    <x v="4"/>
    <x v="7"/>
    <x v="0"/>
    <s v="SKU-MAC-167"/>
    <s v="Gear Assembly"/>
    <n v="1676.62"/>
    <s v="USD"/>
    <n v="1"/>
    <n v="1676.62"/>
    <s v=""/>
    <n v="502986"/>
    <e v="#VALUE!"/>
    <n v="502986"/>
    <n v="16"/>
    <n v="5.33E-2"/>
    <n v="10"/>
    <n v="10"/>
    <n v="10"/>
    <n v="10"/>
    <n v="0"/>
    <n v="0"/>
    <x v="2"/>
    <x v="1"/>
    <x v="1"/>
    <x v="3"/>
    <x v="4"/>
    <x v="3"/>
    <x v="2"/>
    <x v="1"/>
    <n v="3.1"/>
    <x v="2"/>
    <x v="3"/>
  </r>
  <r>
    <s v="PO-2026-00951"/>
    <s v="ORD-555349"/>
    <d v="2026-06-21T00:00:00"/>
    <d v="2026-07-01T00:00:00"/>
    <x v="130"/>
    <x v="4"/>
    <x v="4"/>
    <x v="4"/>
    <x v="0"/>
    <x v="0"/>
    <s v="SKU-MAC-424"/>
    <s v="Conveyor Belt"/>
    <n v="2506.5300000000002"/>
    <s v="EGP"/>
    <n v="1.9E-2"/>
    <n v="47.624070000000003"/>
    <n v="750"/>
    <n v="1879897.5"/>
    <n v="1879897.5000000002"/>
    <n v="35718.052499999998"/>
    <n v="13"/>
    <n v="1.7299999999999999E-2"/>
    <n v="16"/>
    <n v="16"/>
    <n v="10"/>
    <n v="10"/>
    <n v="6"/>
    <n v="6"/>
    <x v="4"/>
    <x v="0"/>
    <x v="1"/>
    <x v="3"/>
    <x v="5"/>
    <x v="2"/>
    <x v="2"/>
    <x v="0"/>
    <n v="3.4"/>
    <x v="2"/>
    <x v="0"/>
  </r>
  <r>
    <s v="PO-2026-00952"/>
    <s v="ORD-329827"/>
    <d v="2026-03-25T00:00:00"/>
    <d v="2026-03-28T00:00:00"/>
    <x v="41"/>
    <x v="12"/>
    <x v="12"/>
    <x v="2"/>
    <x v="8"/>
    <x v="3"/>
    <s v="SKU-TEX-456"/>
    <s v="Cotton Fabric"/>
    <n v="133.84"/>
    <s v="NGN"/>
    <n v="7.2999999999999996E-4"/>
    <n v="9.7703200000000004E-2"/>
    <n v="750"/>
    <n v="100380"/>
    <n v="100380"/>
    <n v="73.2774"/>
    <n v="27"/>
    <n v="3.5999999999999997E-2"/>
    <n v="12"/>
    <n v="12"/>
    <n v="3"/>
    <n v="3"/>
    <n v="9"/>
    <n v="9"/>
    <x v="1"/>
    <x v="0"/>
    <x v="1"/>
    <x v="3"/>
    <x v="0"/>
    <x v="5"/>
    <x v="4"/>
    <x v="0"/>
    <n v="2"/>
    <x v="5"/>
    <x v="0"/>
  </r>
  <r>
    <s v="PO-2026-00953"/>
    <s v="ORD-464758"/>
    <d v="2026-01-25T00:00:00"/>
    <d v="2026-02-15T00:00:00"/>
    <x v="119"/>
    <x v="0"/>
    <x v="0"/>
    <x v="0"/>
    <x v="2"/>
    <x v="0"/>
    <s v="SKU-MAC-546"/>
    <s v="Hydraulic Hose"/>
    <n v="1188.3699999999999"/>
    <s v="EGP"/>
    <n v="1.9E-2"/>
    <n v="22.579029999999996"/>
    <n v="150"/>
    <n v="178255.5"/>
    <n v="178255.49999999997"/>
    <n v="3386.8544999999999"/>
    <n v="2"/>
    <n v="1.3299999999999999E-2"/>
    <n v="20"/>
    <n v="20"/>
    <n v="21"/>
    <n v="21"/>
    <n v="-1"/>
    <n v="-1"/>
    <x v="2"/>
    <x v="0"/>
    <x v="4"/>
    <x v="5"/>
    <x v="5"/>
    <x v="3"/>
    <x v="3"/>
    <x v="0"/>
    <n v="4.8"/>
    <x v="5"/>
    <x v="4"/>
  </r>
  <r>
    <s v="PO-2026-00954"/>
    <s v="ORD-351473"/>
    <d v="2026-04-03T00:00:00"/>
    <d v="2026-04-17T00:00:00"/>
    <x v="145"/>
    <x v="6"/>
    <x v="6"/>
    <x v="1"/>
    <x v="0"/>
    <x v="5"/>
    <s v="SKU-RAW-552"/>
    <s v="Agro Binder"/>
    <n v="785.26"/>
    <s v="ZAR"/>
    <n v="6.0999999999999999E-2"/>
    <n v="47.900860000000002"/>
    <n v="50"/>
    <n v="39263"/>
    <n v="39263"/>
    <n v="2395.0430000000001"/>
    <n v="0"/>
    <n v="0"/>
    <n v="16"/>
    <n v="16"/>
    <n v="14"/>
    <n v="14"/>
    <n v="2"/>
    <n v="2"/>
    <x v="1"/>
    <x v="0"/>
    <x v="1"/>
    <x v="2"/>
    <x v="1"/>
    <x v="4"/>
    <x v="4"/>
    <x v="0"/>
    <n v="4.9000000000000004"/>
    <x v="3"/>
    <x v="0"/>
  </r>
  <r>
    <s v="PO-2026-00955"/>
    <s v="ORD-149680"/>
    <d v="2026-06-15T00:00:00"/>
    <d v="2026-07-06T00:00:00"/>
    <x v="33"/>
    <x v="8"/>
    <x v="8"/>
    <x v="7"/>
    <x v="5"/>
    <x v="6"/>
    <s v="SKU-MET-227"/>
    <s v="Rebar Bundle"/>
    <n v="854.55"/>
    <s v="GHS"/>
    <n v="8.8999999999999996E-2"/>
    <n v="76.054949999999991"/>
    <n v="500"/>
    <n v="427275"/>
    <n v="427275"/>
    <n v="38027.474999999999"/>
    <n v="8"/>
    <n v="1.6E-2"/>
    <n v="17"/>
    <n v="17"/>
    <n v="21"/>
    <n v="21"/>
    <n v="-4"/>
    <n v="-4"/>
    <x v="5"/>
    <x v="0"/>
    <x v="4"/>
    <x v="4"/>
    <x v="0"/>
    <x v="0"/>
    <x v="5"/>
    <x v="0"/>
    <n v="3.7"/>
    <x v="0"/>
    <x v="4"/>
  </r>
  <r>
    <s v="PO-2026-00956"/>
    <s v="ORD-969056"/>
    <d v="2026-05-30T00:00:00"/>
    <d v="2026-06-16T00:00:00"/>
    <x v="27"/>
    <x v="8"/>
    <x v="8"/>
    <x v="7"/>
    <x v="7"/>
    <x v="1"/>
    <s v="SKU-ELE-827"/>
    <s v="Power Adapter"/>
    <n v="2644.58"/>
    <s v="GHS"/>
    <n v="8.8999999999999996E-2"/>
    <n v="235.36761999999999"/>
    <n v="100"/>
    <n v="264458"/>
    <n v="264458"/>
    <n v="23536.761999999999"/>
    <n v="113"/>
    <n v="0"/>
    <n v="28"/>
    <n v="28"/>
    <n v="17"/>
    <n v="17"/>
    <n v="11"/>
    <n v="11"/>
    <x v="1"/>
    <x v="0"/>
    <x v="0"/>
    <x v="5"/>
    <x v="0"/>
    <x v="5"/>
    <x v="3"/>
    <x v="0"/>
    <n v="3.3"/>
    <x v="3"/>
    <x v="0"/>
  </r>
  <r>
    <s v="PO-2026-00957"/>
    <s v="ORD-198319"/>
    <d v="2026-02-18T00:00:00"/>
    <d v="2026-03-18T00:00:00"/>
    <x v="184"/>
    <x v="7"/>
    <x v="7"/>
    <x v="6"/>
    <x v="7"/>
    <x v="2"/>
    <s v="SKU-IND-335"/>
    <s v="Welding Rod"/>
    <n v="309.27"/>
    <s v="ZAR"/>
    <n v="6.0999999999999999E-2"/>
    <n v="18.865469999999998"/>
    <n v="500"/>
    <n v="154635"/>
    <n v="154635"/>
    <n v="9432.7350000000006"/>
    <n v="9"/>
    <n v="1.7999999999999999E-2"/>
    <n v="25"/>
    <n v="25"/>
    <n v="28"/>
    <n v="28"/>
    <n v="-3"/>
    <n v="-3"/>
    <x v="2"/>
    <x v="0"/>
    <x v="0"/>
    <x v="3"/>
    <x v="2"/>
    <x v="4"/>
    <x v="1"/>
    <x v="0"/>
    <n v="2.6"/>
    <x v="0"/>
    <x v="2"/>
  </r>
  <r>
    <s v="PO-2026-00958"/>
    <s v="ORD-893562"/>
    <d v="2026-02-19T00:00:00"/>
    <d v="2026-02-24T00:00:00"/>
    <x v="49"/>
    <x v="9"/>
    <x v="9"/>
    <x v="2"/>
    <x v="5"/>
    <x v="4"/>
    <s v="SKU-PAC-522"/>
    <s v="Plastic Film Roll"/>
    <n v="206.6"/>
    <s v="USD"/>
    <n v="1"/>
    <n v="206.6"/>
    <n v="75"/>
    <n v="15495"/>
    <n v="15495"/>
    <n v="15495"/>
    <n v="3"/>
    <n v="0.04"/>
    <n v="9"/>
    <n v="9"/>
    <n v="5"/>
    <n v="5"/>
    <n v="4"/>
    <m/>
    <x v="1"/>
    <x v="0"/>
    <x v="1"/>
    <x v="1"/>
    <x v="0"/>
    <x v="3"/>
    <x v="0"/>
    <x v="0"/>
    <n v="4.0999999999999996"/>
    <x v="0"/>
    <x v="0"/>
  </r>
  <r>
    <s v="PO-2026-00959"/>
    <s v="ORD-227992"/>
    <d v="2026-05-30T00:00:00"/>
    <d v="2026-06-06T00:00:00"/>
    <x v="31"/>
    <x v="9"/>
    <x v="9"/>
    <x v="2"/>
    <x v="6"/>
    <x v="0"/>
    <s v="SKU-MAC-763"/>
    <s v="Conveyor Belt"/>
    <n v="1541.67"/>
    <s v="NGN"/>
    <n v="7.2999999999999996E-4"/>
    <n v="1.1254191"/>
    <n v="100"/>
    <n v="154167"/>
    <n v="154167"/>
    <n v="112.54190999999999"/>
    <n v="0"/>
    <n v="0"/>
    <n v="-2"/>
    <n v="-2"/>
    <n v="7"/>
    <n v="7"/>
    <n v="-9"/>
    <n v="-9"/>
    <x v="6"/>
    <x v="0"/>
    <x v="1"/>
    <x v="3"/>
    <x v="2"/>
    <x v="2"/>
    <x v="2"/>
    <x v="0"/>
    <n v="3"/>
    <x v="1"/>
    <x v="2"/>
  </r>
  <r>
    <s v="PO-2026-00960"/>
    <s v="ORD-922229"/>
    <d v="2026-06-14T00:00:00"/>
    <d v="2026-06-19T00:00:00"/>
    <x v="130"/>
    <x v="10"/>
    <x v="10"/>
    <x v="2"/>
    <x v="7"/>
    <x v="6"/>
    <s v="SKU-MET-666"/>
    <s v="Copper Rod"/>
    <n v="325.87"/>
    <s v="EGP"/>
    <n v="1.9E-2"/>
    <n v="6.1915300000000002"/>
    <n v="250"/>
    <n v="81467.5"/>
    <n v="81467.5"/>
    <n v="1547.8824999999999"/>
    <n v="4"/>
    <n v="1.6E-2"/>
    <n v="23"/>
    <n v="23"/>
    <n v="5"/>
    <n v="5"/>
    <n v="18"/>
    <n v="18"/>
    <x v="1"/>
    <x v="0"/>
    <x v="3"/>
    <x v="1"/>
    <x v="1"/>
    <x v="2"/>
    <x v="0"/>
    <x v="0"/>
    <n v="3.3"/>
    <x v="2"/>
    <x v="5"/>
  </r>
  <r>
    <s v="PO-2026-00961"/>
    <s v="ORD-163097"/>
    <d v="2026-03-12T00:00:00"/>
    <d v="2026-03-28T00:00:00"/>
    <x v="149"/>
    <x v="4"/>
    <x v="4"/>
    <x v="4"/>
    <x v="7"/>
    <x v="0"/>
    <s v="SKU-MAC-899"/>
    <s v="Hydraulic Hose"/>
    <n v="1486.89"/>
    <s v="NGN"/>
    <n v="7.2999999999999996E-4"/>
    <n v="1.0854296999999999"/>
    <n v="500"/>
    <n v="743445"/>
    <n v="743445"/>
    <n v="542.71484999999996"/>
    <n v="8"/>
    <n v="1.6E-2"/>
    <n v="19"/>
    <n v="19"/>
    <n v="16"/>
    <n v="16"/>
    <n v="3"/>
    <n v="3"/>
    <x v="1"/>
    <x v="0"/>
    <x v="0"/>
    <x v="3"/>
    <x v="5"/>
    <x v="2"/>
    <x v="3"/>
    <x v="0"/>
    <n v="3"/>
    <x v="1"/>
    <x v="0"/>
  </r>
  <r>
    <s v="PO-2026-00962"/>
    <s v="ORD-358214"/>
    <d v="2026-01-02T00:00:00"/>
    <d v="2026-01-15T00:00:00"/>
    <x v="89"/>
    <x v="4"/>
    <x v="4"/>
    <x v="4"/>
    <x v="4"/>
    <x v="0"/>
    <s v="SKU-MAC-386"/>
    <s v="Conveyor Belt"/>
    <n v="1928.64"/>
    <s v="GHS"/>
    <n v="8.8999999999999996E-2"/>
    <n v="171.64895999999999"/>
    <n v="200"/>
    <n v="385728"/>
    <n v="385728"/>
    <n v="34329.792000000001"/>
    <n v="2"/>
    <n v="0.01"/>
    <n v="16"/>
    <n v="16"/>
    <n v="13"/>
    <n v="13"/>
    <n v="3"/>
    <n v="3"/>
    <x v="1"/>
    <x v="0"/>
    <x v="0"/>
    <x v="0"/>
    <x v="5"/>
    <x v="0"/>
    <x v="1"/>
    <x v="0"/>
    <n v="3.6"/>
    <x v="5"/>
    <x v="0"/>
  </r>
  <r>
    <s v="PO-2026-00963"/>
    <s v="ORD-301427"/>
    <d v="2026-05-20T00:00:00"/>
    <d v="2026-05-31T00:00:00"/>
    <x v="132"/>
    <x v="2"/>
    <x v="2"/>
    <x v="2"/>
    <x v="7"/>
    <x v="2"/>
    <s v="SKU-IND-747"/>
    <s v="Lubricant Drum"/>
    <n v="117.03"/>
    <s v="NGN"/>
    <n v="7.2999999999999996E-4"/>
    <n v="8.5431899999999991E-2"/>
    <n v="200"/>
    <n v="23406"/>
    <n v="23406"/>
    <n v="17.086379999999998"/>
    <n v="7"/>
    <n v="3.5000000000000003E-2"/>
    <n v="6"/>
    <n v="6"/>
    <n v="11"/>
    <n v="11"/>
    <n v="-5"/>
    <n v="-5"/>
    <x v="5"/>
    <x v="0"/>
    <x v="0"/>
    <x v="0"/>
    <x v="4"/>
    <x v="6"/>
    <x v="2"/>
    <x v="0"/>
    <n v="2.7"/>
    <x v="6"/>
    <x v="2"/>
  </r>
  <r>
    <s v="PO-2026-00964"/>
    <s v="ORD-595878"/>
    <d v="2026-02-15T00:00:00"/>
    <d v="2026-02-26T00:00:00"/>
    <x v="23"/>
    <x v="2"/>
    <x v="2"/>
    <x v="2"/>
    <x v="6"/>
    <x v="2"/>
    <s v="SKU-IND-710"/>
    <s v="Filter Cartridge"/>
    <n v="376.46"/>
    <s v="NGN"/>
    <n v="7.2999999999999996E-4"/>
    <n v="0.27481579999999994"/>
    <n v="250"/>
    <n v="94115"/>
    <n v="94115"/>
    <n v="68.703949999999992"/>
    <n v="6"/>
    <n v="2.4E-2"/>
    <s v=""/>
    <n v="5"/>
    <n v="11"/>
    <n v="11"/>
    <n v="-6"/>
    <n v="-6"/>
    <x v="2"/>
    <x v="0"/>
    <x v="1"/>
    <x v="3"/>
    <x v="4"/>
    <x v="6"/>
    <x v="1"/>
    <x v="0"/>
    <n v="2.7"/>
    <x v="0"/>
    <x v="2"/>
  </r>
  <r>
    <s v="PO-2026-00965"/>
    <s v="ORD-770645"/>
    <d v="2026-04-06T00:00:00"/>
    <d v="2026-04-24T00:00:00"/>
    <x v="51"/>
    <x v="7"/>
    <x v="7"/>
    <x v="6"/>
    <x v="3"/>
    <x v="2"/>
    <s v="SKU-IND-508"/>
    <s v="Welding Rod"/>
    <n v="682.24"/>
    <s v="EGP"/>
    <n v="1.9E-2"/>
    <n v="12.96256"/>
    <n v="200"/>
    <n v="0"/>
    <n v="136448"/>
    <n v="0"/>
    <n v="0"/>
    <n v="0"/>
    <n v="20"/>
    <n v="20"/>
    <n v="18"/>
    <n v="18"/>
    <n v="2"/>
    <n v="2"/>
    <x v="1"/>
    <x v="0"/>
    <x v="0"/>
    <x v="5"/>
    <x v="4"/>
    <x v="6"/>
    <x v="5"/>
    <x v="0"/>
    <n v="3.6"/>
    <x v="0"/>
    <x v="0"/>
  </r>
  <r>
    <s v="PO-2026-00966"/>
    <s v="ORD-773780"/>
    <d v="2026-01-14T00:00:00"/>
    <d v="2026-02-04T00:00:00"/>
    <x v="147"/>
    <x v="7"/>
    <x v="7"/>
    <x v="6"/>
    <x v="0"/>
    <x v="4"/>
    <s v="SKU-PAC-725"/>
    <s v="Bottle Caps"/>
    <n v="388.62"/>
    <s v="EGP"/>
    <n v="1.9E-2"/>
    <n v="7.3837799999999998"/>
    <n v="2000"/>
    <n v="777240"/>
    <n v="777240"/>
    <n v="14767.56"/>
    <n v="26"/>
    <n v="1.2999999999999999E-2"/>
    <n v="20"/>
    <n v="20"/>
    <n v="21"/>
    <n v="21"/>
    <n v="-1"/>
    <n v="-1"/>
    <x v="2"/>
    <x v="0"/>
    <x v="4"/>
    <x v="2"/>
    <x v="2"/>
    <x v="5"/>
    <x v="5"/>
    <x v="0"/>
    <n v="2.5"/>
    <x v="3"/>
    <x v="4"/>
  </r>
  <r>
    <s v="PO-2026-00967"/>
    <s v="ORD-245410"/>
    <d v="2026-06-12T00:00:00"/>
    <d v="2026-06-26T00:00:00"/>
    <x v="74"/>
    <x v="13"/>
    <x v="13"/>
    <x v="9"/>
    <x v="2"/>
    <x v="3"/>
    <s v="SKU-TEX-634"/>
    <s v="Polyester Roll"/>
    <n v="661.67"/>
    <s v="EGP"/>
    <n v="1.9E-2"/>
    <n v="12.571729999999999"/>
    <n v="150"/>
    <n v="99250.5"/>
    <n v="99250.5"/>
    <n v="1885.7594999999999"/>
    <n v="6"/>
    <n v="0.04"/>
    <n v="8"/>
    <n v="8"/>
    <n v="14"/>
    <n v="14"/>
    <n v="-6"/>
    <n v="-6"/>
    <x v="5"/>
    <x v="0"/>
    <x v="0"/>
    <x v="5"/>
    <x v="4"/>
    <x v="0"/>
    <x v="4"/>
    <x v="0"/>
    <n v="4"/>
    <x v="5"/>
    <x v="2"/>
  </r>
  <r>
    <s v="PO-2026-00968"/>
    <s v="ORD-166678"/>
    <d v="2026-02-16T00:00:00"/>
    <d v="2026-03-09T00:00:00"/>
    <x v="8"/>
    <x v="13"/>
    <x v="13"/>
    <x v="9"/>
    <x v="3"/>
    <x v="3"/>
    <s v="SKU-TEX-151"/>
    <s v="Uniform Material"/>
    <n v="798.67"/>
    <s v="GHS"/>
    <n v="8.8999999999999996E-2"/>
    <n v="71.08162999999999"/>
    <n v="2000"/>
    <n v="1597340"/>
    <n v="1597340"/>
    <n v="142163.25999999998"/>
    <n v="0"/>
    <n v="0"/>
    <n v="16"/>
    <n v="16"/>
    <n v="21"/>
    <n v="21"/>
    <n v="-5"/>
    <n v="-5"/>
    <x v="5"/>
    <x v="0"/>
    <x v="1"/>
    <x v="1"/>
    <x v="5"/>
    <x v="2"/>
    <x v="4"/>
    <x v="0"/>
    <n v="4.8"/>
    <x v="3"/>
    <x v="2"/>
  </r>
  <r>
    <s v="PO-2026-00969"/>
    <s v="ORD-702048"/>
    <d v="2026-03-08T00:00:00"/>
    <d v="2026-03-23T00:00:00"/>
    <x v="92"/>
    <x v="3"/>
    <x v="3"/>
    <x v="3"/>
    <x v="7"/>
    <x v="4"/>
    <s v="SKU-PAC-874"/>
    <s v="Corrugated Box"/>
    <n v="328.43"/>
    <s v="USD"/>
    <n v="1"/>
    <n v="328.43"/>
    <n v="250"/>
    <n v="82107.5"/>
    <n v="82107.5"/>
    <n v="82107.5"/>
    <n v="3"/>
    <n v="1.2E-2"/>
    <n v="21"/>
    <n v="21"/>
    <n v="15"/>
    <n v="15"/>
    <n v="6"/>
    <n v="6"/>
    <x v="4"/>
    <x v="0"/>
    <x v="3"/>
    <x v="3"/>
    <x v="1"/>
    <x v="2"/>
    <x v="5"/>
    <x v="0"/>
    <n v="3.3"/>
    <x v="5"/>
    <x v="5"/>
  </r>
  <r>
    <s v="PO-2026-00970"/>
    <s v="ORD-551828"/>
    <d v="2026-04-17T00:00:00"/>
    <d v="2026-05-06T00:00:00"/>
    <x v="157"/>
    <x v="5"/>
    <x v="5"/>
    <x v="5"/>
    <x v="0"/>
    <x v="3"/>
    <s v="SKU-TEX-281"/>
    <s v="Cotton Fabric"/>
    <n v="113.66"/>
    <s v="NGN"/>
    <n v="7.2999999999999996E-4"/>
    <n v="8.2971799999999998E-2"/>
    <n v="100"/>
    <n v="11366"/>
    <n v="11366"/>
    <n v="8.2971799999999991"/>
    <n v="3"/>
    <n v="0.03"/>
    <s v=""/>
    <n v="15"/>
    <n v="19"/>
    <n v="19"/>
    <n v="-4"/>
    <n v="-4"/>
    <x v="2"/>
    <x v="0"/>
    <x v="1"/>
    <x v="0"/>
    <x v="1"/>
    <x v="5"/>
    <x v="0"/>
    <x v="0"/>
    <n v="3"/>
    <x v="2"/>
    <x v="2"/>
  </r>
  <r>
    <s v="PO-2026-00971"/>
    <s v="ORD-450494"/>
    <d v="2026-05-01T00:00:00"/>
    <d v="2026-05-14T00:00:00"/>
    <x v="116"/>
    <x v="3"/>
    <x v="3"/>
    <x v="3"/>
    <x v="4"/>
    <x v="0"/>
    <s v="SKU-MAC-650"/>
    <s v="Bearing Set"/>
    <n v="1953.24"/>
    <s v="UGX"/>
    <n v="2.7E-4"/>
    <n v="0.52737480000000003"/>
    <n v="1000"/>
    <n v="1953240"/>
    <n v="1953240"/>
    <n v="527.37480000000005"/>
    <n v="48"/>
    <n v="4.8000000000000001E-2"/>
    <s v=""/>
    <n v="11"/>
    <s v=""/>
    <n v="13"/>
    <n v="-2"/>
    <n v="-2"/>
    <x v="2"/>
    <x v="1"/>
    <x v="0"/>
    <x v="4"/>
    <x v="4"/>
    <x v="2"/>
    <x v="2"/>
    <x v="3"/>
    <n v="2.1"/>
    <x v="1"/>
    <x v="3"/>
  </r>
  <r>
    <s v="PO-2026-00972"/>
    <s v="ORD-193834"/>
    <d v="2026-05-07T00:00:00"/>
    <d v="2026-05-16T00:00:00"/>
    <x v="13"/>
    <x v="3"/>
    <x v="3"/>
    <x v="3"/>
    <x v="5"/>
    <x v="4"/>
    <s v="SKU-PAC-541"/>
    <s v="Corrugated Box"/>
    <n v="28.51"/>
    <s v="ZAR"/>
    <n v="6.0999999999999999E-2"/>
    <n v="1.7391100000000002"/>
    <n v="200"/>
    <n v="0"/>
    <n v="5702"/>
    <n v="0"/>
    <n v="2"/>
    <n v="0.01"/>
    <n v="24"/>
    <n v="24"/>
    <n v="9"/>
    <n v="9"/>
    <n v="15"/>
    <n v="15"/>
    <x v="1"/>
    <x v="0"/>
    <x v="1"/>
    <x v="3"/>
    <x v="3"/>
    <x v="5"/>
    <x v="0"/>
    <x v="0"/>
    <n v="1.8"/>
    <x v="5"/>
    <x v="0"/>
  </r>
  <r>
    <s v="PO-2026-00973"/>
    <s v="ORD-831050"/>
    <d v="2026-06-12T00:00:00"/>
    <d v="2026-07-02T00:00:00"/>
    <x v="162"/>
    <x v="14"/>
    <x v="14"/>
    <x v="10"/>
    <x v="5"/>
    <x v="5"/>
    <s v="SKU-RAW-794"/>
    <s v="Polymer Resin"/>
    <n v="849.05"/>
    <s v="ZAR"/>
    <n v="6.0999999999999999E-2"/>
    <n v="51.792049999999996"/>
    <n v="1000"/>
    <n v="849050"/>
    <n v="849050"/>
    <n v="51792.049999999996"/>
    <n v="73"/>
    <n v="7.2999999999999995E-2"/>
    <n v="22"/>
    <n v="22"/>
    <n v="20"/>
    <n v="20"/>
    <n v="2"/>
    <n v="2"/>
    <x v="1"/>
    <x v="2"/>
    <x v="4"/>
    <x v="4"/>
    <x v="3"/>
    <x v="0"/>
    <x v="0"/>
    <x v="1"/>
    <n v="1.7"/>
    <x v="4"/>
    <x v="6"/>
  </r>
  <r>
    <s v="PO-2026-00974"/>
    <s v="ORD-227136"/>
    <d v="2026-06-22T00:00:00"/>
    <d v="2026-07-06T00:00:00"/>
    <x v="109"/>
    <x v="11"/>
    <x v="11"/>
    <x v="8"/>
    <x v="2"/>
    <x v="5"/>
    <s v="SKU-RAW-778"/>
    <s v="Agro Binder"/>
    <n v="669.73"/>
    <s v="EGP"/>
    <n v="1.9E-2"/>
    <n v="12.724869999999999"/>
    <n v="1000"/>
    <n v="669730"/>
    <n v="669730"/>
    <n v="12724.869999999999"/>
    <n v="45"/>
    <n v="4.4999999999999998E-2"/>
    <n v="20"/>
    <n v="20"/>
    <s v=""/>
    <n v="14"/>
    <n v="6"/>
    <n v="6"/>
    <x v="0"/>
    <x v="2"/>
    <x v="1"/>
    <x v="2"/>
    <x v="4"/>
    <x v="6"/>
    <x v="1"/>
    <x v="5"/>
    <n v="3"/>
    <x v="5"/>
    <x v="1"/>
  </r>
  <r>
    <s v="PO-2026-00975"/>
    <s v="ORD-537713"/>
    <d v="2026-04-21T00:00:00"/>
    <d v="2026-05-01T00:00:00"/>
    <x v="139"/>
    <x v="10"/>
    <x v="10"/>
    <x v="2"/>
    <x v="7"/>
    <x v="6"/>
    <s v="SKU-MET-400"/>
    <s v="Rebar Bundle"/>
    <n v="1022.14"/>
    <s v="NGN"/>
    <n v="7.2999999999999996E-4"/>
    <n v="0.7461622"/>
    <n v="200"/>
    <n v="204428"/>
    <n v="204428"/>
    <n v="149.23244"/>
    <n v="4"/>
    <n v="0.02"/>
    <n v="12"/>
    <n v="12"/>
    <n v="10"/>
    <n v="10"/>
    <n v="2"/>
    <n v="2"/>
    <x v="1"/>
    <x v="0"/>
    <x v="0"/>
    <x v="5"/>
    <x v="0"/>
    <x v="6"/>
    <x v="3"/>
    <x v="0"/>
    <n v="4.2"/>
    <x v="5"/>
    <x v="0"/>
  </r>
  <r>
    <s v="PO-2026-00976"/>
    <s v="ORD-711760"/>
    <d v="2026-01-27T00:00:00"/>
    <d v="2026-02-11T00:00:00"/>
    <x v="61"/>
    <x v="13"/>
    <x v="13"/>
    <x v="9"/>
    <x v="0"/>
    <x v="3"/>
    <s v="SKU-TEX-855"/>
    <s v="Cotton Fabric"/>
    <n v="55.59"/>
    <s v="KES"/>
    <n v="7.7000000000000002E-3"/>
    <n v="0.42804300000000006"/>
    <n v="50"/>
    <n v="2779.5"/>
    <n v="2779.5"/>
    <n v="21.402150000000002"/>
    <n v="2"/>
    <n v="0.04"/>
    <n v="29"/>
    <n v="29"/>
    <n v="15"/>
    <n v="15"/>
    <n v="14"/>
    <n v="14"/>
    <x v="1"/>
    <x v="0"/>
    <x v="2"/>
    <x v="0"/>
    <x v="0"/>
    <x v="0"/>
    <x v="2"/>
    <x v="0"/>
    <n v="1.5"/>
    <x v="0"/>
    <x v="5"/>
  </r>
  <r>
    <s v="PO-2026-00977"/>
    <s v="ORD-373903"/>
    <d v="2026-03-02T00:00:00"/>
    <d v="2026-03-19T00:00:00"/>
    <x v="20"/>
    <x v="4"/>
    <x v="4"/>
    <x v="4"/>
    <x v="1"/>
    <x v="0"/>
    <s v="SKU-MAC-692"/>
    <s v="Conveyor Belt"/>
    <n v="3414.9"/>
    <s v="NGN"/>
    <n v="7.2999999999999996E-4"/>
    <n v="2.492877"/>
    <n v="750"/>
    <n v="2561175"/>
    <n v="2561175"/>
    <n v="1869.6577499999999"/>
    <n v="24"/>
    <n v="3.2000000000000001E-2"/>
    <n v="21"/>
    <n v="21"/>
    <n v="17"/>
    <n v="17"/>
    <n v="4"/>
    <n v="4"/>
    <x v="4"/>
    <x v="0"/>
    <x v="0"/>
    <x v="5"/>
    <x v="0"/>
    <x v="4"/>
    <x v="0"/>
    <x v="0"/>
    <n v="3.4"/>
    <x v="2"/>
    <x v="0"/>
  </r>
  <r>
    <s v="PO-2026-00978"/>
    <s v="ORD-581410"/>
    <d v="2026-04-20T00:00:00"/>
    <d v="2026-04-26T00:00:00"/>
    <x v="70"/>
    <x v="11"/>
    <x v="11"/>
    <x v="5"/>
    <x v="0"/>
    <x v="2"/>
    <s v="SKU-IND-193"/>
    <s v="Welding Rod"/>
    <n v="839.91"/>
    <s v="EGP"/>
    <n v="1.9E-2"/>
    <n v="15.95829"/>
    <n v="75"/>
    <n v="62993.25"/>
    <n v="62993.25"/>
    <n v="1196.87175"/>
    <n v="2"/>
    <n v="2.6700000000000002E-2"/>
    <n v="8"/>
    <n v="8"/>
    <n v="6"/>
    <n v="6"/>
    <n v="2"/>
    <n v="2"/>
    <x v="1"/>
    <x v="0"/>
    <x v="0"/>
    <x v="3"/>
    <x v="1"/>
    <x v="3"/>
    <x v="5"/>
    <x v="0"/>
    <n v="3.8"/>
    <x v="1"/>
    <x v="0"/>
  </r>
  <r>
    <s v="PO-2026-00979"/>
    <s v="ORD-156915"/>
    <d v="2026-04-12T00:00:00"/>
    <d v="2026-04-17T00:00:00"/>
    <x v="6"/>
    <x v="10"/>
    <x v="10"/>
    <x v="2"/>
    <x v="4"/>
    <x v="6"/>
    <s v="SKU-MET-821"/>
    <s v="Copper Rod"/>
    <n v="1196.01"/>
    <s v="NGN"/>
    <n v="7.2999999999999996E-4"/>
    <n v="0.8730872999999999"/>
    <n v="750"/>
    <n v="897007.5"/>
    <n v="897007.5"/>
    <n v="654.81547499999999"/>
    <n v="0"/>
    <n v="0"/>
    <n v="18"/>
    <n v="18"/>
    <n v="5"/>
    <n v="5"/>
    <n v="13"/>
    <n v="13"/>
    <x v="1"/>
    <x v="0"/>
    <x v="0"/>
    <x v="1"/>
    <x v="4"/>
    <x v="0"/>
    <x v="2"/>
    <x v="0"/>
    <n v="2.2999999999999998"/>
    <x v="6"/>
    <x v="0"/>
  </r>
  <r>
    <s v="PO-2026-00980"/>
    <s v="ORD-539993"/>
    <d v="2026-04-28T00:00:00"/>
    <d v="2026-05-18T00:00:00"/>
    <x v="2"/>
    <x v="0"/>
    <x v="0"/>
    <x v="0"/>
    <x v="3"/>
    <x v="0"/>
    <s v="SKU-MAC-705"/>
    <s v="Conveyor Belt"/>
    <n v="2816.82"/>
    <s v="KES"/>
    <n v="7.7000000000000002E-3"/>
    <n v="21.689514000000003"/>
    <n v="200"/>
    <n v="563364"/>
    <n v="563364"/>
    <n v="4337.9027999999998"/>
    <n v="0"/>
    <n v="0"/>
    <n v="25"/>
    <n v="25"/>
    <n v="20"/>
    <n v="20"/>
    <n v="5"/>
    <n v="5"/>
    <x v="1"/>
    <x v="0"/>
    <x v="4"/>
    <x v="0"/>
    <x v="0"/>
    <x v="3"/>
    <x v="0"/>
    <x v="0"/>
    <n v="4"/>
    <x v="1"/>
    <x v="5"/>
  </r>
  <r>
    <s v="PO-2026-00981"/>
    <s v="ORD-266230"/>
    <d v="2026-01-29T00:00:00"/>
    <d v="2026-02-13T00:00:00"/>
    <x v="101"/>
    <x v="13"/>
    <x v="13"/>
    <x v="9"/>
    <x v="2"/>
    <x v="3"/>
    <s v="SKU-TEX-946"/>
    <s v="Label Tape"/>
    <n v="725.34"/>
    <s v="ZAR"/>
    <n v="6.0999999999999999E-2"/>
    <n v="44.245739999999998"/>
    <n v="1000"/>
    <n v="725340"/>
    <n v="725340"/>
    <n v="44245.74"/>
    <n v="32"/>
    <n v="3.2000000000000001E-2"/>
    <n v="17"/>
    <n v="17"/>
    <n v="15"/>
    <n v="15"/>
    <n v="2"/>
    <n v="2"/>
    <x v="1"/>
    <x v="5"/>
    <x v="1"/>
    <x v="5"/>
    <x v="1"/>
    <x v="1"/>
    <x v="2"/>
    <x v="0"/>
    <n v="4.7"/>
    <x v="1"/>
    <x v="0"/>
  </r>
  <r>
    <s v="PO-2026-00982"/>
    <s v="ORD-946096"/>
    <d v="2026-04-28T00:00:00"/>
    <d v="2026-05-04T00:00:00"/>
    <x v="3"/>
    <x v="9"/>
    <x v="9"/>
    <x v="2"/>
    <x v="6"/>
    <x v="4"/>
    <s v="SKU-PAC-880"/>
    <s v="Corrugated Box"/>
    <n v="693.11"/>
    <s v="USD"/>
    <n v="1"/>
    <n v="693.11"/>
    <n v="200"/>
    <n v="138622"/>
    <n v="138622"/>
    <n v="138622"/>
    <n v="0"/>
    <n v="0"/>
    <n v="7"/>
    <n v="7"/>
    <n v="6"/>
    <n v="6"/>
    <n v="1"/>
    <n v="1"/>
    <x v="1"/>
    <x v="0"/>
    <x v="1"/>
    <x v="3"/>
    <x v="0"/>
    <x v="2"/>
    <x v="2"/>
    <x v="0"/>
    <n v="3.4"/>
    <x v="2"/>
    <x v="0"/>
  </r>
  <r>
    <s v="PO-2026-00983"/>
    <s v="ORD-316539"/>
    <d v="2026-03-28T00:00:00"/>
    <d v="2026-04-21T00:00:00"/>
    <x v="76"/>
    <x v="5"/>
    <x v="5"/>
    <x v="5"/>
    <x v="4"/>
    <x v="3"/>
    <s v="SKU-TEX-488"/>
    <s v="Uniform Material"/>
    <n v="611.08000000000004"/>
    <s v="NGN"/>
    <n v="7.2999999999999996E-4"/>
    <n v="0.4460884"/>
    <n v="50"/>
    <n v="30554"/>
    <n v="30554.000000000004"/>
    <n v="22.30442"/>
    <n v="0"/>
    <n v="0"/>
    <n v="10"/>
    <n v="10"/>
    <n v="24"/>
    <n v="24"/>
    <n v="-14"/>
    <n v="-14"/>
    <x v="5"/>
    <x v="0"/>
    <x v="2"/>
    <x v="3"/>
    <x v="2"/>
    <x v="6"/>
    <x v="1"/>
    <x v="0"/>
    <n v="4.0999999999999996"/>
    <x v="1"/>
    <x v="4"/>
  </r>
  <r>
    <s v="PO-2026-00984"/>
    <s v="ORD-805399"/>
    <d v="2026-03-16T00:00:00"/>
    <d v="2026-03-31T00:00:00"/>
    <x v="32"/>
    <x v="14"/>
    <x v="14"/>
    <x v="10"/>
    <x v="8"/>
    <x v="5"/>
    <s v="SKU-RAW-566"/>
    <s v="Agro Binder"/>
    <n v="678.17"/>
    <s v="EGP"/>
    <n v="1.9E-2"/>
    <n v="12.885229999999998"/>
    <n v="500"/>
    <n v="339085"/>
    <n v="339085"/>
    <n v="6442.6149999999998"/>
    <n v="15"/>
    <n v="0.03"/>
    <n v="17"/>
    <n v="17"/>
    <n v="15"/>
    <n v="15"/>
    <n v="2"/>
    <n v="2"/>
    <x v="3"/>
    <x v="0"/>
    <x v="1"/>
    <x v="3"/>
    <x v="5"/>
    <x v="0"/>
    <x v="4"/>
    <x v="0"/>
    <n v="2.9"/>
    <x v="5"/>
    <x v="0"/>
  </r>
  <r>
    <s v="PO-2026-00985"/>
    <s v="ORD-641208"/>
    <d v="2026-01-31T00:00:00"/>
    <d v="2026-02-21T00:00:00"/>
    <x v="119"/>
    <x v="14"/>
    <x v="14"/>
    <x v="10"/>
    <x v="0"/>
    <x v="5"/>
    <s v="SKU-RAW-167"/>
    <s v="Input Granules"/>
    <n v="640.59"/>
    <s v="USD"/>
    <n v="1"/>
    <n v="640.59"/>
    <s v=""/>
    <n v="480442.5"/>
    <e v="#VALUE!"/>
    <n v="480442.5"/>
    <n v="10"/>
    <n v="1.3299999999999999E-2"/>
    <n v="14"/>
    <n v="14"/>
    <n v="21"/>
    <n v="21"/>
    <n v="-7"/>
    <n v="-7"/>
    <x v="5"/>
    <x v="0"/>
    <x v="0"/>
    <x v="2"/>
    <x v="5"/>
    <x v="0"/>
    <x v="3"/>
    <x v="0"/>
    <n v="2.2999999999999998"/>
    <x v="6"/>
    <x v="2"/>
  </r>
  <r>
    <s v="PO-2026-00986"/>
    <s v="ORD-548621"/>
    <d v="2026-01-20T00:00:00"/>
    <d v="2026-01-30T00:00:00"/>
    <x v="129"/>
    <x v="1"/>
    <x v="1"/>
    <x v="1"/>
    <x v="6"/>
    <x v="1"/>
    <s v="SKU-ELE-654"/>
    <s v="Power Adapter"/>
    <n v="1099.05"/>
    <s v="ZAR"/>
    <n v="6.0999999999999999E-2"/>
    <n v="67.042049999999989"/>
    <n v="500"/>
    <n v="549525"/>
    <n v="549525"/>
    <n v="33521.025000000001"/>
    <n v="7"/>
    <n v="1.4E-2"/>
    <n v="20"/>
    <n v="20"/>
    <n v="10"/>
    <n v="10"/>
    <n v="10"/>
    <n v="10"/>
    <x v="0"/>
    <x v="0"/>
    <x v="1"/>
    <x v="3"/>
    <x v="5"/>
    <x v="0"/>
    <x v="3"/>
    <x v="0"/>
    <n v="1.2"/>
    <x v="6"/>
    <x v="0"/>
  </r>
  <r>
    <s v="PO-2026-00987"/>
    <s v="ORD-498876"/>
    <d v="2026-04-10T00:00:00"/>
    <d v="2026-04-21T00:00:00"/>
    <x v="52"/>
    <x v="12"/>
    <x v="12"/>
    <x v="2"/>
    <x v="0"/>
    <x v="3"/>
    <s v="SKU-TEX-968"/>
    <s v="Uniform Material"/>
    <n v="220.34"/>
    <s v="ZAR"/>
    <n v="6.0999999999999999E-2"/>
    <n v="13.44074"/>
    <n v="250"/>
    <n v="55085"/>
    <n v="55085"/>
    <n v="3360.1849999999999"/>
    <n v="7"/>
    <n v="2.8000000000000001E-2"/>
    <n v="7"/>
    <n v="7"/>
    <n v="11"/>
    <n v="11"/>
    <n v="-4"/>
    <n v="-4"/>
    <x v="2"/>
    <x v="0"/>
    <x v="3"/>
    <x v="3"/>
    <x v="0"/>
    <x v="5"/>
    <x v="5"/>
    <x v="0"/>
    <n v="3.4"/>
    <x v="1"/>
    <x v="4"/>
  </r>
  <r>
    <s v="PO-2026-00988"/>
    <s v="ORD-652885"/>
    <d v="2026-05-08T00:00:00"/>
    <d v="2026-05-22T00:00:00"/>
    <x v="123"/>
    <x v="3"/>
    <x v="3"/>
    <x v="3"/>
    <x v="1"/>
    <x v="4"/>
    <s v="SKU-PAC-578"/>
    <s v="Plastic Film Roll"/>
    <n v="754.54"/>
    <s v="EGP"/>
    <n v="1.9E-2"/>
    <n v="14.336259999999999"/>
    <n v="75"/>
    <n v="56590.5"/>
    <n v="56590.5"/>
    <n v="1075.2194999999999"/>
    <n v="4"/>
    <n v="5.33E-2"/>
    <n v="14"/>
    <n v="14"/>
    <n v="14"/>
    <n v="14"/>
    <n v="0"/>
    <n v="0"/>
    <x v="2"/>
    <x v="2"/>
    <x v="1"/>
    <x v="1"/>
    <x v="0"/>
    <x v="0"/>
    <x v="1"/>
    <x v="3"/>
    <n v="1.7"/>
    <x v="6"/>
    <x v="3"/>
  </r>
  <r>
    <s v="PO-2026-00989"/>
    <s v="ORD-904358"/>
    <d v="2026-05-17T00:00:00"/>
    <d v="2026-06-03T00:00:00"/>
    <x v="9"/>
    <x v="14"/>
    <x v="14"/>
    <x v="10"/>
    <x v="4"/>
    <x v="5"/>
    <s v="SKU-RAW-181"/>
    <s v="Input Granules"/>
    <n v="486.68"/>
    <s v="KES"/>
    <n v="7.7000000000000002E-3"/>
    <n v="3.747436"/>
    <n v="300"/>
    <n v="146004"/>
    <n v="146004"/>
    <n v="1124.2308"/>
    <n v="11"/>
    <n v="3.6700000000000003E-2"/>
    <n v="21"/>
    <n v="21"/>
    <n v="17"/>
    <n v="17"/>
    <n v="4"/>
    <n v="4"/>
    <x v="1"/>
    <x v="0"/>
    <x v="1"/>
    <x v="1"/>
    <x v="3"/>
    <x v="3"/>
    <x v="2"/>
    <x v="0"/>
    <n v="4.9000000000000004"/>
    <x v="6"/>
    <x v="0"/>
  </r>
  <r>
    <s v="PO-2026-00990"/>
    <s v="ORD-124407"/>
    <d v="2026-06-20T00:00:00"/>
    <d v="2026-07-05T00:00:00"/>
    <x v="95"/>
    <x v="4"/>
    <x v="4"/>
    <x v="4"/>
    <x v="1"/>
    <x v="0"/>
    <s v="SKU-MAC-122"/>
    <s v="Gear Assembly"/>
    <n v="1193.6099999999999"/>
    <s v="NGN"/>
    <n v="7.2999999999999996E-4"/>
    <n v="0.87133529999999992"/>
    <n v="150"/>
    <n v="179041.5"/>
    <n v="179041.49999999997"/>
    <n v="130.70029499999998"/>
    <n v="-1"/>
    <n v="1.3299999999999999E-2"/>
    <n v="24"/>
    <n v="24"/>
    <n v="15"/>
    <n v="15"/>
    <n v="9"/>
    <n v="9"/>
    <x v="0"/>
    <x v="0"/>
    <x v="1"/>
    <x v="1"/>
    <x v="2"/>
    <x v="0"/>
    <x v="5"/>
    <x v="0"/>
    <n v="3.2"/>
    <x v="3"/>
    <x v="0"/>
  </r>
  <r>
    <s v="PO-2026-00991"/>
    <s v="ORD-781479"/>
    <d v="2026-06-23T00:00:00"/>
    <d v="2026-07-04T00:00:00"/>
    <x v="136"/>
    <x v="11"/>
    <x v="11"/>
    <x v="8"/>
    <x v="2"/>
    <x v="5"/>
    <s v="SKU-RAW-142"/>
    <s v="Chemical Additive"/>
    <n v="471.5"/>
    <s v="KES"/>
    <n v="7.7000000000000002E-3"/>
    <n v="3.6305499999999999"/>
    <n v="100"/>
    <n v="47150"/>
    <n v="47150"/>
    <n v="363.05500000000001"/>
    <n v="4"/>
    <n v="0.04"/>
    <n v="17"/>
    <n v="17"/>
    <n v="11"/>
    <n v="11"/>
    <n v="6"/>
    <n v="6"/>
    <x v="0"/>
    <x v="0"/>
    <x v="0"/>
    <x v="5"/>
    <x v="2"/>
    <x v="2"/>
    <x v="4"/>
    <x v="0"/>
    <n v="1.5"/>
    <x v="1"/>
    <x v="0"/>
  </r>
  <r>
    <s v="PO-2026-00992"/>
    <s v="ORD-116651"/>
    <d v="2026-04-01T00:00:00"/>
    <d v="2026-04-20T00:00:00"/>
    <x v="145"/>
    <x v="13"/>
    <x v="13"/>
    <x v="1"/>
    <x v="6"/>
    <x v="1"/>
    <s v="SKU-ELE-253"/>
    <s v="LED Driver"/>
    <n v="3088.91"/>
    <s v="KES"/>
    <n v="7.7000000000000002E-3"/>
    <n v="23.784607000000001"/>
    <n v="50"/>
    <n v="154445.5"/>
    <n v="154445.5"/>
    <n v="1189.23035"/>
    <n v="1"/>
    <n v="0.02"/>
    <n v="18"/>
    <n v="18"/>
    <n v="19"/>
    <n v="19"/>
    <n v="-1"/>
    <n v="-1"/>
    <x v="2"/>
    <x v="0"/>
    <x v="1"/>
    <x v="3"/>
    <x v="3"/>
    <x v="4"/>
    <x v="3"/>
    <x v="0"/>
    <n v="4"/>
    <x v="3"/>
    <x v="2"/>
  </r>
  <r>
    <s v="PO-2026-00993"/>
    <s v="ORD-288050"/>
    <d v="2026-04-20T00:00:00"/>
    <d v="2026-05-01T00:00:00"/>
    <x v="117"/>
    <x v="10"/>
    <x v="10"/>
    <x v="2"/>
    <x v="0"/>
    <x v="6"/>
    <s v="SKU-MET-954"/>
    <s v="Steel Coil"/>
    <n v="425.9"/>
    <s v="NGN"/>
    <n v="7.2999999999999996E-4"/>
    <n v="0.31090699999999999"/>
    <n v="100"/>
    <n v="42590"/>
    <n v="42590"/>
    <n v="31.090699999999998"/>
    <n v="0"/>
    <n v="0"/>
    <n v="11"/>
    <n v="11"/>
    <n v="11"/>
    <n v="11"/>
    <n v="0"/>
    <n v="0"/>
    <x v="2"/>
    <x v="0"/>
    <x v="1"/>
    <x v="5"/>
    <x v="0"/>
    <x v="6"/>
    <x v="4"/>
    <x v="0"/>
    <n v="4.4000000000000004"/>
    <x v="5"/>
    <x v="2"/>
  </r>
  <r>
    <s v="PO-2026-00994"/>
    <s v="ORD-323425"/>
    <d v="2026-03-03T00:00:00"/>
    <d v="2026-03-20T00:00:00"/>
    <x v="29"/>
    <x v="13"/>
    <x v="13"/>
    <x v="9"/>
    <x v="6"/>
    <x v="2"/>
    <s v="SKU-IND-284"/>
    <s v="Filter Cartridge"/>
    <n v="793.68"/>
    <s v="ZAR"/>
    <n v="6.0999999999999999E-2"/>
    <n v="48.414479999999998"/>
    <n v="300"/>
    <n v="238104"/>
    <n v="238103.99999999997"/>
    <n v="14524.343999999999"/>
    <n v="10"/>
    <n v="3.3300000000000003E-2"/>
    <n v="21"/>
    <n v="21"/>
    <n v="17"/>
    <n v="17"/>
    <n v="4"/>
    <n v="4"/>
    <x v="1"/>
    <x v="0"/>
    <x v="0"/>
    <x v="1"/>
    <x v="0"/>
    <x v="0"/>
    <x v="4"/>
    <x v="0"/>
    <n v="2.9"/>
    <x v="4"/>
    <x v="0"/>
  </r>
  <r>
    <s v="PO-2026-00995"/>
    <s v="ORD-742738"/>
    <d v="2026-05-14T00:00:00"/>
    <d v="2026-05-26T00:00:00"/>
    <x v="80"/>
    <x v="12"/>
    <x v="12"/>
    <x v="2"/>
    <x v="8"/>
    <x v="4"/>
    <s v="SKU-PAC-731"/>
    <s v="Corrugated Box"/>
    <n v="526.98"/>
    <s v="EGP"/>
    <n v="1.9E-2"/>
    <n v="10.01262"/>
    <n v="750"/>
    <n v="395235"/>
    <n v="395235"/>
    <n v="7509.4650000000001"/>
    <n v="13"/>
    <n v="1.7299999999999999E-2"/>
    <n v="15"/>
    <n v="15"/>
    <n v="12"/>
    <n v="12"/>
    <n v="3"/>
    <n v="3"/>
    <x v="3"/>
    <x v="0"/>
    <x v="1"/>
    <x v="2"/>
    <x v="3"/>
    <x v="1"/>
    <x v="2"/>
    <x v="0"/>
    <n v="2.2999999999999998"/>
    <x v="5"/>
    <x v="0"/>
  </r>
  <r>
    <s v="PO-2026-00996"/>
    <s v="ORD-227712"/>
    <d v="2026-03-21T00:00:00"/>
    <d v="2026-04-09T00:00:00"/>
    <x v="24"/>
    <x v="14"/>
    <x v="14"/>
    <x v="10"/>
    <x v="8"/>
    <x v="5"/>
    <s v="SKU-RAW-209"/>
    <s v="Input Granules"/>
    <n v="498.69"/>
    <s v="NGN"/>
    <n v="7.2999999999999996E-4"/>
    <n v="0.36404369999999997"/>
    <n v="150"/>
    <n v="74803.5"/>
    <n v="74803.5"/>
    <n v="54.606555"/>
    <n v="8"/>
    <n v="5.33E-2"/>
    <n v="26"/>
    <n v="26"/>
    <n v="19"/>
    <n v="19"/>
    <n v="7"/>
    <n v="7"/>
    <x v="0"/>
    <x v="1"/>
    <x v="1"/>
    <x v="1"/>
    <x v="3"/>
    <x v="5"/>
    <x v="2"/>
    <x v="1"/>
    <n v="1"/>
    <x v="6"/>
    <x v="1"/>
  </r>
  <r>
    <s v="PO-2026-00997"/>
    <s v="ORD-155274"/>
    <d v="2026-06-17T00:00:00"/>
    <d v="2026-07-04T00:00:00"/>
    <x v="192"/>
    <x v="8"/>
    <x v="8"/>
    <x v="7"/>
    <x v="1"/>
    <x v="1"/>
    <s v="SKU-ELE-207"/>
    <s v="LED Driver"/>
    <s v=""/>
    <s v="USD"/>
    <n v="1"/>
    <s v=""/>
    <n v="750"/>
    <n v="64140"/>
    <e v="#VALUE!"/>
    <n v="64140"/>
    <n v="25"/>
    <n v="3.3300000000000003E-2"/>
    <n v="26"/>
    <n v="26"/>
    <n v="17"/>
    <n v="17"/>
    <n v="9"/>
    <n v="9"/>
    <x v="0"/>
    <x v="0"/>
    <x v="0"/>
    <x v="1"/>
    <x v="2"/>
    <x v="4"/>
    <x v="3"/>
    <x v="0"/>
    <n v="2.2000000000000002"/>
    <x v="5"/>
    <x v="9"/>
  </r>
  <r>
    <s v="PO-2026-00998"/>
    <s v="ORD-528705"/>
    <d v="2026-02-14T00:00:00"/>
    <d v="2026-03-03T00:00:00"/>
    <x v="8"/>
    <x v="7"/>
    <x v="7"/>
    <x v="6"/>
    <x v="8"/>
    <x v="5"/>
    <s v="SKU-RAW-342"/>
    <s v="Agro Binder"/>
    <n v="517.76"/>
    <s v="EGP"/>
    <n v="1.9E-2"/>
    <n v="9.8374399999999991"/>
    <n v="2000"/>
    <n v="1035520"/>
    <n v="1035520"/>
    <n v="19674.88"/>
    <n v="0"/>
    <n v="0"/>
    <n v="18"/>
    <n v="18"/>
    <n v="17"/>
    <n v="17"/>
    <n v="1"/>
    <n v="1"/>
    <x v="1"/>
    <x v="0"/>
    <x v="1"/>
    <x v="4"/>
    <x v="2"/>
    <x v="5"/>
    <x v="2"/>
    <x v="0"/>
    <n v="2.2000000000000002"/>
    <x v="2"/>
    <x v="0"/>
  </r>
  <r>
    <s v="PO-2026-00999"/>
    <s v="ORD-601355"/>
    <d v="2026-04-25T00:00:00"/>
    <d v="2026-05-15T00:00:00"/>
    <x v="151"/>
    <x v="7"/>
    <x v="7"/>
    <x v="6"/>
    <x v="4"/>
    <x v="2"/>
    <s v="SKU-IND-864"/>
    <s v="Safety Gloves"/>
    <n v="237.5"/>
    <s v="KES"/>
    <n v="7.7000000000000002E-3"/>
    <n v="1.8287500000000001"/>
    <n v="300"/>
    <n v="71250"/>
    <n v="71250"/>
    <n v="548.625"/>
    <n v="16"/>
    <n v="5.33E-2"/>
    <n v="22"/>
    <n v="22"/>
    <n v="20"/>
    <n v="20"/>
    <n v="2"/>
    <n v="2"/>
    <x v="1"/>
    <x v="2"/>
    <x v="4"/>
    <x v="1"/>
    <x v="1"/>
    <x v="2"/>
    <x v="2"/>
    <x v="4"/>
    <n v="3.4"/>
    <x v="4"/>
    <x v="6"/>
  </r>
  <r>
    <s v="PO-2026-01000"/>
    <s v="ORD-348082"/>
    <d v="2026-05-29T00:00:00"/>
    <d v="2026-06-16T00:00:00"/>
    <x v="67"/>
    <x v="1"/>
    <x v="1"/>
    <x v="1"/>
    <x v="8"/>
    <x v="1"/>
    <s v="SKU-ELE-375"/>
    <s v="LED Driver"/>
    <n v="2315.4"/>
    <s v="NGN"/>
    <n v="7.2999999999999996E-4"/>
    <n v="1.690242"/>
    <n v="300"/>
    <n v="694620"/>
    <n v="694620"/>
    <n v="507.07259999999997"/>
    <n v="0"/>
    <n v="0"/>
    <n v="20"/>
    <n v="20"/>
    <n v="18"/>
    <n v="18"/>
    <n v="2"/>
    <n v="2"/>
    <x v="1"/>
    <x v="0"/>
    <x v="1"/>
    <x v="2"/>
    <x v="5"/>
    <x v="0"/>
    <x v="2"/>
    <x v="0"/>
    <n v="2.5"/>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C53793-22A6-44A7-A695-57B907B66AA8}" name="DeliveryStatusbyShppingMod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75:I83"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dataField="1" compact="0" outline="0" showAll="0" defaultSubtotal="0">
      <items count="7">
        <item x="5"/>
        <item x="2"/>
        <item x="3"/>
        <item x="1"/>
        <item x="4"/>
        <item x="0"/>
        <item x="6"/>
      </items>
    </pivotField>
    <pivotField compact="0" outline="0" showAll="0" defaultSubtotal="0"/>
    <pivotField compact="0" outline="0" showAll="0" defaultSubtotal="0"/>
    <pivotField compact="0" outline="0" showAll="0" defaultSubtotal="0"/>
    <pivotField axis="axisRow"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32"/>
  </rowFields>
  <rowItems count="7">
    <i>
      <x/>
    </i>
    <i>
      <x v="1"/>
    </i>
    <i>
      <x v="2"/>
    </i>
    <i>
      <x v="3"/>
    </i>
    <i>
      <x v="4"/>
    </i>
    <i>
      <x v="5"/>
    </i>
    <i t="grand">
      <x/>
    </i>
  </rowItems>
  <colFields count="1">
    <field x="28"/>
  </colFields>
  <colItems count="8">
    <i>
      <x/>
    </i>
    <i>
      <x v="1"/>
    </i>
    <i>
      <x v="2"/>
    </i>
    <i>
      <x v="3"/>
    </i>
    <i>
      <x v="4"/>
    </i>
    <i>
      <x v="5"/>
    </i>
    <i>
      <x v="6"/>
    </i>
    <i t="grand">
      <x/>
    </i>
  </colItems>
  <dataFields count="1">
    <dataField name="Count of Delivery_Status" fld="28" subtotal="count" baseField="0" baseItem="0"/>
  </dataFields>
  <formats count="1">
    <format dxfId="3204">
      <pivotArea outline="0" collapsedLevelsAreSubtotals="1" fieldPosition="0"/>
    </format>
  </formats>
  <chartFormats count="35">
    <chartFormat chart="0" format="0" series="1">
      <pivotArea type="data" outline="0" fieldPosition="0">
        <references count="2">
          <reference field="4294967294" count="1" selected="0">
            <x v="0"/>
          </reference>
          <reference field="28" count="1" selected="0">
            <x v="2"/>
          </reference>
        </references>
      </pivotArea>
    </chartFormat>
    <chartFormat chart="0" format="1" series="1">
      <pivotArea type="data" outline="0" fieldPosition="0">
        <references count="2">
          <reference field="4294967294" count="1" selected="0">
            <x v="0"/>
          </reference>
          <reference field="28" count="1" selected="0">
            <x v="0"/>
          </reference>
        </references>
      </pivotArea>
    </chartFormat>
    <chartFormat chart="0" format="2" series="1">
      <pivotArea type="data" outline="0" fieldPosition="0">
        <references count="2">
          <reference field="4294967294" count="1" selected="0">
            <x v="0"/>
          </reference>
          <reference field="28" count="1" selected="0">
            <x v="6"/>
          </reference>
        </references>
      </pivotArea>
    </chartFormat>
    <chartFormat chart="0" format="3" series="1">
      <pivotArea type="data" outline="0" fieldPosition="0">
        <references count="2">
          <reference field="4294967294" count="1" selected="0">
            <x v="0"/>
          </reference>
          <reference field="28" count="1" selected="0">
            <x v="3"/>
          </reference>
        </references>
      </pivotArea>
    </chartFormat>
    <chartFormat chart="0" format="4" series="1">
      <pivotArea type="data" outline="0" fieldPosition="0">
        <references count="2">
          <reference field="4294967294" count="1" selected="0">
            <x v="0"/>
          </reference>
          <reference field="28" count="1" selected="0">
            <x v="1"/>
          </reference>
        </references>
      </pivotArea>
    </chartFormat>
    <chartFormat chart="0" format="5" series="1">
      <pivotArea type="data" outline="0" fieldPosition="0">
        <references count="2">
          <reference field="4294967294" count="1" selected="0">
            <x v="0"/>
          </reference>
          <reference field="28" count="1" selected="0">
            <x v="5"/>
          </reference>
        </references>
      </pivotArea>
    </chartFormat>
    <chartFormat chart="0" format="6" series="1">
      <pivotArea type="data" outline="0" fieldPosition="0">
        <references count="2">
          <reference field="4294967294" count="1" selected="0">
            <x v="0"/>
          </reference>
          <reference field="28" count="1" selected="0">
            <x v="4"/>
          </reference>
        </references>
      </pivotArea>
    </chartFormat>
    <chartFormat chart="4" format="28" series="1">
      <pivotArea type="data" outline="0" fieldPosition="0">
        <references count="2">
          <reference field="4294967294" count="1" selected="0">
            <x v="0"/>
          </reference>
          <reference field="28" count="1" selected="0">
            <x v="0"/>
          </reference>
        </references>
      </pivotArea>
    </chartFormat>
    <chartFormat chart="4" format="29" series="1">
      <pivotArea type="data" outline="0" fieldPosition="0">
        <references count="2">
          <reference field="4294967294" count="1" selected="0">
            <x v="0"/>
          </reference>
          <reference field="28" count="1" selected="0">
            <x v="1"/>
          </reference>
        </references>
      </pivotArea>
    </chartFormat>
    <chartFormat chart="4" format="30" series="1">
      <pivotArea type="data" outline="0" fieldPosition="0">
        <references count="2">
          <reference field="4294967294" count="1" selected="0">
            <x v="0"/>
          </reference>
          <reference field="28" count="1" selected="0">
            <x v="2"/>
          </reference>
        </references>
      </pivotArea>
    </chartFormat>
    <chartFormat chart="4" format="31" series="1">
      <pivotArea type="data" outline="0" fieldPosition="0">
        <references count="2">
          <reference field="4294967294" count="1" selected="0">
            <x v="0"/>
          </reference>
          <reference field="28" count="1" selected="0">
            <x v="3"/>
          </reference>
        </references>
      </pivotArea>
    </chartFormat>
    <chartFormat chart="4" format="32" series="1">
      <pivotArea type="data" outline="0" fieldPosition="0">
        <references count="2">
          <reference field="4294967294" count="1" selected="0">
            <x v="0"/>
          </reference>
          <reference field="28" count="1" selected="0">
            <x v="4"/>
          </reference>
        </references>
      </pivotArea>
    </chartFormat>
    <chartFormat chart="4" format="33" series="1">
      <pivotArea type="data" outline="0" fieldPosition="0">
        <references count="2">
          <reference field="4294967294" count="1" selected="0">
            <x v="0"/>
          </reference>
          <reference field="28" count="1" selected="0">
            <x v="5"/>
          </reference>
        </references>
      </pivotArea>
    </chartFormat>
    <chartFormat chart="4" format="34" series="1">
      <pivotArea type="data" outline="0" fieldPosition="0">
        <references count="2">
          <reference field="4294967294" count="1" selected="0">
            <x v="0"/>
          </reference>
          <reference field="28" count="1" selected="0">
            <x v="6"/>
          </reference>
        </references>
      </pivotArea>
    </chartFormat>
    <chartFormat chart="7" format="28" series="1">
      <pivotArea type="data" outline="0" fieldPosition="0">
        <references count="2">
          <reference field="4294967294" count="1" selected="0">
            <x v="0"/>
          </reference>
          <reference field="28" count="1" selected="0">
            <x v="0"/>
          </reference>
        </references>
      </pivotArea>
    </chartFormat>
    <chartFormat chart="7" format="29" series="1">
      <pivotArea type="data" outline="0" fieldPosition="0">
        <references count="2">
          <reference field="4294967294" count="1" selected="0">
            <x v="0"/>
          </reference>
          <reference field="28" count="1" selected="0">
            <x v="1"/>
          </reference>
        </references>
      </pivotArea>
    </chartFormat>
    <chartFormat chart="7" format="30" series="1">
      <pivotArea type="data" outline="0" fieldPosition="0">
        <references count="2">
          <reference field="4294967294" count="1" selected="0">
            <x v="0"/>
          </reference>
          <reference field="28" count="1" selected="0">
            <x v="2"/>
          </reference>
        </references>
      </pivotArea>
    </chartFormat>
    <chartFormat chart="7" format="31" series="1">
      <pivotArea type="data" outline="0" fieldPosition="0">
        <references count="2">
          <reference field="4294967294" count="1" selected="0">
            <x v="0"/>
          </reference>
          <reference field="28" count="1" selected="0">
            <x v="3"/>
          </reference>
        </references>
      </pivotArea>
    </chartFormat>
    <chartFormat chart="7" format="32" series="1">
      <pivotArea type="data" outline="0" fieldPosition="0">
        <references count="2">
          <reference field="4294967294" count="1" selected="0">
            <x v="0"/>
          </reference>
          <reference field="28" count="1" selected="0">
            <x v="4"/>
          </reference>
        </references>
      </pivotArea>
    </chartFormat>
    <chartFormat chart="7" format="33" series="1">
      <pivotArea type="data" outline="0" fieldPosition="0">
        <references count="2">
          <reference field="4294967294" count="1" selected="0">
            <x v="0"/>
          </reference>
          <reference field="28" count="1" selected="0">
            <x v="5"/>
          </reference>
        </references>
      </pivotArea>
    </chartFormat>
    <chartFormat chart="7" format="34" series="1">
      <pivotArea type="data" outline="0" fieldPosition="0">
        <references count="2">
          <reference field="4294967294" count="1" selected="0">
            <x v="0"/>
          </reference>
          <reference field="28" count="1" selected="0">
            <x v="6"/>
          </reference>
        </references>
      </pivotArea>
    </chartFormat>
    <chartFormat chart="9" format="42" series="1">
      <pivotArea type="data" outline="0" fieldPosition="0">
        <references count="2">
          <reference field="4294967294" count="1" selected="0">
            <x v="0"/>
          </reference>
          <reference field="28" count="1" selected="0">
            <x v="0"/>
          </reference>
        </references>
      </pivotArea>
    </chartFormat>
    <chartFormat chart="9" format="43" series="1">
      <pivotArea type="data" outline="0" fieldPosition="0">
        <references count="2">
          <reference field="4294967294" count="1" selected="0">
            <x v="0"/>
          </reference>
          <reference field="28" count="1" selected="0">
            <x v="1"/>
          </reference>
        </references>
      </pivotArea>
    </chartFormat>
    <chartFormat chart="9" format="44" series="1">
      <pivotArea type="data" outline="0" fieldPosition="0">
        <references count="2">
          <reference field="4294967294" count="1" selected="0">
            <x v="0"/>
          </reference>
          <reference field="28" count="1" selected="0">
            <x v="2"/>
          </reference>
        </references>
      </pivotArea>
    </chartFormat>
    <chartFormat chart="9" format="45" series="1">
      <pivotArea type="data" outline="0" fieldPosition="0">
        <references count="2">
          <reference field="4294967294" count="1" selected="0">
            <x v="0"/>
          </reference>
          <reference field="28" count="1" selected="0">
            <x v="3"/>
          </reference>
        </references>
      </pivotArea>
    </chartFormat>
    <chartFormat chart="9" format="46" series="1">
      <pivotArea type="data" outline="0" fieldPosition="0">
        <references count="2">
          <reference field="4294967294" count="1" selected="0">
            <x v="0"/>
          </reference>
          <reference field="28" count="1" selected="0">
            <x v="4"/>
          </reference>
        </references>
      </pivotArea>
    </chartFormat>
    <chartFormat chart="9" format="47" series="1">
      <pivotArea type="data" outline="0" fieldPosition="0">
        <references count="2">
          <reference field="4294967294" count="1" selected="0">
            <x v="0"/>
          </reference>
          <reference field="28" count="1" selected="0">
            <x v="5"/>
          </reference>
        </references>
      </pivotArea>
    </chartFormat>
    <chartFormat chart="9" format="48" series="1">
      <pivotArea type="data" outline="0" fieldPosition="0">
        <references count="2">
          <reference field="4294967294" count="1" selected="0">
            <x v="0"/>
          </reference>
          <reference field="28" count="1" selected="0">
            <x v="6"/>
          </reference>
        </references>
      </pivotArea>
    </chartFormat>
    <chartFormat chart="11" format="56" series="1">
      <pivotArea type="data" outline="0" fieldPosition="0">
        <references count="2">
          <reference field="4294967294" count="1" selected="0">
            <x v="0"/>
          </reference>
          <reference field="28" count="1" selected="0">
            <x v="0"/>
          </reference>
        </references>
      </pivotArea>
    </chartFormat>
    <chartFormat chart="11" format="57" series="1">
      <pivotArea type="data" outline="0" fieldPosition="0">
        <references count="2">
          <reference field="4294967294" count="1" selected="0">
            <x v="0"/>
          </reference>
          <reference field="28" count="1" selected="0">
            <x v="1"/>
          </reference>
        </references>
      </pivotArea>
    </chartFormat>
    <chartFormat chart="11" format="58" series="1">
      <pivotArea type="data" outline="0" fieldPosition="0">
        <references count="2">
          <reference field="4294967294" count="1" selected="0">
            <x v="0"/>
          </reference>
          <reference field="28" count="1" selected="0">
            <x v="2"/>
          </reference>
        </references>
      </pivotArea>
    </chartFormat>
    <chartFormat chart="11" format="59" series="1">
      <pivotArea type="data" outline="0" fieldPosition="0">
        <references count="2">
          <reference field="4294967294" count="1" selected="0">
            <x v="0"/>
          </reference>
          <reference field="28" count="1" selected="0">
            <x v="3"/>
          </reference>
        </references>
      </pivotArea>
    </chartFormat>
    <chartFormat chart="11" format="60" series="1">
      <pivotArea type="data" outline="0" fieldPosition="0">
        <references count="2">
          <reference field="4294967294" count="1" selected="0">
            <x v="0"/>
          </reference>
          <reference field="28" count="1" selected="0">
            <x v="4"/>
          </reference>
        </references>
      </pivotArea>
    </chartFormat>
    <chartFormat chart="11" format="61" series="1">
      <pivotArea type="data" outline="0" fieldPosition="0">
        <references count="2">
          <reference field="4294967294" count="1" selected="0">
            <x v="0"/>
          </reference>
          <reference field="28" count="1" selected="0">
            <x v="5"/>
          </reference>
        </references>
      </pivotArea>
    </chartFormat>
    <chartFormat chart="11" format="62" series="1">
      <pivotArea type="data" outline="0" fieldPosition="0">
        <references count="2">
          <reference field="4294967294" count="1" selected="0">
            <x v="0"/>
          </reference>
          <reference field="28" count="1" selected="0">
            <x v="6"/>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3E5B8D-E688-46BF-8366-5C3F543FA36C}" name="LeadTimeAnalysisbySupplier"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32">
  <location ref="A1998:F2013" firstHeaderRow="0" firstDataRow="1" firstDataCol="2"/>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compact="0" outline="0" showAll="0" sortType="descending" defaultSubtotal="0">
      <items count="15">
        <item x="10"/>
        <item x="6"/>
        <item x="9"/>
        <item x="5"/>
        <item x="7"/>
        <item x="11"/>
        <item x="0"/>
        <item x="12"/>
        <item x="1"/>
        <item x="13"/>
        <item x="4"/>
        <item x="14"/>
        <item x="8"/>
        <item x="2"/>
        <item x="3"/>
      </items>
      <autoSortScope>
        <pivotArea dataOnly="0" outline="0" fieldPosition="0">
          <references count="1">
            <reference field="4294967294" count="1" selected="0">
              <x v="0"/>
            </reference>
          </references>
        </pivotArea>
      </autoSortScope>
    </pivotField>
    <pivotField axis="axisRow"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dataField="1" compact="0" outline="0" subtotalTop="0" showAll="0" defaultSubtotal="0"/>
    <pivotField compact="0" outline="0" showAll="0" defaultSubtotal="0"/>
    <pivotField compact="0" outline="0" subtotalTop="0" showAll="0" defaultSubtotal="0"/>
    <pivotField dataField="1"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2">
    <field x="5"/>
    <field x="6"/>
  </rowFields>
  <rowItems count="15">
    <i>
      <x/>
      <x v="25"/>
    </i>
    <i>
      <x v="5"/>
      <x v="26"/>
    </i>
    <i>
      <x v="8"/>
      <x v="16"/>
    </i>
    <i>
      <x v="14"/>
      <x v="18"/>
    </i>
    <i>
      <x v="10"/>
      <x v="19"/>
    </i>
    <i>
      <x v="13"/>
      <x v="17"/>
    </i>
    <i>
      <x v="4"/>
      <x v="22"/>
    </i>
    <i>
      <x v="12"/>
      <x v="23"/>
    </i>
    <i>
      <x v="1"/>
      <x v="21"/>
    </i>
    <i>
      <x v="3"/>
      <x v="20"/>
    </i>
    <i>
      <x v="2"/>
      <x v="24"/>
    </i>
    <i>
      <x v="7"/>
      <x v="27"/>
    </i>
    <i>
      <x v="9"/>
      <x v="28"/>
    </i>
    <i>
      <x v="11"/>
      <x v="29"/>
    </i>
    <i>
      <x v="6"/>
      <x v="15"/>
    </i>
  </rowItems>
  <colFields count="1">
    <field x="-2"/>
  </colFields>
  <colItems count="4">
    <i>
      <x/>
    </i>
    <i i="1">
      <x v="1"/>
    </i>
    <i i="2">
      <x v="2"/>
    </i>
    <i i="3">
      <x v="3"/>
    </i>
  </colItems>
  <dataFields count="4">
    <dataField name="Avg Lead Time Variance" fld="26" subtotal="average" baseField="6" baseItem="13" numFmtId="1"/>
    <dataField name="Sum of Calculated_Lead_Time_Variance_Days" fld="26" baseField="0" baseItem="0" numFmtId="1"/>
    <dataField name="Average of Calculated_Lead_Time2" fld="23" subtotal="average" baseField="6" baseItem="13" numFmtId="1"/>
    <dataField name="Sum of Calculated_Lead_Time2" fld="23" baseField="0" baseItem="0"/>
  </dataFields>
  <formats count="16">
    <format dxfId="3137">
      <pivotArea outline="0" collapsedLevelsAreSubtotals="1" fieldPosition="0"/>
    </format>
    <format dxfId="3138">
      <pivotArea dataOnly="0" labelOnly="1" grandCol="1" outline="0" fieldPosition="0"/>
    </format>
    <format dxfId="3139">
      <pivotArea grandRow="1" outline="0" collapsedLevelsAreSubtotals="1" fieldPosition="0"/>
    </format>
    <format dxfId="3140">
      <pivotArea dataOnly="0" labelOnly="1" grandRow="1" outline="0" fieldPosition="0"/>
    </format>
    <format dxfId="3141">
      <pivotArea field="6" type="button" dataOnly="0" labelOnly="1" outline="0" axis="axisRow" fieldPosition="1"/>
    </format>
    <format dxfId="3142">
      <pivotArea dataOnly="0" labelOnly="1" grandCol="1" outline="0" fieldPosition="0"/>
    </format>
    <format dxfId="3143">
      <pivotArea field="6" type="button" dataOnly="0" labelOnly="1" outline="0" axis="axisRow" fieldPosition="1"/>
    </format>
    <format dxfId="3144">
      <pivotArea dataOnly="0" labelOnly="1" grandCol="1" outline="0" fieldPosition="0"/>
    </format>
    <format dxfId="3145">
      <pivotArea field="6" type="button" dataOnly="0" labelOnly="1" outline="0" axis="axisRow" fieldPosition="1"/>
    </format>
    <format dxfId="3146">
      <pivotArea dataOnly="0" labelOnly="1" grandCol="1" outline="0" fieldPosition="0"/>
    </format>
    <format dxfId="3147">
      <pivotArea field="6" type="button" dataOnly="0" labelOnly="1" outline="0" axis="axisRow" fieldPosition="1"/>
    </format>
    <format dxfId="3148">
      <pivotArea dataOnly="0" labelOnly="1" grandCol="1" outline="0" fieldPosition="0"/>
    </format>
    <format dxfId="3149">
      <pivotArea dataOnly="0" labelOnly="1" grandCol="1" outline="0" fieldPosition="0"/>
    </format>
    <format dxfId="3150">
      <pivotArea dataOnly="0" labelOnly="1" grandCol="1" outline="0" fieldPosition="0"/>
    </format>
    <format dxfId="3151">
      <pivotArea dataOnly="0" labelOnly="1" grandCol="1" outline="0" fieldPosition="0"/>
    </format>
    <format dxfId="3152">
      <pivotArea outline="0" fieldPosition="0">
        <references count="1">
          <reference field="4294967294" count="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6061D1-3B9A-49B4-8900-5A7F3F2F4A3D}" name="%ofDefectRate"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435:G451" firstHeaderRow="0" firstDataRow="1" firstDataCol="2"/>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dataField="1" compact="0" outline="0" showAll="0" sortType="descending" defaultSubtotal="0">
      <items count="15">
        <item x="10"/>
        <item x="6"/>
        <item x="9"/>
        <item x="5"/>
        <item x="7"/>
        <item x="11"/>
        <item x="0"/>
        <item x="12"/>
        <item x="1"/>
        <item x="13"/>
        <item x="4"/>
        <item x="14"/>
        <item x="8"/>
        <item x="2"/>
        <item x="3"/>
      </items>
      <autoSortScope>
        <pivotArea dataOnly="0" outline="0" fieldPosition="0">
          <references count="1">
            <reference field="4294967294" count="1" selected="0">
              <x v="4"/>
            </reference>
          </references>
        </pivotArea>
      </autoSortScope>
    </pivotField>
    <pivotField axis="axisRow" compact="0" outline="0" showAll="0" sortType="descending"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autoSortScope>
        <pivotArea dataOnly="0" outline="0" fieldPosition="0">
          <references count="1">
            <reference field="4294967294" count="1" selected="0">
              <x v="3"/>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2">
    <field x="5"/>
    <field x="6"/>
  </rowFields>
  <rowItems count="16">
    <i>
      <x v="4"/>
      <x v="22"/>
    </i>
    <i>
      <x/>
      <x v="25"/>
    </i>
    <i>
      <x v="14"/>
      <x v="18"/>
    </i>
    <i>
      <x v="6"/>
      <x v="15"/>
    </i>
    <i>
      <x v="11"/>
      <x v="29"/>
    </i>
    <i>
      <x v="1"/>
      <x v="21"/>
    </i>
    <i>
      <x v="9"/>
      <x v="28"/>
    </i>
    <i>
      <x v="10"/>
      <x v="19"/>
    </i>
    <i>
      <x v="5"/>
      <x v="26"/>
    </i>
    <i>
      <x v="3"/>
      <x v="20"/>
    </i>
    <i>
      <x v="8"/>
      <x v="16"/>
    </i>
    <i>
      <x v="13"/>
      <x v="17"/>
    </i>
    <i>
      <x v="7"/>
      <x v="27"/>
    </i>
    <i>
      <x v="12"/>
      <x v="23"/>
    </i>
    <i>
      <x v="2"/>
      <x v="24"/>
    </i>
    <i t="grand">
      <x/>
    </i>
  </rowItems>
  <colFields count="1">
    <field x="-2"/>
  </colFields>
  <colItems count="5">
    <i>
      <x/>
    </i>
    <i i="1">
      <x v="1"/>
    </i>
    <i i="2">
      <x v="2"/>
    </i>
    <i i="3">
      <x v="3"/>
    </i>
    <i i="4">
      <x v="4"/>
    </i>
  </colItems>
  <dataFields count="5">
    <dataField name="Sum of Order_Quantity" fld="16" baseField="6" baseItem="9"/>
    <dataField name="Sum of Defective_Units" fld="20" baseField="0" baseItem="0"/>
    <dataField name="Count of Supplier_ID" fld="5" subtotal="count" baseField="0" baseItem="0"/>
    <dataField name="Calculated % Defect on Total Order" fld="39" baseField="0" baseItem="0" numFmtId="10"/>
    <dataField name="% of  Defective_Units" fld="20" showDataAs="percentOfTotal" baseField="0" baseItem="0" numFmtId="10"/>
  </dataFields>
  <formats count="3">
    <format dxfId="3321">
      <pivotArea outline="0" fieldPosition="0">
        <references count="1">
          <reference field="4294967294" count="1">
            <x v="4"/>
          </reference>
        </references>
      </pivotArea>
    </format>
    <format dxfId="3322">
      <pivotArea outline="0" fieldPosition="0">
        <references count="1">
          <reference field="4294967294" count="1" selected="0">
            <x v="3"/>
          </reference>
        </references>
      </pivotArea>
    </format>
    <format dxfId="3323">
      <pivotArea dataOnly="0" labelOnly="1" outline="0" fieldPosition="0">
        <references count="1">
          <reference field="4294967294" count="1">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436B67-4040-4067-B4D5-4DD229D9B457}" name="DeliveryStatusbyCountr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61:I175"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axis="axisRow" compact="0" outline="0" showAll="0" defaultSubtotal="0">
      <items count="12">
        <item x="11"/>
        <item x="5"/>
        <item x="9"/>
        <item x="8"/>
        <item x="10"/>
        <item x="1"/>
        <item x="7"/>
        <item x="2"/>
        <item x="4"/>
        <item x="6"/>
        <item x="0"/>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dataField="1" compact="0" outline="0" showAll="0" defaultSubtotal="0">
      <items count="7">
        <item x="3"/>
        <item x="5"/>
        <item x="6"/>
        <item x="1"/>
        <item x="2"/>
        <item x="4"/>
        <item x="0"/>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7"/>
  </rowFields>
  <rowItems count="13">
    <i>
      <x/>
    </i>
    <i>
      <x v="1"/>
    </i>
    <i>
      <x v="2"/>
    </i>
    <i>
      <x v="3"/>
    </i>
    <i>
      <x v="4"/>
    </i>
    <i>
      <x v="5"/>
    </i>
    <i>
      <x v="6"/>
    </i>
    <i>
      <x v="7"/>
    </i>
    <i>
      <x v="8"/>
    </i>
    <i>
      <x v="9"/>
    </i>
    <i>
      <x v="10"/>
    </i>
    <i>
      <x v="11"/>
    </i>
    <i t="grand">
      <x/>
    </i>
  </rowItems>
  <colFields count="1">
    <field x="28"/>
  </colFields>
  <colItems count="8">
    <i>
      <x/>
    </i>
    <i>
      <x v="1"/>
    </i>
    <i>
      <x v="2"/>
    </i>
    <i>
      <x v="3"/>
    </i>
    <i>
      <x v="4"/>
    </i>
    <i>
      <x v="5"/>
    </i>
    <i>
      <x v="6"/>
    </i>
    <i t="grand">
      <x/>
    </i>
  </colItems>
  <dataFields count="1">
    <dataField name="Count of Delivery_Status" fld="28" subtotal="count" baseField="0" baseItem="0"/>
  </dataFields>
  <formats count="1">
    <format dxfId="3205">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B0B9E8-47E9-471D-A563-8CA5EEC81738}" name="RejectionReasonbySupplierName"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068:H1085"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axis="axisCol" compact="0" outline="0" showAll="0" defaultSubtotal="0">
      <items count="6">
        <item x="1"/>
        <item x="4"/>
        <item x="5"/>
        <item x="2"/>
        <item x="0"/>
        <item x="3"/>
      </items>
    </pivotField>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35"/>
  </colFields>
  <colItems count="7">
    <i>
      <x/>
    </i>
    <i>
      <x v="1"/>
    </i>
    <i>
      <x v="2"/>
    </i>
    <i>
      <x v="3"/>
    </i>
    <i>
      <x v="4"/>
    </i>
    <i>
      <x v="5"/>
    </i>
    <i t="grand">
      <x/>
    </i>
  </colItems>
  <dataFields count="1">
    <dataField name="Count of Supplier_Name" fld="6" subtotal="count" baseField="0" baseItem="0"/>
  </dataFields>
  <formats count="15">
    <format dxfId="3028">
      <pivotArea outline="0" collapsedLevelsAreSubtotals="1" fieldPosition="0"/>
    </format>
    <format dxfId="3029">
      <pivotArea dataOnly="0" labelOnly="1" grandCol="1" outline="0" fieldPosition="0"/>
    </format>
    <format dxfId="3030">
      <pivotArea grandRow="1" outline="0" collapsedLevelsAreSubtotals="1" fieldPosition="0"/>
    </format>
    <format dxfId="3031">
      <pivotArea dataOnly="0" labelOnly="1" grandRow="1" outline="0" fieldPosition="0"/>
    </format>
    <format dxfId="3032">
      <pivotArea field="6" type="button" dataOnly="0" labelOnly="1" outline="0" axis="axisRow" fieldPosition="0"/>
    </format>
    <format dxfId="3033">
      <pivotArea dataOnly="0" labelOnly="1" grandCol="1" outline="0" fieldPosition="0"/>
    </format>
    <format dxfId="3034">
      <pivotArea field="6" type="button" dataOnly="0" labelOnly="1" outline="0" axis="axisRow" fieldPosition="0"/>
    </format>
    <format dxfId="3035">
      <pivotArea dataOnly="0" labelOnly="1" grandCol="1" outline="0" fieldPosition="0"/>
    </format>
    <format dxfId="3036">
      <pivotArea field="6" type="button" dataOnly="0" labelOnly="1" outline="0" axis="axisRow" fieldPosition="0"/>
    </format>
    <format dxfId="3037">
      <pivotArea dataOnly="0" labelOnly="1" grandCol="1" outline="0" fieldPosition="0"/>
    </format>
    <format dxfId="3038">
      <pivotArea field="6" type="button" dataOnly="0" labelOnly="1" outline="0" axis="axisRow" fieldPosition="0"/>
    </format>
    <format dxfId="3039">
      <pivotArea dataOnly="0" labelOnly="1" grandCol="1" outline="0" fieldPosition="0"/>
    </format>
    <format dxfId="3040">
      <pivotArea dataOnly="0" labelOnly="1" grandCol="1" outline="0" fieldPosition="0"/>
    </format>
    <format dxfId="3041">
      <pivotArea dataOnly="0" labelOnly="1" outline="0" fieldPosition="0">
        <references count="1">
          <reference field="35" count="0"/>
        </references>
      </pivotArea>
    </format>
    <format dxfId="3042">
      <pivotArea dataOnly="0" labelOnly="1" outline="0" fieldPosition="0">
        <references count="1">
          <reference field="35"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7D1189-4F8C-4DEF-8881-D2C03628E489}" name="DeliveryStatusbyCategor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73:I282"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axis="axisRow" compact="0" outline="0" showAll="0" defaultSubtotal="0">
      <items count="7">
        <item x="1"/>
        <item x="2"/>
        <item x="0"/>
        <item x="6"/>
        <item x="4"/>
        <item x="5"/>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dataField="1"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9"/>
  </rowFields>
  <rowItems count="8">
    <i>
      <x/>
    </i>
    <i>
      <x v="1"/>
    </i>
    <i>
      <x v="2"/>
    </i>
    <i>
      <x v="3"/>
    </i>
    <i>
      <x v="4"/>
    </i>
    <i>
      <x v="5"/>
    </i>
    <i>
      <x v="6"/>
    </i>
    <i t="grand">
      <x/>
    </i>
  </rowItems>
  <colFields count="1">
    <field x="28"/>
  </colFields>
  <colItems count="8">
    <i>
      <x/>
    </i>
    <i>
      <x v="1"/>
    </i>
    <i>
      <x v="2"/>
    </i>
    <i>
      <x v="3"/>
    </i>
    <i>
      <x v="4"/>
    </i>
    <i>
      <x v="5"/>
    </i>
    <i>
      <x v="6"/>
    </i>
    <i t="grand">
      <x/>
    </i>
  </colItems>
  <dataFields count="1">
    <dataField name="Count of Delivery_Status" fld="28" subtotal="count" baseField="0" baseItem="0"/>
  </dataFields>
  <formats count="1">
    <format dxfId="3206">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879DE5-A3A8-42C3-AD78-CA1100BDCB97}" name="QualityStatusSummarybySupplier"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1">
  <location ref="A918:H935"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axis="axisCol" compact="0" outline="0" showAll="0" defaultSubtotal="0">
      <items count="6">
        <item x="0"/>
        <item x="1"/>
        <item x="2"/>
        <item x="3"/>
        <item x="4"/>
        <item x="5"/>
      </items>
    </pivotField>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29"/>
  </colFields>
  <colItems count="7">
    <i>
      <x/>
    </i>
    <i>
      <x v="1"/>
    </i>
    <i>
      <x v="2"/>
    </i>
    <i>
      <x v="3"/>
    </i>
    <i>
      <x v="4"/>
    </i>
    <i>
      <x v="5"/>
    </i>
    <i t="grand">
      <x/>
    </i>
  </colItems>
  <dataFields count="1">
    <dataField name="Sum of Order_Quantity" fld="16" baseField="6" baseItem="0" numFmtId="168"/>
  </dataFields>
  <formats count="10">
    <format dxfId="3048">
      <pivotArea outline="0" collapsedLevelsAreSubtotals="1" fieldPosition="0"/>
    </format>
    <format dxfId="3049">
      <pivotArea dataOnly="0" labelOnly="1" grandCol="1" outline="0" fieldPosition="0"/>
    </format>
    <format dxfId="3050">
      <pivotArea dataOnly="0" labelOnly="1" outline="0" fieldPosition="0">
        <references count="1">
          <reference field="29" count="0"/>
        </references>
      </pivotArea>
    </format>
    <format dxfId="3051">
      <pivotArea field="6" type="button" dataOnly="0" labelOnly="1" outline="0" axis="axisRow" fieldPosition="0"/>
    </format>
    <format dxfId="3052">
      <pivotArea dataOnly="0" labelOnly="1" outline="0" fieldPosition="0">
        <references count="1">
          <reference field="29" count="0"/>
        </references>
      </pivotArea>
    </format>
    <format dxfId="3053">
      <pivotArea dataOnly="0" labelOnly="1" grandCol="1" outline="0" fieldPosition="0"/>
    </format>
    <format dxfId="3054">
      <pivotArea grandRow="1" outline="0" collapsedLevelsAreSubtotals="1" fieldPosition="0"/>
    </format>
    <format dxfId="3055">
      <pivotArea dataOnly="0" labelOnly="1" grandRow="1" outline="0" fieldPosition="0"/>
    </format>
    <format dxfId="3056">
      <pivotArea outline="0" fieldPosition="0">
        <references count="1">
          <reference field="4294967294" count="1">
            <x v="0"/>
          </reference>
        </references>
      </pivotArea>
    </format>
    <format dxfId="3057">
      <pivotArea outline="0" collapsedLevelsAreSubtotals="1" fieldPosition="0"/>
    </format>
  </formats>
  <chartFormats count="54">
    <chartFormat chart="15" format="0" series="1">
      <pivotArea type="data" outline="0" fieldPosition="0">
        <references count="2">
          <reference field="4294967294" count="1" selected="0">
            <x v="0"/>
          </reference>
          <reference field="29" count="1" selected="0">
            <x v="0"/>
          </reference>
        </references>
      </pivotArea>
    </chartFormat>
    <chartFormat chart="15" format="1" series="1">
      <pivotArea type="data" outline="0" fieldPosition="0">
        <references count="2">
          <reference field="4294967294" count="1" selected="0">
            <x v="0"/>
          </reference>
          <reference field="29" count="1" selected="0">
            <x v="3"/>
          </reference>
        </references>
      </pivotArea>
    </chartFormat>
    <chartFormat chart="15" format="2" series="1">
      <pivotArea type="data" outline="0" fieldPosition="0">
        <references count="2">
          <reference field="4294967294" count="1" selected="0">
            <x v="0"/>
          </reference>
          <reference field="29" count="1" selected="0">
            <x v="1"/>
          </reference>
        </references>
      </pivotArea>
    </chartFormat>
    <chartFormat chart="15" format="3" series="1">
      <pivotArea type="data" outline="0" fieldPosition="0">
        <references count="2">
          <reference field="4294967294" count="1" selected="0">
            <x v="0"/>
          </reference>
          <reference field="29" count="1" selected="0">
            <x v="2"/>
          </reference>
        </references>
      </pivotArea>
    </chartFormat>
    <chartFormat chart="15" format="4" series="1">
      <pivotArea type="data" outline="0" fieldPosition="0">
        <references count="2">
          <reference field="4294967294" count="1" selected="0">
            <x v="0"/>
          </reference>
          <reference field="29" count="1" selected="0">
            <x v="4"/>
          </reference>
        </references>
      </pivotArea>
    </chartFormat>
    <chartFormat chart="15" format="5" series="1">
      <pivotArea type="data" outline="0" fieldPosition="0">
        <references count="2">
          <reference field="4294967294" count="1" selected="0">
            <x v="0"/>
          </reference>
          <reference field="29" count="1" selected="0">
            <x v="5"/>
          </reference>
        </references>
      </pivotArea>
    </chartFormat>
    <chartFormat chart="15" format="6">
      <pivotArea type="data" outline="0" fieldPosition="0">
        <references count="3">
          <reference field="4294967294" count="1" selected="0">
            <x v="0"/>
          </reference>
          <reference field="6" count="1" selected="0">
            <x v="12"/>
          </reference>
          <reference field="29" count="1" selected="0">
            <x v="4"/>
          </reference>
        </references>
      </pivotArea>
    </chartFormat>
    <chartFormat chart="18" format="13" series="1">
      <pivotArea type="data" outline="0" fieldPosition="0">
        <references count="2">
          <reference field="4294967294" count="1" selected="0">
            <x v="0"/>
          </reference>
          <reference field="29" count="1" selected="0">
            <x v="0"/>
          </reference>
        </references>
      </pivotArea>
    </chartFormat>
    <chartFormat chart="18" format="14" series="1">
      <pivotArea type="data" outline="0" fieldPosition="0">
        <references count="2">
          <reference field="4294967294" count="1" selected="0">
            <x v="0"/>
          </reference>
          <reference field="29" count="1" selected="0">
            <x v="1"/>
          </reference>
        </references>
      </pivotArea>
    </chartFormat>
    <chartFormat chart="18" format="15" series="1">
      <pivotArea type="data" outline="0" fieldPosition="0">
        <references count="2">
          <reference field="4294967294" count="1" selected="0">
            <x v="0"/>
          </reference>
          <reference field="29" count="1" selected="0">
            <x v="2"/>
          </reference>
        </references>
      </pivotArea>
    </chartFormat>
    <chartFormat chart="18" format="16" series="1">
      <pivotArea type="data" outline="0" fieldPosition="0">
        <references count="2">
          <reference field="4294967294" count="1" selected="0">
            <x v="0"/>
          </reference>
          <reference field="29" count="1" selected="0">
            <x v="3"/>
          </reference>
        </references>
      </pivotArea>
    </chartFormat>
    <chartFormat chart="18" format="17" series="1">
      <pivotArea type="data" outline="0" fieldPosition="0">
        <references count="2">
          <reference field="4294967294" count="1" selected="0">
            <x v="0"/>
          </reference>
          <reference field="29" count="1" selected="0">
            <x v="4"/>
          </reference>
        </references>
      </pivotArea>
    </chartFormat>
    <chartFormat chart="18" format="18" series="1">
      <pivotArea type="data" outline="0" fieldPosition="0">
        <references count="2">
          <reference field="4294967294" count="1" selected="0">
            <x v="0"/>
          </reference>
          <reference field="29" count="1" selected="0">
            <x v="5"/>
          </reference>
        </references>
      </pivotArea>
    </chartFormat>
    <chartFormat chart="20" format="25" series="1">
      <pivotArea type="data" outline="0" fieldPosition="0">
        <references count="2">
          <reference field="4294967294" count="1" selected="0">
            <x v="0"/>
          </reference>
          <reference field="29" count="1" selected="0">
            <x v="0"/>
          </reference>
        </references>
      </pivotArea>
    </chartFormat>
    <chartFormat chart="20" format="26" series="1">
      <pivotArea type="data" outline="0" fieldPosition="0">
        <references count="2">
          <reference field="4294967294" count="1" selected="0">
            <x v="0"/>
          </reference>
          <reference field="29" count="1" selected="0">
            <x v="1"/>
          </reference>
        </references>
      </pivotArea>
    </chartFormat>
    <chartFormat chart="20" format="27" series="1">
      <pivotArea type="data" outline="0" fieldPosition="0">
        <references count="2">
          <reference field="4294967294" count="1" selected="0">
            <x v="0"/>
          </reference>
          <reference field="29" count="1" selected="0">
            <x v="2"/>
          </reference>
        </references>
      </pivotArea>
    </chartFormat>
    <chartFormat chart="20" format="28" series="1">
      <pivotArea type="data" outline="0" fieldPosition="0">
        <references count="2">
          <reference field="4294967294" count="1" selected="0">
            <x v="0"/>
          </reference>
          <reference field="29" count="1" selected="0">
            <x v="3"/>
          </reference>
        </references>
      </pivotArea>
    </chartFormat>
    <chartFormat chart="20" format="29" series="1">
      <pivotArea type="data" outline="0" fieldPosition="0">
        <references count="2">
          <reference field="4294967294" count="1" selected="0">
            <x v="0"/>
          </reference>
          <reference field="29" count="1" selected="0">
            <x v="4"/>
          </reference>
        </references>
      </pivotArea>
    </chartFormat>
    <chartFormat chart="20" format="30" series="1">
      <pivotArea type="data" outline="0" fieldPosition="0">
        <references count="2">
          <reference field="4294967294" count="1" selected="0">
            <x v="0"/>
          </reference>
          <reference field="29" count="1" selected="0">
            <x v="5"/>
          </reference>
        </references>
      </pivotArea>
    </chartFormat>
    <chartFormat chart="20" format="31">
      <pivotArea type="data" outline="0" fieldPosition="0">
        <references count="3">
          <reference field="4294967294" count="1" selected="0">
            <x v="0"/>
          </reference>
          <reference field="6" count="1" selected="0">
            <x v="0"/>
          </reference>
          <reference field="29" count="1" selected="0">
            <x v="4"/>
          </reference>
        </references>
      </pivotArea>
    </chartFormat>
    <chartFormat chart="22" format="39" series="1">
      <pivotArea type="data" outline="0" fieldPosition="0">
        <references count="2">
          <reference field="4294967294" count="1" selected="0">
            <x v="0"/>
          </reference>
          <reference field="29" count="1" selected="0">
            <x v="0"/>
          </reference>
        </references>
      </pivotArea>
    </chartFormat>
    <chartFormat chart="22" format="40" series="1">
      <pivotArea type="data" outline="0" fieldPosition="0">
        <references count="2">
          <reference field="4294967294" count="1" selected="0">
            <x v="0"/>
          </reference>
          <reference field="29" count="1" selected="0">
            <x v="1"/>
          </reference>
        </references>
      </pivotArea>
    </chartFormat>
    <chartFormat chart="22" format="41" series="1">
      <pivotArea type="data" outline="0" fieldPosition="0">
        <references count="2">
          <reference field="4294967294" count="1" selected="0">
            <x v="0"/>
          </reference>
          <reference field="29" count="1" selected="0">
            <x v="2"/>
          </reference>
        </references>
      </pivotArea>
    </chartFormat>
    <chartFormat chart="22" format="42" series="1">
      <pivotArea type="data" outline="0" fieldPosition="0">
        <references count="2">
          <reference field="4294967294" count="1" selected="0">
            <x v="0"/>
          </reference>
          <reference field="29" count="1" selected="0">
            <x v="3"/>
          </reference>
        </references>
      </pivotArea>
    </chartFormat>
    <chartFormat chart="22" format="43" series="1">
      <pivotArea type="data" outline="0" fieldPosition="0">
        <references count="2">
          <reference field="4294967294" count="1" selected="0">
            <x v="0"/>
          </reference>
          <reference field="29" count="1" selected="0">
            <x v="4"/>
          </reference>
        </references>
      </pivotArea>
    </chartFormat>
    <chartFormat chart="22" format="44">
      <pivotArea type="data" outline="0" fieldPosition="0">
        <references count="3">
          <reference field="4294967294" count="1" selected="0">
            <x v="0"/>
          </reference>
          <reference field="6" count="1" selected="0">
            <x v="0"/>
          </reference>
          <reference field="29" count="1" selected="0">
            <x v="4"/>
          </reference>
        </references>
      </pivotArea>
    </chartFormat>
    <chartFormat chart="22" format="45" series="1">
      <pivotArea type="data" outline="0" fieldPosition="0">
        <references count="2">
          <reference field="4294967294" count="1" selected="0">
            <x v="0"/>
          </reference>
          <reference field="29" count="1" selected="0">
            <x v="5"/>
          </reference>
        </references>
      </pivotArea>
    </chartFormat>
    <chartFormat chart="24" format="53" series="1">
      <pivotArea type="data" outline="0" fieldPosition="0">
        <references count="2">
          <reference field="4294967294" count="1" selected="0">
            <x v="0"/>
          </reference>
          <reference field="29" count="1" selected="0">
            <x v="0"/>
          </reference>
        </references>
      </pivotArea>
    </chartFormat>
    <chartFormat chart="24" format="54" series="1">
      <pivotArea type="data" outline="0" fieldPosition="0">
        <references count="2">
          <reference field="4294967294" count="1" selected="0">
            <x v="0"/>
          </reference>
          <reference field="29" count="1" selected="0">
            <x v="1"/>
          </reference>
        </references>
      </pivotArea>
    </chartFormat>
    <chartFormat chart="24" format="55" series="1">
      <pivotArea type="data" outline="0" fieldPosition="0">
        <references count="2">
          <reference field="4294967294" count="1" selected="0">
            <x v="0"/>
          </reference>
          <reference field="29" count="1" selected="0">
            <x v="2"/>
          </reference>
        </references>
      </pivotArea>
    </chartFormat>
    <chartFormat chart="24" format="56" series="1">
      <pivotArea type="data" outline="0" fieldPosition="0">
        <references count="2">
          <reference field="4294967294" count="1" selected="0">
            <x v="0"/>
          </reference>
          <reference field="29" count="1" selected="0">
            <x v="3"/>
          </reference>
        </references>
      </pivotArea>
    </chartFormat>
    <chartFormat chart="24" format="57" series="1">
      <pivotArea type="data" outline="0" fieldPosition="0">
        <references count="2">
          <reference field="4294967294" count="1" selected="0">
            <x v="0"/>
          </reference>
          <reference field="29" count="1" selected="0">
            <x v="4"/>
          </reference>
        </references>
      </pivotArea>
    </chartFormat>
    <chartFormat chart="24" format="58">
      <pivotArea type="data" outline="0" fieldPosition="0">
        <references count="3">
          <reference field="4294967294" count="1" selected="0">
            <x v="0"/>
          </reference>
          <reference field="6" count="1" selected="0">
            <x v="0"/>
          </reference>
          <reference field="29" count="1" selected="0">
            <x v="4"/>
          </reference>
        </references>
      </pivotArea>
    </chartFormat>
    <chartFormat chart="24" format="59" series="1">
      <pivotArea type="data" outline="0" fieldPosition="0">
        <references count="2">
          <reference field="4294967294" count="1" selected="0">
            <x v="0"/>
          </reference>
          <reference field="29" count="1" selected="0">
            <x v="5"/>
          </reference>
        </references>
      </pivotArea>
    </chartFormat>
    <chartFormat chart="26" format="67" series="1">
      <pivotArea type="data" outline="0" fieldPosition="0">
        <references count="2">
          <reference field="4294967294" count="1" selected="0">
            <x v="0"/>
          </reference>
          <reference field="29" count="1" selected="0">
            <x v="0"/>
          </reference>
        </references>
      </pivotArea>
    </chartFormat>
    <chartFormat chart="26" format="68" series="1">
      <pivotArea type="data" outline="0" fieldPosition="0">
        <references count="2">
          <reference field="4294967294" count="1" selected="0">
            <x v="0"/>
          </reference>
          <reference field="29" count="1" selected="0">
            <x v="1"/>
          </reference>
        </references>
      </pivotArea>
    </chartFormat>
    <chartFormat chart="26" format="69" series="1">
      <pivotArea type="data" outline="0" fieldPosition="0">
        <references count="2">
          <reference field="4294967294" count="1" selected="0">
            <x v="0"/>
          </reference>
          <reference field="29" count="1" selected="0">
            <x v="2"/>
          </reference>
        </references>
      </pivotArea>
    </chartFormat>
    <chartFormat chart="26" format="70" series="1">
      <pivotArea type="data" outline="0" fieldPosition="0">
        <references count="2">
          <reference field="4294967294" count="1" selected="0">
            <x v="0"/>
          </reference>
          <reference field="29" count="1" selected="0">
            <x v="3"/>
          </reference>
        </references>
      </pivotArea>
    </chartFormat>
    <chartFormat chart="26" format="71" series="1">
      <pivotArea type="data" outline="0" fieldPosition="0">
        <references count="2">
          <reference field="4294967294" count="1" selected="0">
            <x v="0"/>
          </reference>
          <reference field="29" count="1" selected="0">
            <x v="4"/>
          </reference>
        </references>
      </pivotArea>
    </chartFormat>
    <chartFormat chart="26" format="72">
      <pivotArea type="data" outline="0" fieldPosition="0">
        <references count="3">
          <reference field="4294967294" count="1" selected="0">
            <x v="0"/>
          </reference>
          <reference field="6" count="1" selected="0">
            <x v="0"/>
          </reference>
          <reference field="29" count="1" selected="0">
            <x v="4"/>
          </reference>
        </references>
      </pivotArea>
    </chartFormat>
    <chartFormat chart="26" format="73" series="1">
      <pivotArea type="data" outline="0" fieldPosition="0">
        <references count="2">
          <reference field="4294967294" count="1" selected="0">
            <x v="0"/>
          </reference>
          <reference field="29" count="1" selected="0">
            <x v="5"/>
          </reference>
        </references>
      </pivotArea>
    </chartFormat>
    <chartFormat chart="24" format="60">
      <pivotArea type="data" outline="0" fieldPosition="0">
        <references count="3">
          <reference field="4294967294" count="1" selected="0">
            <x v="0"/>
          </reference>
          <reference field="6" count="1" selected="0">
            <x v="1"/>
          </reference>
          <reference field="29" count="1" selected="0">
            <x v="4"/>
          </reference>
        </references>
      </pivotArea>
    </chartFormat>
    <chartFormat chart="28" format="67" series="1">
      <pivotArea type="data" outline="0" fieldPosition="0">
        <references count="2">
          <reference field="4294967294" count="1" selected="0">
            <x v="0"/>
          </reference>
          <reference field="29" count="1" selected="0">
            <x v="0"/>
          </reference>
        </references>
      </pivotArea>
    </chartFormat>
    <chartFormat chart="28" format="68" series="1">
      <pivotArea type="data" outline="0" fieldPosition="0">
        <references count="2">
          <reference field="4294967294" count="1" selected="0">
            <x v="0"/>
          </reference>
          <reference field="29" count="1" selected="0">
            <x v="1"/>
          </reference>
        </references>
      </pivotArea>
    </chartFormat>
    <chartFormat chart="28" format="69" series="1">
      <pivotArea type="data" outline="0" fieldPosition="0">
        <references count="2">
          <reference field="4294967294" count="1" selected="0">
            <x v="0"/>
          </reference>
          <reference field="29" count="1" selected="0">
            <x v="2"/>
          </reference>
        </references>
      </pivotArea>
    </chartFormat>
    <chartFormat chart="28" format="70" series="1">
      <pivotArea type="data" outline="0" fieldPosition="0">
        <references count="2">
          <reference field="4294967294" count="1" selected="0">
            <x v="0"/>
          </reference>
          <reference field="29" count="1" selected="0">
            <x v="3"/>
          </reference>
        </references>
      </pivotArea>
    </chartFormat>
    <chartFormat chart="28" format="71" series="1">
      <pivotArea type="data" outline="0" fieldPosition="0">
        <references count="2">
          <reference field="4294967294" count="1" selected="0">
            <x v="0"/>
          </reference>
          <reference field="29" count="1" selected="0">
            <x v="4"/>
          </reference>
        </references>
      </pivotArea>
    </chartFormat>
    <chartFormat chart="28" format="72" series="1">
      <pivotArea type="data" outline="0" fieldPosition="0">
        <references count="2">
          <reference field="4294967294" count="1" selected="0">
            <x v="0"/>
          </reference>
          <reference field="29" count="1" selected="0">
            <x v="5"/>
          </reference>
        </references>
      </pivotArea>
    </chartFormat>
    <chartFormat chart="30" format="79" series="1">
      <pivotArea type="data" outline="0" fieldPosition="0">
        <references count="2">
          <reference field="4294967294" count="1" selected="0">
            <x v="0"/>
          </reference>
          <reference field="29" count="1" selected="0">
            <x v="0"/>
          </reference>
        </references>
      </pivotArea>
    </chartFormat>
    <chartFormat chart="30" format="80" series="1">
      <pivotArea type="data" outline="0" fieldPosition="0">
        <references count="2">
          <reference field="4294967294" count="1" selected="0">
            <x v="0"/>
          </reference>
          <reference field="29" count="1" selected="0">
            <x v="1"/>
          </reference>
        </references>
      </pivotArea>
    </chartFormat>
    <chartFormat chart="30" format="81" series="1">
      <pivotArea type="data" outline="0" fieldPosition="0">
        <references count="2">
          <reference field="4294967294" count="1" selected="0">
            <x v="0"/>
          </reference>
          <reference field="29" count="1" selected="0">
            <x v="2"/>
          </reference>
        </references>
      </pivotArea>
    </chartFormat>
    <chartFormat chart="30" format="82" series="1">
      <pivotArea type="data" outline="0" fieldPosition="0">
        <references count="2">
          <reference field="4294967294" count="1" selected="0">
            <x v="0"/>
          </reference>
          <reference field="29" count="1" selected="0">
            <x v="3"/>
          </reference>
        </references>
      </pivotArea>
    </chartFormat>
    <chartFormat chart="30" format="83" series="1">
      <pivotArea type="data" outline="0" fieldPosition="0">
        <references count="2">
          <reference field="4294967294" count="1" selected="0">
            <x v="0"/>
          </reference>
          <reference field="29" count="1" selected="0">
            <x v="4"/>
          </reference>
        </references>
      </pivotArea>
    </chartFormat>
    <chartFormat chart="30" format="84" series="1">
      <pivotArea type="data" outline="0" fieldPosition="0">
        <references count="2">
          <reference field="4294967294" count="1" selected="0">
            <x v="0"/>
          </reference>
          <reference field="29"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85D32B-65B9-4638-8984-6784C73989C2}" name="ValuebyBuyerLocation"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99:C409"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dataField="1" compact="0" outline="0" showAll="0" sortType="descending" defaultSubtotal="0">
      <autoSortScope>
        <pivotArea dataOnly="0" outline="0" fieldPosition="0">
          <references count="1">
            <reference field="4294967294" count="1" selected="0">
              <x v="1"/>
            </reference>
          </references>
        </pivotArea>
      </autoSortScope>
    </pivotField>
    <pivotField compact="0" outline="0" showAll="0" sortType="descending"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autoSortScope>
        <pivotArea dataOnly="0" outline="0" fieldPosition="0">
          <references count="1">
            <reference field="4294967294" count="1" selected="0">
              <x v="1"/>
            </reference>
          </references>
        </pivotArea>
      </autoSortScope>
    </pivotField>
    <pivotField compact="0" outline="0" showAll="0" sortType="descending" defaultSubtotal="0">
      <autoSortScope>
        <pivotArea dataOnly="0" outline="0" fieldPosition="0">
          <references count="1">
            <reference field="4294967294" count="1" selected="0">
              <x v="1"/>
            </reference>
          </references>
        </pivotArea>
      </autoSortScope>
    </pivotField>
    <pivotField axis="axisRow" compact="0" outline="0" showAll="0" sortType="descending" defaultSubtotal="0">
      <items count="9">
        <item x="5"/>
        <item x="2"/>
        <item x="8"/>
        <item x="3"/>
        <item x="1"/>
        <item x="4"/>
        <item x="0"/>
        <item x="6"/>
        <item x="7"/>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8"/>
  </rowFields>
  <rowItems count="10">
    <i>
      <x v="3"/>
    </i>
    <i>
      <x v="6"/>
    </i>
    <i>
      <x v="7"/>
    </i>
    <i>
      <x v="2"/>
    </i>
    <i>
      <x v="8"/>
    </i>
    <i>
      <x/>
    </i>
    <i>
      <x v="1"/>
    </i>
    <i>
      <x v="5"/>
    </i>
    <i>
      <x v="4"/>
    </i>
    <i t="grand">
      <x/>
    </i>
  </rowItems>
  <colFields count="1">
    <field x="-2"/>
  </colFields>
  <colItems count="2">
    <i>
      <x/>
    </i>
    <i i="1">
      <x v="1"/>
    </i>
  </colItems>
  <dataFields count="2">
    <dataField name="Count of Supplier_ID" fld="5" subtotal="count" baseField="0" baseItem="0"/>
    <dataField name="Sum of Ordered_Value in $" fld="19" baseField="6" baseItem="13" numFmtId="4"/>
  </dataFields>
  <formats count="1">
    <format dxfId="2991">
      <pivotArea outline="0" fieldPosition="0">
        <references count="1">
          <reference field="4294967294" count="1" selected="0">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19E4FA-6E38-4BD0-BB16-DDDEC6A049A3}" name="Actual&amp;ExpectedLeadtimeTrend2"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32">
  <location ref="A1774:D1972" firstHeaderRow="0" firstDataRow="1" firstDataCol="2"/>
  <pivotFields count="41">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dataField="1" compact="0" outline="0" subtotalTop="0" showAll="0" defaultSubtotal="0"/>
    <pivotField compact="0" outline="0" showAll="0" defaultSubtotal="0"/>
    <pivotField dataField="1"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axis="axisRow" compact="0" outline="0" subtotalTop="0" showAll="0" defaultSubtotal="0">
      <items count="14">
        <item x="0"/>
        <item x="1"/>
        <item x="2"/>
        <item x="3"/>
        <item x="4"/>
        <item x="5"/>
        <item x="6"/>
        <item x="7"/>
        <item x="8"/>
        <item x="9"/>
        <item x="10"/>
        <item x="11"/>
        <item x="12"/>
        <item x="13"/>
      </items>
    </pivotField>
  </pivotFields>
  <rowFields count="2">
    <field x="40"/>
    <field x="4"/>
  </rowFields>
  <rowItems count="198">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x v="2"/>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x v="3"/>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x v="4"/>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x v="5"/>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x v="6"/>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x v="7"/>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rowItems>
  <colFields count="1">
    <field x="-2"/>
  </colFields>
  <colItems count="2">
    <i>
      <x/>
    </i>
    <i i="1">
      <x v="1"/>
    </i>
  </colItems>
  <dataFields count="2">
    <dataField name="Actual LeadTime" fld="23" baseField="4" baseItem="1"/>
    <dataField name="Expected LeadTime" fld="25" baseField="4" baseItem="1"/>
  </dataFields>
  <formats count="15">
    <format dxfId="3306">
      <pivotArea outline="0" collapsedLevelsAreSubtotals="1" fieldPosition="0"/>
    </format>
    <format dxfId="3307">
      <pivotArea dataOnly="0" labelOnly="1" grandCol="1" outline="0" fieldPosition="0"/>
    </format>
    <format dxfId="3308">
      <pivotArea grandRow="1" outline="0" collapsedLevelsAreSubtotals="1" fieldPosition="0"/>
    </format>
    <format dxfId="3309">
      <pivotArea dataOnly="0" labelOnly="1" grandRow="1" outline="0" fieldPosition="0"/>
    </format>
    <format dxfId="3310">
      <pivotArea field="6" type="button" dataOnly="0" labelOnly="1" outline="0"/>
    </format>
    <format dxfId="3311">
      <pivotArea dataOnly="0" labelOnly="1" grandCol="1" outline="0" fieldPosition="0"/>
    </format>
    <format dxfId="3312">
      <pivotArea field="6" type="button" dataOnly="0" labelOnly="1" outline="0"/>
    </format>
    <format dxfId="3313">
      <pivotArea dataOnly="0" labelOnly="1" grandCol="1" outline="0" fieldPosition="0"/>
    </format>
    <format dxfId="3314">
      <pivotArea field="6" type="button" dataOnly="0" labelOnly="1" outline="0"/>
    </format>
    <format dxfId="3315">
      <pivotArea dataOnly="0" labelOnly="1" grandCol="1" outline="0" fieldPosition="0"/>
    </format>
    <format dxfId="3316">
      <pivotArea field="6" type="button" dataOnly="0" labelOnly="1" outline="0"/>
    </format>
    <format dxfId="3317">
      <pivotArea dataOnly="0" labelOnly="1" grandCol="1" outline="0" fieldPosition="0"/>
    </format>
    <format dxfId="3318">
      <pivotArea dataOnly="0" labelOnly="1" grandCol="1" outline="0" fieldPosition="0"/>
    </format>
    <format dxfId="3319">
      <pivotArea dataOnly="0" labelOnly="1" grandCol="1" outline="0" fieldPosition="0"/>
    </format>
    <format dxfId="3320">
      <pivotArea dataOnly="0" labelOnly="1" grandCol="1" outline="0" fieldPosition="0"/>
    </format>
  </formats>
  <chartFormats count="6">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5B064A-7857-481D-8672-297A284519EE}" name="DefectRate byBuyerLocat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30:B140" firstHeaderRow="1"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axis="axisRow" compact="0" outline="0" showAll="0" defaultSubtotal="0">
      <items count="9">
        <item x="5"/>
        <item x="2"/>
        <item x="8"/>
        <item x="3"/>
        <item x="1"/>
        <item x="4"/>
        <item x="0"/>
        <item x="6"/>
        <item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8"/>
  </rowFields>
  <rowItems count="10">
    <i>
      <x/>
    </i>
    <i>
      <x v="1"/>
    </i>
    <i>
      <x v="2"/>
    </i>
    <i>
      <x v="3"/>
    </i>
    <i>
      <x v="4"/>
    </i>
    <i>
      <x v="5"/>
    </i>
    <i>
      <x v="6"/>
    </i>
    <i>
      <x v="7"/>
    </i>
    <i>
      <x v="8"/>
    </i>
    <i t="grand">
      <x/>
    </i>
  </rowItems>
  <colItems count="1">
    <i/>
  </colItems>
  <dataFields count="1">
    <dataField name="Average of Defect_Rate" fld="21" subtotal="average" baseField="8" baseItem="0" numFmtId="10"/>
  </dataFields>
  <formats count="1">
    <format dxfId="3210">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1162E1-8697-426C-820E-1CE2CB6FD85C}" name="SupplierDeliveryTrend"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159:R1359" firstHeaderRow="1" firstDataRow="2" firstDataCol="2"/>
  <pivotFields count="41">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Col"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dataField="1"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axis="axisRow" compact="0" outline="0" subtotalTop="0" showAll="0" defaultSubtotal="0">
      <items count="14">
        <item x="0"/>
        <item x="1"/>
        <item x="2"/>
        <item x="3"/>
        <item x="4"/>
        <item x="5"/>
        <item x="6"/>
        <item x="7"/>
        <item x="8"/>
        <item x="9"/>
        <item x="10"/>
        <item x="11"/>
        <item x="12"/>
        <item x="13"/>
      </items>
    </pivotField>
  </pivotFields>
  <rowFields count="2">
    <field x="40"/>
    <field x="4"/>
  </rowFields>
  <rowItems count="199">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x v="2"/>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x v="3"/>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x v="4"/>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x v="5"/>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x v="6"/>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x v="7"/>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t="grand">
      <x/>
    </i>
  </rowItems>
  <colFields count="1">
    <field x="6"/>
  </colFields>
  <colItems count="16">
    <i>
      <x v="15"/>
    </i>
    <i>
      <x v="16"/>
    </i>
    <i>
      <x v="17"/>
    </i>
    <i>
      <x v="18"/>
    </i>
    <i>
      <x v="19"/>
    </i>
    <i>
      <x v="20"/>
    </i>
    <i>
      <x v="21"/>
    </i>
    <i>
      <x v="22"/>
    </i>
    <i>
      <x v="23"/>
    </i>
    <i>
      <x v="24"/>
    </i>
    <i>
      <x v="25"/>
    </i>
    <i>
      <x v="26"/>
    </i>
    <i>
      <x v="27"/>
    </i>
    <i>
      <x v="28"/>
    </i>
    <i>
      <x v="29"/>
    </i>
    <i t="grand">
      <x/>
    </i>
  </colItems>
  <dataFields count="1">
    <dataField name="Sum of Lead_Time_Days" fld="22" baseField="6" baseItem="0"/>
  </dataFields>
  <formats count="15">
    <format dxfId="2994">
      <pivotArea outline="0" collapsedLevelsAreSubtotals="1" fieldPosition="0"/>
    </format>
    <format dxfId="2995">
      <pivotArea dataOnly="0" labelOnly="1" grandCol="1" outline="0" fieldPosition="0"/>
    </format>
    <format dxfId="2996">
      <pivotArea grandRow="1" outline="0" collapsedLevelsAreSubtotals="1" fieldPosition="0"/>
    </format>
    <format dxfId="2997">
      <pivotArea dataOnly="0" labelOnly="1" grandRow="1" outline="0" fieldPosition="0"/>
    </format>
    <format dxfId="2998">
      <pivotArea field="6" type="button" dataOnly="0" labelOnly="1" outline="0" axis="axisCol" fieldPosition="0"/>
    </format>
    <format dxfId="2999">
      <pivotArea dataOnly="0" labelOnly="1" grandCol="1" outline="0" fieldPosition="0"/>
    </format>
    <format dxfId="3000">
      <pivotArea field="6" type="button" dataOnly="0" labelOnly="1" outline="0" axis="axisCol" fieldPosition="0"/>
    </format>
    <format dxfId="3001">
      <pivotArea dataOnly="0" labelOnly="1" grandCol="1" outline="0" fieldPosition="0"/>
    </format>
    <format dxfId="3002">
      <pivotArea field="6" type="button" dataOnly="0" labelOnly="1" outline="0" axis="axisCol" fieldPosition="0"/>
    </format>
    <format dxfId="3003">
      <pivotArea dataOnly="0" labelOnly="1" grandCol="1" outline="0" fieldPosition="0"/>
    </format>
    <format dxfId="3004">
      <pivotArea field="6" type="button" dataOnly="0" labelOnly="1" outline="0" axis="axisCol" fieldPosition="0"/>
    </format>
    <format dxfId="3005">
      <pivotArea dataOnly="0" labelOnly="1" grandCol="1" outline="0" fieldPosition="0"/>
    </format>
    <format dxfId="3006">
      <pivotArea dataOnly="0" labelOnly="1" grandCol="1" outline="0" fieldPosition="0"/>
    </format>
    <format dxfId="3007">
      <pivotArea dataOnly="0" labelOnly="1" grandCol="1" outline="0" fieldPosition="0"/>
    </format>
    <format dxfId="3008">
      <pivotArea dataOnly="0" labelOnly="1" grandCol="1" outline="0" fieldPosition="0"/>
    </format>
  </formats>
  <conditionalFormats count="1">
    <conditionalFormat priority="2">
      <pivotAreas count="1">
        <pivotArea type="data" outline="0" collapsedLevelsAreSubtotals="1" fieldPosition="0">
          <references count="4">
            <reference field="4294967294" count="1" selected="0">
              <x v="0"/>
            </reference>
            <reference field="4" count="198" selected="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reference>
            <reference field="6" count="15" selected="0">
              <x v="0"/>
              <x v="1"/>
              <x v="2"/>
              <x v="3"/>
              <x v="4"/>
              <x v="5"/>
              <x v="6"/>
              <x v="7"/>
              <x v="8"/>
              <x v="9"/>
              <x v="10"/>
              <x v="11"/>
              <x v="12"/>
              <x v="13"/>
              <x v="14"/>
            </reference>
            <reference field="40" count="7" selected="0">
              <x v="1"/>
              <x v="2"/>
              <x v="3"/>
              <x v="4"/>
              <x v="5"/>
              <x v="6"/>
              <x v="7"/>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4E2B66-F7F6-47EE-A2DF-A213E9EF9577}" name="LeadTimeVarianceDays"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42">
  <location ref="A2208:B2406" firstHeaderRow="1"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dataField="1"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4"/>
  </rowFields>
  <rowItems count="1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rowItems>
  <colItems count="1">
    <i/>
  </colItems>
  <dataFields count="1">
    <dataField name="Sum of Calculated_Lead_Time_Variance_Days" fld="26" baseField="0" baseItem="0" numFmtId="1"/>
  </dataFields>
  <formats count="15">
    <format dxfId="3116">
      <pivotArea outline="0" collapsedLevelsAreSubtotals="1" fieldPosition="0"/>
    </format>
    <format dxfId="3117">
      <pivotArea dataOnly="0" labelOnly="1" grandCol="1" outline="0" fieldPosition="0"/>
    </format>
    <format dxfId="3118">
      <pivotArea grandRow="1" outline="0" collapsedLevelsAreSubtotals="1" fieldPosition="0"/>
    </format>
    <format dxfId="3119">
      <pivotArea dataOnly="0" labelOnly="1" grandRow="1" outline="0" fieldPosition="0"/>
    </format>
    <format dxfId="3120">
      <pivotArea field="6" type="button" dataOnly="0" labelOnly="1" outline="0"/>
    </format>
    <format dxfId="3121">
      <pivotArea dataOnly="0" labelOnly="1" grandCol="1" outline="0" fieldPosition="0"/>
    </format>
    <format dxfId="3122">
      <pivotArea field="6" type="button" dataOnly="0" labelOnly="1" outline="0"/>
    </format>
    <format dxfId="3123">
      <pivotArea dataOnly="0" labelOnly="1" grandCol="1" outline="0" fieldPosition="0"/>
    </format>
    <format dxfId="3124">
      <pivotArea field="6" type="button" dataOnly="0" labelOnly="1" outline="0"/>
    </format>
    <format dxfId="3125">
      <pivotArea dataOnly="0" labelOnly="1" grandCol="1" outline="0" fieldPosition="0"/>
    </format>
    <format dxfId="3126">
      <pivotArea field="6" type="button" dataOnly="0" labelOnly="1" outline="0"/>
    </format>
    <format dxfId="3127">
      <pivotArea dataOnly="0" labelOnly="1" grandCol="1" outline="0" fieldPosition="0"/>
    </format>
    <format dxfId="3128">
      <pivotArea dataOnly="0" labelOnly="1" grandCol="1" outline="0" fieldPosition="0"/>
    </format>
    <format dxfId="3129">
      <pivotArea dataOnly="0" labelOnly="1" grandCol="1" outline="0" fieldPosition="0"/>
    </format>
    <format dxfId="3130">
      <pivotArea dataOnly="0" labelOnly="1" grandCol="1" outline="0" fieldPosition="0"/>
    </format>
  </formats>
  <chartFormats count="4">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 chart="41" format="8"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7CFE141-28D5-46A8-95CF-80263E56E97F}" name="InciermbySupplierName"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044:H1061"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axis="axisCol" compact="0" outline="0" showAll="0" defaultSubtotal="0">
      <items count="6">
        <item x="3"/>
        <item x="5"/>
        <item x="0"/>
        <item x="1"/>
        <item x="2"/>
        <item x="4"/>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34"/>
  </colFields>
  <colItems count="7">
    <i>
      <x/>
    </i>
    <i>
      <x v="1"/>
    </i>
    <i>
      <x v="2"/>
    </i>
    <i>
      <x v="3"/>
    </i>
    <i>
      <x v="4"/>
    </i>
    <i>
      <x v="5"/>
    </i>
    <i t="grand">
      <x/>
    </i>
  </colItems>
  <dataFields count="1">
    <dataField name="Count of Supplier_Name" fld="6" subtotal="count" baseField="0" baseItem="0"/>
  </dataFields>
  <formats count="15">
    <format dxfId="3173">
      <pivotArea outline="0" collapsedLevelsAreSubtotals="1" fieldPosition="0"/>
    </format>
    <format dxfId="3174">
      <pivotArea dataOnly="0" labelOnly="1" grandCol="1" outline="0" fieldPosition="0"/>
    </format>
    <format dxfId="3175">
      <pivotArea grandRow="1" outline="0" collapsedLevelsAreSubtotals="1" fieldPosition="0"/>
    </format>
    <format dxfId="3176">
      <pivotArea dataOnly="0" labelOnly="1" grandRow="1" outline="0" fieldPosition="0"/>
    </format>
    <format dxfId="3177">
      <pivotArea field="6" type="button" dataOnly="0" labelOnly="1" outline="0" axis="axisRow" fieldPosition="0"/>
    </format>
    <format dxfId="3178">
      <pivotArea dataOnly="0" labelOnly="1" grandCol="1" outline="0" fieldPosition="0"/>
    </format>
    <format dxfId="3179">
      <pivotArea field="6" type="button" dataOnly="0" labelOnly="1" outline="0" axis="axisRow" fieldPosition="0"/>
    </format>
    <format dxfId="3180">
      <pivotArea dataOnly="0" labelOnly="1" grandCol="1" outline="0" fieldPosition="0"/>
    </format>
    <format dxfId="3181">
      <pivotArea field="6" type="button" dataOnly="0" labelOnly="1" outline="0" axis="axisRow" fieldPosition="0"/>
    </format>
    <format dxfId="3182">
      <pivotArea dataOnly="0" labelOnly="1" grandCol="1" outline="0" fieldPosition="0"/>
    </format>
    <format dxfId="3183">
      <pivotArea field="6" type="button" dataOnly="0" labelOnly="1" outline="0" axis="axisRow" fieldPosition="0"/>
    </format>
    <format dxfId="3184">
      <pivotArea dataOnly="0" labelOnly="1" outline="0" fieldPosition="0">
        <references count="1">
          <reference field="34" count="0"/>
        </references>
      </pivotArea>
    </format>
    <format dxfId="3185">
      <pivotArea dataOnly="0" labelOnly="1" grandCol="1" outline="0" fieldPosition="0"/>
    </format>
    <format dxfId="3186">
      <pivotArea dataOnly="0" labelOnly="1" outline="0" fieldPosition="0">
        <references count="1">
          <reference field="34" count="0"/>
        </references>
      </pivotArea>
    </format>
    <format dxfId="3187">
      <pivotArea dataOnly="0" labelOnly="1" grandCol="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93F758E-617C-462C-A2DB-3B2834C248C0}" name="DefectiveUnitsbySupplier"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413:G429" firstHeaderRow="0" firstDataRow="1" firstDataCol="2"/>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dataField="1" compact="0" outline="0" showAll="0" sortType="descending" defaultSubtotal="0">
      <items count="15">
        <item x="10"/>
        <item x="6"/>
        <item x="9"/>
        <item x="5"/>
        <item x="7"/>
        <item x="11"/>
        <item x="0"/>
        <item x="12"/>
        <item x="1"/>
        <item x="13"/>
        <item x="4"/>
        <item x="14"/>
        <item x="8"/>
        <item x="2"/>
        <item x="3"/>
      </items>
      <autoSortScope>
        <pivotArea dataOnly="0" outline="0" fieldPosition="0">
          <references count="1">
            <reference field="4294967294" count="1" selected="0">
              <x v="3"/>
            </reference>
          </references>
        </pivotArea>
      </autoSortScope>
    </pivotField>
    <pivotField axis="axisRow" compact="0" outline="0" showAll="0" sortType="descending"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autoSortScope>
        <pivotArea dataOnly="0" outline="0" fieldPosition="0">
          <references count="1">
            <reference field="4294967294" count="1" selected="0">
              <x v="2"/>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2">
    <field x="5"/>
    <field x="6"/>
  </rowFields>
  <rowItems count="16">
    <i>
      <x v="4"/>
      <x v="22"/>
    </i>
    <i>
      <x/>
      <x v="25"/>
    </i>
    <i>
      <x v="14"/>
      <x v="18"/>
    </i>
    <i>
      <x v="6"/>
      <x v="15"/>
    </i>
    <i>
      <x v="11"/>
      <x v="29"/>
    </i>
    <i>
      <x v="1"/>
      <x v="21"/>
    </i>
    <i>
      <x v="9"/>
      <x v="28"/>
    </i>
    <i>
      <x v="10"/>
      <x v="19"/>
    </i>
    <i>
      <x v="5"/>
      <x v="26"/>
    </i>
    <i>
      <x v="3"/>
      <x v="20"/>
    </i>
    <i>
      <x v="8"/>
      <x v="16"/>
    </i>
    <i>
      <x v="13"/>
      <x v="17"/>
    </i>
    <i>
      <x v="7"/>
      <x v="27"/>
    </i>
    <i>
      <x v="12"/>
      <x v="23"/>
    </i>
    <i>
      <x v="2"/>
      <x v="24"/>
    </i>
    <i t="grand">
      <x/>
    </i>
  </rowItems>
  <colFields count="1">
    <field x="-2"/>
  </colFields>
  <colItems count="5">
    <i>
      <x/>
    </i>
    <i i="1">
      <x v="1"/>
    </i>
    <i i="2">
      <x v="2"/>
    </i>
    <i i="3">
      <x v="3"/>
    </i>
    <i i="4">
      <x v="4"/>
    </i>
  </colItems>
  <dataFields count="5">
    <dataField name="Count of Supplier_ID" fld="5" subtotal="count" baseField="0" baseItem="0"/>
    <dataField name="Sum of Order_Quantity" fld="16" baseField="6" baseItem="3"/>
    <dataField name="Sum of Defective_Units" fld="20" baseField="0" baseItem="0"/>
    <dataField name="% of  Defective_Units" fld="20" showDataAs="percentOfTotal" baseField="0" baseItem="0" numFmtId="10"/>
    <dataField name="Average of Defect_Rate" fld="21" subtotal="average" baseField="6" baseItem="5" numFmtId="10"/>
  </dataFields>
  <formats count="4">
    <format dxfId="3211">
      <pivotArea outline="0" fieldPosition="0">
        <references count="1">
          <reference field="4294967294" count="1">
            <x v="3"/>
          </reference>
        </references>
      </pivotArea>
    </format>
    <format dxfId="3212">
      <pivotArea outline="0" fieldPosition="0">
        <references count="3">
          <reference field="4294967294" count="1" selected="0">
            <x v="1"/>
          </reference>
          <reference field="5" count="1" selected="0">
            <x v="2"/>
          </reference>
          <reference field="6" count="1" selected="0">
            <x v="14"/>
          </reference>
        </references>
      </pivotArea>
    </format>
    <format dxfId="3213">
      <pivotArea outline="0" fieldPosition="0">
        <references count="3">
          <reference field="4294967294" count="1" selected="0">
            <x v="1"/>
          </reference>
          <reference field="5" count="1" selected="0">
            <x v="0"/>
          </reference>
          <reference field="6" count="1" selected="0">
            <x v="13"/>
          </reference>
        </references>
      </pivotArea>
    </format>
    <format dxfId="3214">
      <pivotArea outline="0" fieldPosition="0">
        <references count="3">
          <reference field="4294967294" count="1" selected="0">
            <x v="1"/>
          </reference>
          <reference field="5" count="1" selected="0">
            <x v="4"/>
          </reference>
          <reference field="6" count="1" selected="0">
            <x v="3"/>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E4F30EC-292C-4F05-851C-93A1AEA341E4}" name="PaymentTermsbySupplier"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970:H987"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axis="axisCol" compact="0" outline="0" showAll="0" defaultSubtotal="0">
      <items count="6">
        <item x="5"/>
        <item x="4"/>
        <item x="2"/>
        <item x="3"/>
        <item x="0"/>
        <item x="1"/>
      </items>
    </pivotField>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31"/>
  </colFields>
  <colItems count="7">
    <i>
      <x/>
    </i>
    <i>
      <x v="1"/>
    </i>
    <i>
      <x v="2"/>
    </i>
    <i>
      <x v="3"/>
    </i>
    <i>
      <x v="4"/>
    </i>
    <i>
      <x v="5"/>
    </i>
    <i t="grand">
      <x/>
    </i>
  </colItems>
  <dataFields count="1">
    <dataField name="Count of Supplier_Name" fld="6" subtotal="count" baseField="0" baseItem="0"/>
  </dataFields>
  <formats count="12">
    <format dxfId="3102">
      <pivotArea outline="0" collapsedLevelsAreSubtotals="1" fieldPosition="0"/>
    </format>
    <format dxfId="3103">
      <pivotArea dataOnly="0" labelOnly="1" grandCol="1" outline="0" fieldPosition="0"/>
    </format>
    <format dxfId="3104">
      <pivotArea grandRow="1" outline="0" collapsedLevelsAreSubtotals="1" fieldPosition="0"/>
    </format>
    <format dxfId="3105">
      <pivotArea dataOnly="0" labelOnly="1" grandRow="1" outline="0" fieldPosition="0"/>
    </format>
    <format dxfId="3106">
      <pivotArea field="6" type="button" dataOnly="0" labelOnly="1" outline="0" axis="axisRow" fieldPosition="0"/>
    </format>
    <format dxfId="3107">
      <pivotArea dataOnly="0" labelOnly="1" grandCol="1" outline="0" fieldPosition="0"/>
    </format>
    <format dxfId="3108">
      <pivotArea field="6" type="button" dataOnly="0" labelOnly="1" outline="0" axis="axisRow" fieldPosition="0"/>
    </format>
    <format dxfId="3109">
      <pivotArea dataOnly="0" labelOnly="1" grandCol="1" outline="0" fieldPosition="0"/>
    </format>
    <format dxfId="3110">
      <pivotArea field="6" type="button" dataOnly="0" labelOnly="1" outline="0" axis="axisRow" fieldPosition="0"/>
    </format>
    <format dxfId="3111">
      <pivotArea dataOnly="0" labelOnly="1" grandCol="1" outline="0" fieldPosition="0"/>
    </format>
    <format dxfId="3112">
      <pivotArea field="6" type="button" dataOnly="0" labelOnly="1" outline="0" axis="axisRow" fieldPosition="0"/>
    </format>
    <format dxfId="3113">
      <pivotArea dataOnly="0" labelOnly="1" outline="0" fieldPosition="0">
        <references count="1">
          <reference field="31"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E7507C2-0E19-4474-9571-288CAAABD463}" name="DefectRatebyShippingMod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88:B95" firstHeaderRow="1"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axis="axisRow"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32"/>
  </rowFields>
  <rowItems count="7">
    <i>
      <x/>
    </i>
    <i>
      <x v="1"/>
    </i>
    <i>
      <x v="2"/>
    </i>
    <i>
      <x v="3"/>
    </i>
    <i>
      <x v="4"/>
    </i>
    <i>
      <x v="5"/>
    </i>
    <i t="grand">
      <x/>
    </i>
  </rowItems>
  <colItems count="1">
    <i/>
  </colItems>
  <dataFields count="1">
    <dataField name="Average of Defect_Rate" fld="21" subtotal="average" baseField="33" baseItem="2" numFmtId="10"/>
  </dataFields>
  <formats count="1">
    <format dxfId="3208">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C6272CD-698F-458F-980B-9A9D8F02D400}" name="QualityStatusbySupplier"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0">
  <location ref="A898:H915"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axis="axisCol" compact="0" outline="0" showAll="0" defaultSubtotal="0">
      <items count="6">
        <item x="0"/>
        <item x="3"/>
        <item x="1"/>
        <item x="2"/>
        <item x="4"/>
        <item x="5"/>
      </items>
    </pivotField>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29"/>
  </colFields>
  <colItems count="7">
    <i>
      <x/>
    </i>
    <i>
      <x v="1"/>
    </i>
    <i>
      <x v="2"/>
    </i>
    <i>
      <x v="3"/>
    </i>
    <i>
      <x v="4"/>
    </i>
    <i>
      <x v="5"/>
    </i>
    <i t="grand">
      <x/>
    </i>
  </colItems>
  <dataFields count="1">
    <dataField name="Count" fld="6" subtotal="count" baseField="0" baseItem="0"/>
  </dataFields>
  <formats count="8">
    <format dxfId="3058">
      <pivotArea outline="0" collapsedLevelsAreSubtotals="1" fieldPosition="0"/>
    </format>
    <format dxfId="3059">
      <pivotArea dataOnly="0" labelOnly="1" grandCol="1" outline="0" fieldPosition="0"/>
    </format>
    <format dxfId="3060">
      <pivotArea dataOnly="0" labelOnly="1" outline="0" fieldPosition="0">
        <references count="1">
          <reference field="29" count="0"/>
        </references>
      </pivotArea>
    </format>
    <format dxfId="3061">
      <pivotArea field="6" type="button" dataOnly="0" labelOnly="1" outline="0" axis="axisRow" fieldPosition="0"/>
    </format>
    <format dxfId="3062">
      <pivotArea dataOnly="0" labelOnly="1" outline="0" fieldPosition="0">
        <references count="1">
          <reference field="29" count="0"/>
        </references>
      </pivotArea>
    </format>
    <format dxfId="3063">
      <pivotArea dataOnly="0" labelOnly="1" grandCol="1" outline="0" fieldPosition="0"/>
    </format>
    <format dxfId="3064">
      <pivotArea grandRow="1" outline="0" collapsedLevelsAreSubtotals="1" fieldPosition="0"/>
    </format>
    <format dxfId="3065">
      <pivotArea dataOnly="0" labelOnly="1" grandRow="1" outline="0" fieldPosition="0"/>
    </format>
  </formats>
  <chartFormats count="18">
    <chartFormat chart="14" format="12" series="1">
      <pivotArea type="data" outline="0" fieldPosition="0">
        <references count="2">
          <reference field="4294967294" count="1" selected="0">
            <x v="0"/>
          </reference>
          <reference field="29" count="1" selected="0">
            <x v="0"/>
          </reference>
        </references>
      </pivotArea>
    </chartFormat>
    <chartFormat chart="14" format="13" series="1">
      <pivotArea type="data" outline="0" fieldPosition="0">
        <references count="2">
          <reference field="4294967294" count="1" selected="0">
            <x v="0"/>
          </reference>
          <reference field="29" count="1" selected="0">
            <x v="1"/>
          </reference>
        </references>
      </pivotArea>
    </chartFormat>
    <chartFormat chart="14" format="14" series="1">
      <pivotArea type="data" outline="0" fieldPosition="0">
        <references count="2">
          <reference field="4294967294" count="1" selected="0">
            <x v="0"/>
          </reference>
          <reference field="29" count="1" selected="0">
            <x v="2"/>
          </reference>
        </references>
      </pivotArea>
    </chartFormat>
    <chartFormat chart="14" format="15" series="1">
      <pivotArea type="data" outline="0" fieldPosition="0">
        <references count="2">
          <reference field="4294967294" count="1" selected="0">
            <x v="0"/>
          </reference>
          <reference field="29" count="1" selected="0">
            <x v="3"/>
          </reference>
        </references>
      </pivotArea>
    </chartFormat>
    <chartFormat chart="14" format="16" series="1">
      <pivotArea type="data" outline="0" fieldPosition="0">
        <references count="2">
          <reference field="4294967294" count="1" selected="0">
            <x v="0"/>
          </reference>
          <reference field="29" count="1" selected="0">
            <x v="4"/>
          </reference>
        </references>
      </pivotArea>
    </chartFormat>
    <chartFormat chart="14" format="17" series="1">
      <pivotArea type="data" outline="0" fieldPosition="0">
        <references count="2">
          <reference field="4294967294" count="1" selected="0">
            <x v="0"/>
          </reference>
          <reference field="29" count="1" selected="0">
            <x v="5"/>
          </reference>
        </references>
      </pivotArea>
    </chartFormat>
    <chartFormat chart="17" format="18" series="1">
      <pivotArea type="data" outline="0" fieldPosition="0">
        <references count="2">
          <reference field="4294967294" count="1" selected="0">
            <x v="0"/>
          </reference>
          <reference field="29" count="1" selected="0">
            <x v="0"/>
          </reference>
        </references>
      </pivotArea>
    </chartFormat>
    <chartFormat chart="17" format="19" series="1">
      <pivotArea type="data" outline="0" fieldPosition="0">
        <references count="2">
          <reference field="4294967294" count="1" selected="0">
            <x v="0"/>
          </reference>
          <reference field="29" count="1" selected="0">
            <x v="1"/>
          </reference>
        </references>
      </pivotArea>
    </chartFormat>
    <chartFormat chart="17" format="20" series="1">
      <pivotArea type="data" outline="0" fieldPosition="0">
        <references count="2">
          <reference field="4294967294" count="1" selected="0">
            <x v="0"/>
          </reference>
          <reference field="29" count="1" selected="0">
            <x v="2"/>
          </reference>
        </references>
      </pivotArea>
    </chartFormat>
    <chartFormat chart="17" format="21" series="1">
      <pivotArea type="data" outline="0" fieldPosition="0">
        <references count="2">
          <reference field="4294967294" count="1" selected="0">
            <x v="0"/>
          </reference>
          <reference field="29" count="1" selected="0">
            <x v="3"/>
          </reference>
        </references>
      </pivotArea>
    </chartFormat>
    <chartFormat chart="17" format="22" series="1">
      <pivotArea type="data" outline="0" fieldPosition="0">
        <references count="2">
          <reference field="4294967294" count="1" selected="0">
            <x v="0"/>
          </reference>
          <reference field="29" count="1" selected="0">
            <x v="4"/>
          </reference>
        </references>
      </pivotArea>
    </chartFormat>
    <chartFormat chart="17" format="23" series="1">
      <pivotArea type="data" outline="0" fieldPosition="0">
        <references count="2">
          <reference field="4294967294" count="1" selected="0">
            <x v="0"/>
          </reference>
          <reference field="29" count="1" selected="0">
            <x v="5"/>
          </reference>
        </references>
      </pivotArea>
    </chartFormat>
    <chartFormat chart="19" format="24" series="1">
      <pivotArea type="data" outline="0" fieldPosition="0">
        <references count="2">
          <reference field="4294967294" count="1" selected="0">
            <x v="0"/>
          </reference>
          <reference field="29" count="1" selected="0">
            <x v="0"/>
          </reference>
        </references>
      </pivotArea>
    </chartFormat>
    <chartFormat chart="19" format="25" series="1">
      <pivotArea type="data" outline="0" fieldPosition="0">
        <references count="2">
          <reference field="4294967294" count="1" selected="0">
            <x v="0"/>
          </reference>
          <reference field="29" count="1" selected="0">
            <x v="1"/>
          </reference>
        </references>
      </pivotArea>
    </chartFormat>
    <chartFormat chart="19" format="26" series="1">
      <pivotArea type="data" outline="0" fieldPosition="0">
        <references count="2">
          <reference field="4294967294" count="1" selected="0">
            <x v="0"/>
          </reference>
          <reference field="29" count="1" selected="0">
            <x v="2"/>
          </reference>
        </references>
      </pivotArea>
    </chartFormat>
    <chartFormat chart="19" format="27" series="1">
      <pivotArea type="data" outline="0" fieldPosition="0">
        <references count="2">
          <reference field="4294967294" count="1" selected="0">
            <x v="0"/>
          </reference>
          <reference field="29" count="1" selected="0">
            <x v="3"/>
          </reference>
        </references>
      </pivotArea>
    </chartFormat>
    <chartFormat chart="19" format="28" series="1">
      <pivotArea type="data" outline="0" fieldPosition="0">
        <references count="2">
          <reference field="4294967294" count="1" selected="0">
            <x v="0"/>
          </reference>
          <reference field="29" count="1" selected="0">
            <x v="4"/>
          </reference>
        </references>
      </pivotArea>
    </chartFormat>
    <chartFormat chart="19" format="29" series="1">
      <pivotArea type="data" outline="0" fieldPosition="0">
        <references count="2">
          <reference field="4294967294" count="1" selected="0">
            <x v="0"/>
          </reference>
          <reference field="29"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4A77C7B-5F53-4A46-B753-BA255829AA7B}"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88:E296"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axis="axisRow" compact="0" outline="0" showAll="0" defaultSubtotal="0">
      <items count="7">
        <item x="1"/>
        <item x="2"/>
        <item x="0"/>
        <item x="6"/>
        <item x="4"/>
        <item x="5"/>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9"/>
  </rowFields>
  <rowItems count="8">
    <i>
      <x/>
    </i>
    <i>
      <x v="1"/>
    </i>
    <i>
      <x v="2"/>
    </i>
    <i>
      <x v="3"/>
    </i>
    <i>
      <x v="4"/>
    </i>
    <i>
      <x v="5"/>
    </i>
    <i>
      <x v="6"/>
    </i>
    <i t="grand">
      <x/>
    </i>
  </rowItems>
  <colFields count="1">
    <field x="-2"/>
  </colFields>
  <colItems count="4">
    <i>
      <x/>
    </i>
    <i i="1">
      <x v="1"/>
    </i>
    <i i="2">
      <x v="2"/>
    </i>
    <i i="3">
      <x v="3"/>
    </i>
  </colItems>
  <dataFields count="4">
    <dataField name="Sum of Defective_Units" fld="20" baseField="0" baseItem="0"/>
    <dataField name="Sum of Order_Quantity" fld="16" baseField="9" baseItem="0"/>
    <dataField name="% of Defect on Product Category Order" fld="39" baseField="0" baseItem="0" numFmtId="10"/>
    <dataField name="Percent of Defect of Total" fld="20" showDataAs="percentOfTotal" baseField="0" baseItem="0" numFmtId="10"/>
  </dataFields>
  <formats count="3">
    <format dxfId="3099">
      <pivotArea outline="0" collapsedLevelsAreSubtotals="1" fieldPosition="0"/>
    </format>
    <format dxfId="3100">
      <pivotArea outline="0" fieldPosition="0">
        <references count="1">
          <reference field="4294967294" count="1">
            <x v="3"/>
          </reference>
        </references>
      </pivotArea>
    </format>
    <format dxfId="3101">
      <pivotArea outline="0" fieldPosition="0">
        <references count="1">
          <reference field="4294967294" count="1" selected="0">
            <x v="2"/>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01DE7D8-B7A4-4482-BCA7-CF0A845A5B47}" name="TotalDeliveryStatu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48:I265"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28"/>
  </colFields>
  <colItems count="8">
    <i>
      <x/>
    </i>
    <i>
      <x v="1"/>
    </i>
    <i>
      <x v="2"/>
    </i>
    <i>
      <x v="3"/>
    </i>
    <i>
      <x v="4"/>
    </i>
    <i>
      <x v="5"/>
    </i>
    <i>
      <x v="6"/>
    </i>
    <i t="grand">
      <x/>
    </i>
  </colItems>
  <dataFields count="1">
    <dataField name="Sum of Order_Quantity" fld="16" baseField="6" baseItem="0"/>
  </dataFields>
  <formats count="1">
    <format dxfId="2992">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196D986-3A91-43F7-8FBD-6ED25CC7EE6F}" name="Count&amp;AmountbySupplier"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62:D378" firstHeaderRow="0" firstDataRow="1" firstDataCol="2"/>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compact="0" outline="0" showAll="0" sortType="descending" defaultSubtotal="0">
      <items count="15">
        <item x="10"/>
        <item x="6"/>
        <item x="9"/>
        <item x="5"/>
        <item x="7"/>
        <item x="11"/>
        <item x="0"/>
        <item x="12"/>
        <item x="1"/>
        <item x="13"/>
        <item x="4"/>
        <item x="14"/>
        <item x="8"/>
        <item x="2"/>
        <item x="3"/>
      </items>
      <autoSortScope>
        <pivotArea dataOnly="0" outline="0" fieldPosition="0">
          <references count="1">
            <reference field="4294967294" count="1" selected="0">
              <x v="1"/>
            </reference>
          </references>
        </pivotArea>
      </autoSortScope>
    </pivotField>
    <pivotField axis="axisRow" compact="0" outline="0" showAll="0" sortType="descending"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2">
    <field x="5"/>
    <field x="6"/>
  </rowFields>
  <rowItems count="16">
    <i>
      <x v="6"/>
      <x v="15"/>
    </i>
    <i>
      <x/>
      <x v="25"/>
    </i>
    <i>
      <x v="12"/>
      <x v="23"/>
    </i>
    <i>
      <x v="8"/>
      <x v="16"/>
    </i>
    <i>
      <x v="13"/>
      <x v="17"/>
    </i>
    <i>
      <x v="1"/>
      <x v="21"/>
    </i>
    <i>
      <x v="14"/>
      <x v="18"/>
    </i>
    <i>
      <x v="4"/>
      <x v="22"/>
    </i>
    <i>
      <x v="11"/>
      <x v="29"/>
    </i>
    <i>
      <x v="3"/>
      <x v="20"/>
    </i>
    <i>
      <x v="2"/>
      <x v="24"/>
    </i>
    <i>
      <x v="10"/>
      <x v="19"/>
    </i>
    <i>
      <x v="7"/>
      <x v="27"/>
    </i>
    <i>
      <x v="9"/>
      <x v="28"/>
    </i>
    <i>
      <x v="5"/>
      <x v="26"/>
    </i>
    <i t="grand">
      <x/>
    </i>
  </rowItems>
  <colFields count="1">
    <field x="-2"/>
  </colFields>
  <colItems count="2">
    <i>
      <x/>
    </i>
    <i i="1">
      <x v="1"/>
    </i>
  </colItems>
  <dataFields count="2">
    <dataField name="Count of Ordered_Value in $" fld="19" subtotal="count" baseField="0" baseItem="0"/>
    <dataField name="Sum of Ordered_Value in $" fld="19" baseField="6" baseItem="13" numFmtId="4"/>
  </dataFields>
  <formats count="2">
    <format dxfId="3293">
      <pivotArea outline="0" fieldPosition="0">
        <references count="1">
          <reference field="4294967294" count="1" selected="0">
            <x v="1"/>
          </reference>
        </references>
      </pivotArea>
    </format>
    <format dxfId="3294">
      <pivotArea outline="0" fieldPosition="0">
        <references count="3">
          <reference field="4294967294" count="1" selected="0">
            <x v="1"/>
          </reference>
          <reference field="5" count="3" selected="0">
            <x v="0"/>
            <x v="6"/>
            <x v="12"/>
          </reference>
          <reference field="6" count="3" selected="0">
            <x v="4"/>
            <x v="5"/>
            <x v="13"/>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36C28CB-52B6-495E-80D5-7A91E66E3436}" name="RatingbySupplier"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03:D319" firstHeaderRow="0" firstDataRow="1" firstDataCol="2"/>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compact="0" outline="0" showAll="0" sortType="descending" defaultSubtotal="0">
      <items count="15">
        <item x="10"/>
        <item x="6"/>
        <item x="9"/>
        <item x="5"/>
        <item x="7"/>
        <item x="11"/>
        <item x="0"/>
        <item x="12"/>
        <item x="1"/>
        <item x="13"/>
        <item x="4"/>
        <item x="14"/>
        <item x="8"/>
        <item x="2"/>
        <item x="3"/>
      </items>
      <autoSortScope>
        <pivotArea dataOnly="0" outline="0" fieldPosition="0">
          <references count="1">
            <reference field="4294967294" count="1" selected="0">
              <x v="1"/>
            </reference>
          </references>
        </pivotArea>
      </autoSortScope>
    </pivotField>
    <pivotField axis="axisRow"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2">
    <field x="5"/>
    <field x="6"/>
  </rowFields>
  <rowItems count="16">
    <i>
      <x v="2"/>
      <x v="24"/>
    </i>
    <i>
      <x v="12"/>
      <x v="23"/>
    </i>
    <i>
      <x v="4"/>
      <x v="22"/>
    </i>
    <i>
      <x v="9"/>
      <x v="28"/>
    </i>
    <i>
      <x/>
      <x v="25"/>
    </i>
    <i>
      <x v="1"/>
      <x v="21"/>
    </i>
    <i>
      <x v="6"/>
      <x v="15"/>
    </i>
    <i>
      <x v="10"/>
      <x v="19"/>
    </i>
    <i>
      <x v="8"/>
      <x v="16"/>
    </i>
    <i>
      <x v="11"/>
      <x v="29"/>
    </i>
    <i>
      <x v="7"/>
      <x v="27"/>
    </i>
    <i>
      <x v="13"/>
      <x v="17"/>
    </i>
    <i>
      <x v="14"/>
      <x v="18"/>
    </i>
    <i>
      <x v="3"/>
      <x v="20"/>
    </i>
    <i>
      <x v="5"/>
      <x v="26"/>
    </i>
    <i t="grand">
      <x/>
    </i>
  </rowItems>
  <colFields count="1">
    <field x="-2"/>
  </colFields>
  <colItems count="2">
    <i>
      <x/>
    </i>
    <i i="1">
      <x v="1"/>
    </i>
  </colItems>
  <dataFields count="2">
    <dataField name="Count" fld="36" subtotal="count" baseField="5" baseItem="0"/>
    <dataField name="Average Rating" fld="36" subtotal="average" baseField="5" baseItem="0" numFmtId="164"/>
  </dataFields>
  <formats count="3">
    <format dxfId="3043">
      <pivotArea outline="0" collapsedLevelsAreSubtotals="1" fieldPosition="0">
        <references count="1">
          <reference field="4294967294" count="1" selected="0">
            <x v="1"/>
          </reference>
        </references>
      </pivotArea>
    </format>
    <format dxfId="3044">
      <pivotArea dataOnly="0" labelOnly="1" outline="0" fieldPosition="0">
        <references count="1">
          <reference field="4294967294" count="2">
            <x v="0"/>
            <x v="1"/>
          </reference>
        </references>
      </pivotArea>
    </format>
    <format dxfId="3045">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88ACC6F-2DCA-4AB2-A9D9-9A8AFFD39574}" name="SupplierRatingbyProductCategor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85:F795" firstHeaderRow="0" firstDataRow="1" firstDataCol="4"/>
  <pivotFields count="41">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compact="0" outline="0" subtotalTop="0" showAll="0" defaultSubtotal="0">
      <items count="15">
        <item x="10"/>
        <item x="6"/>
        <item x="9"/>
        <item x="5"/>
        <item x="7"/>
        <item x="11"/>
        <item x="0"/>
        <item x="12"/>
        <item x="1"/>
        <item x="13"/>
        <item x="4"/>
        <item x="14"/>
        <item x="8"/>
        <item x="2"/>
        <item x="3"/>
      </items>
    </pivotField>
    <pivotField axis="axisRow" dataField="1" compact="0" outline="0" subtotalTop="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axis="axisRow" compact="0" outline="0" subtotalTop="0" showAll="0" defaultSubtotal="0">
      <items count="12">
        <item x="11"/>
        <item x="5"/>
        <item x="9"/>
        <item x="8"/>
        <item x="10"/>
        <item x="1"/>
        <item x="7"/>
        <item x="2"/>
        <item x="4"/>
        <item x="6"/>
        <item x="0"/>
        <item x="3"/>
      </items>
    </pivotField>
    <pivotField compact="0" outline="0" subtotalTop="0" showAll="0" defaultSubtotal="0"/>
    <pivotField axis="axisRow" compact="0" outline="0" subtotalTop="0" showAll="0" defaultSubtotal="0">
      <items count="7">
        <item x="1"/>
        <item x="2"/>
        <item x="0"/>
        <item x="6"/>
        <item x="4"/>
        <item x="5"/>
        <item x="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 outline="0" subtotalTop="0" showAll="0" defaultSubtotal="0"/>
    <pivotField compact="0" outline="0" subtotalTop="0" showAll="0" defaultSubtotal="0"/>
    <pivotField compact="0" outline="0" subtotalTop="0" showAll="0" defaultSubtotal="0">
      <items count="7">
        <item x="3"/>
        <item x="5"/>
        <item x="6"/>
        <item x="1"/>
        <item x="2"/>
        <item x="0"/>
        <item x="4"/>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6">
        <item x="5"/>
        <item x="4"/>
        <item x="3"/>
        <item x="1"/>
        <item x="2"/>
        <item x="0"/>
      </items>
    </pivotField>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4">
    <field x="5"/>
    <field x="7"/>
    <field x="9"/>
    <field x="6"/>
  </rowFields>
  <rowItems count="110">
    <i>
      <x/>
      <x v="7"/>
      <x/>
      <x v="25"/>
    </i>
    <i r="2">
      <x v="1"/>
      <x v="25"/>
    </i>
    <i r="2">
      <x v="2"/>
      <x v="25"/>
    </i>
    <i r="2">
      <x v="3"/>
      <x v="25"/>
    </i>
    <i r="2">
      <x v="5"/>
      <x v="25"/>
    </i>
    <i r="2">
      <x v="6"/>
      <x v="25"/>
    </i>
    <i>
      <x v="1"/>
      <x v="5"/>
      <x/>
      <x v="21"/>
    </i>
    <i r="2">
      <x v="1"/>
      <x v="21"/>
    </i>
    <i r="2">
      <x v="2"/>
      <x v="21"/>
    </i>
    <i r="2">
      <x v="4"/>
      <x v="21"/>
    </i>
    <i r="2">
      <x v="5"/>
      <x v="21"/>
    </i>
    <i r="1">
      <x v="9"/>
      <x/>
      <x v="21"/>
    </i>
    <i>
      <x v="2"/>
      <x/>
      <x v="4"/>
      <x v="24"/>
    </i>
    <i r="1">
      <x v="7"/>
      <x/>
      <x v="24"/>
    </i>
    <i r="2">
      <x v="1"/>
      <x v="24"/>
    </i>
    <i r="2">
      <x v="2"/>
      <x v="24"/>
    </i>
    <i r="2">
      <x v="3"/>
      <x v="24"/>
    </i>
    <i r="2">
      <x v="4"/>
      <x v="24"/>
    </i>
    <i r="2">
      <x v="5"/>
      <x v="24"/>
    </i>
    <i>
      <x v="3"/>
      <x v="1"/>
      <x/>
      <x v="20"/>
    </i>
    <i r="2">
      <x v="1"/>
      <x v="20"/>
    </i>
    <i r="2">
      <x v="2"/>
      <x v="20"/>
    </i>
    <i r="2">
      <x v="3"/>
      <x v="20"/>
    </i>
    <i r="2">
      <x v="5"/>
      <x v="20"/>
    </i>
    <i r="2">
      <x v="6"/>
      <x v="20"/>
    </i>
    <i r="1">
      <x v="5"/>
      <x v="6"/>
      <x v="20"/>
    </i>
    <i r="1">
      <x v="7"/>
      <x v="6"/>
      <x v="20"/>
    </i>
    <i>
      <x v="4"/>
      <x v="3"/>
      <x v="1"/>
      <x v="22"/>
    </i>
    <i r="1">
      <x v="9"/>
      <x/>
      <x v="22"/>
    </i>
    <i r="2">
      <x v="1"/>
      <x v="22"/>
    </i>
    <i r="2">
      <x v="2"/>
      <x v="22"/>
    </i>
    <i r="2">
      <x v="3"/>
      <x v="22"/>
    </i>
    <i r="2">
      <x v="4"/>
      <x v="22"/>
    </i>
    <i r="2">
      <x v="5"/>
      <x v="22"/>
    </i>
    <i>
      <x v="5"/>
      <x v="1"/>
      <x v="1"/>
      <x v="26"/>
    </i>
    <i r="1">
      <x v="3"/>
      <x/>
      <x v="26"/>
    </i>
    <i r="2">
      <x v="1"/>
      <x v="26"/>
    </i>
    <i r="2">
      <x v="2"/>
      <x v="26"/>
    </i>
    <i r="2">
      <x v="3"/>
      <x v="26"/>
    </i>
    <i r="2">
      <x v="4"/>
      <x v="26"/>
    </i>
    <i r="2">
      <x v="5"/>
      <x v="26"/>
    </i>
    <i r="2">
      <x v="6"/>
      <x v="26"/>
    </i>
    <i>
      <x v="6"/>
      <x v="10"/>
      <x/>
      <x v="15"/>
    </i>
    <i r="2">
      <x v="1"/>
      <x v="15"/>
    </i>
    <i r="2">
      <x v="2"/>
      <x v="15"/>
    </i>
    <i r="2">
      <x v="4"/>
      <x v="15"/>
    </i>
    <i r="2">
      <x v="5"/>
      <x v="15"/>
    </i>
    <i r="2">
      <x v="6"/>
      <x v="15"/>
    </i>
    <i>
      <x v="7"/>
      <x v="3"/>
      <x v="4"/>
      <x v="27"/>
    </i>
    <i r="1">
      <x v="7"/>
      <x/>
      <x v="27"/>
    </i>
    <i r="2">
      <x v="1"/>
      <x v="27"/>
    </i>
    <i r="2">
      <x v="2"/>
      <x v="27"/>
    </i>
    <i r="2">
      <x v="3"/>
      <x v="27"/>
    </i>
    <i r="2">
      <x v="4"/>
      <x v="27"/>
    </i>
    <i r="2">
      <x v="5"/>
      <x v="27"/>
    </i>
    <i r="2">
      <x v="6"/>
      <x v="27"/>
    </i>
    <i>
      <x v="8"/>
      <x/>
      <x/>
      <x v="16"/>
    </i>
    <i r="1">
      <x v="5"/>
      <x/>
      <x v="16"/>
    </i>
    <i r="2">
      <x v="1"/>
      <x v="16"/>
    </i>
    <i r="2">
      <x v="3"/>
      <x v="16"/>
    </i>
    <i r="2">
      <x v="4"/>
      <x v="16"/>
    </i>
    <i r="2">
      <x v="5"/>
      <x v="16"/>
    </i>
    <i r="2">
      <x v="6"/>
      <x v="16"/>
    </i>
    <i r="1">
      <x v="9"/>
      <x/>
      <x v="16"/>
    </i>
    <i r="2">
      <x v="3"/>
      <x v="16"/>
    </i>
    <i>
      <x v="9"/>
      <x v="2"/>
      <x/>
      <x v="28"/>
    </i>
    <i r="2">
      <x v="1"/>
      <x v="28"/>
    </i>
    <i r="2">
      <x v="2"/>
      <x v="28"/>
    </i>
    <i r="2">
      <x v="3"/>
      <x v="28"/>
    </i>
    <i r="2">
      <x v="4"/>
      <x v="28"/>
    </i>
    <i r="2">
      <x v="5"/>
      <x v="28"/>
    </i>
    <i r="2">
      <x v="6"/>
      <x v="28"/>
    </i>
    <i r="1">
      <x v="5"/>
      <x/>
      <x v="28"/>
    </i>
    <i r="2">
      <x v="6"/>
      <x v="28"/>
    </i>
    <i>
      <x v="10"/>
      <x v="5"/>
      <x v="2"/>
      <x v="19"/>
    </i>
    <i r="1">
      <x v="8"/>
      <x/>
      <x v="19"/>
    </i>
    <i r="2">
      <x v="1"/>
      <x v="19"/>
    </i>
    <i r="2">
      <x v="2"/>
      <x v="19"/>
    </i>
    <i r="2">
      <x v="3"/>
      <x v="19"/>
    </i>
    <i r="2">
      <x v="4"/>
      <x v="19"/>
    </i>
    <i r="2">
      <x v="5"/>
      <x v="19"/>
    </i>
    <i r="2">
      <x v="6"/>
      <x v="19"/>
    </i>
    <i>
      <x v="11"/>
      <x v="4"/>
      <x/>
      <x v="29"/>
    </i>
    <i r="2">
      <x v="1"/>
      <x v="29"/>
    </i>
    <i r="2">
      <x v="2"/>
      <x v="29"/>
    </i>
    <i r="2">
      <x v="3"/>
      <x v="29"/>
    </i>
    <i r="2">
      <x v="5"/>
      <x v="29"/>
    </i>
    <i r="2">
      <x v="6"/>
      <x v="29"/>
    </i>
    <i>
      <x v="12"/>
      <x/>
      <x/>
      <x v="23"/>
    </i>
    <i r="1">
      <x v="5"/>
      <x/>
      <x v="23"/>
    </i>
    <i r="1">
      <x v="6"/>
      <x/>
      <x v="23"/>
    </i>
    <i r="2">
      <x v="1"/>
      <x v="23"/>
    </i>
    <i r="2">
      <x v="2"/>
      <x v="23"/>
    </i>
    <i r="2">
      <x v="3"/>
      <x v="23"/>
    </i>
    <i r="2">
      <x v="5"/>
      <x v="23"/>
    </i>
    <i r="2">
      <x v="6"/>
      <x v="23"/>
    </i>
    <i>
      <x v="13"/>
      <x v="7"/>
      <x v="1"/>
      <x v="17"/>
    </i>
    <i r="2">
      <x v="2"/>
      <x v="17"/>
    </i>
    <i r="2">
      <x v="3"/>
      <x v="17"/>
    </i>
    <i r="2">
      <x v="4"/>
      <x v="17"/>
    </i>
    <i r="2">
      <x v="5"/>
      <x v="17"/>
    </i>
    <i r="2">
      <x v="6"/>
      <x v="17"/>
    </i>
    <i>
      <x v="14"/>
      <x v="11"/>
      <x/>
      <x v="18"/>
    </i>
    <i r="2">
      <x v="1"/>
      <x v="18"/>
    </i>
    <i r="2">
      <x v="2"/>
      <x v="18"/>
    </i>
    <i r="2">
      <x v="3"/>
      <x v="18"/>
    </i>
    <i r="2">
      <x v="4"/>
      <x v="18"/>
    </i>
    <i r="2">
      <x v="5"/>
      <x v="18"/>
    </i>
    <i r="2">
      <x v="6"/>
      <x v="18"/>
    </i>
    <i t="grand">
      <x/>
    </i>
  </rowItems>
  <colFields count="1">
    <field x="-2"/>
  </colFields>
  <colItems count="2">
    <i>
      <x/>
    </i>
    <i i="1">
      <x v="1"/>
    </i>
  </colItems>
  <dataFields count="2">
    <dataField name="Count of Supplier_Name" fld="6" subtotal="count" baseField="0" baseItem="0"/>
    <dataField name="Average of Supplier_Rating" fld="36" subtotal="average" baseField="6" baseItem="13" numFmtId="164"/>
  </dataFields>
  <formats count="1">
    <format dxfId="2993">
      <pivotArea outline="0" fieldPosition="0">
        <references count="1">
          <reference field="4294967294" count="1" selected="0">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10327D0-1DB3-4110-8077-A72C9EB1E05B}" name="ProductCategorybyDeliveryStatus"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5">
  <location ref="A865:Q875" firstHeaderRow="1" firstDataRow="3"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axis="axisRow" compact="0" outline="0" showAll="0" defaultSubtotal="0">
      <items count="7">
        <item x="1"/>
        <item x="2"/>
        <item x="0"/>
        <item x="6"/>
        <item x="4"/>
        <item x="5"/>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axis="axisCol" compact="0" outline="0" showAll="0" defaultSubtotal="0">
      <items count="7">
        <item x="5"/>
        <item x="2"/>
        <item x="3"/>
        <item x="1"/>
        <item x="4"/>
        <item x="0"/>
        <item x="6"/>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dragToRow="0" dragToCol="0" dragToPage="0" showAll="0" defaultSubtotal="0"/>
    <pivotField compact="0" outline="0" showAll="0" defaultSubtotal="0">
      <items count="14">
        <item x="0"/>
        <item x="1"/>
        <item x="2"/>
        <item x="3"/>
        <item x="4"/>
        <item x="5"/>
        <item x="6"/>
        <item x="7"/>
        <item x="8"/>
        <item x="9"/>
        <item x="10"/>
        <item x="11"/>
        <item x="12"/>
        <item x="13"/>
      </items>
    </pivotField>
  </pivotFields>
  <rowFields count="1">
    <field x="9"/>
  </rowFields>
  <rowItems count="8">
    <i>
      <x/>
    </i>
    <i>
      <x v="1"/>
    </i>
    <i>
      <x v="2"/>
    </i>
    <i>
      <x v="3"/>
    </i>
    <i>
      <x v="4"/>
    </i>
    <i>
      <x v="5"/>
    </i>
    <i>
      <x v="6"/>
    </i>
    <i t="grand">
      <x/>
    </i>
  </rowItems>
  <colFields count="2">
    <field x="-2"/>
    <field x="28"/>
  </colFields>
  <colItems count="16">
    <i>
      <x/>
      <x/>
    </i>
    <i r="1">
      <x v="1"/>
    </i>
    <i r="1">
      <x v="2"/>
    </i>
    <i r="1">
      <x v="3"/>
    </i>
    <i r="1">
      <x v="4"/>
    </i>
    <i r="1">
      <x v="5"/>
    </i>
    <i r="1">
      <x v="6"/>
    </i>
    <i i="1">
      <x v="1"/>
      <x/>
    </i>
    <i r="1" i="1">
      <x v="1"/>
    </i>
    <i r="1" i="1">
      <x v="2"/>
    </i>
    <i r="1" i="1">
      <x v="3"/>
    </i>
    <i r="1" i="1">
      <x v="4"/>
    </i>
    <i r="1" i="1">
      <x v="5"/>
    </i>
    <i r="1" i="1">
      <x v="6"/>
    </i>
    <i t="grand">
      <x/>
    </i>
    <i t="grand" i="1">
      <x/>
    </i>
  </colItems>
  <dataFields count="2">
    <dataField name="Sum of Order_Quantity" fld="16" baseField="6" baseItem="0"/>
    <dataField name="Sum of Order_Quantity2" fld="16" showDataAs="percentOfTotal" baseField="28" baseItem="0" numFmtId="10"/>
  </dataFields>
  <formats count="6">
    <format dxfId="3074">
      <pivotArea outline="0" collapsedLevelsAreSubtotals="1" fieldPosition="0"/>
    </format>
    <format dxfId="3075">
      <pivotArea dataOnly="0" labelOnly="1" outline="0" fieldPosition="0">
        <references count="1">
          <reference field="28" count="0"/>
        </references>
      </pivotArea>
    </format>
    <format dxfId="3076">
      <pivotArea dataOnly="0" labelOnly="1" grandCol="1" outline="0" fieldPosition="0"/>
    </format>
    <format dxfId="3077">
      <pivotArea grandRow="1" outline="0" collapsedLevelsAreSubtotals="1" fieldPosition="0"/>
    </format>
    <format dxfId="3078">
      <pivotArea dataOnly="0" labelOnly="1" grandRow="1" outline="0" fieldPosition="0"/>
    </format>
    <format dxfId="3079">
      <pivotArea outline="0" fieldPosition="0">
        <references count="1">
          <reference field="4294967294" count="1">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BD3EF5A-0B5B-4F13-B765-9055F2AA0861}" name="Qty&amp;AmountbySupplier"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F362:I378"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dataField="1" compact="0" outline="0" showAll="0" sortType="descending" defaultSubtotal="0">
      <items count="15">
        <item x="10"/>
        <item x="6"/>
        <item x="9"/>
        <item x="5"/>
        <item x="7"/>
        <item x="11"/>
        <item x="0"/>
        <item x="12"/>
        <item x="1"/>
        <item x="13"/>
        <item x="4"/>
        <item x="14"/>
        <item x="8"/>
        <item x="2"/>
        <item x="3"/>
      </items>
      <autoSortScope>
        <pivotArea dataOnly="0" outline="0" fieldPosition="0">
          <references count="1">
            <reference field="4294967294" count="1" selected="0">
              <x v="1"/>
            </reference>
          </references>
        </pivotArea>
      </autoSortScope>
    </pivotField>
    <pivotField compact="0" outline="0" showAll="0" sortType="descending"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5"/>
  </rowFields>
  <rowItems count="16">
    <i>
      <x v="6"/>
    </i>
    <i>
      <x/>
    </i>
    <i>
      <x v="12"/>
    </i>
    <i>
      <x v="8"/>
    </i>
    <i>
      <x v="13"/>
    </i>
    <i>
      <x v="1"/>
    </i>
    <i>
      <x v="14"/>
    </i>
    <i>
      <x v="4"/>
    </i>
    <i>
      <x v="11"/>
    </i>
    <i>
      <x v="3"/>
    </i>
    <i>
      <x v="2"/>
    </i>
    <i>
      <x v="10"/>
    </i>
    <i>
      <x v="7"/>
    </i>
    <i>
      <x v="9"/>
    </i>
    <i>
      <x v="5"/>
    </i>
    <i t="grand">
      <x/>
    </i>
  </rowItems>
  <colFields count="1">
    <field x="-2"/>
  </colFields>
  <colItems count="3">
    <i>
      <x/>
    </i>
    <i i="1">
      <x v="1"/>
    </i>
    <i i="2">
      <x v="2"/>
    </i>
  </colItems>
  <dataFields count="3">
    <dataField name="Count of Supplier_ID" fld="5" subtotal="count" baseField="0" baseItem="0"/>
    <dataField name="Sum of Ordered_Value in $" fld="19" baseField="6" baseItem="13" numFmtId="4"/>
    <dataField name="% of Total Ordered_Value in $" fld="19" showDataAs="percentOfTotal" baseField="5" baseItem="6" numFmtId="10"/>
  </dataFields>
  <formats count="3">
    <format dxfId="3071">
      <pivotArea outline="0" fieldPosition="0">
        <references count="1">
          <reference field="4294967294" count="1" selected="0">
            <x v="1"/>
          </reference>
        </references>
      </pivotArea>
    </format>
    <format dxfId="3072">
      <pivotArea outline="0" fieldPosition="0">
        <references count="1">
          <reference field="4294967294" count="1">
            <x v="2"/>
          </reference>
        </references>
      </pivotArea>
    </format>
    <format dxfId="3073">
      <pivotArea outline="0" fieldPosition="0">
        <references count="2">
          <reference field="4294967294" count="1" selected="0">
            <x v="1"/>
          </reference>
          <reference field="5" count="3" selected="0">
            <x v="0"/>
            <x v="6"/>
            <x v="1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42571CD-1E86-41E8-9068-643D3910B78A}" name="DefectRatebyCarrier"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1:B59" firstHeaderRow="1"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axis="axisRow" compact="0" outline="0" showAll="0" defaultSubtotal="0">
      <items count="7">
        <item x="2"/>
        <item x="3"/>
        <item x="6"/>
        <item x="1"/>
        <item x="5"/>
        <item x="4"/>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33"/>
  </rowFields>
  <rowItems count="8">
    <i>
      <x/>
    </i>
    <i>
      <x v="1"/>
    </i>
    <i>
      <x v="2"/>
    </i>
    <i>
      <x v="3"/>
    </i>
    <i>
      <x v="4"/>
    </i>
    <i>
      <x v="5"/>
    </i>
    <i>
      <x v="6"/>
    </i>
    <i t="grand">
      <x/>
    </i>
  </rowItems>
  <colItems count="1">
    <i/>
  </colItems>
  <dataFields count="1">
    <dataField name="Average of Defect_Rate" fld="21" subtotal="average" baseField="33" baseItem="2" numFmtId="10"/>
  </dataFields>
  <formats count="1">
    <format dxfId="3209">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212E117-8015-4961-AA41-BF74E6C85620}" name="PivotTable2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81:B194" firstHeaderRow="1"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axis="axisRow" compact="0" outline="0" showAll="0" defaultSubtotal="0">
      <items count="12">
        <item x="11"/>
        <item x="5"/>
        <item x="9"/>
        <item x="8"/>
        <item x="10"/>
        <item x="1"/>
        <item x="7"/>
        <item x="2"/>
        <item x="4"/>
        <item x="6"/>
        <item x="0"/>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7"/>
  </rowFields>
  <rowItems count="13">
    <i>
      <x/>
    </i>
    <i>
      <x v="1"/>
    </i>
    <i>
      <x v="2"/>
    </i>
    <i>
      <x v="3"/>
    </i>
    <i>
      <x v="4"/>
    </i>
    <i>
      <x v="5"/>
    </i>
    <i>
      <x v="6"/>
    </i>
    <i>
      <x v="7"/>
    </i>
    <i>
      <x v="8"/>
    </i>
    <i>
      <x v="9"/>
    </i>
    <i>
      <x v="10"/>
    </i>
    <i>
      <x v="11"/>
    </i>
    <i t="grand">
      <x/>
    </i>
  </rowItems>
  <colItems count="1">
    <i/>
  </colItems>
  <dataFields count="1">
    <dataField name="Average of Defect_Rate" fld="21" subtotal="average" baseField="8" baseItem="0" numFmtId="10"/>
  </dataFields>
  <formats count="1">
    <format dxfId="3098">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CE5BD4E-93CB-46F8-B70C-66BF4D67EDC6}" name="LeadTimeVariancebySupplier"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458:E474" firstHeaderRow="0" firstDataRow="1" firstDataCol="2"/>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dataField="1" compact="0" outline="0" showAll="0" sortType="descending" defaultSubtotal="0">
      <items count="15">
        <item x="10"/>
        <item x="6"/>
        <item x="9"/>
        <item x="5"/>
        <item x="7"/>
        <item x="11"/>
        <item x="0"/>
        <item x="12"/>
        <item x="1"/>
        <item x="13"/>
        <item x="4"/>
        <item x="14"/>
        <item x="8"/>
        <item x="2"/>
        <item x="3"/>
      </items>
      <autoSortScope>
        <pivotArea dataOnly="0" outline="0" fieldPosition="0">
          <references count="1">
            <reference field="4294967294" count="1" selected="0">
              <x v="2"/>
            </reference>
          </references>
        </pivotArea>
      </autoSortScope>
    </pivotField>
    <pivotField axis="axisRow" compact="0" outline="0" showAll="0" sortType="descending"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dataField="1"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2">
    <field x="5"/>
    <field x="6"/>
  </rowFields>
  <rowItems count="16">
    <i>
      <x v="5"/>
      <x v="26"/>
    </i>
    <i>
      <x v="8"/>
      <x v="16"/>
    </i>
    <i>
      <x/>
      <x v="25"/>
    </i>
    <i>
      <x v="4"/>
      <x v="22"/>
    </i>
    <i>
      <x v="10"/>
      <x v="19"/>
    </i>
    <i>
      <x v="14"/>
      <x v="18"/>
    </i>
    <i>
      <x v="13"/>
      <x v="17"/>
    </i>
    <i>
      <x v="1"/>
      <x v="21"/>
    </i>
    <i>
      <x v="3"/>
      <x v="20"/>
    </i>
    <i>
      <x v="12"/>
      <x v="23"/>
    </i>
    <i>
      <x v="2"/>
      <x v="24"/>
    </i>
    <i>
      <x v="7"/>
      <x v="27"/>
    </i>
    <i>
      <x v="11"/>
      <x v="29"/>
    </i>
    <i>
      <x v="9"/>
      <x v="28"/>
    </i>
    <i>
      <x v="6"/>
      <x v="15"/>
    </i>
    <i t="grand">
      <x/>
    </i>
  </rowItems>
  <colFields count="1">
    <field x="-2"/>
  </colFields>
  <colItems count="3">
    <i>
      <x/>
    </i>
    <i i="1">
      <x v="1"/>
    </i>
    <i i="2">
      <x v="2"/>
    </i>
  </colItems>
  <dataFields count="3">
    <dataField name="Count of Supplier_ID" fld="5" subtotal="count" baseField="0" baseItem="0"/>
    <dataField name="Sum of Lead_Time_Variance_Days" fld="27" baseField="0" baseItem="0"/>
    <dataField name="Average of Lead_Time_Variance_Days" fld="27" subtotal="average" baseField="6" baseItem="3" numFmtId="164"/>
  </dataFields>
  <formats count="1">
    <format dxfId="3135">
      <pivotArea outline="0"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AE70FF7-C180-4522-8FB5-3F9D47EECFD3}" name="DataQualityNotesbySupplier"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113:R1130"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16">
        <item x="4"/>
        <item x="0"/>
        <item x="5"/>
        <item x="1"/>
        <item x="6"/>
        <item x="11"/>
        <item x="12"/>
        <item x="9"/>
        <item x="7"/>
        <item x="10"/>
        <item x="13"/>
        <item x="15"/>
        <item x="14"/>
        <item x="2"/>
        <item x="3"/>
        <item x="8"/>
      </items>
    </pivotField>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38"/>
  </colFields>
  <colItems count="17">
    <i>
      <x/>
    </i>
    <i>
      <x v="1"/>
    </i>
    <i>
      <x v="2"/>
    </i>
    <i>
      <x v="3"/>
    </i>
    <i>
      <x v="4"/>
    </i>
    <i>
      <x v="5"/>
    </i>
    <i>
      <x v="6"/>
    </i>
    <i>
      <x v="7"/>
    </i>
    <i>
      <x v="8"/>
    </i>
    <i>
      <x v="9"/>
    </i>
    <i>
      <x v="10"/>
    </i>
    <i>
      <x v="11"/>
    </i>
    <i>
      <x v="12"/>
    </i>
    <i>
      <x v="13"/>
    </i>
    <i>
      <x v="14"/>
    </i>
    <i>
      <x v="15"/>
    </i>
    <i t="grand">
      <x/>
    </i>
  </colItems>
  <dataFields count="1">
    <dataField name="Count of Supplier_Name" fld="6" subtotal="count" baseField="0" baseItem="0"/>
  </dataFields>
  <formats count="16">
    <format dxfId="3241">
      <pivotArea outline="0" collapsedLevelsAreSubtotals="1" fieldPosition="0"/>
    </format>
    <format dxfId="3242">
      <pivotArea dataOnly="0" labelOnly="1" grandCol="1" outline="0" fieldPosition="0"/>
    </format>
    <format dxfId="3243">
      <pivotArea grandRow="1" outline="0" collapsedLevelsAreSubtotals="1" fieldPosition="0"/>
    </format>
    <format dxfId="3244">
      <pivotArea dataOnly="0" labelOnly="1" grandRow="1" outline="0" fieldPosition="0"/>
    </format>
    <format dxfId="3245">
      <pivotArea field="6" type="button" dataOnly="0" labelOnly="1" outline="0" axis="axisRow" fieldPosition="0"/>
    </format>
    <format dxfId="3246">
      <pivotArea dataOnly="0" labelOnly="1" grandCol="1" outline="0" fieldPosition="0"/>
    </format>
    <format dxfId="3247">
      <pivotArea field="6" type="button" dataOnly="0" labelOnly="1" outline="0" axis="axisRow" fieldPosition="0"/>
    </format>
    <format dxfId="3248">
      <pivotArea dataOnly="0" labelOnly="1" grandCol="1" outline="0" fieldPosition="0"/>
    </format>
    <format dxfId="3249">
      <pivotArea field="6" type="button" dataOnly="0" labelOnly="1" outline="0" axis="axisRow" fieldPosition="0"/>
    </format>
    <format dxfId="3250">
      <pivotArea dataOnly="0" labelOnly="1" grandCol="1" outline="0" fieldPosition="0"/>
    </format>
    <format dxfId="3251">
      <pivotArea field="6" type="button" dataOnly="0" labelOnly="1" outline="0" axis="axisRow" fieldPosition="0"/>
    </format>
    <format dxfId="3252">
      <pivotArea dataOnly="0" labelOnly="1" grandCol="1" outline="0" fieldPosition="0"/>
    </format>
    <format dxfId="3253">
      <pivotArea dataOnly="0" labelOnly="1" grandCol="1" outline="0" fieldPosition="0"/>
    </format>
    <format dxfId="3254">
      <pivotArea dataOnly="0" labelOnly="1" grandCol="1" outline="0" fieldPosition="0"/>
    </format>
    <format dxfId="3255">
      <pivotArea dataOnly="0" labelOnly="1" grandCol="1" outline="0" fieldPosition="0"/>
    </format>
    <format dxfId="3256">
      <pivotArea dataOnly="0" labelOnly="1" outline="0" fieldPosition="0">
        <references count="1">
          <reference field="38"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5536A68-0D54-4D37-B3EE-965EADA16A5F}" name="DeliveryStatusCoun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4:I31"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dataField="1" compact="0" outline="0" showAll="0" defaultSubtotal="0">
      <items count="7">
        <item x="5"/>
        <item x="2"/>
        <item x="3"/>
        <item x="1"/>
        <item x="4"/>
        <item x="0"/>
        <item x="6"/>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28"/>
  </colFields>
  <colItems count="8">
    <i>
      <x/>
    </i>
    <i>
      <x v="1"/>
    </i>
    <i>
      <x v="2"/>
    </i>
    <i>
      <x v="3"/>
    </i>
    <i>
      <x v="4"/>
    </i>
    <i>
      <x v="5"/>
    </i>
    <i>
      <x v="6"/>
    </i>
    <i t="grand">
      <x/>
    </i>
  </colItems>
  <dataFields count="1">
    <dataField name="Count of Delivery_Status" fld="28" subtotal="count" baseField="0" baseItem="0"/>
  </dataFields>
  <formats count="1">
    <format dxfId="3324">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6F975F0F-C092-4E9B-A5A6-8E3B5BBED2A0}" name="DataSourcebySupplier"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091:I1108"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7">
        <item x="4"/>
        <item x="2"/>
        <item x="3"/>
        <item x="1"/>
        <item x="5"/>
        <item x="0"/>
        <item x="6"/>
      </items>
    </pivotField>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37"/>
  </colFields>
  <colItems count="8">
    <i>
      <x/>
    </i>
    <i>
      <x v="1"/>
    </i>
    <i>
      <x v="2"/>
    </i>
    <i>
      <x v="3"/>
    </i>
    <i>
      <x v="4"/>
    </i>
    <i>
      <x v="5"/>
    </i>
    <i>
      <x v="6"/>
    </i>
    <i t="grand">
      <x/>
    </i>
  </colItems>
  <dataFields count="1">
    <dataField name="Count of Supplier_Name" fld="6" subtotal="count" baseField="0" baseItem="0"/>
  </dataFields>
  <formats count="17">
    <format dxfId="3224">
      <pivotArea outline="0" collapsedLevelsAreSubtotals="1" fieldPosition="0"/>
    </format>
    <format dxfId="3225">
      <pivotArea dataOnly="0" labelOnly="1" grandCol="1" outline="0" fieldPosition="0"/>
    </format>
    <format dxfId="3226">
      <pivotArea grandRow="1" outline="0" collapsedLevelsAreSubtotals="1" fieldPosition="0"/>
    </format>
    <format dxfId="3227">
      <pivotArea dataOnly="0" labelOnly="1" grandRow="1" outline="0" fieldPosition="0"/>
    </format>
    <format dxfId="3228">
      <pivotArea field="6" type="button" dataOnly="0" labelOnly="1" outline="0" axis="axisRow" fieldPosition="0"/>
    </format>
    <format dxfId="3229">
      <pivotArea dataOnly="0" labelOnly="1" grandCol="1" outline="0" fieldPosition="0"/>
    </format>
    <format dxfId="3230">
      <pivotArea field="6" type="button" dataOnly="0" labelOnly="1" outline="0" axis="axisRow" fieldPosition="0"/>
    </format>
    <format dxfId="3231">
      <pivotArea dataOnly="0" labelOnly="1" grandCol="1" outline="0" fieldPosition="0"/>
    </format>
    <format dxfId="3232">
      <pivotArea field="6" type="button" dataOnly="0" labelOnly="1" outline="0" axis="axisRow" fieldPosition="0"/>
    </format>
    <format dxfId="3233">
      <pivotArea dataOnly="0" labelOnly="1" grandCol="1" outline="0" fieldPosition="0"/>
    </format>
    <format dxfId="3234">
      <pivotArea field="6" type="button" dataOnly="0" labelOnly="1" outline="0" axis="axisRow" fieldPosition="0"/>
    </format>
    <format dxfId="3235">
      <pivotArea dataOnly="0" labelOnly="1" grandCol="1" outline="0" fieldPosition="0"/>
    </format>
    <format dxfId="3236">
      <pivotArea dataOnly="0" labelOnly="1" grandCol="1" outline="0" fieldPosition="0"/>
    </format>
    <format dxfId="3237">
      <pivotArea dataOnly="0" labelOnly="1" outline="0" fieldPosition="0">
        <references count="1">
          <reference field="37" count="0"/>
        </references>
      </pivotArea>
    </format>
    <format dxfId="3238">
      <pivotArea dataOnly="0" labelOnly="1" grandCol="1" outline="0" fieldPosition="0"/>
    </format>
    <format dxfId="3239">
      <pivotArea dataOnly="0" labelOnly="1" outline="0" fieldPosition="0">
        <references count="1">
          <reference field="37" count="0"/>
        </references>
      </pivotArea>
    </format>
    <format dxfId="3240">
      <pivotArea dataOnly="0" labelOnly="1" grandCol="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28A3BD99-647E-4E07-ADB0-F775C22BC63E}" name="DeliveryStatusbyCarrier"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7:I46"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dataField="1" compact="0" outline="0" showAll="0" defaultSubtotal="0">
      <items count="7">
        <item x="5"/>
        <item x="2"/>
        <item x="3"/>
        <item x="1"/>
        <item x="4"/>
        <item x="0"/>
        <item x="6"/>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axis="axisRow" compact="0" outline="0" showAll="0" defaultSubtotal="0">
      <items count="7">
        <item x="2"/>
        <item x="3"/>
        <item x="6"/>
        <item x="1"/>
        <item x="5"/>
        <item x="4"/>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33"/>
  </rowFields>
  <rowItems count="8">
    <i>
      <x/>
    </i>
    <i>
      <x v="1"/>
    </i>
    <i>
      <x v="2"/>
    </i>
    <i>
      <x v="3"/>
    </i>
    <i>
      <x v="4"/>
    </i>
    <i>
      <x v="5"/>
    </i>
    <i>
      <x v="6"/>
    </i>
    <i t="grand">
      <x/>
    </i>
  </rowItems>
  <colFields count="1">
    <field x="28"/>
  </colFields>
  <colItems count="8">
    <i>
      <x/>
    </i>
    <i>
      <x v="1"/>
    </i>
    <i>
      <x v="2"/>
    </i>
    <i>
      <x v="3"/>
    </i>
    <i>
      <x v="4"/>
    </i>
    <i>
      <x v="5"/>
    </i>
    <i>
      <x v="6"/>
    </i>
    <i t="grand">
      <x/>
    </i>
  </colItems>
  <dataFields count="1">
    <dataField name="Count of Delivery_Status" fld="28" subtotal="count" baseField="0" baseItem="0"/>
  </dataFields>
  <formats count="1">
    <format dxfId="3207">
      <pivotArea outline="0" collapsedLevelsAreSubtotals="1" fieldPosition="0"/>
    </format>
  </formats>
  <chartFormats count="14">
    <chartFormat chart="7" format="28" series="1">
      <pivotArea type="data" outline="0" fieldPosition="0">
        <references count="2">
          <reference field="4294967294" count="1" selected="0">
            <x v="0"/>
          </reference>
          <reference field="28" count="1" selected="0">
            <x v="0"/>
          </reference>
        </references>
      </pivotArea>
    </chartFormat>
    <chartFormat chart="7" format="29" series="1">
      <pivotArea type="data" outline="0" fieldPosition="0">
        <references count="2">
          <reference field="4294967294" count="1" selected="0">
            <x v="0"/>
          </reference>
          <reference field="28" count="1" selected="0">
            <x v="1"/>
          </reference>
        </references>
      </pivotArea>
    </chartFormat>
    <chartFormat chart="7" format="30" series="1">
      <pivotArea type="data" outline="0" fieldPosition="0">
        <references count="2">
          <reference field="4294967294" count="1" selected="0">
            <x v="0"/>
          </reference>
          <reference field="28" count="1" selected="0">
            <x v="2"/>
          </reference>
        </references>
      </pivotArea>
    </chartFormat>
    <chartFormat chart="7" format="31" series="1">
      <pivotArea type="data" outline="0" fieldPosition="0">
        <references count="2">
          <reference field="4294967294" count="1" selected="0">
            <x v="0"/>
          </reference>
          <reference field="28" count="1" selected="0">
            <x v="3"/>
          </reference>
        </references>
      </pivotArea>
    </chartFormat>
    <chartFormat chart="7" format="32" series="1">
      <pivotArea type="data" outline="0" fieldPosition="0">
        <references count="2">
          <reference field="4294967294" count="1" selected="0">
            <x v="0"/>
          </reference>
          <reference field="28" count="1" selected="0">
            <x v="4"/>
          </reference>
        </references>
      </pivotArea>
    </chartFormat>
    <chartFormat chart="7" format="33" series="1">
      <pivotArea type="data" outline="0" fieldPosition="0">
        <references count="2">
          <reference field="4294967294" count="1" selected="0">
            <x v="0"/>
          </reference>
          <reference field="28" count="1" selected="0">
            <x v="5"/>
          </reference>
        </references>
      </pivotArea>
    </chartFormat>
    <chartFormat chart="7" format="34" series="1">
      <pivotArea type="data" outline="0" fieldPosition="0">
        <references count="2">
          <reference field="4294967294" count="1" selected="0">
            <x v="0"/>
          </reference>
          <reference field="28" count="1" selected="0">
            <x v="6"/>
          </reference>
        </references>
      </pivotArea>
    </chartFormat>
    <chartFormat chart="9" format="28" series="1">
      <pivotArea type="data" outline="0" fieldPosition="0">
        <references count="2">
          <reference field="4294967294" count="1" selected="0">
            <x v="0"/>
          </reference>
          <reference field="28" count="1" selected="0">
            <x v="0"/>
          </reference>
        </references>
      </pivotArea>
    </chartFormat>
    <chartFormat chart="9" format="29" series="1">
      <pivotArea type="data" outline="0" fieldPosition="0">
        <references count="2">
          <reference field="4294967294" count="1" selected="0">
            <x v="0"/>
          </reference>
          <reference field="28" count="1" selected="0">
            <x v="1"/>
          </reference>
        </references>
      </pivotArea>
    </chartFormat>
    <chartFormat chart="9" format="30" series="1">
      <pivotArea type="data" outline="0" fieldPosition="0">
        <references count="2">
          <reference field="4294967294" count="1" selected="0">
            <x v="0"/>
          </reference>
          <reference field="28" count="1" selected="0">
            <x v="2"/>
          </reference>
        </references>
      </pivotArea>
    </chartFormat>
    <chartFormat chart="9" format="31" series="1">
      <pivotArea type="data" outline="0" fieldPosition="0">
        <references count="2">
          <reference field="4294967294" count="1" selected="0">
            <x v="0"/>
          </reference>
          <reference field="28" count="1" selected="0">
            <x v="3"/>
          </reference>
        </references>
      </pivotArea>
    </chartFormat>
    <chartFormat chart="9" format="32" series="1">
      <pivotArea type="data" outline="0" fieldPosition="0">
        <references count="2">
          <reference field="4294967294" count="1" selected="0">
            <x v="0"/>
          </reference>
          <reference field="28" count="1" selected="0">
            <x v="4"/>
          </reference>
        </references>
      </pivotArea>
    </chartFormat>
    <chartFormat chart="9" format="33" series="1">
      <pivotArea type="data" outline="0" fieldPosition="0">
        <references count="2">
          <reference field="4294967294" count="1" selected="0">
            <x v="0"/>
          </reference>
          <reference field="28" count="1" selected="0">
            <x v="5"/>
          </reference>
        </references>
      </pivotArea>
    </chartFormat>
    <chartFormat chart="9" format="34" series="1">
      <pivotArea type="data" outline="0" fieldPosition="0">
        <references count="2">
          <reference field="4294967294" count="1" selected="0">
            <x v="0"/>
          </reference>
          <reference field="28" count="1" selected="0">
            <x v="6"/>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8046F21-417F-41A7-9084-0F98C137E197}" name="StatusofDeliverybyQty&amp;%"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9">
  <location ref="A848:Q858" firstHeaderRow="1" firstDataRow="3"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axis="axisCol" compact="0" outline="0" showAll="0" defaultSubtotal="0">
      <items count="7">
        <item x="1"/>
        <item x="2"/>
        <item x="0"/>
        <item x="6"/>
        <item x="4"/>
        <item x="5"/>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Row" compact="0" outline="0" showAll="0" defaultSubtotal="0">
      <items count="7">
        <item x="5"/>
        <item x="2"/>
        <item x="3"/>
        <item x="1"/>
        <item x="4"/>
        <item x="0"/>
        <item x="6"/>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28"/>
  </rowFields>
  <rowItems count="8">
    <i>
      <x/>
    </i>
    <i>
      <x v="1"/>
    </i>
    <i>
      <x v="2"/>
    </i>
    <i>
      <x v="3"/>
    </i>
    <i>
      <x v="4"/>
    </i>
    <i>
      <x v="5"/>
    </i>
    <i>
      <x v="6"/>
    </i>
    <i t="grand">
      <x/>
    </i>
  </rowItems>
  <colFields count="2">
    <field x="9"/>
    <field x="-2"/>
  </colFields>
  <colItems count="16">
    <i>
      <x/>
      <x/>
    </i>
    <i r="1" i="1">
      <x v="1"/>
    </i>
    <i>
      <x v="1"/>
      <x/>
    </i>
    <i r="1" i="1">
      <x v="1"/>
    </i>
    <i>
      <x v="2"/>
      <x/>
    </i>
    <i r="1" i="1">
      <x v="1"/>
    </i>
    <i>
      <x v="3"/>
      <x/>
    </i>
    <i r="1" i="1">
      <x v="1"/>
    </i>
    <i>
      <x v="4"/>
      <x/>
    </i>
    <i r="1" i="1">
      <x v="1"/>
    </i>
    <i>
      <x v="5"/>
      <x/>
    </i>
    <i r="1" i="1">
      <x v="1"/>
    </i>
    <i>
      <x v="6"/>
      <x/>
    </i>
    <i r="1" i="1">
      <x v="1"/>
    </i>
    <i t="grand">
      <x/>
    </i>
    <i t="grand" i="1">
      <x/>
    </i>
  </colItems>
  <dataFields count="2">
    <dataField name="Sum of Order_Quantity" fld="16" baseField="6" baseItem="0"/>
    <dataField name="Sum of Order_Quantity2" fld="16" showDataAs="percentOfTotal" baseField="28" baseItem="0" numFmtId="10"/>
  </dataFields>
  <formats count="6">
    <format dxfId="3011">
      <pivotArea outline="0" collapsedLevelsAreSubtotals="1" fieldPosition="0"/>
    </format>
    <format dxfId="3012">
      <pivotArea dataOnly="0" labelOnly="1" outline="0" fieldPosition="0">
        <references count="1">
          <reference field="28" count="0"/>
        </references>
      </pivotArea>
    </format>
    <format dxfId="3013">
      <pivotArea dataOnly="0" labelOnly="1" grandCol="1" outline="0" fieldPosition="0"/>
    </format>
    <format dxfId="3014">
      <pivotArea grandRow="1" outline="0" collapsedLevelsAreSubtotals="1" fieldPosition="0"/>
    </format>
    <format dxfId="3015">
      <pivotArea dataOnly="0" labelOnly="1" grandRow="1" outline="0" fieldPosition="0"/>
    </format>
    <format dxfId="3016">
      <pivotArea outline="0" fieldPosition="0">
        <references count="1">
          <reference field="4294967294" count="1">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6262F029-E2F5-4C8B-A232-0BD51EB93198}" name="DeliveryStatusbyyLocat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14:I125"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axis="axisRow" compact="0" outline="0" showAll="0" defaultSubtotal="0">
      <items count="9">
        <item x="5"/>
        <item x="2"/>
        <item x="8"/>
        <item x="3"/>
        <item x="1"/>
        <item x="4"/>
        <item x="0"/>
        <item x="6"/>
        <item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dataField="1" compact="0" outline="0" showAll="0" defaultSubtotal="0">
      <items count="7">
        <item x="3"/>
        <item x="5"/>
        <item x="6"/>
        <item x="1"/>
        <item x="2"/>
        <item x="4"/>
        <item x="0"/>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8"/>
  </rowFields>
  <rowItems count="10">
    <i>
      <x/>
    </i>
    <i>
      <x v="1"/>
    </i>
    <i>
      <x v="2"/>
    </i>
    <i>
      <x v="3"/>
    </i>
    <i>
      <x v="4"/>
    </i>
    <i>
      <x v="5"/>
    </i>
    <i>
      <x v="6"/>
    </i>
    <i>
      <x v="7"/>
    </i>
    <i>
      <x v="8"/>
    </i>
    <i t="grand">
      <x/>
    </i>
  </rowItems>
  <colFields count="1">
    <field x="28"/>
  </colFields>
  <colItems count="8">
    <i>
      <x/>
    </i>
    <i>
      <x v="1"/>
    </i>
    <i>
      <x v="2"/>
    </i>
    <i>
      <x v="3"/>
    </i>
    <i>
      <x v="4"/>
    </i>
    <i>
      <x v="5"/>
    </i>
    <i>
      <x v="6"/>
    </i>
    <i t="grand">
      <x/>
    </i>
  </colItems>
  <dataFields count="1">
    <dataField name="Count of Delivery_Status" fld="28" subtotal="count" baseField="0" baseItem="0"/>
  </dataFields>
  <formats count="1">
    <format dxfId="3203">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40005F6F-6833-4481-8F52-86B11B6F3C31}" name="QtyofDeliveryStatusbySupplier"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9">
  <location ref="A825:I842"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compact="0" outline="0" showAll="0" defaultSubtotal="0">
      <items count="7">
        <item x="5"/>
        <item x="2"/>
        <item x="3"/>
        <item x="1"/>
        <item x="4"/>
        <item x="0"/>
        <item x="6"/>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28"/>
  </colFields>
  <colItems count="8">
    <i>
      <x/>
    </i>
    <i>
      <x v="1"/>
    </i>
    <i>
      <x v="2"/>
    </i>
    <i>
      <x v="3"/>
    </i>
    <i>
      <x v="4"/>
    </i>
    <i>
      <x v="5"/>
    </i>
    <i>
      <x v="6"/>
    </i>
    <i t="grand">
      <x/>
    </i>
  </colItems>
  <dataFields count="1">
    <dataField name="Sum of Order_Quantity" fld="16" baseField="6" baseItem="0"/>
  </dataFields>
  <formats count="5">
    <format dxfId="3066">
      <pivotArea outline="0" collapsedLevelsAreSubtotals="1" fieldPosition="0"/>
    </format>
    <format dxfId="3067">
      <pivotArea dataOnly="0" labelOnly="1" outline="0" fieldPosition="0">
        <references count="1">
          <reference field="28" count="0"/>
        </references>
      </pivotArea>
    </format>
    <format dxfId="3068">
      <pivotArea dataOnly="0" labelOnly="1" grandCol="1" outline="0" fieldPosition="0"/>
    </format>
    <format dxfId="3069">
      <pivotArea grandRow="1" outline="0" collapsedLevelsAreSubtotals="1" fieldPosition="0"/>
    </format>
    <format dxfId="3070">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4F2D5A3B-3837-42D1-9E86-0DC9569A91D2}" name="VolumeAmountbyCountr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43:D356"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axis="axisRow" compact="0" outline="0" showAll="0" sortType="descending" defaultSubtotal="0">
      <items count="12">
        <item x="11"/>
        <item x="5"/>
        <item x="9"/>
        <item x="8"/>
        <item x="10"/>
        <item x="1"/>
        <item x="7"/>
        <item x="2"/>
        <item x="4"/>
        <item x="6"/>
        <item x="0"/>
        <item x="3"/>
      </items>
      <autoSortScope>
        <pivotArea dataOnly="0" outline="0" fieldPosition="0">
          <references count="1">
            <reference field="4294967294" count="1" selected="0">
              <x v="2"/>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7"/>
  </rowFields>
  <rowItems count="13">
    <i>
      <x v="7"/>
    </i>
    <i>
      <x v="5"/>
    </i>
    <i>
      <x v="10"/>
    </i>
    <i>
      <x v="6"/>
    </i>
    <i>
      <x v="11"/>
    </i>
    <i>
      <x v="9"/>
    </i>
    <i>
      <x v="4"/>
    </i>
    <i>
      <x v="1"/>
    </i>
    <i>
      <x v="8"/>
    </i>
    <i>
      <x v="2"/>
    </i>
    <i>
      <x v="3"/>
    </i>
    <i>
      <x/>
    </i>
    <i t="grand">
      <x/>
    </i>
  </rowItems>
  <colFields count="1">
    <field x="-2"/>
  </colFields>
  <colItems count="3">
    <i>
      <x/>
    </i>
    <i i="1">
      <x v="1"/>
    </i>
    <i i="2">
      <x v="2"/>
    </i>
  </colItems>
  <dataFields count="3">
    <dataField name="Count" fld="36" subtotal="count" baseField="5" baseItem="0"/>
    <dataField name="Sum of Order_Quantity" fld="16" baseField="7" baseItem="0" numFmtId="3"/>
    <dataField name="Sum of Ordered_Value in $" fld="19" baseField="7" baseItem="1" numFmtId="166"/>
  </dataFields>
  <formats count="11">
    <format dxfId="2979">
      <pivotArea dataOnly="0" labelOnly="1" outline="0" fieldPosition="0">
        <references count="1">
          <reference field="4294967294" count="1">
            <x v="0"/>
          </reference>
        </references>
      </pivotArea>
    </format>
    <format dxfId="2980">
      <pivotArea outline="0" collapsedLevelsAreSubtotals="1" fieldPosition="0"/>
    </format>
    <format dxfId="2981">
      <pivotArea outline="0" fieldPosition="0">
        <references count="1">
          <reference field="4294967294" count="1">
            <x v="2"/>
          </reference>
        </references>
      </pivotArea>
    </format>
    <format dxfId="2982">
      <pivotArea outline="0" fieldPosition="0">
        <references count="1">
          <reference field="4294967294" count="1" selected="0">
            <x v="2"/>
          </reference>
        </references>
      </pivotArea>
    </format>
    <format dxfId="2983">
      <pivotArea dataOnly="0" labelOnly="1" outline="0" fieldPosition="0">
        <references count="1">
          <reference field="4294967294" count="1">
            <x v="2"/>
          </reference>
        </references>
      </pivotArea>
    </format>
    <format dxfId="2984">
      <pivotArea outline="0" fieldPosition="0">
        <references count="1">
          <reference field="4294967294" count="1">
            <x v="1"/>
          </reference>
        </references>
      </pivotArea>
    </format>
    <format dxfId="2985">
      <pivotArea outline="0" fieldPosition="0">
        <references count="2">
          <reference field="4294967294" count="1" selected="0">
            <x v="1"/>
          </reference>
          <reference field="7" count="1" selected="0">
            <x v="7"/>
          </reference>
        </references>
      </pivotArea>
    </format>
    <format dxfId="2986">
      <pivotArea outline="0" fieldPosition="0">
        <references count="2">
          <reference field="4294967294" count="1" selected="0">
            <x v="1"/>
          </reference>
          <reference field="7" count="1" selected="0">
            <x v="5"/>
          </reference>
        </references>
      </pivotArea>
    </format>
    <format dxfId="2987">
      <pivotArea dataOnly="0" labelOnly="1" outline="0" fieldPosition="0">
        <references count="1">
          <reference field="7" count="2">
            <x v="5"/>
            <x v="7"/>
          </reference>
        </references>
      </pivotArea>
    </format>
    <format dxfId="2988">
      <pivotArea outline="0" fieldPosition="0">
        <references count="2">
          <reference field="4294967294" count="1" selected="0">
            <x v="1"/>
          </reference>
          <reference field="7" count="1" selected="0">
            <x v="9"/>
          </reference>
        </references>
      </pivotArea>
    </format>
    <format dxfId="2989">
      <pivotArea dataOnly="0" labelOnly="1" outline="0" fieldPosition="0">
        <references count="1">
          <reference field="7" count="1">
            <x v="9"/>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6DD463AE-9F0D-40FA-8C83-F210221B1330}" name="DefectiveUnitsbyCarrieras%ofTotal"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2:E70"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axis="axisRow" compact="0" outline="0" showAll="0" defaultSubtotal="0">
      <items count="7">
        <item x="2"/>
        <item x="3"/>
        <item x="6"/>
        <item x="1"/>
        <item x="5"/>
        <item x="4"/>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33"/>
  </rowFields>
  <rowItems count="8">
    <i>
      <x/>
    </i>
    <i>
      <x v="1"/>
    </i>
    <i>
      <x v="2"/>
    </i>
    <i>
      <x v="3"/>
    </i>
    <i>
      <x v="4"/>
    </i>
    <i>
      <x v="5"/>
    </i>
    <i>
      <x v="6"/>
    </i>
    <i t="grand">
      <x/>
    </i>
  </rowItems>
  <colFields count="1">
    <field x="-2"/>
  </colFields>
  <colItems count="4">
    <i>
      <x/>
    </i>
    <i i="1">
      <x v="1"/>
    </i>
    <i i="2">
      <x v="2"/>
    </i>
    <i i="3">
      <x v="3"/>
    </i>
  </colItems>
  <dataFields count="4">
    <dataField name="Sum of Defective_Units" fld="20" baseField="0" baseItem="0"/>
    <dataField name="Sum of Order_Quantity" fld="16" baseField="33" baseItem="0"/>
    <dataField name="Percent of Defect on Order by Location" fld="39" baseField="0" baseItem="0" numFmtId="10"/>
    <dataField name="% of Total Defective_Units" fld="20" showDataAs="percentOfTotal" baseField="0" baseItem="0" numFmtId="10"/>
  </dataFields>
  <formats count="3">
    <format dxfId="3215">
      <pivotArea outline="0" collapsedLevelsAreSubtotals="1" fieldPosition="0"/>
    </format>
    <format dxfId="3216">
      <pivotArea outline="0" fieldPosition="0">
        <references count="1">
          <reference field="4294967294" count="1" selected="0">
            <x v="2"/>
          </reference>
        </references>
      </pivotArea>
    </format>
    <format dxfId="3217">
      <pivotArea outline="0" fieldPosition="0">
        <references count="1">
          <reference field="4294967294" count="1">
            <x v="3"/>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B3411AD6-078C-4D68-894C-BA7E007EB4A0}" name="KeyMetrics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9:K10" firstHeaderRow="0" firstDataRow="1" firstDataCol="0"/>
  <pivotFields count="41">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dataField="1"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Items count="1">
    <i/>
  </rowItems>
  <colFields count="1">
    <field x="-2"/>
  </colFields>
  <colItems count="11">
    <i>
      <x/>
    </i>
    <i i="1">
      <x v="1"/>
    </i>
    <i i="2">
      <x v="2"/>
    </i>
    <i i="3">
      <x v="3"/>
    </i>
    <i i="4">
      <x v="4"/>
    </i>
    <i i="5">
      <x v="5"/>
    </i>
    <i i="6">
      <x v="6"/>
    </i>
    <i i="7">
      <x v="7"/>
    </i>
    <i i="8">
      <x v="8"/>
    </i>
    <i i="9">
      <x v="9"/>
    </i>
    <i i="10">
      <x v="10"/>
    </i>
  </colItems>
  <dataFields count="11">
    <dataField name="Count of Order_ID" fld="1" subtotal="count" baseField="0" baseItem="0"/>
    <dataField name="Sum of Order_Quantity" fld="16" baseField="0" baseItem="2" numFmtId="3"/>
    <dataField name="Average Supplier Rating" fld="36" subtotal="average" baseField="5" baseItem="0" numFmtId="164"/>
    <dataField name="Min of Supplier_Rating" fld="36" subtotal="min" baseField="0" baseItem="0"/>
    <dataField name="Max of Supplier_Rating" fld="36" subtotal="max" baseField="0" baseItem="0"/>
    <dataField name="Average of Calculated_Lead_Time_Variance_Days" fld="26" subtotal="average" baseField="0" baseItem="2" numFmtId="1"/>
    <dataField name="Max of Calculated_Lead_Time_Variance_Days" fld="26" subtotal="max" baseField="0" baseItem="0" numFmtId="1"/>
    <dataField name="Min of Calculated_Lead_Time_Variance_Days" fld="26" subtotal="min" baseField="0" baseItem="0" numFmtId="1"/>
    <dataField name="Average of Defect_Rate" fld="21" subtotal="average" baseField="0" baseItem="2" numFmtId="10"/>
    <dataField name="Max of Defect_Rate" fld="21" subtotal="max" baseField="0" baseItem="0" numFmtId="10"/>
    <dataField name="Min of Defect_Rate" fld="21" subtotal="min" baseField="0" baseItem="0" numFmtId="10"/>
  </dataFields>
  <formats count="3">
    <format dxfId="3153">
      <pivotArea outline="0" collapsedLevelsAreSubtotals="1" fieldPosition="0">
        <references count="1">
          <reference field="4294967294" count="1" selected="0">
            <x v="2"/>
          </reference>
        </references>
      </pivotArea>
    </format>
    <format dxfId="3154">
      <pivotArea outline="0" collapsedLevelsAreSubtotals="1" fieldPosition="0"/>
    </format>
    <format dxfId="3155">
      <pivotArea outline="0" fieldPosition="0">
        <references count="1">
          <reference field="4294967294" count="1">
            <x v="1"/>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F1313653-00A5-47A2-A666-9F048ACA2695}" name="Expected&amp;ActualLT Trend"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6">
  <location ref="A1362:D1561" firstHeaderRow="0" firstDataRow="1" firstDataCol="2"/>
  <pivotFields count="41">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dataField="1" compact="0" outline="0" subtotalTop="0" showAll="0" defaultSubtotal="0"/>
    <pivotField compact="0" outline="0" showAll="0" defaultSubtotal="0"/>
    <pivotField dataField="1"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name="Months" axis="axisRow" compact="0" outline="0" subtotalTop="0" showAll="0" defaultSubtotal="0">
      <items count="14">
        <item x="0"/>
        <item x="1"/>
        <item x="2"/>
        <item x="3"/>
        <item x="4"/>
        <item x="5"/>
        <item x="6"/>
        <item x="7"/>
        <item x="8"/>
        <item x="9"/>
        <item x="10"/>
        <item x="11"/>
        <item x="12"/>
        <item x="13"/>
      </items>
    </pivotField>
  </pivotFields>
  <rowFields count="2">
    <field x="40"/>
    <field x="4"/>
  </rowFields>
  <rowItems count="199">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x v="2"/>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x v="3"/>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x v="4"/>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x v="5"/>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x v="6"/>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x v="7"/>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t="grand">
      <x/>
    </i>
  </rowItems>
  <colFields count="1">
    <field x="-2"/>
  </colFields>
  <colItems count="2">
    <i>
      <x/>
    </i>
    <i i="1">
      <x v="1"/>
    </i>
  </colItems>
  <dataFields count="2">
    <dataField name="Actual LT" fld="23" baseField="4" baseItem="1"/>
    <dataField name="Expected LT" fld="25" baseField="4" baseItem="1"/>
  </dataFields>
  <formats count="15">
    <format dxfId="3188">
      <pivotArea outline="0" collapsedLevelsAreSubtotals="1" fieldPosition="0"/>
    </format>
    <format dxfId="3189">
      <pivotArea dataOnly="0" labelOnly="1" grandCol="1" outline="0" fieldPosition="0"/>
    </format>
    <format dxfId="3190">
      <pivotArea grandRow="1" outline="0" collapsedLevelsAreSubtotals="1" fieldPosition="0"/>
    </format>
    <format dxfId="3191">
      <pivotArea dataOnly="0" labelOnly="1" grandRow="1" outline="0" fieldPosition="0"/>
    </format>
    <format dxfId="3192">
      <pivotArea field="6" type="button" dataOnly="0" labelOnly="1" outline="0"/>
    </format>
    <format dxfId="3193">
      <pivotArea dataOnly="0" labelOnly="1" grandCol="1" outline="0" fieldPosition="0"/>
    </format>
    <format dxfId="3194">
      <pivotArea field="6" type="button" dataOnly="0" labelOnly="1" outline="0"/>
    </format>
    <format dxfId="3195">
      <pivotArea dataOnly="0" labelOnly="1" grandCol="1" outline="0" fieldPosition="0"/>
    </format>
    <format dxfId="3196">
      <pivotArea field="6" type="button" dataOnly="0" labelOnly="1" outline="0"/>
    </format>
    <format dxfId="3197">
      <pivotArea dataOnly="0" labelOnly="1" grandCol="1" outline="0" fieldPosition="0"/>
    </format>
    <format dxfId="3198">
      <pivotArea field="6" type="button" dataOnly="0" labelOnly="1" outline="0"/>
    </format>
    <format dxfId="3199">
      <pivotArea dataOnly="0" labelOnly="1" grandCol="1" outline="0" fieldPosition="0"/>
    </format>
    <format dxfId="3200">
      <pivotArea dataOnly="0" labelOnly="1" grandCol="1" outline="0" fieldPosition="0"/>
    </format>
    <format dxfId="3201">
      <pivotArea dataOnly="0" labelOnly="1" grandCol="1" outline="0" fieldPosition="0"/>
    </format>
    <format dxfId="3202">
      <pivotArea dataOnly="0" labelOnly="1" grandCol="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69E32B77-DD7D-48AE-AA8A-A5F1D59A7D7A}" name="CountofDataQualityNotes"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137:B1154" firstHeaderRow="1"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16">
        <item x="4"/>
        <item x="0"/>
        <item x="5"/>
        <item x="1"/>
        <item x="6"/>
        <item x="11"/>
        <item x="12"/>
        <item x="9"/>
        <item x="7"/>
        <item x="10"/>
        <item x="13"/>
        <item x="15"/>
        <item x="14"/>
        <item x="2"/>
        <item x="3"/>
        <item x="8"/>
      </items>
      <autoSortScope>
        <pivotArea dataOnly="0" outline="0" fieldPosition="0">
          <references count="1">
            <reference field="4294967294" count="1" selected="0">
              <x v="0"/>
            </reference>
          </references>
        </pivotArea>
      </autoSortScope>
    </pivotField>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38"/>
  </rowFields>
  <rowItems count="17">
    <i>
      <x v="1"/>
    </i>
    <i>
      <x v="13"/>
    </i>
    <i>
      <x v="2"/>
    </i>
    <i>
      <x/>
    </i>
    <i>
      <x v="3"/>
    </i>
    <i>
      <x v="14"/>
    </i>
    <i>
      <x v="4"/>
    </i>
    <i>
      <x v="15"/>
    </i>
    <i>
      <x v="7"/>
    </i>
    <i>
      <x v="5"/>
    </i>
    <i>
      <x v="8"/>
    </i>
    <i>
      <x v="11"/>
    </i>
    <i>
      <x v="9"/>
    </i>
    <i>
      <x v="10"/>
    </i>
    <i>
      <x v="6"/>
    </i>
    <i>
      <x v="12"/>
    </i>
    <i t="grand">
      <x/>
    </i>
  </rowItems>
  <colItems count="1">
    <i/>
  </colItems>
  <dataFields count="1">
    <dataField name="Count of Supplier_Name" fld="6" subtotal="count" baseField="0" baseItem="0"/>
  </dataFields>
  <formats count="16">
    <format dxfId="3277">
      <pivotArea outline="0" collapsedLevelsAreSubtotals="1" fieldPosition="0"/>
    </format>
    <format dxfId="3278">
      <pivotArea dataOnly="0" labelOnly="1" grandCol="1" outline="0" fieldPosition="0"/>
    </format>
    <format dxfId="3279">
      <pivotArea grandRow="1" outline="0" collapsedLevelsAreSubtotals="1" fieldPosition="0"/>
    </format>
    <format dxfId="3280">
      <pivotArea dataOnly="0" labelOnly="1" grandRow="1" outline="0" fieldPosition="0"/>
    </format>
    <format dxfId="3281">
      <pivotArea field="6" type="button" dataOnly="0" labelOnly="1" outline="0"/>
    </format>
    <format dxfId="3282">
      <pivotArea dataOnly="0" labelOnly="1" grandCol="1" outline="0" fieldPosition="0"/>
    </format>
    <format dxfId="3283">
      <pivotArea field="6" type="button" dataOnly="0" labelOnly="1" outline="0"/>
    </format>
    <format dxfId="3284">
      <pivotArea dataOnly="0" labelOnly="1" grandCol="1" outline="0" fieldPosition="0"/>
    </format>
    <format dxfId="3285">
      <pivotArea field="6" type="button" dataOnly="0" labelOnly="1" outline="0"/>
    </format>
    <format dxfId="3286">
      <pivotArea dataOnly="0" labelOnly="1" grandCol="1" outline="0" fieldPosition="0"/>
    </format>
    <format dxfId="3287">
      <pivotArea field="6" type="button" dataOnly="0" labelOnly="1" outline="0"/>
    </format>
    <format dxfId="3288">
      <pivotArea dataOnly="0" labelOnly="1" grandCol="1" outline="0" fieldPosition="0"/>
    </format>
    <format dxfId="3289">
      <pivotArea dataOnly="0" labelOnly="1" grandCol="1" outline="0" fieldPosition="0"/>
    </format>
    <format dxfId="3290">
      <pivotArea dataOnly="0" labelOnly="1" grandCol="1" outline="0" fieldPosition="0"/>
    </format>
    <format dxfId="3291">
      <pivotArea dataOnly="0" labelOnly="1" grandCol="1" outline="0" fieldPosition="0"/>
    </format>
    <format dxfId="3292">
      <pivotArea dataOnly="0" labelOnly="1" outline="0" fieldPosition="0">
        <references count="1">
          <reference field="38"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F0AAA21F-8EF0-40CD-99AC-25C3571A32C2}" name="PivotTable28"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568:I1585"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dataField="1"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axis="axisCol"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40"/>
  </colFields>
  <colItems count="8">
    <i>
      <x v="1"/>
    </i>
    <i>
      <x v="2"/>
    </i>
    <i>
      <x v="3"/>
    </i>
    <i>
      <x v="4"/>
    </i>
    <i>
      <x v="5"/>
    </i>
    <i>
      <x v="6"/>
    </i>
    <i>
      <x v="7"/>
    </i>
    <i t="grand">
      <x/>
    </i>
  </colItems>
  <dataFields count="1">
    <dataField name="Sum of Lead_Time_Days" fld="22" baseField="4" baseItem="0"/>
  </dataFields>
  <formats count="15">
    <format dxfId="3080">
      <pivotArea outline="0" collapsedLevelsAreSubtotals="1" fieldPosition="0"/>
    </format>
    <format dxfId="3081">
      <pivotArea dataOnly="0" labelOnly="1" grandCol="1" outline="0" fieldPosition="0"/>
    </format>
    <format dxfId="3082">
      <pivotArea grandRow="1" outline="0" collapsedLevelsAreSubtotals="1" fieldPosition="0"/>
    </format>
    <format dxfId="3083">
      <pivotArea dataOnly="0" labelOnly="1" grandRow="1" outline="0" fieldPosition="0"/>
    </format>
    <format dxfId="3084">
      <pivotArea field="6" type="button" dataOnly="0" labelOnly="1" outline="0" axis="axisRow" fieldPosition="0"/>
    </format>
    <format dxfId="3085">
      <pivotArea dataOnly="0" labelOnly="1" grandCol="1" outline="0" fieldPosition="0"/>
    </format>
    <format dxfId="3086">
      <pivotArea field="6" type="button" dataOnly="0" labelOnly="1" outline="0" axis="axisRow" fieldPosition="0"/>
    </format>
    <format dxfId="3087">
      <pivotArea dataOnly="0" labelOnly="1" grandCol="1" outline="0" fieldPosition="0"/>
    </format>
    <format dxfId="3088">
      <pivotArea field="6" type="button" dataOnly="0" labelOnly="1" outline="0" axis="axisRow" fieldPosition="0"/>
    </format>
    <format dxfId="3089">
      <pivotArea dataOnly="0" labelOnly="1" grandCol="1" outline="0" fieldPosition="0"/>
    </format>
    <format dxfId="3090">
      <pivotArea field="6" type="button" dataOnly="0" labelOnly="1" outline="0" axis="axisRow" fieldPosition="0"/>
    </format>
    <format dxfId="3091">
      <pivotArea dataOnly="0" labelOnly="1" grandCol="1" outline="0" fieldPosition="0"/>
    </format>
    <format dxfId="3092">
      <pivotArea dataOnly="0" labelOnly="1" grandCol="1" outline="0" fieldPosition="0"/>
    </format>
    <format dxfId="3093">
      <pivotArea dataOnly="0" labelOnly="1" grandCol="1" outline="0" fieldPosition="0"/>
    </format>
    <format dxfId="3094">
      <pivotArea dataOnly="0" labelOnly="1" grandCol="1" outline="0" fieldPosition="0"/>
    </format>
  </formats>
  <conditionalFormats count="1">
    <conditionalFormat priority="1">
      <pivotAreas count="1">
        <pivotArea type="data" outline="0" collapsedLevelsAreSubtotals="1" fieldPosition="0">
          <references count="3">
            <reference field="4294967294" count="1" selected="0">
              <x v="0"/>
            </reference>
            <reference field="6" count="15" selected="0">
              <x v="0"/>
              <x v="1"/>
              <x v="2"/>
              <x v="3"/>
              <x v="4"/>
              <x v="5"/>
              <x v="6"/>
              <x v="7"/>
              <x v="8"/>
              <x v="9"/>
              <x v="10"/>
              <x v="11"/>
              <x v="12"/>
              <x v="13"/>
              <x v="14"/>
            </reference>
            <reference field="40" count="7" selected="0">
              <x v="1"/>
              <x v="2"/>
              <x v="3"/>
              <x v="4"/>
              <x v="5"/>
              <x v="6"/>
              <x v="7"/>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804D8ED0-18E6-43D8-959E-96183C004090}" name="SupplierCountbyCountry"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23:Q337"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Col"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axis="axisRow" compact="0" outline="0" showAll="0" defaultSubtotal="0">
      <items count="12">
        <item x="11"/>
        <item x="5"/>
        <item x="9"/>
        <item x="8"/>
        <item x="10"/>
        <item x="1"/>
        <item x="7"/>
        <item x="2"/>
        <item x="4"/>
        <item x="6"/>
        <item x="0"/>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7"/>
  </rowFields>
  <rowItems count="13">
    <i>
      <x/>
    </i>
    <i>
      <x v="1"/>
    </i>
    <i>
      <x v="2"/>
    </i>
    <i>
      <x v="3"/>
    </i>
    <i>
      <x v="4"/>
    </i>
    <i>
      <x v="5"/>
    </i>
    <i>
      <x v="6"/>
    </i>
    <i>
      <x v="7"/>
    </i>
    <i>
      <x v="8"/>
    </i>
    <i>
      <x v="9"/>
    </i>
    <i>
      <x v="10"/>
    </i>
    <i>
      <x v="11"/>
    </i>
    <i t="grand">
      <x/>
    </i>
  </rowItems>
  <colFields count="1">
    <field x="6"/>
  </colFields>
  <colItems count="16">
    <i>
      <x v="15"/>
    </i>
    <i>
      <x v="16"/>
    </i>
    <i>
      <x v="17"/>
    </i>
    <i>
      <x v="18"/>
    </i>
    <i>
      <x v="19"/>
    </i>
    <i>
      <x v="20"/>
    </i>
    <i>
      <x v="21"/>
    </i>
    <i>
      <x v="22"/>
    </i>
    <i>
      <x v="23"/>
    </i>
    <i>
      <x v="24"/>
    </i>
    <i>
      <x v="25"/>
    </i>
    <i>
      <x v="26"/>
    </i>
    <i>
      <x v="27"/>
    </i>
    <i>
      <x v="28"/>
    </i>
    <i>
      <x v="29"/>
    </i>
    <i t="grand">
      <x/>
    </i>
  </colItems>
  <dataFields count="1">
    <dataField name="Count" fld="36" subtotal="count" baseField="5" baseItem="0"/>
  </dataFields>
  <formats count="2">
    <format dxfId="3009">
      <pivotArea dataOnly="0" labelOnly="1" outline="0" fieldPosition="0">
        <references count="1">
          <reference field="4294967294" count="1">
            <x v="0"/>
          </reference>
        </references>
      </pivotArea>
    </format>
    <format dxfId="3010">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A80A8928-7DA3-49DA-B65C-973D98C5F33A}" name="KeyMetric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4" firstHeaderRow="0" firstDataRow="1" firstDataCol="0"/>
  <pivotFields count="41">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dataField="1"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Items count="1">
    <i/>
  </rowItems>
  <colFields count="1">
    <field x="-2"/>
  </colFields>
  <colItems count="5">
    <i>
      <x/>
    </i>
    <i i="1">
      <x v="1"/>
    </i>
    <i i="2">
      <x v="2"/>
    </i>
    <i i="3">
      <x v="3"/>
    </i>
    <i i="4">
      <x v="4"/>
    </i>
  </colItems>
  <dataFields count="5">
    <dataField name="Count of Order_ID" fld="1" subtotal="count" baseField="0" baseItem="0"/>
    <dataField name="Sum of Order_Quantity" fld="16" baseField="0" baseItem="2" numFmtId="3"/>
    <dataField name="Average Supplier Rating" fld="36" subtotal="average" baseField="5" baseItem="0" numFmtId="164"/>
    <dataField name="Average of Calculated_Lead_Time_Variance_Days" fld="26" subtotal="average" baseField="0" baseItem="2" numFmtId="1"/>
    <dataField name="Average of Defect_Rate" fld="21" subtotal="average" baseField="0" baseItem="2" numFmtId="10"/>
  </dataFields>
  <formats count="3">
    <format dxfId="3156">
      <pivotArea outline="0" collapsedLevelsAreSubtotals="1" fieldPosition="0">
        <references count="1">
          <reference field="4294967294" count="1" selected="0">
            <x v="2"/>
          </reference>
        </references>
      </pivotArea>
    </format>
    <format dxfId="3157">
      <pivotArea outline="0" collapsedLevelsAreSubtotals="1" fieldPosition="0"/>
    </format>
    <format dxfId="3158">
      <pivotArea outline="0" fieldPosition="0">
        <references count="1">
          <reference field="4294967294" count="1">
            <x v="1"/>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2373447A-2617-426D-9BDF-166DE7D04BC9}" name="CarrierSummaybySupplierName"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020:I1037"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axis="axisCol" compact="0" outline="0" showAll="0" defaultSubtotal="0">
      <items count="7">
        <item x="2"/>
        <item x="3"/>
        <item x="6"/>
        <item x="1"/>
        <item x="5"/>
        <item x="4"/>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33"/>
  </colFields>
  <colItems count="8">
    <i>
      <x/>
    </i>
    <i>
      <x v="1"/>
    </i>
    <i>
      <x v="2"/>
    </i>
    <i>
      <x v="3"/>
    </i>
    <i>
      <x v="4"/>
    </i>
    <i>
      <x v="5"/>
    </i>
    <i>
      <x v="6"/>
    </i>
    <i t="grand">
      <x/>
    </i>
  </colItems>
  <dataFields count="1">
    <dataField name="Count of Supplier_Name" fld="6" subtotal="count" baseField="0" baseItem="0"/>
  </dataFields>
  <formats count="11">
    <format dxfId="3295">
      <pivotArea outline="0" collapsedLevelsAreSubtotals="1" fieldPosition="0"/>
    </format>
    <format dxfId="3296">
      <pivotArea dataOnly="0" labelOnly="1" grandCol="1" outline="0" fieldPosition="0"/>
    </format>
    <format dxfId="3297">
      <pivotArea grandRow="1" outline="0" collapsedLevelsAreSubtotals="1" fieldPosition="0"/>
    </format>
    <format dxfId="3298">
      <pivotArea dataOnly="0" labelOnly="1" grandRow="1" outline="0" fieldPosition="0"/>
    </format>
    <format dxfId="3299">
      <pivotArea field="6" type="button" dataOnly="0" labelOnly="1" outline="0" axis="axisRow" fieldPosition="0"/>
    </format>
    <format dxfId="3300">
      <pivotArea dataOnly="0" labelOnly="1" grandCol="1" outline="0" fieldPosition="0"/>
    </format>
    <format dxfId="3301">
      <pivotArea field="6" type="button" dataOnly="0" labelOnly="1" outline="0" axis="axisRow" fieldPosition="0"/>
    </format>
    <format dxfId="3302">
      <pivotArea dataOnly="0" labelOnly="1" grandCol="1" outline="0" fieldPosition="0"/>
    </format>
    <format dxfId="3303">
      <pivotArea field="6" type="button" dataOnly="0" labelOnly="1" outline="0" axis="axisRow" fieldPosition="0"/>
    </format>
    <format dxfId="3304">
      <pivotArea dataOnly="0" labelOnly="1" grandCol="1" outline="0" fieldPosition="0"/>
    </format>
    <format dxfId="3305">
      <pivotArea field="6" type="button" dataOnly="0" labelOnly="1" outline="0" axis="axisRow"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D82421DB-8296-408A-86E3-DDABEB75A58C}" name="ValuebyCountry"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82:C395"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dataField="1" compact="0" outline="0" showAll="0" sortType="descending" defaultSubtotal="0">
      <autoSortScope>
        <pivotArea dataOnly="0" outline="0" fieldPosition="0">
          <references count="1">
            <reference field="4294967294" count="1" selected="0">
              <x v="1"/>
            </reference>
          </references>
        </pivotArea>
      </autoSortScope>
    </pivotField>
    <pivotField compact="0" outline="0" showAll="0" sortType="descending"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autoSortScope>
        <pivotArea dataOnly="0" outline="0" fieldPosition="0">
          <references count="1">
            <reference field="4294967294" count="1" selected="0">
              <x v="1"/>
            </reference>
          </references>
        </pivotArea>
      </autoSortScope>
    </pivotField>
    <pivotField axis="axisRow" compact="0" outline="0" showAll="0" sortType="descending" defaultSubtotal="0">
      <items count="12">
        <item x="11"/>
        <item x="5"/>
        <item x="9"/>
        <item x="8"/>
        <item x="10"/>
        <item x="1"/>
        <item x="7"/>
        <item x="2"/>
        <item x="4"/>
        <item x="6"/>
        <item x="0"/>
        <item x="3"/>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7"/>
  </rowFields>
  <rowItems count="13">
    <i>
      <x v="7"/>
    </i>
    <i>
      <x v="5"/>
    </i>
    <i>
      <x v="10"/>
    </i>
    <i>
      <x v="6"/>
    </i>
    <i>
      <x v="11"/>
    </i>
    <i>
      <x v="9"/>
    </i>
    <i>
      <x v="4"/>
    </i>
    <i>
      <x v="1"/>
    </i>
    <i>
      <x v="8"/>
    </i>
    <i>
      <x v="2"/>
    </i>
    <i>
      <x v="3"/>
    </i>
    <i>
      <x/>
    </i>
    <i t="grand">
      <x/>
    </i>
  </rowItems>
  <colFields count="1">
    <field x="-2"/>
  </colFields>
  <colItems count="2">
    <i>
      <x/>
    </i>
    <i i="1">
      <x v="1"/>
    </i>
  </colItems>
  <dataFields count="2">
    <dataField name="Count of Supplier_ID" fld="5" subtotal="count" baseField="0" baseItem="0"/>
    <dataField name="Sum of Ordered_Value in $" fld="19" baseField="6" baseItem="13" numFmtId="4"/>
  </dataFields>
  <formats count="1">
    <format dxfId="2990">
      <pivotArea outline="0" fieldPosition="0">
        <references count="1">
          <reference field="4294967294" count="1" selected="0">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C0BD8296-D87A-4F09-8196-6DE5E933271D}" name="OrderSummar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51:F676" firstHeaderRow="0" firstDataRow="1" firstDataCol="3"/>
  <pivotFields count="41">
    <pivotField compact="0" outline="0" subtotalTop="0" showAll="0"/>
    <pivotField compact="0" outline="0" subtotalTop="0" showAll="0"/>
    <pivotField compact="0" outline="0" subtotalTop="0" showAll="0"/>
    <pivotField compact="0" outline="0" subtotalTop="0" showAll="0"/>
    <pivotField compact="0" outline="0" subtotalTop="0" showAll="0">
      <items count="199">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 t="default"/>
      </items>
    </pivotField>
    <pivotField axis="axisRow" compact="0" outline="0" subtotalTop="0" showAll="0">
      <items count="16">
        <item x="10"/>
        <item x="6"/>
        <item x="9"/>
        <item x="5"/>
        <item x="7"/>
        <item x="11"/>
        <item x="0"/>
        <item x="12"/>
        <item x="1"/>
        <item x="13"/>
        <item x="4"/>
        <item x="14"/>
        <item x="8"/>
        <item x="2"/>
        <item x="3"/>
        <item t="default"/>
      </items>
    </pivotField>
    <pivotField axis="axisRow" compact="0" outline="0" subtotalTop="0" showAll="0" sortType="descending">
      <items count="31">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 t="default"/>
      </items>
      <autoSortScope>
        <pivotArea dataOnly="0" outline="0" fieldPosition="0">
          <references count="1">
            <reference field="4294967294" count="1" selected="0">
              <x v="2"/>
            </reference>
          </references>
        </pivotArea>
      </autoSortScope>
    </pivotField>
    <pivotField compact="0" outline="0" subtotalTop="0" showAll="0"/>
    <pivotField compact="0" outline="0" subtotalTop="0" showAll="0"/>
    <pivotField axis="axisRow" compact="0" outline="0" subtotalTop="0" showAll="0">
      <items count="8">
        <item x="1"/>
        <item x="2"/>
        <item x="0"/>
        <item x="6"/>
        <item x="4"/>
        <item x="5"/>
        <item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dataField="1" compact="0" outline="0" subtotalTop="0" showAll="0"/>
    <pivotField compact="0" outline="0" subtotalTop="0" showAll="0"/>
    <pivotField compact="0" outline="0" subtotalTop="0" showAll="0"/>
    <pivotField dataField="1" compact="0" outline="0" subtotalTop="0" showAll="0"/>
    <pivotField compact="0" outline="0" subtotalTop="0" showAll="0"/>
    <pivotField compact="0" numFmtId="10" outline="0" subtotalTop="0" showAll="0"/>
    <pivotField compact="0" outline="0" subtotalTop="0" showAll="0"/>
    <pivotField compact="0" outline="0" subtotalTop="0" showAll="0"/>
    <pivotField compact="0" outline="0" subtotalTop="0" showAll="0"/>
    <pivotField compact="0" outline="0" subtotalTop="0" showAll="0"/>
    <pivotField compact="0" numFmtId="1" outline="0" subtotalTop="0" showAll="0"/>
    <pivotField compact="0" outline="0" subtotalTop="0" showAll="0"/>
    <pivotField compact="0" outline="0" subtotalTop="0" showAll="0">
      <items count="8">
        <item x="3"/>
        <item x="5"/>
        <item x="6"/>
        <item x="1"/>
        <item x="2"/>
        <item x="0"/>
        <item x="4"/>
        <item t="default"/>
      </items>
    </pivotField>
    <pivotField compact="0" outline="0" subtotalTop="0" showAll="0"/>
    <pivotField compact="0" outline="0" subtotalTop="0" showAll="0"/>
    <pivotField compact="0" outline="0" subtotalTop="0" showAll="0"/>
    <pivotField compact="0" outline="0" subtotalTop="0" showAll="0">
      <items count="7">
        <item x="5"/>
        <item x="4"/>
        <item x="3"/>
        <item x="1"/>
        <item x="2"/>
        <item x="0"/>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s>
  <rowFields count="3">
    <field x="5"/>
    <field x="6"/>
    <field x="9"/>
  </rowFields>
  <rowItems count="125">
    <i>
      <x/>
      <x v="25"/>
      <x/>
    </i>
    <i r="2">
      <x v="1"/>
    </i>
    <i r="2">
      <x v="2"/>
    </i>
    <i r="2">
      <x v="3"/>
    </i>
    <i r="2">
      <x v="5"/>
    </i>
    <i r="2">
      <x v="6"/>
    </i>
    <i t="default" r="1">
      <x v="25"/>
    </i>
    <i t="default">
      <x/>
    </i>
    <i>
      <x v="1"/>
      <x v="21"/>
      <x/>
    </i>
    <i r="2">
      <x v="1"/>
    </i>
    <i r="2">
      <x v="2"/>
    </i>
    <i r="2">
      <x v="4"/>
    </i>
    <i r="2">
      <x v="5"/>
    </i>
    <i t="default" r="1">
      <x v="21"/>
    </i>
    <i t="default">
      <x v="1"/>
    </i>
    <i>
      <x v="2"/>
      <x v="24"/>
      <x/>
    </i>
    <i r="2">
      <x v="1"/>
    </i>
    <i r="2">
      <x v="2"/>
    </i>
    <i r="2">
      <x v="3"/>
    </i>
    <i r="2">
      <x v="4"/>
    </i>
    <i r="2">
      <x v="5"/>
    </i>
    <i t="default" r="1">
      <x v="24"/>
    </i>
    <i t="default">
      <x v="2"/>
    </i>
    <i>
      <x v="3"/>
      <x v="20"/>
      <x/>
    </i>
    <i r="2">
      <x v="1"/>
    </i>
    <i r="2">
      <x v="2"/>
    </i>
    <i r="2">
      <x v="3"/>
    </i>
    <i r="2">
      <x v="5"/>
    </i>
    <i r="2">
      <x v="6"/>
    </i>
    <i t="default" r="1">
      <x v="20"/>
    </i>
    <i t="default">
      <x v="3"/>
    </i>
    <i>
      <x v="4"/>
      <x v="22"/>
      <x/>
    </i>
    <i r="2">
      <x v="1"/>
    </i>
    <i r="2">
      <x v="2"/>
    </i>
    <i r="2">
      <x v="3"/>
    </i>
    <i r="2">
      <x v="4"/>
    </i>
    <i r="2">
      <x v="5"/>
    </i>
    <i t="default" r="1">
      <x v="22"/>
    </i>
    <i t="default">
      <x v="4"/>
    </i>
    <i>
      <x v="5"/>
      <x v="26"/>
      <x/>
    </i>
    <i r="2">
      <x v="1"/>
    </i>
    <i r="2">
      <x v="2"/>
    </i>
    <i r="2">
      <x v="3"/>
    </i>
    <i r="2">
      <x v="4"/>
    </i>
    <i r="2">
      <x v="5"/>
    </i>
    <i r="2">
      <x v="6"/>
    </i>
    <i t="default" r="1">
      <x v="26"/>
    </i>
    <i t="default">
      <x v="5"/>
    </i>
    <i>
      <x v="6"/>
      <x v="15"/>
      <x/>
    </i>
    <i r="2">
      <x v="1"/>
    </i>
    <i r="2">
      <x v="2"/>
    </i>
    <i r="2">
      <x v="4"/>
    </i>
    <i r="2">
      <x v="5"/>
    </i>
    <i r="2">
      <x v="6"/>
    </i>
    <i t="default" r="1">
      <x v="15"/>
    </i>
    <i t="default">
      <x v="6"/>
    </i>
    <i>
      <x v="7"/>
      <x v="27"/>
      <x/>
    </i>
    <i r="2">
      <x v="1"/>
    </i>
    <i r="2">
      <x v="2"/>
    </i>
    <i r="2">
      <x v="3"/>
    </i>
    <i r="2">
      <x v="4"/>
    </i>
    <i r="2">
      <x v="5"/>
    </i>
    <i r="2">
      <x v="6"/>
    </i>
    <i t="default" r="1">
      <x v="27"/>
    </i>
    <i t="default">
      <x v="7"/>
    </i>
    <i>
      <x v="8"/>
      <x v="16"/>
      <x/>
    </i>
    <i r="2">
      <x v="1"/>
    </i>
    <i r="2">
      <x v="3"/>
    </i>
    <i r="2">
      <x v="4"/>
    </i>
    <i r="2">
      <x v="5"/>
    </i>
    <i r="2">
      <x v="6"/>
    </i>
    <i t="default" r="1">
      <x v="16"/>
    </i>
    <i t="default">
      <x v="8"/>
    </i>
    <i>
      <x v="9"/>
      <x v="28"/>
      <x/>
    </i>
    <i r="2">
      <x v="1"/>
    </i>
    <i r="2">
      <x v="2"/>
    </i>
    <i r="2">
      <x v="3"/>
    </i>
    <i r="2">
      <x v="4"/>
    </i>
    <i r="2">
      <x v="5"/>
    </i>
    <i r="2">
      <x v="6"/>
    </i>
    <i t="default" r="1">
      <x v="28"/>
    </i>
    <i t="default">
      <x v="9"/>
    </i>
    <i>
      <x v="10"/>
      <x v="19"/>
      <x/>
    </i>
    <i r="2">
      <x v="1"/>
    </i>
    <i r="2">
      <x v="2"/>
    </i>
    <i r="2">
      <x v="3"/>
    </i>
    <i r="2">
      <x v="4"/>
    </i>
    <i r="2">
      <x v="5"/>
    </i>
    <i r="2">
      <x v="6"/>
    </i>
    <i t="default" r="1">
      <x v="19"/>
    </i>
    <i t="default">
      <x v="10"/>
    </i>
    <i>
      <x v="11"/>
      <x v="29"/>
      <x/>
    </i>
    <i r="2">
      <x v="1"/>
    </i>
    <i r="2">
      <x v="2"/>
    </i>
    <i r="2">
      <x v="3"/>
    </i>
    <i r="2">
      <x v="5"/>
    </i>
    <i r="2">
      <x v="6"/>
    </i>
    <i t="default" r="1">
      <x v="29"/>
    </i>
    <i t="default">
      <x v="11"/>
    </i>
    <i>
      <x v="12"/>
      <x v="23"/>
      <x/>
    </i>
    <i r="2">
      <x v="1"/>
    </i>
    <i r="2">
      <x v="2"/>
    </i>
    <i r="2">
      <x v="3"/>
    </i>
    <i r="2">
      <x v="5"/>
    </i>
    <i r="2">
      <x v="6"/>
    </i>
    <i t="default" r="1">
      <x v="23"/>
    </i>
    <i t="default">
      <x v="12"/>
    </i>
    <i>
      <x v="13"/>
      <x v="17"/>
      <x v="1"/>
    </i>
    <i r="2">
      <x v="2"/>
    </i>
    <i r="2">
      <x v="3"/>
    </i>
    <i r="2">
      <x v="4"/>
    </i>
    <i r="2">
      <x v="5"/>
    </i>
    <i r="2">
      <x v="6"/>
    </i>
    <i t="default" r="1">
      <x v="17"/>
    </i>
    <i t="default">
      <x v="13"/>
    </i>
    <i>
      <x v="14"/>
      <x v="18"/>
      <x/>
    </i>
    <i r="2">
      <x v="1"/>
    </i>
    <i r="2">
      <x v="2"/>
    </i>
    <i r="2">
      <x v="3"/>
    </i>
    <i r="2">
      <x v="4"/>
    </i>
    <i r="2">
      <x v="5"/>
    </i>
    <i r="2">
      <x v="6"/>
    </i>
    <i t="default" r="1">
      <x v="18"/>
    </i>
    <i t="default">
      <x v="14"/>
    </i>
    <i t="grand">
      <x/>
    </i>
  </rowItems>
  <colFields count="1">
    <field x="-2"/>
  </colFields>
  <colItems count="3">
    <i>
      <x/>
    </i>
    <i i="1">
      <x v="1"/>
    </i>
    <i i="2">
      <x v="2"/>
    </i>
  </colItems>
  <dataFields count="3">
    <dataField name="Count of Ordered_Value in $" fld="19" subtotal="count" baseField="0" baseItem="0"/>
    <dataField name="Sum of Order_Quantity" fld="16" baseField="9" baseItem="0"/>
    <dataField name="Sum of Ordered_Value in $" fld="19" baseField="6" baseItem="13" numFmtId="4"/>
  </dataFields>
  <formats count="2">
    <format dxfId="3114">
      <pivotArea outline="0" fieldPosition="0">
        <references count="1">
          <reference field="4294967294" count="1" selected="0">
            <x v="2"/>
          </reference>
        </references>
      </pivotArea>
    </format>
    <format dxfId="3115">
      <pivotArea outline="0"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F4C1EFA4-24AD-4F35-9D63-054E40BA95E2}" name="LeadTimeVariancebyProductCategory"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480:J497" firstHeaderRow="1" firstDataRow="2" firstDataCol="2"/>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compact="0" outline="0" showAll="0" defaultSubtotal="0">
      <items count="15">
        <item x="10"/>
        <item x="6"/>
        <item x="9"/>
        <item x="5"/>
        <item x="7"/>
        <item x="11"/>
        <item x="0"/>
        <item x="12"/>
        <item x="1"/>
        <item x="13"/>
        <item x="4"/>
        <item x="14"/>
        <item x="8"/>
        <item x="2"/>
        <item x="3"/>
      </items>
    </pivotField>
    <pivotField axis="axisRow" compact="0" outline="0" showAll="0" sortType="descending"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axis="axisCol" compact="0" outline="0" showAll="0" defaultSubtotal="0">
      <items count="7">
        <item x="1"/>
        <item x="2"/>
        <item x="0"/>
        <item x="6"/>
        <item x="4"/>
        <item x="5"/>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dataField="1"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2">
    <field x="5"/>
    <field x="6"/>
  </rowFields>
  <rowItems count="16">
    <i>
      <x/>
      <x v="25"/>
    </i>
    <i>
      <x v="1"/>
      <x v="21"/>
    </i>
    <i>
      <x v="2"/>
      <x v="24"/>
    </i>
    <i>
      <x v="3"/>
      <x v="20"/>
    </i>
    <i>
      <x v="4"/>
      <x v="22"/>
    </i>
    <i>
      <x v="5"/>
      <x v="26"/>
    </i>
    <i>
      <x v="6"/>
      <x v="15"/>
    </i>
    <i>
      <x v="7"/>
      <x v="27"/>
    </i>
    <i>
      <x v="8"/>
      <x v="16"/>
    </i>
    <i>
      <x v="9"/>
      <x v="28"/>
    </i>
    <i>
      <x v="10"/>
      <x v="19"/>
    </i>
    <i>
      <x v="11"/>
      <x v="29"/>
    </i>
    <i>
      <x v="12"/>
      <x v="23"/>
    </i>
    <i>
      <x v="13"/>
      <x v="17"/>
    </i>
    <i>
      <x v="14"/>
      <x v="18"/>
    </i>
    <i t="grand">
      <x/>
    </i>
  </rowItems>
  <colFields count="1">
    <field x="9"/>
  </colFields>
  <colItems count="8">
    <i>
      <x/>
    </i>
    <i>
      <x v="1"/>
    </i>
    <i>
      <x v="2"/>
    </i>
    <i>
      <x v="3"/>
    </i>
    <i>
      <x v="4"/>
    </i>
    <i>
      <x v="5"/>
    </i>
    <i>
      <x v="6"/>
    </i>
    <i t="grand">
      <x/>
    </i>
  </colItems>
  <dataFields count="1">
    <dataField name="Sum of Lead_Time_Variance_Days" fld="27" baseField="0" baseItem="0"/>
  </dataFields>
  <formats count="1">
    <format dxfId="3136">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CA8C7911-A8E2-4E8C-B01E-54D496566D51}" name="CountofOrderbyCountry&amp;Supplier"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525:N542"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axis="axisCol" compact="0" outline="0" showAll="0" defaultSubtotal="0">
      <items count="12">
        <item x="11"/>
        <item x="5"/>
        <item x="9"/>
        <item x="8"/>
        <item x="10"/>
        <item x="1"/>
        <item x="7"/>
        <item x="2"/>
        <item x="4"/>
        <item x="6"/>
        <item x="0"/>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7"/>
  </colFields>
  <colItems count="13">
    <i>
      <x/>
    </i>
    <i>
      <x v="1"/>
    </i>
    <i>
      <x v="2"/>
    </i>
    <i>
      <x v="3"/>
    </i>
    <i>
      <x v="4"/>
    </i>
    <i>
      <x v="5"/>
    </i>
    <i>
      <x v="6"/>
    </i>
    <i>
      <x v="7"/>
    </i>
    <i>
      <x v="8"/>
    </i>
    <i>
      <x v="9"/>
    </i>
    <i>
      <x v="10"/>
    </i>
    <i>
      <x v="11"/>
    </i>
    <i t="grand">
      <x/>
    </i>
  </colItems>
  <dataFields count="1">
    <dataField name="Count of Supplier_Name" fld="6" subtotal="count" baseField="0" baseItem="0"/>
  </dataFields>
  <formats count="15">
    <format dxfId="3257">
      <pivotArea outline="0" collapsedLevelsAreSubtotals="1" fieldPosition="0"/>
    </format>
    <format dxfId="3258">
      <pivotArea dataOnly="0" labelOnly="1" grandCol="1" outline="0" fieldPosition="0"/>
    </format>
    <format dxfId="3259">
      <pivotArea grandRow="1" outline="0" collapsedLevelsAreSubtotals="1" fieldPosition="0"/>
    </format>
    <format dxfId="3260">
      <pivotArea dataOnly="0" labelOnly="1" grandRow="1" outline="0" fieldPosition="0"/>
    </format>
    <format dxfId="3261">
      <pivotArea field="6" type="button" dataOnly="0" labelOnly="1" outline="0" axis="axisRow" fieldPosition="0"/>
    </format>
    <format dxfId="3262">
      <pivotArea dataOnly="0" labelOnly="1" grandCol="1" outline="0" fieldPosition="0"/>
    </format>
    <format dxfId="3263">
      <pivotArea field="6" type="button" dataOnly="0" labelOnly="1" outline="0" axis="axisRow" fieldPosition="0"/>
    </format>
    <format dxfId="3264">
      <pivotArea dataOnly="0" labelOnly="1" grandCol="1" outline="0" fieldPosition="0"/>
    </format>
    <format dxfId="3265">
      <pivotArea field="6" type="button" dataOnly="0" labelOnly="1" outline="0" axis="axisRow" fieldPosition="0"/>
    </format>
    <format dxfId="3266">
      <pivotArea dataOnly="0" labelOnly="1" grandCol="1" outline="0" fieldPosition="0"/>
    </format>
    <format dxfId="3267">
      <pivotArea field="6" type="button" dataOnly="0" labelOnly="1" outline="0" axis="axisRow" fieldPosition="0"/>
    </format>
    <format dxfId="3268">
      <pivotArea dataOnly="0" labelOnly="1" grandCol="1" outline="0" fieldPosition="0"/>
    </format>
    <format dxfId="3269">
      <pivotArea dataOnly="0" labelOnly="1" grandCol="1" outline="0" fieldPosition="0"/>
    </format>
    <format dxfId="3270">
      <pivotArea dataOnly="0" labelOnly="1" outline="0" fieldPosition="0">
        <references count="1">
          <reference field="7" count="0"/>
        </references>
      </pivotArea>
    </format>
    <format dxfId="3271">
      <pivotArea dataOnly="0" labelOnly="1" outline="0" fieldPosition="0">
        <references count="1">
          <reference field="7"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F84F3779-F116-4258-8279-C5DE893F41A0}" name="Defectas%ofBuyerLocat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46:E156"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axis="axisRow" compact="0" outline="0" showAll="0" defaultSubtotal="0">
      <items count="9">
        <item x="5"/>
        <item x="2"/>
        <item x="8"/>
        <item x="3"/>
        <item x="1"/>
        <item x="4"/>
        <item x="0"/>
        <item x="6"/>
        <item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8"/>
  </rowFields>
  <rowItems count="10">
    <i>
      <x/>
    </i>
    <i>
      <x v="1"/>
    </i>
    <i>
      <x v="2"/>
    </i>
    <i>
      <x v="3"/>
    </i>
    <i>
      <x v="4"/>
    </i>
    <i>
      <x v="5"/>
    </i>
    <i>
      <x v="6"/>
    </i>
    <i>
      <x v="7"/>
    </i>
    <i>
      <x v="8"/>
    </i>
    <i t="grand">
      <x/>
    </i>
  </rowItems>
  <colFields count="1">
    <field x="-2"/>
  </colFields>
  <colItems count="4">
    <i>
      <x/>
    </i>
    <i i="1">
      <x v="1"/>
    </i>
    <i i="2">
      <x v="2"/>
    </i>
    <i i="3">
      <x v="3"/>
    </i>
  </colItems>
  <dataFields count="4">
    <dataField name="Sum of Defective_Units" fld="20" baseField="0" baseItem="0"/>
    <dataField name="Sum of Order_Quantity" fld="16" baseField="33" baseItem="0"/>
    <dataField name="Percent of Defect on Order by Location" fld="39" baseField="0" baseItem="0" numFmtId="10"/>
    <dataField name="Percent of Defect of Total" fld="20" showDataAs="percentOfTotal" baseField="0" baseItem="0" numFmtId="10"/>
  </dataFields>
  <formats count="3">
    <format dxfId="3221">
      <pivotArea outline="0" collapsedLevelsAreSubtotals="1" fieldPosition="0"/>
    </format>
    <format dxfId="3222">
      <pivotArea outline="0" fieldPosition="0">
        <references count="1">
          <reference field="4294967294" count="1" selected="0">
            <x v="2"/>
          </reference>
        </references>
      </pivotArea>
    </format>
    <format dxfId="3223">
      <pivotArea outline="0" fieldPosition="0">
        <references count="1">
          <reference field="4294967294" count="1">
            <x v="3"/>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3BB83E3E-901E-4437-AD94-58D164824E71}" name="LeadTimeVariancebySupplier&amp;Product"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502:J519" firstHeaderRow="1" firstDataRow="2" firstDataCol="2"/>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compact="0" outline="0" showAll="0" defaultSubtotal="0">
      <items count="15">
        <item x="10"/>
        <item x="6"/>
        <item x="9"/>
        <item x="5"/>
        <item x="7"/>
        <item x="11"/>
        <item x="0"/>
        <item x="12"/>
        <item x="1"/>
        <item x="13"/>
        <item x="4"/>
        <item x="14"/>
        <item x="8"/>
        <item x="2"/>
        <item x="3"/>
      </items>
    </pivotField>
    <pivotField axis="axisRow" compact="0" outline="0" showAll="0" sortType="descending"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axis="axisCol" compact="0" outline="0" showAll="0" defaultSubtotal="0">
      <items count="7">
        <item x="1"/>
        <item x="2"/>
        <item x="0"/>
        <item x="6"/>
        <item x="4"/>
        <item x="5"/>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dataField="1"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2">
    <field x="5"/>
    <field x="6"/>
  </rowFields>
  <rowItems count="16">
    <i>
      <x/>
      <x v="25"/>
    </i>
    <i>
      <x v="1"/>
      <x v="21"/>
    </i>
    <i>
      <x v="2"/>
      <x v="24"/>
    </i>
    <i>
      <x v="3"/>
      <x v="20"/>
    </i>
    <i>
      <x v="4"/>
      <x v="22"/>
    </i>
    <i>
      <x v="5"/>
      <x v="26"/>
    </i>
    <i>
      <x v="6"/>
      <x v="15"/>
    </i>
    <i>
      <x v="7"/>
      <x v="27"/>
    </i>
    <i>
      <x v="8"/>
      <x v="16"/>
    </i>
    <i>
      <x v="9"/>
      <x v="28"/>
    </i>
    <i>
      <x v="10"/>
      <x v="19"/>
    </i>
    <i>
      <x v="11"/>
      <x v="29"/>
    </i>
    <i>
      <x v="12"/>
      <x v="23"/>
    </i>
    <i>
      <x v="13"/>
      <x v="17"/>
    </i>
    <i>
      <x v="14"/>
      <x v="18"/>
    </i>
    <i t="grand">
      <x/>
    </i>
  </rowItems>
  <colFields count="1">
    <field x="9"/>
  </colFields>
  <colItems count="8">
    <i>
      <x/>
    </i>
    <i>
      <x v="1"/>
    </i>
    <i>
      <x v="2"/>
    </i>
    <i>
      <x v="3"/>
    </i>
    <i>
      <x v="4"/>
    </i>
    <i>
      <x v="5"/>
    </i>
    <i>
      <x v="6"/>
    </i>
    <i t="grand">
      <x/>
    </i>
  </colItems>
  <dataFields count="1">
    <dataField name="Average of Lead_Time_Variance_Days" fld="27" subtotal="average" baseField="6" baseItem="12" numFmtId="164"/>
  </dataFields>
  <formats count="4">
    <format dxfId="3131">
      <pivotArea outline="0" collapsedLevelsAreSubtotals="1" fieldPosition="0"/>
    </format>
    <format dxfId="3132">
      <pivotArea outline="0" collapsedLevelsAreSubtotals="1" fieldPosition="0"/>
    </format>
    <format dxfId="3133">
      <pivotArea dataOnly="0" labelOnly="1" outline="0" fieldPosition="0">
        <references count="1">
          <reference field="9" count="0"/>
        </references>
      </pivotArea>
    </format>
    <format dxfId="3134">
      <pivotArea dataOnly="0" labelOnly="1" grandCol="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ACEBA10C-35B9-42DC-939C-899918470B75}" name="PivotTable2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99:E212"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axis="axisRow" compact="0" outline="0" showAll="0" defaultSubtotal="0">
      <items count="12">
        <item x="11"/>
        <item x="5"/>
        <item x="9"/>
        <item x="8"/>
        <item x="10"/>
        <item x="1"/>
        <item x="7"/>
        <item x="2"/>
        <item x="4"/>
        <item x="6"/>
        <item x="0"/>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7"/>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Defective_Units" fld="20" baseField="0" baseItem="0"/>
    <dataField name="Sum of Order_Quantity" fld="16" baseField="33" baseItem="0"/>
    <dataField name="Percent of Defect on Order by Country" fld="39" baseField="0" baseItem="0" numFmtId="10"/>
    <dataField name="Percent of Defect of Total" fld="20" showDataAs="percentOfTotal" baseField="0" baseItem="0" numFmtId="10"/>
  </dataFields>
  <formats count="3">
    <format dxfId="3095">
      <pivotArea outline="0" collapsedLevelsAreSubtotals="1" fieldPosition="0"/>
    </format>
    <format dxfId="3096">
      <pivotArea outline="0" fieldPosition="0">
        <references count="1">
          <reference field="4294967294" count="1" selected="0">
            <x v="2"/>
          </reference>
        </references>
      </pivotArea>
    </format>
    <format dxfId="3097">
      <pivotArea outline="0" fieldPosition="0">
        <references count="1">
          <reference field="4294967294" count="1">
            <x v="3"/>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29044E83-13A2-4008-B1DD-D10AA30502BD}" name="RatingbyProduc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303:H311"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axis="axisRow" compact="0" outline="0" showAll="0" sortType="descending" defaultSubtotal="0">
      <items count="7">
        <item x="1"/>
        <item x="2"/>
        <item x="0"/>
        <item x="6"/>
        <item x="4"/>
        <item x="5"/>
        <item x="3"/>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9"/>
  </rowFields>
  <rowItems count="8">
    <i>
      <x v="3"/>
    </i>
    <i>
      <x v="4"/>
    </i>
    <i>
      <x/>
    </i>
    <i>
      <x v="1"/>
    </i>
    <i>
      <x v="2"/>
    </i>
    <i>
      <x v="6"/>
    </i>
    <i>
      <x v="5"/>
    </i>
    <i t="grand">
      <x/>
    </i>
  </rowItems>
  <colFields count="1">
    <field x="-2"/>
  </colFields>
  <colItems count="2">
    <i>
      <x/>
    </i>
    <i i="1">
      <x v="1"/>
    </i>
  </colItems>
  <dataFields count="2">
    <dataField name="Count" fld="36" subtotal="count" baseField="5" baseItem="0"/>
    <dataField name="Avg Supplier Rating" fld="36" subtotal="average" baseField="5" baseItem="0" numFmtId="164"/>
  </dataFields>
  <formats count="2">
    <format dxfId="3046">
      <pivotArea outline="0" collapsedLevelsAreSubtotals="1" fieldPosition="0">
        <references count="1">
          <reference field="4294967294" count="1" selected="0">
            <x v="1"/>
          </reference>
        </references>
      </pivotArea>
    </format>
    <format dxfId="3047">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62B1B627-C7E4-4A5A-978D-5BB32E017AE0}" name="ShippingModebySupplier"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996:H1013"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axis="axisCol"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32"/>
  </colFields>
  <colItems count="7">
    <i>
      <x/>
    </i>
    <i>
      <x v="1"/>
    </i>
    <i>
      <x v="2"/>
    </i>
    <i>
      <x v="3"/>
    </i>
    <i>
      <x v="4"/>
    </i>
    <i>
      <x v="5"/>
    </i>
    <i t="grand">
      <x/>
    </i>
  </colItems>
  <dataFields count="1">
    <dataField name="Count of Supplier_Name" fld="6" subtotal="count" baseField="0" baseItem="0"/>
  </dataFields>
  <formats count="11">
    <format dxfId="3017">
      <pivotArea outline="0" collapsedLevelsAreSubtotals="1" fieldPosition="0"/>
    </format>
    <format dxfId="3018">
      <pivotArea dataOnly="0" labelOnly="1" grandCol="1" outline="0" fieldPosition="0"/>
    </format>
    <format dxfId="3019">
      <pivotArea grandRow="1" outline="0" collapsedLevelsAreSubtotals="1" fieldPosition="0"/>
    </format>
    <format dxfId="3020">
      <pivotArea dataOnly="0" labelOnly="1" grandRow="1" outline="0" fieldPosition="0"/>
    </format>
    <format dxfId="3021">
      <pivotArea field="6" type="button" dataOnly="0" labelOnly="1" outline="0" axis="axisRow" fieldPosition="0"/>
    </format>
    <format dxfId="3022">
      <pivotArea dataOnly="0" labelOnly="1" grandCol="1" outline="0" fieldPosition="0"/>
    </format>
    <format dxfId="3023">
      <pivotArea field="6" type="button" dataOnly="0" labelOnly="1" outline="0" axis="axisRow" fieldPosition="0"/>
    </format>
    <format dxfId="3024">
      <pivotArea dataOnly="0" labelOnly="1" grandCol="1" outline="0" fieldPosition="0"/>
    </format>
    <format dxfId="3025">
      <pivotArea field="6" type="button" dataOnly="0" labelOnly="1" outline="0" axis="axisRow" fieldPosition="0"/>
    </format>
    <format dxfId="3026">
      <pivotArea dataOnly="0" labelOnly="1" grandCol="1" outline="0" fieldPosition="0"/>
    </format>
    <format dxfId="3027">
      <pivotArea field="6" type="button" dataOnly="0" labelOnly="1" outline="0" axis="axisRow"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87C993CA-0B5C-4FD9-989E-D0749FE57ECF}" name="InvoiceStatusbySupplier"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1">
  <location ref="A946:G963"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axis="axisCol" compact="0" outline="0" showAll="0" defaultSubtotal="0">
      <items count="5">
        <item x="1"/>
        <item x="0"/>
        <item x="2"/>
        <item x="3"/>
        <item x="4"/>
      </items>
    </pivotField>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30"/>
  </colFields>
  <colItems count="6">
    <i>
      <x/>
    </i>
    <i>
      <x v="1"/>
    </i>
    <i>
      <x v="2"/>
    </i>
    <i>
      <x v="3"/>
    </i>
    <i>
      <x v="4"/>
    </i>
    <i t="grand">
      <x/>
    </i>
  </colItems>
  <dataFields count="1">
    <dataField name="Count of Supplier_Name" fld="6" subtotal="count" baseField="0" baseItem="0"/>
  </dataFields>
  <formats count="14">
    <format dxfId="3159">
      <pivotArea outline="0" collapsedLevelsAreSubtotals="1" fieldPosition="0"/>
    </format>
    <format dxfId="3160">
      <pivotArea dataOnly="0" labelOnly="1" grandCol="1" outline="0" fieldPosition="0"/>
    </format>
    <format dxfId="3161">
      <pivotArea grandRow="1" outline="0" collapsedLevelsAreSubtotals="1" fieldPosition="0"/>
    </format>
    <format dxfId="3162">
      <pivotArea dataOnly="0" labelOnly="1" grandRow="1" outline="0" fieldPosition="0"/>
    </format>
    <format dxfId="3163">
      <pivotArea field="6" type="button" dataOnly="0" labelOnly="1" outline="0" axis="axisRow" fieldPosition="0"/>
    </format>
    <format dxfId="3164">
      <pivotArea dataOnly="0" labelOnly="1" outline="0" fieldPosition="0">
        <references count="1">
          <reference field="30" count="0"/>
        </references>
      </pivotArea>
    </format>
    <format dxfId="3165">
      <pivotArea dataOnly="0" labelOnly="1" grandCol="1" outline="0" fieldPosition="0"/>
    </format>
    <format dxfId="3166">
      <pivotArea field="6" type="button" dataOnly="0" labelOnly="1" outline="0" axis="axisRow" fieldPosition="0"/>
    </format>
    <format dxfId="3167">
      <pivotArea dataOnly="0" labelOnly="1" outline="0" fieldPosition="0">
        <references count="1">
          <reference field="30" count="0"/>
        </references>
      </pivotArea>
    </format>
    <format dxfId="3168">
      <pivotArea dataOnly="0" labelOnly="1" grandCol="1" outline="0" fieldPosition="0"/>
    </format>
    <format dxfId="3169">
      <pivotArea field="6" type="button" dataOnly="0" labelOnly="1" outline="0" axis="axisRow" fieldPosition="0"/>
    </format>
    <format dxfId="3170">
      <pivotArea dataOnly="0" labelOnly="1" outline="0" fieldPosition="0">
        <references count="1">
          <reference field="30" count="0"/>
        </references>
      </pivotArea>
    </format>
    <format dxfId="3171">
      <pivotArea dataOnly="0" labelOnly="1" grandCol="1" outline="0" fieldPosition="0"/>
    </format>
    <format dxfId="3172">
      <pivotArea field="6" type="button" dataOnly="0" labelOnly="1" outline="0" axis="axisRow" fieldPosition="0"/>
    </format>
  </formats>
  <chartFormats count="25">
    <chartFormat chart="0" format="0" series="1">
      <pivotArea type="data" outline="0" fieldPosition="0">
        <references count="2">
          <reference field="4294967294" count="1" selected="0">
            <x v="0"/>
          </reference>
          <reference field="30" count="1" selected="0">
            <x v="2"/>
          </reference>
        </references>
      </pivotArea>
    </chartFormat>
    <chartFormat chart="0" format="1" series="1">
      <pivotArea type="data" outline="0" fieldPosition="0">
        <references count="2">
          <reference field="4294967294" count="1" selected="0">
            <x v="0"/>
          </reference>
          <reference field="30" count="1" selected="0">
            <x v="0"/>
          </reference>
        </references>
      </pivotArea>
    </chartFormat>
    <chartFormat chart="0" format="2" series="1">
      <pivotArea type="data" outline="0" fieldPosition="0">
        <references count="2">
          <reference field="4294967294" count="1" selected="0">
            <x v="0"/>
          </reference>
          <reference field="30" count="1" selected="0">
            <x v="3"/>
          </reference>
        </references>
      </pivotArea>
    </chartFormat>
    <chartFormat chart="0" format="3" series="1">
      <pivotArea type="data" outline="0" fieldPosition="0">
        <references count="2">
          <reference field="4294967294" count="1" selected="0">
            <x v="0"/>
          </reference>
          <reference field="30" count="1" selected="0">
            <x v="4"/>
          </reference>
        </references>
      </pivotArea>
    </chartFormat>
    <chartFormat chart="0" format="4" series="1">
      <pivotArea type="data" outline="0" fieldPosition="0">
        <references count="2">
          <reference field="4294967294" count="1" selected="0">
            <x v="0"/>
          </reference>
          <reference field="30" count="1" selected="0">
            <x v="1"/>
          </reference>
        </references>
      </pivotArea>
    </chartFormat>
    <chartFormat chart="3" format="10" series="1">
      <pivotArea type="data" outline="0" fieldPosition="0">
        <references count="2">
          <reference field="4294967294" count="1" selected="0">
            <x v="0"/>
          </reference>
          <reference field="30" count="1" selected="0">
            <x v="0"/>
          </reference>
        </references>
      </pivotArea>
    </chartFormat>
    <chartFormat chart="3" format="11" series="1">
      <pivotArea type="data" outline="0" fieldPosition="0">
        <references count="2">
          <reference field="4294967294" count="1" selected="0">
            <x v="0"/>
          </reference>
          <reference field="30" count="1" selected="0">
            <x v="1"/>
          </reference>
        </references>
      </pivotArea>
    </chartFormat>
    <chartFormat chart="3" format="12" series="1">
      <pivotArea type="data" outline="0" fieldPosition="0">
        <references count="2">
          <reference field="4294967294" count="1" selected="0">
            <x v="0"/>
          </reference>
          <reference field="30" count="1" selected="0">
            <x v="2"/>
          </reference>
        </references>
      </pivotArea>
    </chartFormat>
    <chartFormat chart="3" format="13" series="1">
      <pivotArea type="data" outline="0" fieldPosition="0">
        <references count="2">
          <reference field="4294967294" count="1" selected="0">
            <x v="0"/>
          </reference>
          <reference field="30" count="1" selected="0">
            <x v="3"/>
          </reference>
        </references>
      </pivotArea>
    </chartFormat>
    <chartFormat chart="3" format="14" series="1">
      <pivotArea type="data" outline="0" fieldPosition="0">
        <references count="2">
          <reference field="4294967294" count="1" selected="0">
            <x v="0"/>
          </reference>
          <reference field="30" count="1" selected="0">
            <x v="4"/>
          </reference>
        </references>
      </pivotArea>
    </chartFormat>
    <chartFormat chart="5" format="20" series="1">
      <pivotArea type="data" outline="0" fieldPosition="0">
        <references count="2">
          <reference field="4294967294" count="1" selected="0">
            <x v="0"/>
          </reference>
          <reference field="30" count="1" selected="0">
            <x v="0"/>
          </reference>
        </references>
      </pivotArea>
    </chartFormat>
    <chartFormat chart="5" format="21" series="1">
      <pivotArea type="data" outline="0" fieldPosition="0">
        <references count="2">
          <reference field="4294967294" count="1" selected="0">
            <x v="0"/>
          </reference>
          <reference field="30" count="1" selected="0">
            <x v="1"/>
          </reference>
        </references>
      </pivotArea>
    </chartFormat>
    <chartFormat chart="5" format="22" series="1">
      <pivotArea type="data" outline="0" fieldPosition="0">
        <references count="2">
          <reference field="4294967294" count="1" selected="0">
            <x v="0"/>
          </reference>
          <reference field="30" count="1" selected="0">
            <x v="2"/>
          </reference>
        </references>
      </pivotArea>
    </chartFormat>
    <chartFormat chart="5" format="23" series="1">
      <pivotArea type="data" outline="0" fieldPosition="0">
        <references count="2">
          <reference field="4294967294" count="1" selected="0">
            <x v="0"/>
          </reference>
          <reference field="30" count="1" selected="0">
            <x v="3"/>
          </reference>
        </references>
      </pivotArea>
    </chartFormat>
    <chartFormat chart="5" format="24" series="1">
      <pivotArea type="data" outline="0" fieldPosition="0">
        <references count="2">
          <reference field="4294967294" count="1" selected="0">
            <x v="0"/>
          </reference>
          <reference field="30" count="1" selected="0">
            <x v="4"/>
          </reference>
        </references>
      </pivotArea>
    </chartFormat>
    <chartFormat chart="7" format="30" series="1">
      <pivotArea type="data" outline="0" fieldPosition="0">
        <references count="2">
          <reference field="4294967294" count="1" selected="0">
            <x v="0"/>
          </reference>
          <reference field="30" count="1" selected="0">
            <x v="0"/>
          </reference>
        </references>
      </pivotArea>
    </chartFormat>
    <chartFormat chart="7" format="31" series="1">
      <pivotArea type="data" outline="0" fieldPosition="0">
        <references count="2">
          <reference field="4294967294" count="1" selected="0">
            <x v="0"/>
          </reference>
          <reference field="30" count="1" selected="0">
            <x v="1"/>
          </reference>
        </references>
      </pivotArea>
    </chartFormat>
    <chartFormat chart="7" format="32" series="1">
      <pivotArea type="data" outline="0" fieldPosition="0">
        <references count="2">
          <reference field="4294967294" count="1" selected="0">
            <x v="0"/>
          </reference>
          <reference field="30" count="1" selected="0">
            <x v="2"/>
          </reference>
        </references>
      </pivotArea>
    </chartFormat>
    <chartFormat chart="7" format="33" series="1">
      <pivotArea type="data" outline="0" fieldPosition="0">
        <references count="2">
          <reference field="4294967294" count="1" selected="0">
            <x v="0"/>
          </reference>
          <reference field="30" count="1" selected="0">
            <x v="3"/>
          </reference>
        </references>
      </pivotArea>
    </chartFormat>
    <chartFormat chart="7" format="34" series="1">
      <pivotArea type="data" outline="0" fieldPosition="0">
        <references count="2">
          <reference field="4294967294" count="1" selected="0">
            <x v="0"/>
          </reference>
          <reference field="30" count="1" selected="0">
            <x v="4"/>
          </reference>
        </references>
      </pivotArea>
    </chartFormat>
    <chartFormat chart="9" format="30" series="1">
      <pivotArea type="data" outline="0" fieldPosition="0">
        <references count="2">
          <reference field="4294967294" count="1" selected="0">
            <x v="0"/>
          </reference>
          <reference field="30" count="1" selected="0">
            <x v="0"/>
          </reference>
        </references>
      </pivotArea>
    </chartFormat>
    <chartFormat chart="9" format="31" series="1">
      <pivotArea type="data" outline="0" fieldPosition="0">
        <references count="2">
          <reference field="4294967294" count="1" selected="0">
            <x v="0"/>
          </reference>
          <reference field="30" count="1" selected="0">
            <x v="1"/>
          </reference>
        </references>
      </pivotArea>
    </chartFormat>
    <chartFormat chart="9" format="32" series="1">
      <pivotArea type="data" outline="0" fieldPosition="0">
        <references count="2">
          <reference field="4294967294" count="1" selected="0">
            <x v="0"/>
          </reference>
          <reference field="30" count="1" selected="0">
            <x v="2"/>
          </reference>
        </references>
      </pivotArea>
    </chartFormat>
    <chartFormat chart="9" format="33" series="1">
      <pivotArea type="data" outline="0" fieldPosition="0">
        <references count="2">
          <reference field="4294967294" count="1" selected="0">
            <x v="0"/>
          </reference>
          <reference field="30" count="1" selected="0">
            <x v="3"/>
          </reference>
        </references>
      </pivotArea>
    </chartFormat>
    <chartFormat chart="9" format="34" series="1">
      <pivotArea type="data" outline="0" fieldPosition="0">
        <references count="2">
          <reference field="4294967294" count="1" selected="0">
            <x v="0"/>
          </reference>
          <reference field="30"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59DB92BC-9F69-4A34-ABFF-6496D1E60F5B}" name="CountofDeliveryStatusbySupplier"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2">
  <location ref="A801:I818"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sortType="descending"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compact="0" outline="0" showAll="0" defaultSubtotal="0">
      <items count="7">
        <item x="5"/>
        <item x="2"/>
        <item x="3"/>
        <item x="1"/>
        <item x="4"/>
        <item x="0"/>
        <item x="6"/>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24"/>
    </i>
    <i>
      <x v="18"/>
    </i>
    <i>
      <x v="21"/>
    </i>
    <i>
      <x v="28"/>
    </i>
    <i>
      <x v="19"/>
    </i>
    <i>
      <x v="26"/>
    </i>
    <i>
      <x v="27"/>
    </i>
    <i>
      <x v="16"/>
    </i>
    <i>
      <x v="22"/>
    </i>
    <i>
      <x v="17"/>
    </i>
    <i>
      <x v="29"/>
    </i>
    <i>
      <x v="20"/>
    </i>
    <i>
      <x v="25"/>
    </i>
    <i>
      <x v="15"/>
    </i>
    <i>
      <x v="23"/>
    </i>
    <i t="grand">
      <x/>
    </i>
  </rowItems>
  <colFields count="1">
    <field x="28"/>
  </colFields>
  <colItems count="8">
    <i>
      <x/>
    </i>
    <i>
      <x v="1"/>
    </i>
    <i>
      <x v="2"/>
    </i>
    <i>
      <x v="3"/>
    </i>
    <i>
      <x v="4"/>
    </i>
    <i>
      <x v="5"/>
    </i>
    <i>
      <x v="6"/>
    </i>
    <i t="grand">
      <x/>
    </i>
  </colItems>
  <dataFields count="1">
    <dataField name="Count" fld="6" subtotal="count" baseField="0" baseItem="0"/>
  </dataFields>
  <formats count="5">
    <format dxfId="3272">
      <pivotArea outline="0" collapsedLevelsAreSubtotals="1" fieldPosition="0"/>
    </format>
    <format dxfId="3273">
      <pivotArea dataOnly="0" labelOnly="1" outline="0" fieldPosition="0">
        <references count="1">
          <reference field="28" count="0"/>
        </references>
      </pivotArea>
    </format>
    <format dxfId="3274">
      <pivotArea dataOnly="0" labelOnly="1" grandCol="1" outline="0" fieldPosition="0"/>
    </format>
    <format dxfId="3275">
      <pivotArea grandRow="1" outline="0" collapsedLevelsAreSubtotals="1" fieldPosition="0"/>
    </format>
    <format dxfId="3276">
      <pivotArea dataOnly="0" labelOnly="1" grandRow="1" outline="0" fieldPosition="0"/>
    </format>
  </formats>
  <chartFormats count="14">
    <chartFormat chart="25" format="14" series="1">
      <pivotArea type="data" outline="0" fieldPosition="0">
        <references count="2">
          <reference field="4294967294" count="1" selected="0">
            <x v="0"/>
          </reference>
          <reference field="28" count="1" selected="0">
            <x v="0"/>
          </reference>
        </references>
      </pivotArea>
    </chartFormat>
    <chartFormat chart="25" format="15" series="1">
      <pivotArea type="data" outline="0" fieldPosition="0">
        <references count="2">
          <reference field="4294967294" count="1" selected="0">
            <x v="0"/>
          </reference>
          <reference field="28" count="1" selected="0">
            <x v="1"/>
          </reference>
        </references>
      </pivotArea>
    </chartFormat>
    <chartFormat chart="25" format="16" series="1">
      <pivotArea type="data" outline="0" fieldPosition="0">
        <references count="2">
          <reference field="4294967294" count="1" selected="0">
            <x v="0"/>
          </reference>
          <reference field="28" count="1" selected="0">
            <x v="2"/>
          </reference>
        </references>
      </pivotArea>
    </chartFormat>
    <chartFormat chart="25" format="17" series="1">
      <pivotArea type="data" outline="0" fieldPosition="0">
        <references count="2">
          <reference field="4294967294" count="1" selected="0">
            <x v="0"/>
          </reference>
          <reference field="28" count="1" selected="0">
            <x v="3"/>
          </reference>
        </references>
      </pivotArea>
    </chartFormat>
    <chartFormat chart="25" format="18" series="1">
      <pivotArea type="data" outline="0" fieldPosition="0">
        <references count="2">
          <reference field="4294967294" count="1" selected="0">
            <x v="0"/>
          </reference>
          <reference field="28" count="1" selected="0">
            <x v="4"/>
          </reference>
        </references>
      </pivotArea>
    </chartFormat>
    <chartFormat chart="25" format="19" series="1">
      <pivotArea type="data" outline="0" fieldPosition="0">
        <references count="2">
          <reference field="4294967294" count="1" selected="0">
            <x v="0"/>
          </reference>
          <reference field="28" count="1" selected="0">
            <x v="5"/>
          </reference>
        </references>
      </pivotArea>
    </chartFormat>
    <chartFormat chart="25" format="20" series="1">
      <pivotArea type="data" outline="0" fieldPosition="0">
        <references count="2">
          <reference field="4294967294" count="1" selected="0">
            <x v="0"/>
          </reference>
          <reference field="28" count="1" selected="0">
            <x v="6"/>
          </reference>
        </references>
      </pivotArea>
    </chartFormat>
    <chartFormat chart="31" format="21" series="1">
      <pivotArea type="data" outline="0" fieldPosition="0">
        <references count="2">
          <reference field="4294967294" count="1" selected="0">
            <x v="0"/>
          </reference>
          <reference field="28" count="1" selected="0">
            <x v="0"/>
          </reference>
        </references>
      </pivotArea>
    </chartFormat>
    <chartFormat chart="31" format="22" series="1">
      <pivotArea type="data" outline="0" fieldPosition="0">
        <references count="2">
          <reference field="4294967294" count="1" selected="0">
            <x v="0"/>
          </reference>
          <reference field="28" count="1" selected="0">
            <x v="1"/>
          </reference>
        </references>
      </pivotArea>
    </chartFormat>
    <chartFormat chart="31" format="23" series="1">
      <pivotArea type="data" outline="0" fieldPosition="0">
        <references count="2">
          <reference field="4294967294" count="1" selected="0">
            <x v="0"/>
          </reference>
          <reference field="28" count="1" selected="0">
            <x v="2"/>
          </reference>
        </references>
      </pivotArea>
    </chartFormat>
    <chartFormat chart="31" format="24" series="1">
      <pivotArea type="data" outline="0" fieldPosition="0">
        <references count="2">
          <reference field="4294967294" count="1" selected="0">
            <x v="0"/>
          </reference>
          <reference field="28" count="1" selected="0">
            <x v="3"/>
          </reference>
        </references>
      </pivotArea>
    </chartFormat>
    <chartFormat chart="31" format="25" series="1">
      <pivotArea type="data" outline="0" fieldPosition="0">
        <references count="2">
          <reference field="4294967294" count="1" selected="0">
            <x v="0"/>
          </reference>
          <reference field="28" count="1" selected="0">
            <x v="4"/>
          </reference>
        </references>
      </pivotArea>
    </chartFormat>
    <chartFormat chart="31" format="26" series="1">
      <pivotArea type="data" outline="0" fieldPosition="0">
        <references count="2">
          <reference field="4294967294" count="1" selected="0">
            <x v="0"/>
          </reference>
          <reference field="28" count="1" selected="0">
            <x v="5"/>
          </reference>
        </references>
      </pivotArea>
    </chartFormat>
    <chartFormat chart="31" format="27" series="1">
      <pivotArea type="data" outline="0" fieldPosition="0">
        <references count="2">
          <reference field="4294967294" count="1" selected="0">
            <x v="0"/>
          </reference>
          <reference field="28" count="1" selected="0">
            <x v="6"/>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78FE017D-13E9-46A1-9BCA-BE7D9A45574C}" name="Defectas%ofTotalShippingMod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01:E108"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axis="axisRow"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32"/>
  </rowFields>
  <rowItems count="7">
    <i>
      <x/>
    </i>
    <i>
      <x v="1"/>
    </i>
    <i>
      <x v="2"/>
    </i>
    <i>
      <x v="3"/>
    </i>
    <i>
      <x v="4"/>
    </i>
    <i>
      <x v="5"/>
    </i>
    <i t="grand">
      <x/>
    </i>
  </rowItems>
  <colFields count="1">
    <field x="-2"/>
  </colFields>
  <colItems count="4">
    <i>
      <x/>
    </i>
    <i i="1">
      <x v="1"/>
    </i>
    <i i="2">
      <x v="2"/>
    </i>
    <i i="3">
      <x v="3"/>
    </i>
  </colItems>
  <dataFields count="4">
    <dataField name="Sum of Defective_Units" fld="20" baseField="0" baseItem="0"/>
    <dataField name="Sum of Order_Quantity" fld="16" baseField="33" baseItem="0"/>
    <dataField name="Percent of Defect on Order by Location" fld="39" baseField="0" baseItem="0" numFmtId="10"/>
    <dataField name="Percent of Defect of Total" fld="16" showDataAs="percentOfTotal" baseField="32" baseItem="0" numFmtId="10"/>
  </dataFields>
  <formats count="3">
    <format dxfId="3218">
      <pivotArea outline="0" collapsedLevelsAreSubtotals="1" fieldPosition="0"/>
    </format>
    <format dxfId="3219">
      <pivotArea outline="0" fieldPosition="0">
        <references count="1">
          <reference field="4294967294" count="1" selected="0">
            <x v="2"/>
          </reference>
        </references>
      </pivotArea>
    </format>
    <format dxfId="3220">
      <pivotArea outline="0" fieldPosition="0">
        <references count="1">
          <reference field="4294967294" count="1">
            <x v="3"/>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90A0A1BE-D38B-48DB-84B3-E13E236F63F4}" name="PivotTable4"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529:J546" firstHeaderRow="1" firstDataRow="2" firstDataCol="2"/>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compact="0" outline="0" showAll="0" defaultSubtotal="0">
      <items count="15">
        <item x="10"/>
        <item x="6"/>
        <item x="9"/>
        <item x="5"/>
        <item x="7"/>
        <item x="11"/>
        <item x="0"/>
        <item x="12"/>
        <item x="1"/>
        <item x="13"/>
        <item x="4"/>
        <item x="14"/>
        <item x="8"/>
        <item x="2"/>
        <item x="3"/>
      </items>
    </pivotField>
    <pivotField axis="axisRow" compact="0" outline="0" showAll="0" sortType="descending"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axis="axisCol" compact="0" outline="0" showAll="0" defaultSubtotal="0">
      <items count="7">
        <item x="1"/>
        <item x="2"/>
        <item x="0"/>
        <item x="6"/>
        <item x="4"/>
        <item x="5"/>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dataField="1"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2">
    <field x="5"/>
    <field x="6"/>
  </rowFields>
  <rowItems count="16">
    <i>
      <x/>
      <x v="25"/>
    </i>
    <i>
      <x v="1"/>
      <x v="21"/>
    </i>
    <i>
      <x v="2"/>
      <x v="24"/>
    </i>
    <i>
      <x v="3"/>
      <x v="20"/>
    </i>
    <i>
      <x v="4"/>
      <x v="22"/>
    </i>
    <i>
      <x v="5"/>
      <x v="26"/>
    </i>
    <i>
      <x v="6"/>
      <x v="15"/>
    </i>
    <i>
      <x v="7"/>
      <x v="27"/>
    </i>
    <i>
      <x v="8"/>
      <x v="16"/>
    </i>
    <i>
      <x v="9"/>
      <x v="28"/>
    </i>
    <i>
      <x v="10"/>
      <x v="19"/>
    </i>
    <i>
      <x v="11"/>
      <x v="29"/>
    </i>
    <i>
      <x v="12"/>
      <x v="23"/>
    </i>
    <i>
      <x v="13"/>
      <x v="17"/>
    </i>
    <i>
      <x v="14"/>
      <x v="18"/>
    </i>
    <i t="grand">
      <x/>
    </i>
  </rowItems>
  <colFields count="1">
    <field x="9"/>
  </colFields>
  <colItems count="8">
    <i>
      <x/>
    </i>
    <i>
      <x v="1"/>
    </i>
    <i>
      <x v="2"/>
    </i>
    <i>
      <x v="3"/>
    </i>
    <i>
      <x v="4"/>
    </i>
    <i>
      <x v="5"/>
    </i>
    <i>
      <x v="6"/>
    </i>
    <i t="grand">
      <x/>
    </i>
  </colItems>
  <dataFields count="1">
    <dataField name="Average of Lead_Time_Variance_Days" fld="27" subtotal="average" baseField="6" baseItem="12" numFmtId="164"/>
  </dataFields>
  <formats count="4">
    <format dxfId="2776">
      <pivotArea outline="0" collapsedLevelsAreSubtotals="1" fieldPosition="0"/>
    </format>
    <format dxfId="2777">
      <pivotArea outline="0" collapsedLevelsAreSubtotals="1" fieldPosition="0"/>
    </format>
    <format dxfId="2778">
      <pivotArea dataOnly="0" labelOnly="1" outline="0" fieldPosition="0">
        <references count="1">
          <reference field="9" count="0"/>
        </references>
      </pivotArea>
    </format>
    <format dxfId="2779">
      <pivotArea dataOnly="0" labelOnly="1" grandCol="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21755C52-3965-40D6-BBBF-D0854269EB9B}" name="PivotTable39"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929:I946"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axis="axisCol" compact="0" outline="0" showAll="0" defaultSubtotal="0">
      <items count="7">
        <item x="2"/>
        <item x="3"/>
        <item x="6"/>
        <item x="1"/>
        <item x="5"/>
        <item x="4"/>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33"/>
  </colFields>
  <colItems count="8">
    <i>
      <x/>
    </i>
    <i>
      <x v="1"/>
    </i>
    <i>
      <x v="2"/>
    </i>
    <i>
      <x v="3"/>
    </i>
    <i>
      <x v="4"/>
    </i>
    <i>
      <x v="5"/>
    </i>
    <i>
      <x v="6"/>
    </i>
    <i t="grand">
      <x/>
    </i>
  </colItems>
  <dataFields count="1">
    <dataField name="Count of Supplier_Name" fld="6" subtotal="count" baseField="0" baseItem="0"/>
  </dataFields>
  <formats count="11">
    <format dxfId="2780">
      <pivotArea outline="0" collapsedLevelsAreSubtotals="1" fieldPosition="0"/>
    </format>
    <format dxfId="2781">
      <pivotArea dataOnly="0" labelOnly="1" grandCol="1" outline="0" fieldPosition="0"/>
    </format>
    <format dxfId="2782">
      <pivotArea grandRow="1" outline="0" collapsedLevelsAreSubtotals="1" fieldPosition="0"/>
    </format>
    <format dxfId="2783">
      <pivotArea dataOnly="0" labelOnly="1" grandRow="1" outline="0" fieldPosition="0"/>
    </format>
    <format dxfId="2784">
      <pivotArea field="6" type="button" dataOnly="0" labelOnly="1" outline="0" axis="axisRow" fieldPosition="0"/>
    </format>
    <format dxfId="2785">
      <pivotArea dataOnly="0" labelOnly="1" grandCol="1" outline="0" fieldPosition="0"/>
    </format>
    <format dxfId="2786">
      <pivotArea field="6" type="button" dataOnly="0" labelOnly="1" outline="0" axis="axisRow" fieldPosition="0"/>
    </format>
    <format dxfId="2787">
      <pivotArea dataOnly="0" labelOnly="1" grandCol="1" outline="0" fieldPosition="0"/>
    </format>
    <format dxfId="2788">
      <pivotArea field="6" type="button" dataOnly="0" labelOnly="1" outline="0" axis="axisRow" fieldPosition="0"/>
    </format>
    <format dxfId="2789">
      <pivotArea dataOnly="0" labelOnly="1" grandCol="1" outline="0" fieldPosition="0"/>
    </format>
    <format dxfId="2790">
      <pivotArea field="6" type="button" dataOnly="0" labelOnly="1" outline="0" axis="axisRow"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EC062549-87E7-477D-8F7D-AB03BD0A6CE0}" name="PivotTable2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46:E156"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axis="axisRow" compact="0" outline="0" showAll="0" defaultSubtotal="0">
      <items count="9">
        <item x="5"/>
        <item x="2"/>
        <item x="8"/>
        <item x="3"/>
        <item x="1"/>
        <item x="4"/>
        <item x="0"/>
        <item x="6"/>
        <item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8"/>
  </rowFields>
  <rowItems count="10">
    <i>
      <x/>
    </i>
    <i>
      <x v="1"/>
    </i>
    <i>
      <x v="2"/>
    </i>
    <i>
      <x v="3"/>
    </i>
    <i>
      <x v="4"/>
    </i>
    <i>
      <x v="5"/>
    </i>
    <i>
      <x v="6"/>
    </i>
    <i>
      <x v="7"/>
    </i>
    <i>
      <x v="8"/>
    </i>
    <i t="grand">
      <x/>
    </i>
  </rowItems>
  <colFields count="1">
    <field x="-2"/>
  </colFields>
  <colItems count="4">
    <i>
      <x/>
    </i>
    <i i="1">
      <x v="1"/>
    </i>
    <i i="2">
      <x v="2"/>
    </i>
    <i i="3">
      <x v="3"/>
    </i>
  </colItems>
  <dataFields count="4">
    <dataField name="Sum of Defective_Units" fld="20" baseField="0" baseItem="0"/>
    <dataField name="Sum of Order_Quantity" fld="16" baseField="33" baseItem="0"/>
    <dataField name="Percent of Defect on Order by Location" fld="39" baseField="0" baseItem="0" numFmtId="10"/>
    <dataField name="Percent of Defect of Total" fld="20" showDataAs="percentOfTotal" baseField="0" baseItem="0" numFmtId="10"/>
  </dataFields>
  <formats count="3">
    <format dxfId="2824">
      <pivotArea outline="0" collapsedLevelsAreSubtotals="1" fieldPosition="0"/>
    </format>
    <format dxfId="2825">
      <pivotArea outline="0" fieldPosition="0">
        <references count="1">
          <reference field="4294967294" count="1" selected="0">
            <x v="2"/>
          </reference>
        </references>
      </pivotArea>
    </format>
    <format dxfId="2826">
      <pivotArea outline="0" fieldPosition="0">
        <references count="1">
          <reference field="4294967294" count="1">
            <x v="3"/>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203267AE-5412-42E3-89B7-71BE0A9559FC}"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4:I31"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dataField="1" compact="0" outline="0" showAll="0" defaultSubtotal="0">
      <items count="7">
        <item x="5"/>
        <item x="2"/>
        <item x="3"/>
        <item x="1"/>
        <item x="4"/>
        <item x="0"/>
        <item x="6"/>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28"/>
  </colFields>
  <colItems count="8">
    <i>
      <x/>
    </i>
    <i>
      <x v="1"/>
    </i>
    <i>
      <x v="2"/>
    </i>
    <i>
      <x v="3"/>
    </i>
    <i>
      <x v="4"/>
    </i>
    <i>
      <x v="5"/>
    </i>
    <i>
      <x v="6"/>
    </i>
    <i t="grand">
      <x/>
    </i>
  </colItems>
  <dataFields count="1">
    <dataField name="Count of Delivery_Status" fld="28" subtotal="count" baseField="0" baseItem="0"/>
  </dataFields>
  <formats count="1">
    <format dxfId="2805">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F95DB62E-57DD-43EF-BCA6-589D7B4B39EE}" name="PivotTable47"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8">
  <location ref="A855:G872"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axis="axisCol" compact="0" outline="0" showAll="0" defaultSubtotal="0">
      <items count="5">
        <item x="1"/>
        <item x="0"/>
        <item x="2"/>
        <item x="3"/>
        <item x="4"/>
      </items>
    </pivotField>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30"/>
  </colFields>
  <colItems count="6">
    <i>
      <x/>
    </i>
    <i>
      <x v="1"/>
    </i>
    <i>
      <x v="2"/>
    </i>
    <i>
      <x v="3"/>
    </i>
    <i>
      <x v="4"/>
    </i>
    <i t="grand">
      <x/>
    </i>
  </colItems>
  <dataFields count="1">
    <dataField name="Count of Supplier_Name" fld="6" subtotal="count" baseField="0" baseItem="0"/>
  </dataFields>
  <formats count="14">
    <format dxfId="2727">
      <pivotArea outline="0" collapsedLevelsAreSubtotals="1" fieldPosition="0"/>
    </format>
    <format dxfId="2728">
      <pivotArea dataOnly="0" labelOnly="1" grandCol="1" outline="0" fieldPosition="0"/>
    </format>
    <format dxfId="2729">
      <pivotArea grandRow="1" outline="0" collapsedLevelsAreSubtotals="1" fieldPosition="0"/>
    </format>
    <format dxfId="2730">
      <pivotArea dataOnly="0" labelOnly="1" grandRow="1" outline="0" fieldPosition="0"/>
    </format>
    <format dxfId="2731">
      <pivotArea field="6" type="button" dataOnly="0" labelOnly="1" outline="0" axis="axisRow" fieldPosition="0"/>
    </format>
    <format dxfId="2732">
      <pivotArea dataOnly="0" labelOnly="1" outline="0" fieldPosition="0">
        <references count="1">
          <reference field="30" count="0"/>
        </references>
      </pivotArea>
    </format>
    <format dxfId="2733">
      <pivotArea dataOnly="0" labelOnly="1" grandCol="1" outline="0" fieldPosition="0"/>
    </format>
    <format dxfId="2734">
      <pivotArea field="6" type="button" dataOnly="0" labelOnly="1" outline="0" axis="axisRow" fieldPosition="0"/>
    </format>
    <format dxfId="2735">
      <pivotArea dataOnly="0" labelOnly="1" outline="0" fieldPosition="0">
        <references count="1">
          <reference field="30" count="0"/>
        </references>
      </pivotArea>
    </format>
    <format dxfId="2736">
      <pivotArea dataOnly="0" labelOnly="1" grandCol="1" outline="0" fieldPosition="0"/>
    </format>
    <format dxfId="2737">
      <pivotArea field="6" type="button" dataOnly="0" labelOnly="1" outline="0" axis="axisRow" fieldPosition="0"/>
    </format>
    <format dxfId="2738">
      <pivotArea dataOnly="0" labelOnly="1" outline="0" fieldPosition="0">
        <references count="1">
          <reference field="30" count="0"/>
        </references>
      </pivotArea>
    </format>
    <format dxfId="2739">
      <pivotArea dataOnly="0" labelOnly="1" grandCol="1" outline="0" fieldPosition="0"/>
    </format>
    <format dxfId="2740">
      <pivotArea field="6" type="button" dataOnly="0" labelOnly="1" outline="0" axis="axisRow" fieldPosition="0"/>
    </format>
  </formats>
  <chartFormats count="20">
    <chartFormat chart="0" format="0" series="1">
      <pivotArea type="data" outline="0" fieldPosition="0">
        <references count="2">
          <reference field="4294967294" count="1" selected="0">
            <x v="0"/>
          </reference>
          <reference field="30" count="1" selected="0">
            <x v="2"/>
          </reference>
        </references>
      </pivotArea>
    </chartFormat>
    <chartFormat chart="0" format="1" series="1">
      <pivotArea type="data" outline="0" fieldPosition="0">
        <references count="2">
          <reference field="4294967294" count="1" selected="0">
            <x v="0"/>
          </reference>
          <reference field="30" count="1" selected="0">
            <x v="0"/>
          </reference>
        </references>
      </pivotArea>
    </chartFormat>
    <chartFormat chart="0" format="2" series="1">
      <pivotArea type="data" outline="0" fieldPosition="0">
        <references count="2">
          <reference field="4294967294" count="1" selected="0">
            <x v="0"/>
          </reference>
          <reference field="30" count="1" selected="0">
            <x v="3"/>
          </reference>
        </references>
      </pivotArea>
    </chartFormat>
    <chartFormat chart="0" format="3" series="1">
      <pivotArea type="data" outline="0" fieldPosition="0">
        <references count="2">
          <reference field="4294967294" count="1" selected="0">
            <x v="0"/>
          </reference>
          <reference field="30" count="1" selected="0">
            <x v="4"/>
          </reference>
        </references>
      </pivotArea>
    </chartFormat>
    <chartFormat chart="0" format="4" series="1">
      <pivotArea type="data" outline="0" fieldPosition="0">
        <references count="2">
          <reference field="4294967294" count="1" selected="0">
            <x v="0"/>
          </reference>
          <reference field="30" count="1" selected="0">
            <x v="1"/>
          </reference>
        </references>
      </pivotArea>
    </chartFormat>
    <chartFormat chart="3" format="10" series="1">
      <pivotArea type="data" outline="0" fieldPosition="0">
        <references count="2">
          <reference field="4294967294" count="1" selected="0">
            <x v="0"/>
          </reference>
          <reference field="30" count="1" selected="0">
            <x v="0"/>
          </reference>
        </references>
      </pivotArea>
    </chartFormat>
    <chartFormat chart="3" format="11" series="1">
      <pivotArea type="data" outline="0" fieldPosition="0">
        <references count="2">
          <reference field="4294967294" count="1" selected="0">
            <x v="0"/>
          </reference>
          <reference field="30" count="1" selected="0">
            <x v="1"/>
          </reference>
        </references>
      </pivotArea>
    </chartFormat>
    <chartFormat chart="3" format="12" series="1">
      <pivotArea type="data" outline="0" fieldPosition="0">
        <references count="2">
          <reference field="4294967294" count="1" selected="0">
            <x v="0"/>
          </reference>
          <reference field="30" count="1" selected="0">
            <x v="2"/>
          </reference>
        </references>
      </pivotArea>
    </chartFormat>
    <chartFormat chart="3" format="13" series="1">
      <pivotArea type="data" outline="0" fieldPosition="0">
        <references count="2">
          <reference field="4294967294" count="1" selected="0">
            <x v="0"/>
          </reference>
          <reference field="30" count="1" selected="0">
            <x v="3"/>
          </reference>
        </references>
      </pivotArea>
    </chartFormat>
    <chartFormat chart="3" format="14" series="1">
      <pivotArea type="data" outline="0" fieldPosition="0">
        <references count="2">
          <reference field="4294967294" count="1" selected="0">
            <x v="0"/>
          </reference>
          <reference field="30" count="1" selected="0">
            <x v="4"/>
          </reference>
        </references>
      </pivotArea>
    </chartFormat>
    <chartFormat chart="5" format="20" series="1">
      <pivotArea type="data" outline="0" fieldPosition="0">
        <references count="2">
          <reference field="4294967294" count="1" selected="0">
            <x v="0"/>
          </reference>
          <reference field="30" count="1" selected="0">
            <x v="0"/>
          </reference>
        </references>
      </pivotArea>
    </chartFormat>
    <chartFormat chart="5" format="21" series="1">
      <pivotArea type="data" outline="0" fieldPosition="0">
        <references count="2">
          <reference field="4294967294" count="1" selected="0">
            <x v="0"/>
          </reference>
          <reference field="30" count="1" selected="0">
            <x v="1"/>
          </reference>
        </references>
      </pivotArea>
    </chartFormat>
    <chartFormat chart="5" format="22" series="1">
      <pivotArea type="data" outline="0" fieldPosition="0">
        <references count="2">
          <reference field="4294967294" count="1" selected="0">
            <x v="0"/>
          </reference>
          <reference field="30" count="1" selected="0">
            <x v="2"/>
          </reference>
        </references>
      </pivotArea>
    </chartFormat>
    <chartFormat chart="5" format="23" series="1">
      <pivotArea type="data" outline="0" fieldPosition="0">
        <references count="2">
          <reference field="4294967294" count="1" selected="0">
            <x v="0"/>
          </reference>
          <reference field="30" count="1" selected="0">
            <x v="3"/>
          </reference>
        </references>
      </pivotArea>
    </chartFormat>
    <chartFormat chart="5" format="24" series="1">
      <pivotArea type="data" outline="0" fieldPosition="0">
        <references count="2">
          <reference field="4294967294" count="1" selected="0">
            <x v="0"/>
          </reference>
          <reference field="30" count="1" selected="0">
            <x v="4"/>
          </reference>
        </references>
      </pivotArea>
    </chartFormat>
    <chartFormat chart="7" format="30" series="1">
      <pivotArea type="data" outline="0" fieldPosition="0">
        <references count="2">
          <reference field="4294967294" count="1" selected="0">
            <x v="0"/>
          </reference>
          <reference field="30" count="1" selected="0">
            <x v="0"/>
          </reference>
        </references>
      </pivotArea>
    </chartFormat>
    <chartFormat chart="7" format="31" series="1">
      <pivotArea type="data" outline="0" fieldPosition="0">
        <references count="2">
          <reference field="4294967294" count="1" selected="0">
            <x v="0"/>
          </reference>
          <reference field="30" count="1" selected="0">
            <x v="1"/>
          </reference>
        </references>
      </pivotArea>
    </chartFormat>
    <chartFormat chart="7" format="32" series="1">
      <pivotArea type="data" outline="0" fieldPosition="0">
        <references count="2">
          <reference field="4294967294" count="1" selected="0">
            <x v="0"/>
          </reference>
          <reference field="30" count="1" selected="0">
            <x v="2"/>
          </reference>
        </references>
      </pivotArea>
    </chartFormat>
    <chartFormat chart="7" format="33" series="1">
      <pivotArea type="data" outline="0" fieldPosition="0">
        <references count="2">
          <reference field="4294967294" count="1" selected="0">
            <x v="0"/>
          </reference>
          <reference field="30" count="1" selected="0">
            <x v="3"/>
          </reference>
        </references>
      </pivotArea>
    </chartFormat>
    <chartFormat chart="7" format="34" series="1">
      <pivotArea type="data" outline="0" fieldPosition="0">
        <references count="2">
          <reference field="4294967294" count="1" selected="0">
            <x v="0"/>
          </reference>
          <reference field="30"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B5006B66-1108-4328-9EF3-C0AA9C8F58CA}" name="PivotTable3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51:B59" firstHeaderRow="1"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axis="axisRow" compact="0" outline="0" showAll="0" defaultSubtotal="0">
      <items count="7">
        <item x="2"/>
        <item x="3"/>
        <item x="6"/>
        <item x="1"/>
        <item x="5"/>
        <item x="4"/>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33"/>
  </rowFields>
  <rowItems count="8">
    <i>
      <x/>
    </i>
    <i>
      <x v="1"/>
    </i>
    <i>
      <x v="2"/>
    </i>
    <i>
      <x v="3"/>
    </i>
    <i>
      <x v="4"/>
    </i>
    <i>
      <x v="5"/>
    </i>
    <i>
      <x v="6"/>
    </i>
    <i t="grand">
      <x/>
    </i>
  </rowItems>
  <colItems count="1">
    <i/>
  </colItems>
  <dataFields count="1">
    <dataField name="Average of Defect_Rate" fld="21" subtotal="average" baseField="33" baseItem="2" numFmtId="10"/>
  </dataFields>
  <formats count="1">
    <format dxfId="279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A0D4D9BF-13AD-45C0-A01F-EB7F6582CE97}" name="PivotTable5"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068:R1268" firstHeaderRow="1" firstDataRow="2" firstDataCol="2"/>
  <pivotFields count="41">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Col"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dataField="1"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axis="axisRow" compact="0" outline="0" subtotalTop="0" showAll="0" defaultSubtotal="0">
      <items count="14">
        <item x="0"/>
        <item x="1"/>
        <item x="2"/>
        <item x="3"/>
        <item x="4"/>
        <item x="5"/>
        <item x="6"/>
        <item x="7"/>
        <item x="8"/>
        <item x="9"/>
        <item x="10"/>
        <item x="11"/>
        <item x="12"/>
        <item x="13"/>
      </items>
    </pivotField>
  </pivotFields>
  <rowFields count="2">
    <field x="40"/>
    <field x="4"/>
  </rowFields>
  <rowItems count="199">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x v="2"/>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x v="3"/>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x v="4"/>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x v="5"/>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x v="6"/>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x v="7"/>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t="grand">
      <x/>
    </i>
  </rowItems>
  <colFields count="1">
    <field x="6"/>
  </colFields>
  <colItems count="16">
    <i>
      <x v="15"/>
    </i>
    <i>
      <x v="16"/>
    </i>
    <i>
      <x v="17"/>
    </i>
    <i>
      <x v="18"/>
    </i>
    <i>
      <x v="19"/>
    </i>
    <i>
      <x v="20"/>
    </i>
    <i>
      <x v="21"/>
    </i>
    <i>
      <x v="22"/>
    </i>
    <i>
      <x v="23"/>
    </i>
    <i>
      <x v="24"/>
    </i>
    <i>
      <x v="25"/>
    </i>
    <i>
      <x v="26"/>
    </i>
    <i>
      <x v="27"/>
    </i>
    <i>
      <x v="28"/>
    </i>
    <i>
      <x v="29"/>
    </i>
    <i t="grand">
      <x/>
    </i>
  </colItems>
  <dataFields count="1">
    <dataField name="Sum of Lead_Time_Days" fld="22" baseField="6" baseItem="0"/>
  </dataFields>
  <formats count="15">
    <format dxfId="2706">
      <pivotArea outline="0" collapsedLevelsAreSubtotals="1" fieldPosition="0"/>
    </format>
    <format dxfId="2707">
      <pivotArea dataOnly="0" labelOnly="1" grandCol="1" outline="0" fieldPosition="0"/>
    </format>
    <format dxfId="2708">
      <pivotArea grandRow="1" outline="0" collapsedLevelsAreSubtotals="1" fieldPosition="0"/>
    </format>
    <format dxfId="2709">
      <pivotArea dataOnly="0" labelOnly="1" grandRow="1" outline="0" fieldPosition="0"/>
    </format>
    <format dxfId="2710">
      <pivotArea field="6" type="button" dataOnly="0" labelOnly="1" outline="0" axis="axisCol" fieldPosition="0"/>
    </format>
    <format dxfId="2711">
      <pivotArea dataOnly="0" labelOnly="1" grandCol="1" outline="0" fieldPosition="0"/>
    </format>
    <format dxfId="2712">
      <pivotArea field="6" type="button" dataOnly="0" labelOnly="1" outline="0" axis="axisCol" fieldPosition="0"/>
    </format>
    <format dxfId="2713">
      <pivotArea dataOnly="0" labelOnly="1" grandCol="1" outline="0" fieldPosition="0"/>
    </format>
    <format dxfId="2714">
      <pivotArea field="6" type="button" dataOnly="0" labelOnly="1" outline="0" axis="axisCol" fieldPosition="0"/>
    </format>
    <format dxfId="2715">
      <pivotArea dataOnly="0" labelOnly="1" grandCol="1" outline="0" fieldPosition="0"/>
    </format>
    <format dxfId="2716">
      <pivotArea field="6" type="button" dataOnly="0" labelOnly="1" outline="0" axis="axisCol" fieldPosition="0"/>
    </format>
    <format dxfId="2717">
      <pivotArea dataOnly="0" labelOnly="1" grandCol="1" outline="0" fieldPosition="0"/>
    </format>
    <format dxfId="2718">
      <pivotArea dataOnly="0" labelOnly="1" grandCol="1" outline="0" fieldPosition="0"/>
    </format>
    <format dxfId="2719">
      <pivotArea dataOnly="0" labelOnly="1" grandCol="1" outline="0" fieldPosition="0"/>
    </format>
    <format dxfId="2720">
      <pivotArea dataOnly="0" labelOnly="1" grandCol="1" outline="0" fieldPosition="0"/>
    </format>
  </formats>
  <conditionalFormats count="1">
    <conditionalFormat priority="2">
      <pivotAreas count="1">
        <pivotArea type="data" outline="0" collapsedLevelsAreSubtotals="1" fieldPosition="0">
          <references count="4">
            <reference field="4294967294" count="1" selected="0">
              <x v="0"/>
            </reference>
            <reference field="4" count="198" selected="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reference>
            <reference field="6" count="15" selected="0">
              <x v="0"/>
              <x v="1"/>
              <x v="2"/>
              <x v="3"/>
              <x v="4"/>
              <x v="5"/>
              <x v="6"/>
              <x v="7"/>
              <x v="8"/>
              <x v="9"/>
              <x v="10"/>
              <x v="11"/>
              <x v="12"/>
              <x v="13"/>
              <x v="14"/>
            </reference>
            <reference field="40" count="7" selected="0">
              <x v="1"/>
              <x v="2"/>
              <x v="3"/>
              <x v="4"/>
              <x v="5"/>
              <x v="6"/>
              <x v="7"/>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3.xml><?xml version="1.0" encoding="utf-8"?>
<pivotTableDefinition xmlns="http://schemas.openxmlformats.org/spreadsheetml/2006/main" xmlns:mc="http://schemas.openxmlformats.org/markup-compatibility/2006" xmlns:xr="http://schemas.microsoft.com/office/spreadsheetml/2014/revision" mc:Ignorable="xr" xr:uid="{6DF5FB9E-5FE9-4F4C-A716-5B156FE8555B}" name="PivotTable46"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485:E501" firstHeaderRow="0" firstDataRow="1" firstDataCol="2"/>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dataField="1" compact="0" outline="0" showAll="0" sortType="descending" defaultSubtotal="0">
      <items count="15">
        <item x="10"/>
        <item x="6"/>
        <item x="9"/>
        <item x="5"/>
        <item x="7"/>
        <item x="11"/>
        <item x="0"/>
        <item x="12"/>
        <item x="1"/>
        <item x="13"/>
        <item x="4"/>
        <item x="14"/>
        <item x="8"/>
        <item x="2"/>
        <item x="3"/>
      </items>
      <autoSortScope>
        <pivotArea dataOnly="0" outline="0" fieldPosition="0">
          <references count="1">
            <reference field="4294967294" count="1" selected="0">
              <x v="2"/>
            </reference>
          </references>
        </pivotArea>
      </autoSortScope>
    </pivotField>
    <pivotField axis="axisRow" compact="0" outline="0" showAll="0" sortType="descending"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dataField="1"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2">
    <field x="5"/>
    <field x="6"/>
  </rowFields>
  <rowItems count="16">
    <i>
      <x v="5"/>
      <x v="26"/>
    </i>
    <i>
      <x v="8"/>
      <x v="16"/>
    </i>
    <i>
      <x/>
      <x v="25"/>
    </i>
    <i>
      <x v="4"/>
      <x v="22"/>
    </i>
    <i>
      <x v="10"/>
      <x v="19"/>
    </i>
    <i>
      <x v="14"/>
      <x v="18"/>
    </i>
    <i>
      <x v="13"/>
      <x v="17"/>
    </i>
    <i>
      <x v="1"/>
      <x v="21"/>
    </i>
    <i>
      <x v="3"/>
      <x v="20"/>
    </i>
    <i>
      <x v="12"/>
      <x v="23"/>
    </i>
    <i>
      <x v="2"/>
      <x v="24"/>
    </i>
    <i>
      <x v="7"/>
      <x v="27"/>
    </i>
    <i>
      <x v="11"/>
      <x v="29"/>
    </i>
    <i>
      <x v="9"/>
      <x v="28"/>
    </i>
    <i>
      <x v="6"/>
      <x v="15"/>
    </i>
    <i t="grand">
      <x/>
    </i>
  </rowItems>
  <colFields count="1">
    <field x="-2"/>
  </colFields>
  <colItems count="3">
    <i>
      <x/>
    </i>
    <i i="1">
      <x v="1"/>
    </i>
    <i i="2">
      <x v="2"/>
    </i>
  </colItems>
  <dataFields count="3">
    <dataField name="Count of Supplier_ID" fld="5" subtotal="count" baseField="0" baseItem="0"/>
    <dataField name="Sum of Lead_Time_Variance_Days" fld="27" baseField="0" baseItem="0"/>
    <dataField name="Average of Lead_Time_Variance_Days" fld="27" subtotal="average" baseField="6" baseItem="3" numFmtId="164"/>
  </dataFields>
  <formats count="1">
    <format dxfId="2741">
      <pivotArea outline="0"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4.xml><?xml version="1.0" encoding="utf-8"?>
<pivotTableDefinition xmlns="http://schemas.openxmlformats.org/spreadsheetml/2006/main" xmlns:mc="http://schemas.openxmlformats.org/markup-compatibility/2006" xmlns:xr="http://schemas.microsoft.com/office/spreadsheetml/2014/revision" mc:Ignorable="xr" xr:uid="{4502BA55-52BC-44F7-A28A-D94062F3006E}" name="PivotTable52"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5">
  <location ref="A773:Q783" firstHeaderRow="1" firstDataRow="3"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axis="axisRow" compact="0" outline="0" showAll="0" defaultSubtotal="0">
      <items count="7">
        <item x="1"/>
        <item x="2"/>
        <item x="0"/>
        <item x="6"/>
        <item x="4"/>
        <item x="5"/>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axis="axisCol" compact="0" outline="0" showAll="0" defaultSubtotal="0">
      <items count="7">
        <item x="5"/>
        <item x="2"/>
        <item x="3"/>
        <item x="1"/>
        <item x="4"/>
        <item x="0"/>
        <item x="6"/>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dragToRow="0" dragToCol="0" dragToPage="0" showAll="0" defaultSubtotal="0"/>
    <pivotField compact="0" outline="0" showAll="0" defaultSubtotal="0">
      <items count="14">
        <item x="0"/>
        <item x="1"/>
        <item x="2"/>
        <item x="3"/>
        <item x="4"/>
        <item x="5"/>
        <item x="6"/>
        <item x="7"/>
        <item x="8"/>
        <item x="9"/>
        <item x="10"/>
        <item x="11"/>
        <item x="12"/>
        <item x="13"/>
      </items>
    </pivotField>
  </pivotFields>
  <rowFields count="1">
    <field x="9"/>
  </rowFields>
  <rowItems count="8">
    <i>
      <x/>
    </i>
    <i>
      <x v="1"/>
    </i>
    <i>
      <x v="2"/>
    </i>
    <i>
      <x v="3"/>
    </i>
    <i>
      <x v="4"/>
    </i>
    <i>
      <x v="5"/>
    </i>
    <i>
      <x v="6"/>
    </i>
    <i t="grand">
      <x/>
    </i>
  </rowItems>
  <colFields count="2">
    <field x="-2"/>
    <field x="28"/>
  </colFields>
  <colItems count="16">
    <i>
      <x/>
      <x/>
    </i>
    <i r="1">
      <x v="1"/>
    </i>
    <i r="1">
      <x v="2"/>
    </i>
    <i r="1">
      <x v="3"/>
    </i>
    <i r="1">
      <x v="4"/>
    </i>
    <i r="1">
      <x v="5"/>
    </i>
    <i r="1">
      <x v="6"/>
    </i>
    <i i="1">
      <x v="1"/>
      <x/>
    </i>
    <i r="1" i="1">
      <x v="1"/>
    </i>
    <i r="1" i="1">
      <x v="2"/>
    </i>
    <i r="1" i="1">
      <x v="3"/>
    </i>
    <i r="1" i="1">
      <x v="4"/>
    </i>
    <i r="1" i="1">
      <x v="5"/>
    </i>
    <i r="1" i="1">
      <x v="6"/>
    </i>
    <i t="grand">
      <x/>
    </i>
    <i t="grand" i="1">
      <x/>
    </i>
  </colItems>
  <dataFields count="2">
    <dataField name="Sum of Order_Quantity" fld="16" baseField="6" baseItem="0"/>
    <dataField name="Sum of Order_Quantity2" fld="16" showDataAs="percentOfTotal" baseField="28" baseItem="0" numFmtId="10"/>
  </dataFields>
  <formats count="6">
    <format dxfId="2688">
      <pivotArea outline="0" collapsedLevelsAreSubtotals="1" fieldPosition="0"/>
    </format>
    <format dxfId="2689">
      <pivotArea dataOnly="0" labelOnly="1" outline="0" fieldPosition="0">
        <references count="1">
          <reference field="28" count="0"/>
        </references>
      </pivotArea>
    </format>
    <format dxfId="2690">
      <pivotArea dataOnly="0" labelOnly="1" grandCol="1" outline="0" fieldPosition="0"/>
    </format>
    <format dxfId="2691">
      <pivotArea grandRow="1" outline="0" collapsedLevelsAreSubtotals="1" fieldPosition="0"/>
    </format>
    <format dxfId="2692">
      <pivotArea dataOnly="0" labelOnly="1" grandRow="1" outline="0" fieldPosition="0"/>
    </format>
    <format dxfId="2693">
      <pivotArea outline="0" fieldPosition="0">
        <references count="1">
          <reference field="4294967294" count="1">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5.xml><?xml version="1.0" encoding="utf-8"?>
<pivotTableDefinition xmlns="http://schemas.openxmlformats.org/spreadsheetml/2006/main" xmlns:mc="http://schemas.openxmlformats.org/markup-compatibility/2006" xmlns:xr="http://schemas.microsoft.com/office/spreadsheetml/2014/revision" mc:Ignorable="xr" xr:uid="{98B2AD43-4F1D-490A-9324-FCF24DA90442}" name="PivotTable16"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409:C422"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dataField="1" compact="0" outline="0" showAll="0" sortType="descending" defaultSubtotal="0">
      <autoSortScope>
        <pivotArea dataOnly="0" outline="0" fieldPosition="0">
          <references count="1">
            <reference field="4294967294" count="1" selected="0">
              <x v="1"/>
            </reference>
          </references>
        </pivotArea>
      </autoSortScope>
    </pivotField>
    <pivotField compact="0" outline="0" showAll="0" sortType="descending"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autoSortScope>
        <pivotArea dataOnly="0" outline="0" fieldPosition="0">
          <references count="1">
            <reference field="4294967294" count="1" selected="0">
              <x v="1"/>
            </reference>
          </references>
        </pivotArea>
      </autoSortScope>
    </pivotField>
    <pivotField axis="axisRow" compact="0" outline="0" showAll="0" sortType="descending" defaultSubtotal="0">
      <items count="12">
        <item x="11"/>
        <item x="5"/>
        <item x="9"/>
        <item x="8"/>
        <item x="10"/>
        <item x="1"/>
        <item x="7"/>
        <item x="2"/>
        <item x="4"/>
        <item x="6"/>
        <item x="0"/>
        <item x="3"/>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7"/>
  </rowFields>
  <rowItems count="13">
    <i>
      <x v="7"/>
    </i>
    <i>
      <x v="5"/>
    </i>
    <i>
      <x v="10"/>
    </i>
    <i>
      <x v="6"/>
    </i>
    <i>
      <x v="11"/>
    </i>
    <i>
      <x v="9"/>
    </i>
    <i>
      <x v="4"/>
    </i>
    <i>
      <x v="1"/>
    </i>
    <i>
      <x v="8"/>
    </i>
    <i>
      <x v="2"/>
    </i>
    <i>
      <x v="3"/>
    </i>
    <i>
      <x/>
    </i>
    <i t="grand">
      <x/>
    </i>
  </rowItems>
  <colFields count="1">
    <field x="-2"/>
  </colFields>
  <colItems count="2">
    <i>
      <x/>
    </i>
    <i i="1">
      <x v="1"/>
    </i>
  </colItems>
  <dataFields count="2">
    <dataField name="Count of Supplier_ID" fld="5" subtotal="count" baseField="0" baseItem="0"/>
    <dataField name="Sum of Ordered_Value in $" fld="19" baseField="6" baseItem="13" numFmtId="4"/>
  </dataFields>
  <formats count="1">
    <format dxfId="2910">
      <pivotArea outline="0" fieldPosition="0">
        <references count="1">
          <reference field="4294967294" count="1" selected="0">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6.xml><?xml version="1.0" encoding="utf-8"?>
<pivotTableDefinition xmlns="http://schemas.openxmlformats.org/spreadsheetml/2006/main" xmlns:mc="http://schemas.openxmlformats.org/markup-compatibility/2006" xmlns:xr="http://schemas.microsoft.com/office/spreadsheetml/2014/revision" mc:Ignorable="xr" xr:uid="{4772C787-DA01-46A9-9D7E-D3E9F93B5002}" name="PivotTable48"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2">
  <location ref="A709:I726"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sortType="descending"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compact="0" outline="0" showAll="0" defaultSubtotal="0">
      <items count="7">
        <item x="5"/>
        <item x="2"/>
        <item x="3"/>
        <item x="1"/>
        <item x="4"/>
        <item x="0"/>
        <item x="6"/>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24"/>
    </i>
    <i>
      <x v="18"/>
    </i>
    <i>
      <x v="21"/>
    </i>
    <i>
      <x v="28"/>
    </i>
    <i>
      <x v="19"/>
    </i>
    <i>
      <x v="26"/>
    </i>
    <i>
      <x v="27"/>
    </i>
    <i>
      <x v="16"/>
    </i>
    <i>
      <x v="22"/>
    </i>
    <i>
      <x v="17"/>
    </i>
    <i>
      <x v="29"/>
    </i>
    <i>
      <x v="20"/>
    </i>
    <i>
      <x v="25"/>
    </i>
    <i>
      <x v="15"/>
    </i>
    <i>
      <x v="23"/>
    </i>
    <i t="grand">
      <x/>
    </i>
  </rowItems>
  <colFields count="1">
    <field x="28"/>
  </colFields>
  <colItems count="8">
    <i>
      <x/>
    </i>
    <i>
      <x v="1"/>
    </i>
    <i>
      <x v="2"/>
    </i>
    <i>
      <x v="3"/>
    </i>
    <i>
      <x v="4"/>
    </i>
    <i>
      <x v="5"/>
    </i>
    <i>
      <x v="6"/>
    </i>
    <i t="grand">
      <x/>
    </i>
  </colItems>
  <dataFields count="1">
    <dataField name="Count" fld="6" subtotal="count" baseField="0" baseItem="0"/>
  </dataFields>
  <formats count="5">
    <format dxfId="2722">
      <pivotArea outline="0" collapsedLevelsAreSubtotals="1" fieldPosition="0"/>
    </format>
    <format dxfId="2723">
      <pivotArea dataOnly="0" labelOnly="1" outline="0" fieldPosition="0">
        <references count="1">
          <reference field="28" count="0"/>
        </references>
      </pivotArea>
    </format>
    <format dxfId="2724">
      <pivotArea dataOnly="0" labelOnly="1" grandCol="1" outline="0" fieldPosition="0"/>
    </format>
    <format dxfId="2725">
      <pivotArea grandRow="1" outline="0" collapsedLevelsAreSubtotals="1" fieldPosition="0"/>
    </format>
    <format dxfId="2726">
      <pivotArea dataOnly="0" labelOnly="1" grandRow="1" outline="0" fieldPosition="0"/>
    </format>
  </formats>
  <chartFormats count="14">
    <chartFormat chart="25" format="14" series="1">
      <pivotArea type="data" outline="0" fieldPosition="0">
        <references count="2">
          <reference field="4294967294" count="1" selected="0">
            <x v="0"/>
          </reference>
          <reference field="28" count="1" selected="0">
            <x v="0"/>
          </reference>
        </references>
      </pivotArea>
    </chartFormat>
    <chartFormat chart="25" format="15" series="1">
      <pivotArea type="data" outline="0" fieldPosition="0">
        <references count="2">
          <reference field="4294967294" count="1" selected="0">
            <x v="0"/>
          </reference>
          <reference field="28" count="1" selected="0">
            <x v="1"/>
          </reference>
        </references>
      </pivotArea>
    </chartFormat>
    <chartFormat chart="25" format="16" series="1">
      <pivotArea type="data" outline="0" fieldPosition="0">
        <references count="2">
          <reference field="4294967294" count="1" selected="0">
            <x v="0"/>
          </reference>
          <reference field="28" count="1" selected="0">
            <x v="2"/>
          </reference>
        </references>
      </pivotArea>
    </chartFormat>
    <chartFormat chart="25" format="17" series="1">
      <pivotArea type="data" outline="0" fieldPosition="0">
        <references count="2">
          <reference field="4294967294" count="1" selected="0">
            <x v="0"/>
          </reference>
          <reference field="28" count="1" selected="0">
            <x v="3"/>
          </reference>
        </references>
      </pivotArea>
    </chartFormat>
    <chartFormat chart="25" format="18" series="1">
      <pivotArea type="data" outline="0" fieldPosition="0">
        <references count="2">
          <reference field="4294967294" count="1" selected="0">
            <x v="0"/>
          </reference>
          <reference field="28" count="1" selected="0">
            <x v="4"/>
          </reference>
        </references>
      </pivotArea>
    </chartFormat>
    <chartFormat chart="25" format="19" series="1">
      <pivotArea type="data" outline="0" fieldPosition="0">
        <references count="2">
          <reference field="4294967294" count="1" selected="0">
            <x v="0"/>
          </reference>
          <reference field="28" count="1" selected="0">
            <x v="5"/>
          </reference>
        </references>
      </pivotArea>
    </chartFormat>
    <chartFormat chart="25" format="20" series="1">
      <pivotArea type="data" outline="0" fieldPosition="0">
        <references count="2">
          <reference field="4294967294" count="1" selected="0">
            <x v="0"/>
          </reference>
          <reference field="28" count="1" selected="0">
            <x v="6"/>
          </reference>
        </references>
      </pivotArea>
    </chartFormat>
    <chartFormat chart="31" format="21" series="1">
      <pivotArea type="data" outline="0" fieldPosition="0">
        <references count="2">
          <reference field="4294967294" count="1" selected="0">
            <x v="0"/>
          </reference>
          <reference field="28" count="1" selected="0">
            <x v="0"/>
          </reference>
        </references>
      </pivotArea>
    </chartFormat>
    <chartFormat chart="31" format="22" series="1">
      <pivotArea type="data" outline="0" fieldPosition="0">
        <references count="2">
          <reference field="4294967294" count="1" selected="0">
            <x v="0"/>
          </reference>
          <reference field="28" count="1" selected="0">
            <x v="1"/>
          </reference>
        </references>
      </pivotArea>
    </chartFormat>
    <chartFormat chart="31" format="23" series="1">
      <pivotArea type="data" outline="0" fieldPosition="0">
        <references count="2">
          <reference field="4294967294" count="1" selected="0">
            <x v="0"/>
          </reference>
          <reference field="28" count="1" selected="0">
            <x v="2"/>
          </reference>
        </references>
      </pivotArea>
    </chartFormat>
    <chartFormat chart="31" format="24" series="1">
      <pivotArea type="data" outline="0" fieldPosition="0">
        <references count="2">
          <reference field="4294967294" count="1" selected="0">
            <x v="0"/>
          </reference>
          <reference field="28" count="1" selected="0">
            <x v="3"/>
          </reference>
        </references>
      </pivotArea>
    </chartFormat>
    <chartFormat chart="31" format="25" series="1">
      <pivotArea type="data" outline="0" fieldPosition="0">
        <references count="2">
          <reference field="4294967294" count="1" selected="0">
            <x v="0"/>
          </reference>
          <reference field="28" count="1" selected="0">
            <x v="4"/>
          </reference>
        </references>
      </pivotArea>
    </chartFormat>
    <chartFormat chart="31" format="26" series="1">
      <pivotArea type="data" outline="0" fieldPosition="0">
        <references count="2">
          <reference field="4294967294" count="1" selected="0">
            <x v="0"/>
          </reference>
          <reference field="28" count="1" selected="0">
            <x v="5"/>
          </reference>
        </references>
      </pivotArea>
    </chartFormat>
    <chartFormat chart="31" format="27" series="1">
      <pivotArea type="data" outline="0" fieldPosition="0">
        <references count="2">
          <reference field="4294967294" count="1" selected="0">
            <x v="0"/>
          </reference>
          <reference field="28" count="1" selected="0">
            <x v="6"/>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7.xml><?xml version="1.0" encoding="utf-8"?>
<pivotTableDefinition xmlns="http://schemas.openxmlformats.org/spreadsheetml/2006/main" xmlns:mc="http://schemas.openxmlformats.org/markup-compatibility/2006" xmlns:xr="http://schemas.microsoft.com/office/spreadsheetml/2014/revision" mc:Ignorable="xr" xr:uid="{1C4FDA5A-EC29-41F3-B040-108BDC5BE6BB}"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330:H338"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axis="axisRow" compact="0" outline="0" showAll="0" sortType="descending" defaultSubtotal="0">
      <items count="7">
        <item x="1"/>
        <item x="2"/>
        <item x="0"/>
        <item x="6"/>
        <item x="4"/>
        <item x="5"/>
        <item x="3"/>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9"/>
  </rowFields>
  <rowItems count="8">
    <i>
      <x v="3"/>
    </i>
    <i>
      <x v="4"/>
    </i>
    <i>
      <x/>
    </i>
    <i>
      <x v="1"/>
    </i>
    <i>
      <x v="2"/>
    </i>
    <i>
      <x v="6"/>
    </i>
    <i>
      <x v="5"/>
    </i>
    <i t="grand">
      <x/>
    </i>
  </rowItems>
  <colFields count="1">
    <field x="-2"/>
  </colFields>
  <colItems count="2">
    <i>
      <x/>
    </i>
    <i i="1">
      <x v="1"/>
    </i>
  </colItems>
  <dataFields count="2">
    <dataField name="Count" fld="36" subtotal="count" baseField="5" baseItem="0"/>
    <dataField name="Avg Supplier Rating" fld="36" subtotal="average" baseField="5" baseItem="0" numFmtId="164"/>
  </dataFields>
  <formats count="2">
    <format dxfId="2923">
      <pivotArea outline="0" collapsedLevelsAreSubtotals="1" fieldPosition="0">
        <references count="1">
          <reference field="4294967294" count="1" selected="0">
            <x v="1"/>
          </reference>
        </references>
      </pivotArea>
    </format>
    <format dxfId="2924">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8.xml><?xml version="1.0" encoding="utf-8"?>
<pivotTableDefinition xmlns="http://schemas.openxmlformats.org/spreadsheetml/2006/main" xmlns:mc="http://schemas.openxmlformats.org/markup-compatibility/2006" xmlns:xr="http://schemas.microsoft.com/office/spreadsheetml/2014/revision" mc:Ignorable="xr" xr:uid="{826E2268-9E84-4772-947A-3ADF41201D1E}" name="PivotTable22"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507:J524" firstHeaderRow="1" firstDataRow="2" firstDataCol="2"/>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compact="0" outline="0" showAll="0" defaultSubtotal="0">
      <items count="15">
        <item x="10"/>
        <item x="6"/>
        <item x="9"/>
        <item x="5"/>
        <item x="7"/>
        <item x="11"/>
        <item x="0"/>
        <item x="12"/>
        <item x="1"/>
        <item x="13"/>
        <item x="4"/>
        <item x="14"/>
        <item x="8"/>
        <item x="2"/>
        <item x="3"/>
      </items>
    </pivotField>
    <pivotField axis="axisRow" compact="0" outline="0" showAll="0" sortType="descending"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axis="axisCol" compact="0" outline="0" showAll="0" defaultSubtotal="0">
      <items count="7">
        <item x="1"/>
        <item x="2"/>
        <item x="0"/>
        <item x="6"/>
        <item x="4"/>
        <item x="5"/>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dataField="1"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2">
    <field x="5"/>
    <field x="6"/>
  </rowFields>
  <rowItems count="16">
    <i>
      <x/>
      <x v="25"/>
    </i>
    <i>
      <x v="1"/>
      <x v="21"/>
    </i>
    <i>
      <x v="2"/>
      <x v="24"/>
    </i>
    <i>
      <x v="3"/>
      <x v="20"/>
    </i>
    <i>
      <x v="4"/>
      <x v="22"/>
    </i>
    <i>
      <x v="5"/>
      <x v="26"/>
    </i>
    <i>
      <x v="6"/>
      <x v="15"/>
    </i>
    <i>
      <x v="7"/>
      <x v="27"/>
    </i>
    <i>
      <x v="8"/>
      <x v="16"/>
    </i>
    <i>
      <x v="9"/>
      <x v="28"/>
    </i>
    <i>
      <x v="10"/>
      <x v="19"/>
    </i>
    <i>
      <x v="11"/>
      <x v="29"/>
    </i>
    <i>
      <x v="12"/>
      <x v="23"/>
    </i>
    <i>
      <x v="13"/>
      <x v="17"/>
    </i>
    <i>
      <x v="14"/>
      <x v="18"/>
    </i>
    <i t="grand">
      <x/>
    </i>
  </rowItems>
  <colFields count="1">
    <field x="9"/>
  </colFields>
  <colItems count="8">
    <i>
      <x/>
    </i>
    <i>
      <x v="1"/>
    </i>
    <i>
      <x v="2"/>
    </i>
    <i>
      <x v="3"/>
    </i>
    <i>
      <x v="4"/>
    </i>
    <i>
      <x v="5"/>
    </i>
    <i>
      <x v="6"/>
    </i>
    <i t="grand">
      <x/>
    </i>
  </colItems>
  <dataFields count="1">
    <dataField name="Sum of Lead_Time_Variance_Days" fld="27" baseField="0" baseItem="0"/>
  </dataFields>
  <formats count="1">
    <format dxfId="284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9.xml><?xml version="1.0" encoding="utf-8"?>
<pivotTableDefinition xmlns="http://schemas.openxmlformats.org/spreadsheetml/2006/main" xmlns:mc="http://schemas.openxmlformats.org/markup-compatibility/2006" xmlns:xr="http://schemas.microsoft.com/office/spreadsheetml/2014/revision" mc:Ignorable="xr" xr:uid="{6592B4CC-6CEA-47C9-9A88-AF51442424D8}" name="PivotTable8"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440:G456" firstHeaderRow="0" firstDataRow="1" firstDataCol="2"/>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dataField="1" compact="0" outline="0" showAll="0" sortType="descending" defaultSubtotal="0">
      <items count="15">
        <item x="10"/>
        <item x="6"/>
        <item x="9"/>
        <item x="5"/>
        <item x="7"/>
        <item x="11"/>
        <item x="0"/>
        <item x="12"/>
        <item x="1"/>
        <item x="13"/>
        <item x="4"/>
        <item x="14"/>
        <item x="8"/>
        <item x="2"/>
        <item x="3"/>
      </items>
      <autoSortScope>
        <pivotArea dataOnly="0" outline="0" fieldPosition="0">
          <references count="1">
            <reference field="4294967294" count="1" selected="0">
              <x v="3"/>
            </reference>
          </references>
        </pivotArea>
      </autoSortScope>
    </pivotField>
    <pivotField axis="axisRow" compact="0" outline="0" showAll="0" sortType="descending"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autoSortScope>
        <pivotArea dataOnly="0" outline="0" fieldPosition="0">
          <references count="1">
            <reference field="4294967294" count="1" selected="0">
              <x v="2"/>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2">
    <field x="5"/>
    <field x="6"/>
  </rowFields>
  <rowItems count="16">
    <i>
      <x v="4"/>
      <x v="22"/>
    </i>
    <i>
      <x/>
      <x v="25"/>
    </i>
    <i>
      <x v="14"/>
      <x v="18"/>
    </i>
    <i>
      <x v="6"/>
      <x v="15"/>
    </i>
    <i>
      <x v="11"/>
      <x v="29"/>
    </i>
    <i>
      <x v="1"/>
      <x v="21"/>
    </i>
    <i>
      <x v="9"/>
      <x v="28"/>
    </i>
    <i>
      <x v="10"/>
      <x v="19"/>
    </i>
    <i>
      <x v="5"/>
      <x v="26"/>
    </i>
    <i>
      <x v="3"/>
      <x v="20"/>
    </i>
    <i>
      <x v="8"/>
      <x v="16"/>
    </i>
    <i>
      <x v="13"/>
      <x v="17"/>
    </i>
    <i>
      <x v="7"/>
      <x v="27"/>
    </i>
    <i>
      <x v="12"/>
      <x v="23"/>
    </i>
    <i>
      <x v="2"/>
      <x v="24"/>
    </i>
    <i t="grand">
      <x/>
    </i>
  </rowItems>
  <colFields count="1">
    <field x="-2"/>
  </colFields>
  <colItems count="5">
    <i>
      <x/>
    </i>
    <i i="1">
      <x v="1"/>
    </i>
    <i i="2">
      <x v="2"/>
    </i>
    <i i="3">
      <x v="3"/>
    </i>
    <i i="4">
      <x v="4"/>
    </i>
  </colItems>
  <dataFields count="5">
    <dataField name="Count of Supplier_ID" fld="5" subtotal="count" baseField="0" baseItem="0"/>
    <dataField name="Sum of Order_Quantity" fld="16" baseField="6" baseItem="3"/>
    <dataField name="Sum of Defective_Units" fld="20" baseField="0" baseItem="0"/>
    <dataField name="% of  Defective_Units" fld="20" showDataAs="percentOfTotal" baseField="0" baseItem="0" numFmtId="10"/>
    <dataField name="Average of Defect_Rate" fld="21" subtotal="average" baseField="6" baseItem="5" numFmtId="10"/>
  </dataFields>
  <formats count="4">
    <format dxfId="2652">
      <pivotArea outline="0" fieldPosition="0">
        <references count="1">
          <reference field="4294967294" count="1">
            <x v="3"/>
          </reference>
        </references>
      </pivotArea>
    </format>
    <format dxfId="2653">
      <pivotArea outline="0" fieldPosition="0">
        <references count="3">
          <reference field="4294967294" count="1" selected="0">
            <x v="1"/>
          </reference>
          <reference field="5" count="1" selected="0">
            <x v="2"/>
          </reference>
          <reference field="6" count="1" selected="0">
            <x v="14"/>
          </reference>
        </references>
      </pivotArea>
    </format>
    <format dxfId="2654">
      <pivotArea outline="0" fieldPosition="0">
        <references count="3">
          <reference field="4294967294" count="1" selected="0">
            <x v="1"/>
          </reference>
          <reference field="5" count="1" selected="0">
            <x v="0"/>
          </reference>
          <reference field="6" count="1" selected="0">
            <x v="13"/>
          </reference>
        </references>
      </pivotArea>
    </format>
    <format dxfId="2655">
      <pivotArea outline="0" fieldPosition="0">
        <references count="3">
          <reference field="4294967294" count="1" selected="0">
            <x v="1"/>
          </reference>
          <reference field="5" count="1" selected="0">
            <x v="4"/>
          </reference>
          <reference field="6" count="1" selected="0">
            <x v="3"/>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0.xml><?xml version="1.0" encoding="utf-8"?>
<pivotTableDefinition xmlns="http://schemas.openxmlformats.org/spreadsheetml/2006/main" xmlns:mc="http://schemas.openxmlformats.org/markup-compatibility/2006" xmlns:xr="http://schemas.microsoft.com/office/spreadsheetml/2014/revision" mc:Ignorable="xr" xr:uid="{5A1AE272-D313-4CCE-9E6B-DC9AA13BBE61}" name="PivotTable43"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50:Q364"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Col"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axis="axisRow" compact="0" outline="0" showAll="0" defaultSubtotal="0">
      <items count="12">
        <item x="11"/>
        <item x="5"/>
        <item x="9"/>
        <item x="8"/>
        <item x="10"/>
        <item x="1"/>
        <item x="7"/>
        <item x="2"/>
        <item x="4"/>
        <item x="6"/>
        <item x="0"/>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7"/>
  </rowFields>
  <rowItems count="13">
    <i>
      <x/>
    </i>
    <i>
      <x v="1"/>
    </i>
    <i>
      <x v="2"/>
    </i>
    <i>
      <x v="3"/>
    </i>
    <i>
      <x v="4"/>
    </i>
    <i>
      <x v="5"/>
    </i>
    <i>
      <x v="6"/>
    </i>
    <i>
      <x v="7"/>
    </i>
    <i>
      <x v="8"/>
    </i>
    <i>
      <x v="9"/>
    </i>
    <i>
      <x v="10"/>
    </i>
    <i>
      <x v="11"/>
    </i>
    <i t="grand">
      <x/>
    </i>
  </rowItems>
  <colFields count="1">
    <field x="6"/>
  </colFields>
  <colItems count="16">
    <i>
      <x v="15"/>
    </i>
    <i>
      <x v="16"/>
    </i>
    <i>
      <x v="17"/>
    </i>
    <i>
      <x v="18"/>
    </i>
    <i>
      <x v="19"/>
    </i>
    <i>
      <x v="20"/>
    </i>
    <i>
      <x v="21"/>
    </i>
    <i>
      <x v="22"/>
    </i>
    <i>
      <x v="23"/>
    </i>
    <i>
      <x v="24"/>
    </i>
    <i>
      <x v="25"/>
    </i>
    <i>
      <x v="26"/>
    </i>
    <i>
      <x v="27"/>
    </i>
    <i>
      <x v="28"/>
    </i>
    <i>
      <x v="29"/>
    </i>
    <i t="grand">
      <x/>
    </i>
  </colItems>
  <dataFields count="1">
    <dataField name="Count" fld="36" subtotal="count" baseField="5" baseItem="0"/>
  </dataFields>
  <formats count="2">
    <format dxfId="2755">
      <pivotArea dataOnly="0" labelOnly="1" outline="0" fieldPosition="0">
        <references count="1">
          <reference field="4294967294" count="1">
            <x v="0"/>
          </reference>
        </references>
      </pivotArea>
    </format>
    <format dxfId="2756">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1.xml><?xml version="1.0" encoding="utf-8"?>
<pivotTableDefinition xmlns="http://schemas.openxmlformats.org/spreadsheetml/2006/main" xmlns:mc="http://schemas.openxmlformats.org/markup-compatibility/2006" xmlns:xr="http://schemas.microsoft.com/office/spreadsheetml/2014/revision" mc:Ignorable="xr" xr:uid="{547ACD8E-DC39-49AA-AE4E-6D9D4DDA86DE}" name="PivotTable17"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40">
  <location ref="A1541:B1739" firstHeaderRow="1"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dataField="1"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4"/>
  </rowFields>
  <rowItems count="1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rowItems>
  <colItems count="1">
    <i/>
  </colItems>
  <dataFields count="1">
    <dataField name="Sum of Calculated_Lead_Time_Variance_Days" fld="26" baseField="0" baseItem="0" numFmtId="1"/>
  </dataFields>
  <formats count="15">
    <format dxfId="2895">
      <pivotArea outline="0" collapsedLevelsAreSubtotals="1" fieldPosition="0"/>
    </format>
    <format dxfId="2896">
      <pivotArea dataOnly="0" labelOnly="1" grandCol="1" outline="0" fieldPosition="0"/>
    </format>
    <format dxfId="2897">
      <pivotArea grandRow="1" outline="0" collapsedLevelsAreSubtotals="1" fieldPosition="0"/>
    </format>
    <format dxfId="2898">
      <pivotArea dataOnly="0" labelOnly="1" grandRow="1" outline="0" fieldPosition="0"/>
    </format>
    <format dxfId="2899">
      <pivotArea field="6" type="button" dataOnly="0" labelOnly="1" outline="0"/>
    </format>
    <format dxfId="2900">
      <pivotArea dataOnly="0" labelOnly="1" grandCol="1" outline="0" fieldPosition="0"/>
    </format>
    <format dxfId="2901">
      <pivotArea field="6" type="button" dataOnly="0" labelOnly="1" outline="0"/>
    </format>
    <format dxfId="2902">
      <pivotArea dataOnly="0" labelOnly="1" grandCol="1" outline="0" fieldPosition="0"/>
    </format>
    <format dxfId="2903">
      <pivotArea field="6" type="button" dataOnly="0" labelOnly="1" outline="0"/>
    </format>
    <format dxfId="2904">
      <pivotArea dataOnly="0" labelOnly="1" grandCol="1" outline="0" fieldPosition="0"/>
    </format>
    <format dxfId="2905">
      <pivotArea field="6" type="button" dataOnly="0" labelOnly="1" outline="0"/>
    </format>
    <format dxfId="2906">
      <pivotArea dataOnly="0" labelOnly="1" grandCol="1" outline="0" fieldPosition="0"/>
    </format>
    <format dxfId="2907">
      <pivotArea dataOnly="0" labelOnly="1" grandCol="1" outline="0" fieldPosition="0"/>
    </format>
    <format dxfId="2908">
      <pivotArea dataOnly="0" labelOnly="1" grandCol="1" outline="0" fieldPosition="0"/>
    </format>
    <format dxfId="2909">
      <pivotArea dataOnly="0" labelOnly="1" grandCol="1" outline="0" fieldPosition="0"/>
    </format>
  </formats>
  <chartFormats count="4">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 chart="39"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2.xml><?xml version="1.0" encoding="utf-8"?>
<pivotTableDefinition xmlns="http://schemas.openxmlformats.org/spreadsheetml/2006/main" xmlns:mc="http://schemas.openxmlformats.org/markup-compatibility/2006" xmlns:xr="http://schemas.microsoft.com/office/spreadsheetml/2014/revision" mc:Ignorable="xr" xr:uid="{DF71427D-7F52-4123-9354-668E83E42907}" name="PivotTable7"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8">
  <location ref="A806:H823"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axis="axisCol" compact="0" outline="0" showAll="0" defaultSubtotal="0">
      <items count="6">
        <item x="0"/>
        <item x="3"/>
        <item x="1"/>
        <item x="2"/>
        <item x="4"/>
        <item x="5"/>
      </items>
    </pivotField>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29"/>
  </colFields>
  <colItems count="7">
    <i>
      <x/>
    </i>
    <i>
      <x v="1"/>
    </i>
    <i>
      <x v="2"/>
    </i>
    <i>
      <x v="3"/>
    </i>
    <i>
      <x v="4"/>
    </i>
    <i>
      <x v="5"/>
    </i>
    <i t="grand">
      <x/>
    </i>
  </colItems>
  <dataFields count="1">
    <dataField name="Count" fld="6" subtotal="count" baseField="0" baseItem="0"/>
  </dataFields>
  <formats count="8">
    <format dxfId="2656">
      <pivotArea outline="0" collapsedLevelsAreSubtotals="1" fieldPosition="0"/>
    </format>
    <format dxfId="2657">
      <pivotArea dataOnly="0" labelOnly="1" grandCol="1" outline="0" fieldPosition="0"/>
    </format>
    <format dxfId="2658">
      <pivotArea dataOnly="0" labelOnly="1" outline="0" fieldPosition="0">
        <references count="1">
          <reference field="29" count="0"/>
        </references>
      </pivotArea>
    </format>
    <format dxfId="2659">
      <pivotArea field="6" type="button" dataOnly="0" labelOnly="1" outline="0" axis="axisRow" fieldPosition="0"/>
    </format>
    <format dxfId="2660">
      <pivotArea dataOnly="0" labelOnly="1" outline="0" fieldPosition="0">
        <references count="1">
          <reference field="29" count="0"/>
        </references>
      </pivotArea>
    </format>
    <format dxfId="2661">
      <pivotArea dataOnly="0" labelOnly="1" grandCol="1" outline="0" fieldPosition="0"/>
    </format>
    <format dxfId="2662">
      <pivotArea grandRow="1" outline="0" collapsedLevelsAreSubtotals="1" fieldPosition="0"/>
    </format>
    <format dxfId="2663">
      <pivotArea dataOnly="0" labelOnly="1" grandRow="1" outline="0" fieldPosition="0"/>
    </format>
  </formats>
  <chartFormats count="12">
    <chartFormat chart="14" format="12" series="1">
      <pivotArea type="data" outline="0" fieldPosition="0">
        <references count="2">
          <reference field="4294967294" count="1" selected="0">
            <x v="0"/>
          </reference>
          <reference field="29" count="1" selected="0">
            <x v="0"/>
          </reference>
        </references>
      </pivotArea>
    </chartFormat>
    <chartFormat chart="14" format="13" series="1">
      <pivotArea type="data" outline="0" fieldPosition="0">
        <references count="2">
          <reference field="4294967294" count="1" selected="0">
            <x v="0"/>
          </reference>
          <reference field="29" count="1" selected="0">
            <x v="1"/>
          </reference>
        </references>
      </pivotArea>
    </chartFormat>
    <chartFormat chart="14" format="14" series="1">
      <pivotArea type="data" outline="0" fieldPosition="0">
        <references count="2">
          <reference field="4294967294" count="1" selected="0">
            <x v="0"/>
          </reference>
          <reference field="29" count="1" selected="0">
            <x v="2"/>
          </reference>
        </references>
      </pivotArea>
    </chartFormat>
    <chartFormat chart="14" format="15" series="1">
      <pivotArea type="data" outline="0" fieldPosition="0">
        <references count="2">
          <reference field="4294967294" count="1" selected="0">
            <x v="0"/>
          </reference>
          <reference field="29" count="1" selected="0">
            <x v="3"/>
          </reference>
        </references>
      </pivotArea>
    </chartFormat>
    <chartFormat chart="14" format="16" series="1">
      <pivotArea type="data" outline="0" fieldPosition="0">
        <references count="2">
          <reference field="4294967294" count="1" selected="0">
            <x v="0"/>
          </reference>
          <reference field="29" count="1" selected="0">
            <x v="4"/>
          </reference>
        </references>
      </pivotArea>
    </chartFormat>
    <chartFormat chart="14" format="17" series="1">
      <pivotArea type="data" outline="0" fieldPosition="0">
        <references count="2">
          <reference field="4294967294" count="1" selected="0">
            <x v="0"/>
          </reference>
          <reference field="29" count="1" selected="0">
            <x v="5"/>
          </reference>
        </references>
      </pivotArea>
    </chartFormat>
    <chartFormat chart="17" format="18" series="1">
      <pivotArea type="data" outline="0" fieldPosition="0">
        <references count="2">
          <reference field="4294967294" count="1" selected="0">
            <x v="0"/>
          </reference>
          <reference field="29" count="1" selected="0">
            <x v="0"/>
          </reference>
        </references>
      </pivotArea>
    </chartFormat>
    <chartFormat chart="17" format="19" series="1">
      <pivotArea type="data" outline="0" fieldPosition="0">
        <references count="2">
          <reference field="4294967294" count="1" selected="0">
            <x v="0"/>
          </reference>
          <reference field="29" count="1" selected="0">
            <x v="1"/>
          </reference>
        </references>
      </pivotArea>
    </chartFormat>
    <chartFormat chart="17" format="20" series="1">
      <pivotArea type="data" outline="0" fieldPosition="0">
        <references count="2">
          <reference field="4294967294" count="1" selected="0">
            <x v="0"/>
          </reference>
          <reference field="29" count="1" selected="0">
            <x v="2"/>
          </reference>
        </references>
      </pivotArea>
    </chartFormat>
    <chartFormat chart="17" format="21" series="1">
      <pivotArea type="data" outline="0" fieldPosition="0">
        <references count="2">
          <reference field="4294967294" count="1" selected="0">
            <x v="0"/>
          </reference>
          <reference field="29" count="1" selected="0">
            <x v="3"/>
          </reference>
        </references>
      </pivotArea>
    </chartFormat>
    <chartFormat chart="17" format="22" series="1">
      <pivotArea type="data" outline="0" fieldPosition="0">
        <references count="2">
          <reference field="4294967294" count="1" selected="0">
            <x v="0"/>
          </reference>
          <reference field="29" count="1" selected="0">
            <x v="4"/>
          </reference>
        </references>
      </pivotArea>
    </chartFormat>
    <chartFormat chart="17" format="23" series="1">
      <pivotArea type="data" outline="0" fieldPosition="0">
        <references count="2">
          <reference field="4294967294" count="1" selected="0">
            <x v="0"/>
          </reference>
          <reference field="29"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3.xml><?xml version="1.0" encoding="utf-8"?>
<pivotTableDefinition xmlns="http://schemas.openxmlformats.org/spreadsheetml/2006/main" xmlns:mc="http://schemas.openxmlformats.org/markup-compatibility/2006" xmlns:xr="http://schemas.microsoft.com/office/spreadsheetml/2014/revision" mc:Ignorable="xr" xr:uid="{C7591D85-3486-4686-A963-63CADC84480E}" name="PivotTable5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905:H922"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axis="axisCol"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32"/>
  </colFields>
  <colItems count="7">
    <i>
      <x/>
    </i>
    <i>
      <x v="1"/>
    </i>
    <i>
      <x v="2"/>
    </i>
    <i>
      <x v="3"/>
    </i>
    <i>
      <x v="4"/>
    </i>
    <i>
      <x v="5"/>
    </i>
    <i t="grand">
      <x/>
    </i>
  </colItems>
  <dataFields count="1">
    <dataField name="Count of Supplier_Name" fld="6" subtotal="count" baseField="0" baseItem="0"/>
  </dataFields>
  <formats count="11">
    <format dxfId="2694">
      <pivotArea outline="0" collapsedLevelsAreSubtotals="1" fieldPosition="0"/>
    </format>
    <format dxfId="2695">
      <pivotArea dataOnly="0" labelOnly="1" grandCol="1" outline="0" fieldPosition="0"/>
    </format>
    <format dxfId="2696">
      <pivotArea grandRow="1" outline="0" collapsedLevelsAreSubtotals="1" fieldPosition="0"/>
    </format>
    <format dxfId="2697">
      <pivotArea dataOnly="0" labelOnly="1" grandRow="1" outline="0" fieldPosition="0"/>
    </format>
    <format dxfId="2698">
      <pivotArea field="6" type="button" dataOnly="0" labelOnly="1" outline="0" axis="axisRow" fieldPosition="0"/>
    </format>
    <format dxfId="2699">
      <pivotArea dataOnly="0" labelOnly="1" grandCol="1" outline="0" fieldPosition="0"/>
    </format>
    <format dxfId="2700">
      <pivotArea field="6" type="button" dataOnly="0" labelOnly="1" outline="0" axis="axisRow" fieldPosition="0"/>
    </format>
    <format dxfId="2701">
      <pivotArea dataOnly="0" labelOnly="1" grandCol="1" outline="0" fieldPosition="0"/>
    </format>
    <format dxfId="2702">
      <pivotArea field="6" type="button" dataOnly="0" labelOnly="1" outline="0" axis="axisRow" fieldPosition="0"/>
    </format>
    <format dxfId="2703">
      <pivotArea dataOnly="0" labelOnly="1" grandCol="1" outline="0" fieldPosition="0"/>
    </format>
    <format dxfId="2704">
      <pivotArea field="6" type="button" dataOnly="0" labelOnly="1" outline="0" axis="axisRow"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4.xml><?xml version="1.0" encoding="utf-8"?>
<pivotTableDefinition xmlns="http://schemas.openxmlformats.org/spreadsheetml/2006/main" xmlns:mc="http://schemas.openxmlformats.org/markup-compatibility/2006" xmlns:xr="http://schemas.microsoft.com/office/spreadsheetml/2014/revision" mc:Ignorable="xr" xr:uid="{A287EC3A-1ACE-4C80-8738-98944A26B05F}" name="PivotTable45"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7">
  <location ref="A827:H844"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axis="axisCol" compact="0" outline="0" showAll="0" defaultSubtotal="0">
      <items count="6">
        <item x="0"/>
        <item x="1"/>
        <item x="2"/>
        <item x="3"/>
        <item x="4"/>
        <item x="5"/>
      </items>
    </pivotField>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29"/>
  </colFields>
  <colItems count="7">
    <i>
      <x/>
    </i>
    <i>
      <x v="1"/>
    </i>
    <i>
      <x v="2"/>
    </i>
    <i>
      <x v="3"/>
    </i>
    <i>
      <x v="4"/>
    </i>
    <i>
      <x v="5"/>
    </i>
    <i t="grand">
      <x/>
    </i>
  </colItems>
  <dataFields count="1">
    <dataField name="Sum of Order_Quantity" fld="16" baseField="6" baseItem="0" numFmtId="168"/>
  </dataFields>
  <formats count="10">
    <format dxfId="2742">
      <pivotArea outline="0" collapsedLevelsAreSubtotals="1" fieldPosition="0"/>
    </format>
    <format dxfId="2743">
      <pivotArea dataOnly="0" labelOnly="1" grandCol="1" outline="0" fieldPosition="0"/>
    </format>
    <format dxfId="2744">
      <pivotArea dataOnly="0" labelOnly="1" outline="0" fieldPosition="0">
        <references count="1">
          <reference field="29" count="0"/>
        </references>
      </pivotArea>
    </format>
    <format dxfId="2745">
      <pivotArea field="6" type="button" dataOnly="0" labelOnly="1" outline="0" axis="axisRow" fieldPosition="0"/>
    </format>
    <format dxfId="2746">
      <pivotArea dataOnly="0" labelOnly="1" outline="0" fieldPosition="0">
        <references count="1">
          <reference field="29" count="0"/>
        </references>
      </pivotArea>
    </format>
    <format dxfId="2747">
      <pivotArea dataOnly="0" labelOnly="1" grandCol="1" outline="0" fieldPosition="0"/>
    </format>
    <format dxfId="2748">
      <pivotArea grandRow="1" outline="0" collapsedLevelsAreSubtotals="1" fieldPosition="0"/>
    </format>
    <format dxfId="2749">
      <pivotArea dataOnly="0" labelOnly="1" grandRow="1" outline="0" fieldPosition="0"/>
    </format>
    <format dxfId="2750">
      <pivotArea outline="0" fieldPosition="0">
        <references count="1">
          <reference field="4294967294" count="1">
            <x v="0"/>
          </reference>
        </references>
      </pivotArea>
    </format>
    <format dxfId="2751">
      <pivotArea outline="0" collapsedLevelsAreSubtotals="1" fieldPosition="0"/>
    </format>
  </formats>
  <chartFormats count="41">
    <chartFormat chart="15" format="0" series="1">
      <pivotArea type="data" outline="0" fieldPosition="0">
        <references count="2">
          <reference field="4294967294" count="1" selected="0">
            <x v="0"/>
          </reference>
          <reference field="29" count="1" selected="0">
            <x v="0"/>
          </reference>
        </references>
      </pivotArea>
    </chartFormat>
    <chartFormat chart="15" format="1" series="1">
      <pivotArea type="data" outline="0" fieldPosition="0">
        <references count="2">
          <reference field="4294967294" count="1" selected="0">
            <x v="0"/>
          </reference>
          <reference field="29" count="1" selected="0">
            <x v="3"/>
          </reference>
        </references>
      </pivotArea>
    </chartFormat>
    <chartFormat chart="15" format="2" series="1">
      <pivotArea type="data" outline="0" fieldPosition="0">
        <references count="2">
          <reference field="4294967294" count="1" selected="0">
            <x v="0"/>
          </reference>
          <reference field="29" count="1" selected="0">
            <x v="1"/>
          </reference>
        </references>
      </pivotArea>
    </chartFormat>
    <chartFormat chart="15" format="3" series="1">
      <pivotArea type="data" outline="0" fieldPosition="0">
        <references count="2">
          <reference field="4294967294" count="1" selected="0">
            <x v="0"/>
          </reference>
          <reference field="29" count="1" selected="0">
            <x v="2"/>
          </reference>
        </references>
      </pivotArea>
    </chartFormat>
    <chartFormat chart="15" format="4" series="1">
      <pivotArea type="data" outline="0" fieldPosition="0">
        <references count="2">
          <reference field="4294967294" count="1" selected="0">
            <x v="0"/>
          </reference>
          <reference field="29" count="1" selected="0">
            <x v="4"/>
          </reference>
        </references>
      </pivotArea>
    </chartFormat>
    <chartFormat chart="15" format="5" series="1">
      <pivotArea type="data" outline="0" fieldPosition="0">
        <references count="2">
          <reference field="4294967294" count="1" selected="0">
            <x v="0"/>
          </reference>
          <reference field="29" count="1" selected="0">
            <x v="5"/>
          </reference>
        </references>
      </pivotArea>
    </chartFormat>
    <chartFormat chart="15" format="6">
      <pivotArea type="data" outline="0" fieldPosition="0">
        <references count="3">
          <reference field="4294967294" count="1" selected="0">
            <x v="0"/>
          </reference>
          <reference field="6" count="1" selected="0">
            <x v="12"/>
          </reference>
          <reference field="29" count="1" selected="0">
            <x v="4"/>
          </reference>
        </references>
      </pivotArea>
    </chartFormat>
    <chartFormat chart="18" format="13" series="1">
      <pivotArea type="data" outline="0" fieldPosition="0">
        <references count="2">
          <reference field="4294967294" count="1" selected="0">
            <x v="0"/>
          </reference>
          <reference field="29" count="1" selected="0">
            <x v="0"/>
          </reference>
        </references>
      </pivotArea>
    </chartFormat>
    <chartFormat chart="18" format="14" series="1">
      <pivotArea type="data" outline="0" fieldPosition="0">
        <references count="2">
          <reference field="4294967294" count="1" selected="0">
            <x v="0"/>
          </reference>
          <reference field="29" count="1" selected="0">
            <x v="1"/>
          </reference>
        </references>
      </pivotArea>
    </chartFormat>
    <chartFormat chart="18" format="15" series="1">
      <pivotArea type="data" outline="0" fieldPosition="0">
        <references count="2">
          <reference field="4294967294" count="1" selected="0">
            <x v="0"/>
          </reference>
          <reference field="29" count="1" selected="0">
            <x v="2"/>
          </reference>
        </references>
      </pivotArea>
    </chartFormat>
    <chartFormat chart="18" format="16" series="1">
      <pivotArea type="data" outline="0" fieldPosition="0">
        <references count="2">
          <reference field="4294967294" count="1" selected="0">
            <x v="0"/>
          </reference>
          <reference field="29" count="1" selected="0">
            <x v="3"/>
          </reference>
        </references>
      </pivotArea>
    </chartFormat>
    <chartFormat chart="18" format="17" series="1">
      <pivotArea type="data" outline="0" fieldPosition="0">
        <references count="2">
          <reference field="4294967294" count="1" selected="0">
            <x v="0"/>
          </reference>
          <reference field="29" count="1" selected="0">
            <x v="4"/>
          </reference>
        </references>
      </pivotArea>
    </chartFormat>
    <chartFormat chart="18" format="18" series="1">
      <pivotArea type="data" outline="0" fieldPosition="0">
        <references count="2">
          <reference field="4294967294" count="1" selected="0">
            <x v="0"/>
          </reference>
          <reference field="29" count="1" selected="0">
            <x v="5"/>
          </reference>
        </references>
      </pivotArea>
    </chartFormat>
    <chartFormat chart="20" format="25" series="1">
      <pivotArea type="data" outline="0" fieldPosition="0">
        <references count="2">
          <reference field="4294967294" count="1" selected="0">
            <x v="0"/>
          </reference>
          <reference field="29" count="1" selected="0">
            <x v="0"/>
          </reference>
        </references>
      </pivotArea>
    </chartFormat>
    <chartFormat chart="20" format="26" series="1">
      <pivotArea type="data" outline="0" fieldPosition="0">
        <references count="2">
          <reference field="4294967294" count="1" selected="0">
            <x v="0"/>
          </reference>
          <reference field="29" count="1" selected="0">
            <x v="1"/>
          </reference>
        </references>
      </pivotArea>
    </chartFormat>
    <chartFormat chart="20" format="27" series="1">
      <pivotArea type="data" outline="0" fieldPosition="0">
        <references count="2">
          <reference field="4294967294" count="1" selected="0">
            <x v="0"/>
          </reference>
          <reference field="29" count="1" selected="0">
            <x v="2"/>
          </reference>
        </references>
      </pivotArea>
    </chartFormat>
    <chartFormat chart="20" format="28" series="1">
      <pivotArea type="data" outline="0" fieldPosition="0">
        <references count="2">
          <reference field="4294967294" count="1" selected="0">
            <x v="0"/>
          </reference>
          <reference field="29" count="1" selected="0">
            <x v="3"/>
          </reference>
        </references>
      </pivotArea>
    </chartFormat>
    <chartFormat chart="20" format="29" series="1">
      <pivotArea type="data" outline="0" fieldPosition="0">
        <references count="2">
          <reference field="4294967294" count="1" selected="0">
            <x v="0"/>
          </reference>
          <reference field="29" count="1" selected="0">
            <x v="4"/>
          </reference>
        </references>
      </pivotArea>
    </chartFormat>
    <chartFormat chart="20" format="30" series="1">
      <pivotArea type="data" outline="0" fieldPosition="0">
        <references count="2">
          <reference field="4294967294" count="1" selected="0">
            <x v="0"/>
          </reference>
          <reference field="29" count="1" selected="0">
            <x v="5"/>
          </reference>
        </references>
      </pivotArea>
    </chartFormat>
    <chartFormat chart="20" format="31">
      <pivotArea type="data" outline="0" fieldPosition="0">
        <references count="3">
          <reference field="4294967294" count="1" selected="0">
            <x v="0"/>
          </reference>
          <reference field="6" count="1" selected="0">
            <x v="0"/>
          </reference>
          <reference field="29" count="1" selected="0">
            <x v="4"/>
          </reference>
        </references>
      </pivotArea>
    </chartFormat>
    <chartFormat chart="22" format="39" series="1">
      <pivotArea type="data" outline="0" fieldPosition="0">
        <references count="2">
          <reference field="4294967294" count="1" selected="0">
            <x v="0"/>
          </reference>
          <reference field="29" count="1" selected="0">
            <x v="0"/>
          </reference>
        </references>
      </pivotArea>
    </chartFormat>
    <chartFormat chart="22" format="40" series="1">
      <pivotArea type="data" outline="0" fieldPosition="0">
        <references count="2">
          <reference field="4294967294" count="1" selected="0">
            <x v="0"/>
          </reference>
          <reference field="29" count="1" selected="0">
            <x v="1"/>
          </reference>
        </references>
      </pivotArea>
    </chartFormat>
    <chartFormat chart="22" format="41" series="1">
      <pivotArea type="data" outline="0" fieldPosition="0">
        <references count="2">
          <reference field="4294967294" count="1" selected="0">
            <x v="0"/>
          </reference>
          <reference field="29" count="1" selected="0">
            <x v="2"/>
          </reference>
        </references>
      </pivotArea>
    </chartFormat>
    <chartFormat chart="22" format="42" series="1">
      <pivotArea type="data" outline="0" fieldPosition="0">
        <references count="2">
          <reference field="4294967294" count="1" selected="0">
            <x v="0"/>
          </reference>
          <reference field="29" count="1" selected="0">
            <x v="3"/>
          </reference>
        </references>
      </pivotArea>
    </chartFormat>
    <chartFormat chart="22" format="43" series="1">
      <pivotArea type="data" outline="0" fieldPosition="0">
        <references count="2">
          <reference field="4294967294" count="1" selected="0">
            <x v="0"/>
          </reference>
          <reference field="29" count="1" selected="0">
            <x v="4"/>
          </reference>
        </references>
      </pivotArea>
    </chartFormat>
    <chartFormat chart="22" format="44">
      <pivotArea type="data" outline="0" fieldPosition="0">
        <references count="3">
          <reference field="4294967294" count="1" selected="0">
            <x v="0"/>
          </reference>
          <reference field="6" count="1" selected="0">
            <x v="0"/>
          </reference>
          <reference field="29" count="1" selected="0">
            <x v="4"/>
          </reference>
        </references>
      </pivotArea>
    </chartFormat>
    <chartFormat chart="22" format="45" series="1">
      <pivotArea type="data" outline="0" fieldPosition="0">
        <references count="2">
          <reference field="4294967294" count="1" selected="0">
            <x v="0"/>
          </reference>
          <reference field="29" count="1" selected="0">
            <x v="5"/>
          </reference>
        </references>
      </pivotArea>
    </chartFormat>
    <chartFormat chart="24" format="53" series="1">
      <pivotArea type="data" outline="0" fieldPosition="0">
        <references count="2">
          <reference field="4294967294" count="1" selected="0">
            <x v="0"/>
          </reference>
          <reference field="29" count="1" selected="0">
            <x v="0"/>
          </reference>
        </references>
      </pivotArea>
    </chartFormat>
    <chartFormat chart="24" format="54" series="1">
      <pivotArea type="data" outline="0" fieldPosition="0">
        <references count="2">
          <reference field="4294967294" count="1" selected="0">
            <x v="0"/>
          </reference>
          <reference field="29" count="1" selected="0">
            <x v="1"/>
          </reference>
        </references>
      </pivotArea>
    </chartFormat>
    <chartFormat chart="24" format="55" series="1">
      <pivotArea type="data" outline="0" fieldPosition="0">
        <references count="2">
          <reference field="4294967294" count="1" selected="0">
            <x v="0"/>
          </reference>
          <reference field="29" count="1" selected="0">
            <x v="2"/>
          </reference>
        </references>
      </pivotArea>
    </chartFormat>
    <chartFormat chart="24" format="56" series="1">
      <pivotArea type="data" outline="0" fieldPosition="0">
        <references count="2">
          <reference field="4294967294" count="1" selected="0">
            <x v="0"/>
          </reference>
          <reference field="29" count="1" selected="0">
            <x v="3"/>
          </reference>
        </references>
      </pivotArea>
    </chartFormat>
    <chartFormat chart="24" format="57" series="1">
      <pivotArea type="data" outline="0" fieldPosition="0">
        <references count="2">
          <reference field="4294967294" count="1" selected="0">
            <x v="0"/>
          </reference>
          <reference field="29" count="1" selected="0">
            <x v="4"/>
          </reference>
        </references>
      </pivotArea>
    </chartFormat>
    <chartFormat chart="24" format="58">
      <pivotArea type="data" outline="0" fieldPosition="0">
        <references count="3">
          <reference field="4294967294" count="1" selected="0">
            <x v="0"/>
          </reference>
          <reference field="6" count="1" selected="0">
            <x v="0"/>
          </reference>
          <reference field="29" count="1" selected="0">
            <x v="4"/>
          </reference>
        </references>
      </pivotArea>
    </chartFormat>
    <chartFormat chart="24" format="59" series="1">
      <pivotArea type="data" outline="0" fieldPosition="0">
        <references count="2">
          <reference field="4294967294" count="1" selected="0">
            <x v="0"/>
          </reference>
          <reference field="29" count="1" selected="0">
            <x v="5"/>
          </reference>
        </references>
      </pivotArea>
    </chartFormat>
    <chartFormat chart="26" format="67" series="1">
      <pivotArea type="data" outline="0" fieldPosition="0">
        <references count="2">
          <reference field="4294967294" count="1" selected="0">
            <x v="0"/>
          </reference>
          <reference field="29" count="1" selected="0">
            <x v="0"/>
          </reference>
        </references>
      </pivotArea>
    </chartFormat>
    <chartFormat chart="26" format="68" series="1">
      <pivotArea type="data" outline="0" fieldPosition="0">
        <references count="2">
          <reference field="4294967294" count="1" selected="0">
            <x v="0"/>
          </reference>
          <reference field="29" count="1" selected="0">
            <x v="1"/>
          </reference>
        </references>
      </pivotArea>
    </chartFormat>
    <chartFormat chart="26" format="69" series="1">
      <pivotArea type="data" outline="0" fieldPosition="0">
        <references count="2">
          <reference field="4294967294" count="1" selected="0">
            <x v="0"/>
          </reference>
          <reference field="29" count="1" selected="0">
            <x v="2"/>
          </reference>
        </references>
      </pivotArea>
    </chartFormat>
    <chartFormat chart="26" format="70" series="1">
      <pivotArea type="data" outline="0" fieldPosition="0">
        <references count="2">
          <reference field="4294967294" count="1" selected="0">
            <x v="0"/>
          </reference>
          <reference field="29" count="1" selected="0">
            <x v="3"/>
          </reference>
        </references>
      </pivotArea>
    </chartFormat>
    <chartFormat chart="26" format="71" series="1">
      <pivotArea type="data" outline="0" fieldPosition="0">
        <references count="2">
          <reference field="4294967294" count="1" selected="0">
            <x v="0"/>
          </reference>
          <reference field="29" count="1" selected="0">
            <x v="4"/>
          </reference>
        </references>
      </pivotArea>
    </chartFormat>
    <chartFormat chart="26" format="72">
      <pivotArea type="data" outline="0" fieldPosition="0">
        <references count="3">
          <reference field="4294967294" count="1" selected="0">
            <x v="0"/>
          </reference>
          <reference field="6" count="1" selected="0">
            <x v="0"/>
          </reference>
          <reference field="29" count="1" selected="0">
            <x v="4"/>
          </reference>
        </references>
      </pivotArea>
    </chartFormat>
    <chartFormat chart="26" format="73" series="1">
      <pivotArea type="data" outline="0" fieldPosition="0">
        <references count="2">
          <reference field="4294967294" count="1" selected="0">
            <x v="0"/>
          </reference>
          <reference field="29"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5.xml><?xml version="1.0" encoding="utf-8"?>
<pivotTableDefinition xmlns="http://schemas.openxmlformats.org/spreadsheetml/2006/main" xmlns:mc="http://schemas.openxmlformats.org/markup-compatibility/2006" xmlns:xr="http://schemas.microsoft.com/office/spreadsheetml/2014/revision" mc:Ignorable="xr" xr:uid="{43808A76-950C-4070-B64A-59955CCDB85F}" name="PivotTable2"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6">
  <location ref="A1271:D1470" firstHeaderRow="0" firstDataRow="1" firstDataCol="2"/>
  <pivotFields count="41">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dataField="1" compact="0" outline="0" subtotalTop="0" showAll="0" defaultSubtotal="0"/>
    <pivotField compact="0" outline="0" showAll="0" defaultSubtotal="0"/>
    <pivotField dataField="1"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name="Months" axis="axisRow" compact="0" outline="0" subtotalTop="0" showAll="0" defaultSubtotal="0">
      <items count="14">
        <item x="0"/>
        <item x="1"/>
        <item x="2"/>
        <item x="3"/>
        <item x="4"/>
        <item x="5"/>
        <item x="6"/>
        <item x="7"/>
        <item x="8"/>
        <item x="9"/>
        <item x="10"/>
        <item x="11"/>
        <item x="12"/>
        <item x="13"/>
      </items>
    </pivotField>
  </pivotFields>
  <rowFields count="2">
    <field x="40"/>
    <field x="4"/>
  </rowFields>
  <rowItems count="199">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x v="2"/>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x v="3"/>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x v="4"/>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x v="5"/>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x v="6"/>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x v="7"/>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t="grand">
      <x/>
    </i>
  </rowItems>
  <colFields count="1">
    <field x="-2"/>
  </colFields>
  <colItems count="2">
    <i>
      <x/>
    </i>
    <i i="1">
      <x v="1"/>
    </i>
  </colItems>
  <dataFields count="2">
    <dataField name="Actual LT" fld="23" baseField="4" baseItem="1"/>
    <dataField name="Expected LT" fld="25" baseField="4" baseItem="1"/>
  </dataFields>
  <formats count="15">
    <format dxfId="2863">
      <pivotArea outline="0" collapsedLevelsAreSubtotals="1" fieldPosition="0"/>
    </format>
    <format dxfId="2864">
      <pivotArea dataOnly="0" labelOnly="1" grandCol="1" outline="0" fieldPosition="0"/>
    </format>
    <format dxfId="2865">
      <pivotArea grandRow="1" outline="0" collapsedLevelsAreSubtotals="1" fieldPosition="0"/>
    </format>
    <format dxfId="2866">
      <pivotArea dataOnly="0" labelOnly="1" grandRow="1" outline="0" fieldPosition="0"/>
    </format>
    <format dxfId="2867">
      <pivotArea field="6" type="button" dataOnly="0" labelOnly="1" outline="0"/>
    </format>
    <format dxfId="2868">
      <pivotArea dataOnly="0" labelOnly="1" grandCol="1" outline="0" fieldPosition="0"/>
    </format>
    <format dxfId="2869">
      <pivotArea field="6" type="button" dataOnly="0" labelOnly="1" outline="0"/>
    </format>
    <format dxfId="2870">
      <pivotArea dataOnly="0" labelOnly="1" grandCol="1" outline="0" fieldPosition="0"/>
    </format>
    <format dxfId="2871">
      <pivotArea field="6" type="button" dataOnly="0" labelOnly="1" outline="0"/>
    </format>
    <format dxfId="2872">
      <pivotArea dataOnly="0" labelOnly="1" grandCol="1" outline="0" fieldPosition="0"/>
    </format>
    <format dxfId="2873">
      <pivotArea field="6" type="button" dataOnly="0" labelOnly="1" outline="0"/>
    </format>
    <format dxfId="2874">
      <pivotArea dataOnly="0" labelOnly="1" grandCol="1" outline="0" fieldPosition="0"/>
    </format>
    <format dxfId="2875">
      <pivotArea dataOnly="0" labelOnly="1" grandCol="1" outline="0" fieldPosition="0"/>
    </format>
    <format dxfId="2876">
      <pivotArea dataOnly="0" labelOnly="1" grandCol="1" outline="0" fieldPosition="0"/>
    </format>
    <format dxfId="2877">
      <pivotArea dataOnly="0" labelOnly="1" grandCol="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6.xml><?xml version="1.0" encoding="utf-8"?>
<pivotTableDefinition xmlns="http://schemas.openxmlformats.org/spreadsheetml/2006/main" xmlns:mc="http://schemas.openxmlformats.org/markup-compatibility/2006" xmlns:xr="http://schemas.microsoft.com/office/spreadsheetml/2014/revision" mc:Ignorable="xr" xr:uid="{0F95E52F-B46B-44D2-9019-3E9327CF26B6}" name="PivotTable38"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F389:I405"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dataField="1" compact="0" outline="0" showAll="0" sortType="descending" defaultSubtotal="0">
      <items count="15">
        <item x="10"/>
        <item x="6"/>
        <item x="9"/>
        <item x="5"/>
        <item x="7"/>
        <item x="11"/>
        <item x="0"/>
        <item x="12"/>
        <item x="1"/>
        <item x="13"/>
        <item x="4"/>
        <item x="14"/>
        <item x="8"/>
        <item x="2"/>
        <item x="3"/>
      </items>
      <autoSortScope>
        <pivotArea dataOnly="0" outline="0" fieldPosition="0">
          <references count="1">
            <reference field="4294967294" count="1" selected="0">
              <x v="1"/>
            </reference>
          </references>
        </pivotArea>
      </autoSortScope>
    </pivotField>
    <pivotField compact="0" outline="0" showAll="0" sortType="descending"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5"/>
  </rowFields>
  <rowItems count="16">
    <i>
      <x v="6"/>
    </i>
    <i>
      <x/>
    </i>
    <i>
      <x v="12"/>
    </i>
    <i>
      <x v="8"/>
    </i>
    <i>
      <x v="13"/>
    </i>
    <i>
      <x v="1"/>
    </i>
    <i>
      <x v="14"/>
    </i>
    <i>
      <x v="4"/>
    </i>
    <i>
      <x v="11"/>
    </i>
    <i>
      <x v="3"/>
    </i>
    <i>
      <x v="2"/>
    </i>
    <i>
      <x v="10"/>
    </i>
    <i>
      <x v="7"/>
    </i>
    <i>
      <x v="9"/>
    </i>
    <i>
      <x v="5"/>
    </i>
    <i t="grand">
      <x/>
    </i>
  </rowItems>
  <colFields count="1">
    <field x="-2"/>
  </colFields>
  <colItems count="3">
    <i>
      <x/>
    </i>
    <i i="1">
      <x v="1"/>
    </i>
    <i i="2">
      <x v="2"/>
    </i>
  </colItems>
  <dataFields count="3">
    <dataField name="Count of Supplier_ID" fld="5" subtotal="count" baseField="0" baseItem="0"/>
    <dataField name="Sum of Ordered_Value in $" fld="19" baseField="6" baseItem="13" numFmtId="4"/>
    <dataField name="% of Total Ordered_Value in $" fld="19" showDataAs="percentOfTotal" baseField="5" baseItem="6" numFmtId="10"/>
  </dataFields>
  <formats count="3">
    <format dxfId="2791">
      <pivotArea outline="0" fieldPosition="0">
        <references count="1">
          <reference field="4294967294" count="1" selected="0">
            <x v="1"/>
          </reference>
        </references>
      </pivotArea>
    </format>
    <format dxfId="2792">
      <pivotArea outline="0" fieldPosition="0">
        <references count="1">
          <reference field="4294967294" count="1">
            <x v="2"/>
          </reference>
        </references>
      </pivotArea>
    </format>
    <format dxfId="2793">
      <pivotArea outline="0" fieldPosition="0">
        <references count="2">
          <reference field="4294967294" count="1" selected="0">
            <x v="1"/>
          </reference>
          <reference field="5" count="3" selected="0">
            <x v="0"/>
            <x v="6"/>
            <x v="1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7.xml><?xml version="1.0" encoding="utf-8"?>
<pivotTableDefinition xmlns="http://schemas.openxmlformats.org/spreadsheetml/2006/main" xmlns:mc="http://schemas.openxmlformats.org/markup-compatibility/2006" xmlns:xr="http://schemas.microsoft.com/office/spreadsheetml/2014/revision" mc:Ignorable="xr" xr:uid="{779C1A0E-08A7-492D-8A01-F032A5A95AF3}"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15:E323"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axis="axisRow" compact="0" outline="0" showAll="0" defaultSubtotal="0">
      <items count="7">
        <item x="1"/>
        <item x="2"/>
        <item x="0"/>
        <item x="6"/>
        <item x="4"/>
        <item x="5"/>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9"/>
  </rowFields>
  <rowItems count="8">
    <i>
      <x/>
    </i>
    <i>
      <x v="1"/>
    </i>
    <i>
      <x v="2"/>
    </i>
    <i>
      <x v="3"/>
    </i>
    <i>
      <x v="4"/>
    </i>
    <i>
      <x v="5"/>
    </i>
    <i>
      <x v="6"/>
    </i>
    <i t="grand">
      <x/>
    </i>
  </rowItems>
  <colFields count="1">
    <field x="-2"/>
  </colFields>
  <colItems count="4">
    <i>
      <x/>
    </i>
    <i i="1">
      <x v="1"/>
    </i>
    <i i="2">
      <x v="2"/>
    </i>
    <i i="3">
      <x v="3"/>
    </i>
  </colItems>
  <dataFields count="4">
    <dataField name="Sum of Defective_Units" fld="20" baseField="0" baseItem="0"/>
    <dataField name="Sum of Order_Quantity" fld="16" baseField="9" baseItem="0"/>
    <dataField name="% of Defect on Product Category Order" fld="39" baseField="0" baseItem="0" numFmtId="10"/>
    <dataField name="Percent of Defect of Total" fld="20" showDataAs="percentOfTotal" baseField="0" baseItem="0" numFmtId="10"/>
  </dataFields>
  <formats count="3">
    <format dxfId="2649">
      <pivotArea outline="0" collapsedLevelsAreSubtotals="1" fieldPosition="0"/>
    </format>
    <format dxfId="2650">
      <pivotArea outline="0" fieldPosition="0">
        <references count="1">
          <reference field="4294967294" count="1">
            <x v="3"/>
          </reference>
        </references>
      </pivotArea>
    </format>
    <format dxfId="2651">
      <pivotArea outline="0" fieldPosition="0">
        <references count="1">
          <reference field="4294967294" count="1" selected="0">
            <x v="2"/>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8.xml><?xml version="1.0" encoding="utf-8"?>
<pivotTableDefinition xmlns="http://schemas.openxmlformats.org/spreadsheetml/2006/main" xmlns:mc="http://schemas.openxmlformats.org/markup-compatibility/2006" xmlns:xr="http://schemas.microsoft.com/office/spreadsheetml/2014/revision" mc:Ignorable="xr" xr:uid="{826A6F04-DB77-49C3-AA79-D3847D6920A1}" name="PivotTable25"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552:N569"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axis="axisCol" compact="0" outline="0" showAll="0" defaultSubtotal="0">
      <items count="12">
        <item x="11"/>
        <item x="5"/>
        <item x="9"/>
        <item x="8"/>
        <item x="10"/>
        <item x="1"/>
        <item x="7"/>
        <item x="2"/>
        <item x="4"/>
        <item x="6"/>
        <item x="0"/>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7"/>
  </colFields>
  <colItems count="13">
    <i>
      <x/>
    </i>
    <i>
      <x v="1"/>
    </i>
    <i>
      <x v="2"/>
    </i>
    <i>
      <x v="3"/>
    </i>
    <i>
      <x v="4"/>
    </i>
    <i>
      <x v="5"/>
    </i>
    <i>
      <x v="6"/>
    </i>
    <i>
      <x v="7"/>
    </i>
    <i>
      <x v="8"/>
    </i>
    <i>
      <x v="9"/>
    </i>
    <i>
      <x v="10"/>
    </i>
    <i>
      <x v="11"/>
    </i>
    <i t="grand">
      <x/>
    </i>
  </colItems>
  <dataFields count="1">
    <dataField name="Count of Supplier_Name" fld="6" subtotal="count" baseField="0" baseItem="0"/>
  </dataFields>
  <formats count="15">
    <format dxfId="2830">
      <pivotArea outline="0" collapsedLevelsAreSubtotals="1" fieldPosition="0"/>
    </format>
    <format dxfId="2831">
      <pivotArea dataOnly="0" labelOnly="1" grandCol="1" outline="0" fieldPosition="0"/>
    </format>
    <format dxfId="2832">
      <pivotArea grandRow="1" outline="0" collapsedLevelsAreSubtotals="1" fieldPosition="0"/>
    </format>
    <format dxfId="2833">
      <pivotArea dataOnly="0" labelOnly="1" grandRow="1" outline="0" fieldPosition="0"/>
    </format>
    <format dxfId="2834">
      <pivotArea field="6" type="button" dataOnly="0" labelOnly="1" outline="0" axis="axisRow" fieldPosition="0"/>
    </format>
    <format dxfId="2835">
      <pivotArea dataOnly="0" labelOnly="1" grandCol="1" outline="0" fieldPosition="0"/>
    </format>
    <format dxfId="2836">
      <pivotArea field="6" type="button" dataOnly="0" labelOnly="1" outline="0" axis="axisRow" fieldPosition="0"/>
    </format>
    <format dxfId="2837">
      <pivotArea dataOnly="0" labelOnly="1" grandCol="1" outline="0" fieldPosition="0"/>
    </format>
    <format dxfId="2838">
      <pivotArea field="6" type="button" dataOnly="0" labelOnly="1" outline="0" axis="axisRow" fieldPosition="0"/>
    </format>
    <format dxfId="2839">
      <pivotArea dataOnly="0" labelOnly="1" grandCol="1" outline="0" fieldPosition="0"/>
    </format>
    <format dxfId="2840">
      <pivotArea field="6" type="button" dataOnly="0" labelOnly="1" outline="0" axis="axisRow" fieldPosition="0"/>
    </format>
    <format dxfId="2841">
      <pivotArea dataOnly="0" labelOnly="1" grandCol="1" outline="0" fieldPosition="0"/>
    </format>
    <format dxfId="2842">
      <pivotArea dataOnly="0" labelOnly="1" grandCol="1" outline="0" fieldPosition="0"/>
    </format>
    <format dxfId="2843">
      <pivotArea dataOnly="0" labelOnly="1" outline="0" fieldPosition="0">
        <references count="1">
          <reference field="7" count="0"/>
        </references>
      </pivotArea>
    </format>
    <format dxfId="2844">
      <pivotArea dataOnly="0" labelOnly="1" outline="0" fieldPosition="0">
        <references count="1">
          <reference field="7"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9.xml><?xml version="1.0" encoding="utf-8"?>
<pivotTableDefinition xmlns="http://schemas.openxmlformats.org/spreadsheetml/2006/main" xmlns:mc="http://schemas.openxmlformats.org/markup-compatibility/2006" xmlns:xr="http://schemas.microsoft.com/office/spreadsheetml/2014/revision" mc:Ignorable="xr" xr:uid="{87AD6E2C-B699-4B84-B9AE-416CEA1004E0}" name="PivotTable3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89:D405" firstHeaderRow="0" firstDataRow="1" firstDataCol="2"/>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compact="0" outline="0" showAll="0" sortType="descending" defaultSubtotal="0">
      <items count="15">
        <item x="10"/>
        <item x="6"/>
        <item x="9"/>
        <item x="5"/>
        <item x="7"/>
        <item x="11"/>
        <item x="0"/>
        <item x="12"/>
        <item x="1"/>
        <item x="13"/>
        <item x="4"/>
        <item x="14"/>
        <item x="8"/>
        <item x="2"/>
        <item x="3"/>
      </items>
      <autoSortScope>
        <pivotArea dataOnly="0" outline="0" fieldPosition="0">
          <references count="1">
            <reference field="4294967294" count="1" selected="0">
              <x v="1"/>
            </reference>
          </references>
        </pivotArea>
      </autoSortScope>
    </pivotField>
    <pivotField axis="axisRow" compact="0" outline="0" showAll="0" sortType="descending"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2">
    <field x="5"/>
    <field x="6"/>
  </rowFields>
  <rowItems count="16">
    <i>
      <x v="6"/>
      <x v="15"/>
    </i>
    <i>
      <x/>
      <x v="25"/>
    </i>
    <i>
      <x v="12"/>
      <x v="23"/>
    </i>
    <i>
      <x v="8"/>
      <x v="16"/>
    </i>
    <i>
      <x v="13"/>
      <x v="17"/>
    </i>
    <i>
      <x v="1"/>
      <x v="21"/>
    </i>
    <i>
      <x v="14"/>
      <x v="18"/>
    </i>
    <i>
      <x v="4"/>
      <x v="22"/>
    </i>
    <i>
      <x v="11"/>
      <x v="29"/>
    </i>
    <i>
      <x v="3"/>
      <x v="20"/>
    </i>
    <i>
      <x v="2"/>
      <x v="24"/>
    </i>
    <i>
      <x v="10"/>
      <x v="19"/>
    </i>
    <i>
      <x v="7"/>
      <x v="27"/>
    </i>
    <i>
      <x v="9"/>
      <x v="28"/>
    </i>
    <i>
      <x v="5"/>
      <x v="26"/>
    </i>
    <i t="grand">
      <x/>
    </i>
  </rowItems>
  <colFields count="1">
    <field x="-2"/>
  </colFields>
  <colItems count="2">
    <i>
      <x/>
    </i>
    <i i="1">
      <x v="1"/>
    </i>
  </colItems>
  <dataFields count="2">
    <dataField name="Count of Ordered_Value in $" fld="19" subtotal="count" baseField="0" baseItem="0"/>
    <dataField name="Sum of Ordered_Value in $" fld="19" baseField="6" baseItem="13" numFmtId="4"/>
  </dataFields>
  <formats count="2">
    <format dxfId="2794">
      <pivotArea outline="0" fieldPosition="0">
        <references count="1">
          <reference field="4294967294" count="1" selected="0">
            <x v="1"/>
          </reference>
        </references>
      </pivotArea>
    </format>
    <format dxfId="2795">
      <pivotArea outline="0" fieldPosition="0">
        <references count="3">
          <reference field="4294967294" count="1" selected="0">
            <x v="1"/>
          </reference>
          <reference field="5" count="3" selected="0">
            <x v="0"/>
            <x v="6"/>
            <x v="12"/>
          </reference>
          <reference field="6" count="3" selected="0">
            <x v="4"/>
            <x v="5"/>
            <x v="13"/>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0.xml><?xml version="1.0" encoding="utf-8"?>
<pivotTableDefinition xmlns="http://schemas.openxmlformats.org/spreadsheetml/2006/main" xmlns:mc="http://schemas.openxmlformats.org/markup-compatibility/2006" xmlns:xr="http://schemas.microsoft.com/office/spreadsheetml/2014/revision" mc:Ignorable="xr" xr:uid="{756A6AE6-0E6B-4DD1-BC08-9BFC9BB4F3FC}" name="PivotTable1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7:I46"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dataField="1" compact="0" outline="0" showAll="0" defaultSubtotal="0">
      <items count="7">
        <item x="5"/>
        <item x="2"/>
        <item x="3"/>
        <item x="1"/>
        <item x="4"/>
        <item x="0"/>
        <item x="6"/>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axis="axisRow" compact="0" outline="0" showAll="0" defaultSubtotal="0">
      <items count="7">
        <item x="2"/>
        <item x="3"/>
        <item x="6"/>
        <item x="1"/>
        <item x="5"/>
        <item x="4"/>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33"/>
  </rowFields>
  <rowItems count="8">
    <i>
      <x/>
    </i>
    <i>
      <x v="1"/>
    </i>
    <i>
      <x v="2"/>
    </i>
    <i>
      <x v="3"/>
    </i>
    <i>
      <x v="4"/>
    </i>
    <i>
      <x v="5"/>
    </i>
    <i>
      <x v="6"/>
    </i>
    <i t="grand">
      <x/>
    </i>
  </rowItems>
  <colFields count="1">
    <field x="28"/>
  </colFields>
  <colItems count="8">
    <i>
      <x/>
    </i>
    <i>
      <x v="1"/>
    </i>
    <i>
      <x v="2"/>
    </i>
    <i>
      <x v="3"/>
    </i>
    <i>
      <x v="4"/>
    </i>
    <i>
      <x v="5"/>
    </i>
    <i>
      <x v="6"/>
    </i>
    <i t="grand">
      <x/>
    </i>
  </colItems>
  <dataFields count="1">
    <dataField name="Count of Delivery_Status" fld="28" subtotal="count" baseField="0" baseItem="0"/>
  </dataFields>
  <formats count="1">
    <format dxfId="2894">
      <pivotArea outline="0" collapsedLevelsAreSubtotals="1" fieldPosition="0"/>
    </format>
  </formats>
  <chartFormats count="14">
    <chartFormat chart="2" format="14" series="1">
      <pivotArea type="data" outline="0" fieldPosition="0">
        <references count="2">
          <reference field="4294967294" count="1" selected="0">
            <x v="0"/>
          </reference>
          <reference field="28" count="1" selected="0">
            <x v="0"/>
          </reference>
        </references>
      </pivotArea>
    </chartFormat>
    <chartFormat chart="2" format="15" series="1">
      <pivotArea type="data" outline="0" fieldPosition="0">
        <references count="2">
          <reference field="4294967294" count="1" selected="0">
            <x v="0"/>
          </reference>
          <reference field="28" count="1" selected="0">
            <x v="1"/>
          </reference>
        </references>
      </pivotArea>
    </chartFormat>
    <chartFormat chart="2" format="16" series="1">
      <pivotArea type="data" outline="0" fieldPosition="0">
        <references count="2">
          <reference field="4294967294" count="1" selected="0">
            <x v="0"/>
          </reference>
          <reference field="28" count="1" selected="0">
            <x v="2"/>
          </reference>
        </references>
      </pivotArea>
    </chartFormat>
    <chartFormat chart="2" format="17" series="1">
      <pivotArea type="data" outline="0" fieldPosition="0">
        <references count="2">
          <reference field="4294967294" count="1" selected="0">
            <x v="0"/>
          </reference>
          <reference field="28" count="1" selected="0">
            <x v="3"/>
          </reference>
        </references>
      </pivotArea>
    </chartFormat>
    <chartFormat chart="2" format="18" series="1">
      <pivotArea type="data" outline="0" fieldPosition="0">
        <references count="2">
          <reference field="4294967294" count="1" selected="0">
            <x v="0"/>
          </reference>
          <reference field="28" count="1" selected="0">
            <x v="4"/>
          </reference>
        </references>
      </pivotArea>
    </chartFormat>
    <chartFormat chart="2" format="19" series="1">
      <pivotArea type="data" outline="0" fieldPosition="0">
        <references count="2">
          <reference field="4294967294" count="1" selected="0">
            <x v="0"/>
          </reference>
          <reference field="28" count="1" selected="0">
            <x v="5"/>
          </reference>
        </references>
      </pivotArea>
    </chartFormat>
    <chartFormat chart="2" format="20" series="1">
      <pivotArea type="data" outline="0" fieldPosition="0">
        <references count="2">
          <reference field="4294967294" count="1" selected="0">
            <x v="0"/>
          </reference>
          <reference field="28" count="1" selected="0">
            <x v="6"/>
          </reference>
        </references>
      </pivotArea>
    </chartFormat>
    <chartFormat chart="7" format="28" series="1">
      <pivotArea type="data" outline="0" fieldPosition="0">
        <references count="2">
          <reference field="4294967294" count="1" selected="0">
            <x v="0"/>
          </reference>
          <reference field="28" count="1" selected="0">
            <x v="0"/>
          </reference>
        </references>
      </pivotArea>
    </chartFormat>
    <chartFormat chart="7" format="29" series="1">
      <pivotArea type="data" outline="0" fieldPosition="0">
        <references count="2">
          <reference field="4294967294" count="1" selected="0">
            <x v="0"/>
          </reference>
          <reference field="28" count="1" selected="0">
            <x v="1"/>
          </reference>
        </references>
      </pivotArea>
    </chartFormat>
    <chartFormat chart="7" format="30" series="1">
      <pivotArea type="data" outline="0" fieldPosition="0">
        <references count="2">
          <reference field="4294967294" count="1" selected="0">
            <x v="0"/>
          </reference>
          <reference field="28" count="1" selected="0">
            <x v="2"/>
          </reference>
        </references>
      </pivotArea>
    </chartFormat>
    <chartFormat chart="7" format="31" series="1">
      <pivotArea type="data" outline="0" fieldPosition="0">
        <references count="2">
          <reference field="4294967294" count="1" selected="0">
            <x v="0"/>
          </reference>
          <reference field="28" count="1" selected="0">
            <x v="3"/>
          </reference>
        </references>
      </pivotArea>
    </chartFormat>
    <chartFormat chart="7" format="32" series="1">
      <pivotArea type="data" outline="0" fieldPosition="0">
        <references count="2">
          <reference field="4294967294" count="1" selected="0">
            <x v="0"/>
          </reference>
          <reference field="28" count="1" selected="0">
            <x v="4"/>
          </reference>
        </references>
      </pivotArea>
    </chartFormat>
    <chartFormat chart="7" format="33" series="1">
      <pivotArea type="data" outline="0" fieldPosition="0">
        <references count="2">
          <reference field="4294967294" count="1" selected="0">
            <x v="0"/>
          </reference>
          <reference field="28" count="1" selected="0">
            <x v="5"/>
          </reference>
        </references>
      </pivotArea>
    </chartFormat>
    <chartFormat chart="7" format="34" series="1">
      <pivotArea type="data" outline="0" fieldPosition="0">
        <references count="2">
          <reference field="4294967294" count="1" selected="0">
            <x v="0"/>
          </reference>
          <reference field="28" count="1" selected="0">
            <x v="6"/>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1.xml><?xml version="1.0" encoding="utf-8"?>
<pivotTableDefinition xmlns="http://schemas.openxmlformats.org/spreadsheetml/2006/main" xmlns:mc="http://schemas.openxmlformats.org/markup-compatibility/2006" xmlns:xr="http://schemas.microsoft.com/office/spreadsheetml/2014/revision" mc:Ignorable="xr" xr:uid="{988AFDA1-6415-4622-A637-168A5D06BAB5}" name="PivotTable3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30:B140" firstHeaderRow="1"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axis="axisRow" compact="0" outline="0" showAll="0" defaultSubtotal="0">
      <items count="9">
        <item x="5"/>
        <item x="2"/>
        <item x="8"/>
        <item x="3"/>
        <item x="1"/>
        <item x="4"/>
        <item x="0"/>
        <item x="6"/>
        <item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8"/>
  </rowFields>
  <rowItems count="10">
    <i>
      <x/>
    </i>
    <i>
      <x v="1"/>
    </i>
    <i>
      <x v="2"/>
    </i>
    <i>
      <x v="3"/>
    </i>
    <i>
      <x v="4"/>
    </i>
    <i>
      <x v="5"/>
    </i>
    <i>
      <x v="6"/>
    </i>
    <i>
      <x v="7"/>
    </i>
    <i>
      <x v="8"/>
    </i>
    <i t="grand">
      <x/>
    </i>
  </rowItems>
  <colItems count="1">
    <i/>
  </colItems>
  <dataFields count="1">
    <dataField name="Average of Defect_Rate" fld="21" subtotal="average" baseField="8" baseItem="0" numFmtId="10"/>
  </dataFields>
  <formats count="1">
    <format dxfId="2801">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2.xml><?xml version="1.0" encoding="utf-8"?>
<pivotTableDefinition xmlns="http://schemas.openxmlformats.org/spreadsheetml/2006/main" xmlns:mc="http://schemas.openxmlformats.org/markup-compatibility/2006" xmlns:xr="http://schemas.microsoft.com/office/spreadsheetml/2014/revision" mc:Ignorable="xr" xr:uid="{B4BF42B2-CEF2-4FC2-BF00-A214C749B513}" name="DefectiveUnitsbyCarrier"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2:E70"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axis="axisRow" compact="0" outline="0" showAll="0" defaultSubtotal="0">
      <items count="7">
        <item x="2"/>
        <item x="3"/>
        <item x="6"/>
        <item x="1"/>
        <item x="5"/>
        <item x="4"/>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33"/>
  </rowFields>
  <rowItems count="8">
    <i>
      <x/>
    </i>
    <i>
      <x v="1"/>
    </i>
    <i>
      <x v="2"/>
    </i>
    <i>
      <x v="3"/>
    </i>
    <i>
      <x v="4"/>
    </i>
    <i>
      <x v="5"/>
    </i>
    <i>
      <x v="6"/>
    </i>
    <i t="grand">
      <x/>
    </i>
  </rowItems>
  <colFields count="1">
    <field x="-2"/>
  </colFields>
  <colItems count="4">
    <i>
      <x/>
    </i>
    <i i="1">
      <x v="1"/>
    </i>
    <i i="2">
      <x v="2"/>
    </i>
    <i i="3">
      <x v="3"/>
    </i>
  </colItems>
  <dataFields count="4">
    <dataField name="Sum of Defective_Units" fld="20" baseField="0" baseItem="0"/>
    <dataField name="Sum of Order_Quantity" fld="16" baseField="33" baseItem="0"/>
    <dataField name="% of Defect on Supplies" fld="39" baseField="0" baseItem="0" numFmtId="10"/>
    <dataField name="% of Total Defective_Units" fld="20" showDataAs="percentOfTotal" baseField="0" baseItem="0" numFmtId="10"/>
  </dataFields>
  <formats count="3">
    <format dxfId="2976">
      <pivotArea outline="0" collapsedLevelsAreSubtotals="1" fieldPosition="0"/>
    </format>
    <format dxfId="2977">
      <pivotArea outline="0" fieldPosition="0">
        <references count="1">
          <reference field="4294967294" count="1" selected="0">
            <x v="2"/>
          </reference>
        </references>
      </pivotArea>
    </format>
    <format dxfId="2978">
      <pivotArea outline="0" fieldPosition="0">
        <references count="1">
          <reference field="4294967294" count="1">
            <x v="3"/>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3.xml><?xml version="1.0" encoding="utf-8"?>
<pivotTableDefinition xmlns="http://schemas.openxmlformats.org/spreadsheetml/2006/main" xmlns:mc="http://schemas.openxmlformats.org/markup-compatibility/2006" xmlns:xr="http://schemas.microsoft.com/office/spreadsheetml/2014/revision" mc:Ignorable="xr" xr:uid="{EBAB6632-14E9-428D-B3E6-7AE495BE8CB2}" name="PivotTable13"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022:R1039"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16">
        <item x="4"/>
        <item x="0"/>
        <item x="5"/>
        <item x="1"/>
        <item x="6"/>
        <item x="11"/>
        <item x="12"/>
        <item x="9"/>
        <item x="7"/>
        <item x="10"/>
        <item x="13"/>
        <item x="15"/>
        <item x="14"/>
        <item x="2"/>
        <item x="3"/>
        <item x="8"/>
      </items>
    </pivotField>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38"/>
  </colFields>
  <colItems count="17">
    <i>
      <x/>
    </i>
    <i>
      <x v="1"/>
    </i>
    <i>
      <x v="2"/>
    </i>
    <i>
      <x v="3"/>
    </i>
    <i>
      <x v="4"/>
    </i>
    <i>
      <x v="5"/>
    </i>
    <i>
      <x v="6"/>
    </i>
    <i>
      <x v="7"/>
    </i>
    <i>
      <x v="8"/>
    </i>
    <i>
      <x v="9"/>
    </i>
    <i>
      <x v="10"/>
    </i>
    <i>
      <x v="11"/>
    </i>
    <i>
      <x v="12"/>
    </i>
    <i>
      <x v="13"/>
    </i>
    <i>
      <x v="14"/>
    </i>
    <i>
      <x v="15"/>
    </i>
    <i t="grand">
      <x/>
    </i>
  </colItems>
  <dataFields count="1">
    <dataField name="Count of Supplier_Name" fld="6" subtotal="count" baseField="0" baseItem="0"/>
  </dataFields>
  <formats count="16">
    <format dxfId="2925">
      <pivotArea outline="0" collapsedLevelsAreSubtotals="1" fieldPosition="0"/>
    </format>
    <format dxfId="2926">
      <pivotArea dataOnly="0" labelOnly="1" grandCol="1" outline="0" fieldPosition="0"/>
    </format>
    <format dxfId="2927">
      <pivotArea grandRow="1" outline="0" collapsedLevelsAreSubtotals="1" fieldPosition="0"/>
    </format>
    <format dxfId="2928">
      <pivotArea dataOnly="0" labelOnly="1" grandRow="1" outline="0" fieldPosition="0"/>
    </format>
    <format dxfId="2929">
      <pivotArea field="6" type="button" dataOnly="0" labelOnly="1" outline="0" axis="axisRow" fieldPosition="0"/>
    </format>
    <format dxfId="2930">
      <pivotArea dataOnly="0" labelOnly="1" grandCol="1" outline="0" fieldPosition="0"/>
    </format>
    <format dxfId="2931">
      <pivotArea field="6" type="button" dataOnly="0" labelOnly="1" outline="0" axis="axisRow" fieldPosition="0"/>
    </format>
    <format dxfId="2932">
      <pivotArea dataOnly="0" labelOnly="1" grandCol="1" outline="0" fieldPosition="0"/>
    </format>
    <format dxfId="2933">
      <pivotArea field="6" type="button" dataOnly="0" labelOnly="1" outline="0" axis="axisRow" fieldPosition="0"/>
    </format>
    <format dxfId="2934">
      <pivotArea dataOnly="0" labelOnly="1" grandCol="1" outline="0" fieldPosition="0"/>
    </format>
    <format dxfId="2935">
      <pivotArea field="6" type="button" dataOnly="0" labelOnly="1" outline="0" axis="axisRow" fieldPosition="0"/>
    </format>
    <format dxfId="2936">
      <pivotArea dataOnly="0" labelOnly="1" grandCol="1" outline="0" fieldPosition="0"/>
    </format>
    <format dxfId="2937">
      <pivotArea dataOnly="0" labelOnly="1" grandCol="1" outline="0" fieldPosition="0"/>
    </format>
    <format dxfId="2938">
      <pivotArea dataOnly="0" labelOnly="1" grandCol="1" outline="0" fieldPosition="0"/>
    </format>
    <format dxfId="2939">
      <pivotArea dataOnly="0" labelOnly="1" grandCol="1" outline="0" fieldPosition="0"/>
    </format>
    <format dxfId="2940">
      <pivotArea dataOnly="0" labelOnly="1" outline="0" fieldPosition="0">
        <references count="1">
          <reference field="38"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4.xml><?xml version="1.0" encoding="utf-8"?>
<pivotTableDefinition xmlns="http://schemas.openxmlformats.org/spreadsheetml/2006/main" xmlns:mc="http://schemas.openxmlformats.org/markup-compatibility/2006" xmlns:xr="http://schemas.microsoft.com/office/spreadsheetml/2014/revision" mc:Ignorable="xr" xr:uid="{08CF8A76-A961-4FFA-85E2-F1A06F83411F}" name="PivotTable4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78:F703" firstHeaderRow="0" firstDataRow="1" firstDataCol="3"/>
  <pivotFields count="41">
    <pivotField compact="0" outline="0" subtotalTop="0" showAll="0"/>
    <pivotField compact="0" outline="0" subtotalTop="0" showAll="0"/>
    <pivotField compact="0" outline="0" subtotalTop="0" showAll="0"/>
    <pivotField compact="0" outline="0" subtotalTop="0" showAll="0"/>
    <pivotField compact="0" outline="0" subtotalTop="0" showAll="0">
      <items count="199">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 t="default"/>
      </items>
    </pivotField>
    <pivotField axis="axisRow" compact="0" outline="0" subtotalTop="0" showAll="0">
      <items count="16">
        <item x="10"/>
        <item x="6"/>
        <item x="9"/>
        <item x="5"/>
        <item x="7"/>
        <item x="11"/>
        <item x="0"/>
        <item x="12"/>
        <item x="1"/>
        <item x="13"/>
        <item x="4"/>
        <item x="14"/>
        <item x="8"/>
        <item x="2"/>
        <item x="3"/>
        <item t="default"/>
      </items>
    </pivotField>
    <pivotField axis="axisRow" compact="0" outline="0" subtotalTop="0" showAll="0" sortType="descending">
      <items count="31">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 t="default"/>
      </items>
      <autoSortScope>
        <pivotArea dataOnly="0" outline="0" fieldPosition="0">
          <references count="1">
            <reference field="4294967294" count="1" selected="0">
              <x v="2"/>
            </reference>
          </references>
        </pivotArea>
      </autoSortScope>
    </pivotField>
    <pivotField compact="0" outline="0" subtotalTop="0" showAll="0"/>
    <pivotField compact="0" outline="0" subtotalTop="0" showAll="0"/>
    <pivotField axis="axisRow" compact="0" outline="0" subtotalTop="0" showAll="0">
      <items count="8">
        <item x="1"/>
        <item x="2"/>
        <item x="0"/>
        <item x="6"/>
        <item x="4"/>
        <item x="5"/>
        <item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dataField="1" compact="0" outline="0" subtotalTop="0" showAll="0"/>
    <pivotField compact="0" outline="0" subtotalTop="0" showAll="0"/>
    <pivotField compact="0" outline="0" subtotalTop="0" showAll="0"/>
    <pivotField dataField="1" compact="0" outline="0" subtotalTop="0" showAll="0"/>
    <pivotField compact="0" outline="0" subtotalTop="0" showAll="0"/>
    <pivotField compact="0" numFmtId="10" outline="0" subtotalTop="0" showAll="0"/>
    <pivotField compact="0" outline="0" subtotalTop="0" showAll="0"/>
    <pivotField compact="0" outline="0" subtotalTop="0" showAll="0"/>
    <pivotField compact="0" outline="0" subtotalTop="0" showAll="0"/>
    <pivotField compact="0" outline="0" subtotalTop="0" showAll="0"/>
    <pivotField compact="0" numFmtId="1" outline="0" subtotalTop="0" showAll="0"/>
    <pivotField compact="0" outline="0" subtotalTop="0" showAll="0"/>
    <pivotField compact="0" outline="0" subtotalTop="0" showAll="0">
      <items count="8">
        <item x="3"/>
        <item x="5"/>
        <item x="6"/>
        <item x="1"/>
        <item x="2"/>
        <item x="0"/>
        <item x="4"/>
        <item t="default"/>
      </items>
    </pivotField>
    <pivotField compact="0" outline="0" subtotalTop="0" showAll="0"/>
    <pivotField compact="0" outline="0" subtotalTop="0" showAll="0"/>
    <pivotField compact="0" outline="0" subtotalTop="0" showAll="0"/>
    <pivotField compact="0" outline="0" subtotalTop="0" showAll="0">
      <items count="7">
        <item x="5"/>
        <item x="4"/>
        <item x="3"/>
        <item x="1"/>
        <item x="2"/>
        <item x="0"/>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s>
  <rowFields count="3">
    <field x="5"/>
    <field x="6"/>
    <field x="9"/>
  </rowFields>
  <rowItems count="125">
    <i>
      <x/>
      <x v="25"/>
      <x/>
    </i>
    <i r="2">
      <x v="1"/>
    </i>
    <i r="2">
      <x v="2"/>
    </i>
    <i r="2">
      <x v="3"/>
    </i>
    <i r="2">
      <x v="5"/>
    </i>
    <i r="2">
      <x v="6"/>
    </i>
    <i t="default" r="1">
      <x v="25"/>
    </i>
    <i t="default">
      <x/>
    </i>
    <i>
      <x v="1"/>
      <x v="21"/>
      <x/>
    </i>
    <i r="2">
      <x v="1"/>
    </i>
    <i r="2">
      <x v="2"/>
    </i>
    <i r="2">
      <x v="4"/>
    </i>
    <i r="2">
      <x v="5"/>
    </i>
    <i t="default" r="1">
      <x v="21"/>
    </i>
    <i t="default">
      <x v="1"/>
    </i>
    <i>
      <x v="2"/>
      <x v="24"/>
      <x/>
    </i>
    <i r="2">
      <x v="1"/>
    </i>
    <i r="2">
      <x v="2"/>
    </i>
    <i r="2">
      <x v="3"/>
    </i>
    <i r="2">
      <x v="4"/>
    </i>
    <i r="2">
      <x v="5"/>
    </i>
    <i t="default" r="1">
      <x v="24"/>
    </i>
    <i t="default">
      <x v="2"/>
    </i>
    <i>
      <x v="3"/>
      <x v="20"/>
      <x/>
    </i>
    <i r="2">
      <x v="1"/>
    </i>
    <i r="2">
      <x v="2"/>
    </i>
    <i r="2">
      <x v="3"/>
    </i>
    <i r="2">
      <x v="5"/>
    </i>
    <i r="2">
      <x v="6"/>
    </i>
    <i t="default" r="1">
      <x v="20"/>
    </i>
    <i t="default">
      <x v="3"/>
    </i>
    <i>
      <x v="4"/>
      <x v="22"/>
      <x/>
    </i>
    <i r="2">
      <x v="1"/>
    </i>
    <i r="2">
      <x v="2"/>
    </i>
    <i r="2">
      <x v="3"/>
    </i>
    <i r="2">
      <x v="4"/>
    </i>
    <i r="2">
      <x v="5"/>
    </i>
    <i t="default" r="1">
      <x v="22"/>
    </i>
    <i t="default">
      <x v="4"/>
    </i>
    <i>
      <x v="5"/>
      <x v="26"/>
      <x/>
    </i>
    <i r="2">
      <x v="1"/>
    </i>
    <i r="2">
      <x v="2"/>
    </i>
    <i r="2">
      <x v="3"/>
    </i>
    <i r="2">
      <x v="4"/>
    </i>
    <i r="2">
      <x v="5"/>
    </i>
    <i r="2">
      <x v="6"/>
    </i>
    <i t="default" r="1">
      <x v="26"/>
    </i>
    <i t="default">
      <x v="5"/>
    </i>
    <i>
      <x v="6"/>
      <x v="15"/>
      <x/>
    </i>
    <i r="2">
      <x v="1"/>
    </i>
    <i r="2">
      <x v="2"/>
    </i>
    <i r="2">
      <x v="4"/>
    </i>
    <i r="2">
      <x v="5"/>
    </i>
    <i r="2">
      <x v="6"/>
    </i>
    <i t="default" r="1">
      <x v="15"/>
    </i>
    <i t="default">
      <x v="6"/>
    </i>
    <i>
      <x v="7"/>
      <x v="27"/>
      <x/>
    </i>
    <i r="2">
      <x v="1"/>
    </i>
    <i r="2">
      <x v="2"/>
    </i>
    <i r="2">
      <x v="3"/>
    </i>
    <i r="2">
      <x v="4"/>
    </i>
    <i r="2">
      <x v="5"/>
    </i>
    <i r="2">
      <x v="6"/>
    </i>
    <i t="default" r="1">
      <x v="27"/>
    </i>
    <i t="default">
      <x v="7"/>
    </i>
    <i>
      <x v="8"/>
      <x v="16"/>
      <x/>
    </i>
    <i r="2">
      <x v="1"/>
    </i>
    <i r="2">
      <x v="3"/>
    </i>
    <i r="2">
      <x v="4"/>
    </i>
    <i r="2">
      <x v="5"/>
    </i>
    <i r="2">
      <x v="6"/>
    </i>
    <i t="default" r="1">
      <x v="16"/>
    </i>
    <i t="default">
      <x v="8"/>
    </i>
    <i>
      <x v="9"/>
      <x v="28"/>
      <x/>
    </i>
    <i r="2">
      <x v="1"/>
    </i>
    <i r="2">
      <x v="2"/>
    </i>
    <i r="2">
      <x v="3"/>
    </i>
    <i r="2">
      <x v="4"/>
    </i>
    <i r="2">
      <x v="5"/>
    </i>
    <i r="2">
      <x v="6"/>
    </i>
    <i t="default" r="1">
      <x v="28"/>
    </i>
    <i t="default">
      <x v="9"/>
    </i>
    <i>
      <x v="10"/>
      <x v="19"/>
      <x/>
    </i>
    <i r="2">
      <x v="1"/>
    </i>
    <i r="2">
      <x v="2"/>
    </i>
    <i r="2">
      <x v="3"/>
    </i>
    <i r="2">
      <x v="4"/>
    </i>
    <i r="2">
      <x v="5"/>
    </i>
    <i r="2">
      <x v="6"/>
    </i>
    <i t="default" r="1">
      <x v="19"/>
    </i>
    <i t="default">
      <x v="10"/>
    </i>
    <i>
      <x v="11"/>
      <x v="29"/>
      <x/>
    </i>
    <i r="2">
      <x v="1"/>
    </i>
    <i r="2">
      <x v="2"/>
    </i>
    <i r="2">
      <x v="3"/>
    </i>
    <i r="2">
      <x v="5"/>
    </i>
    <i r="2">
      <x v="6"/>
    </i>
    <i t="default" r="1">
      <x v="29"/>
    </i>
    <i t="default">
      <x v="11"/>
    </i>
    <i>
      <x v="12"/>
      <x v="23"/>
      <x/>
    </i>
    <i r="2">
      <x v="1"/>
    </i>
    <i r="2">
      <x v="2"/>
    </i>
    <i r="2">
      <x v="3"/>
    </i>
    <i r="2">
      <x v="5"/>
    </i>
    <i r="2">
      <x v="6"/>
    </i>
    <i t="default" r="1">
      <x v="23"/>
    </i>
    <i t="default">
      <x v="12"/>
    </i>
    <i>
      <x v="13"/>
      <x v="17"/>
      <x v="1"/>
    </i>
    <i r="2">
      <x v="2"/>
    </i>
    <i r="2">
      <x v="3"/>
    </i>
    <i r="2">
      <x v="4"/>
    </i>
    <i r="2">
      <x v="5"/>
    </i>
    <i r="2">
      <x v="6"/>
    </i>
    <i t="default" r="1">
      <x v="17"/>
    </i>
    <i t="default">
      <x v="13"/>
    </i>
    <i>
      <x v="14"/>
      <x v="18"/>
      <x/>
    </i>
    <i r="2">
      <x v="1"/>
    </i>
    <i r="2">
      <x v="2"/>
    </i>
    <i r="2">
      <x v="3"/>
    </i>
    <i r="2">
      <x v="4"/>
    </i>
    <i r="2">
      <x v="5"/>
    </i>
    <i r="2">
      <x v="6"/>
    </i>
    <i t="default" r="1">
      <x v="18"/>
    </i>
    <i t="default">
      <x v="14"/>
    </i>
    <i t="grand">
      <x/>
    </i>
  </rowItems>
  <colFields count="1">
    <field x="-2"/>
  </colFields>
  <colItems count="3">
    <i>
      <x/>
    </i>
    <i i="1">
      <x v="1"/>
    </i>
    <i i="2">
      <x v="2"/>
    </i>
  </colItems>
  <dataFields count="3">
    <dataField name="Count of Ordered_Value in $" fld="19" subtotal="count" baseField="0" baseItem="0"/>
    <dataField name="Sum of Order_Quantity" fld="16" baseField="9" baseItem="0"/>
    <dataField name="Sum of Ordered_Value in $" fld="19" baseField="6" baseItem="13" numFmtId="4"/>
  </dataFields>
  <formats count="2">
    <format dxfId="2774">
      <pivotArea outline="0" fieldPosition="0">
        <references count="1">
          <reference field="4294967294" count="1" selected="0">
            <x v="2"/>
          </reference>
        </references>
      </pivotArea>
    </format>
    <format dxfId="2775">
      <pivotArea outline="0"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5.xml><?xml version="1.0" encoding="utf-8"?>
<pivotTableDefinition xmlns="http://schemas.openxmlformats.org/spreadsheetml/2006/main" xmlns:mc="http://schemas.openxmlformats.org/markup-compatibility/2006" xmlns:xr="http://schemas.microsoft.com/office/spreadsheetml/2014/revision" mc:Ignorable="xr" xr:uid="{BE27D8B9-313B-407E-B54D-78BC01FD29DB}" name="PivotTable2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75:I83"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dataField="1" compact="0" outline="0" showAll="0" defaultSubtotal="0">
      <items count="7">
        <item x="5"/>
        <item x="2"/>
        <item x="3"/>
        <item x="1"/>
        <item x="4"/>
        <item x="0"/>
        <item x="6"/>
      </items>
    </pivotField>
    <pivotField compact="0" outline="0" showAll="0" defaultSubtotal="0"/>
    <pivotField compact="0" outline="0" showAll="0" defaultSubtotal="0"/>
    <pivotField compact="0" outline="0" showAll="0" defaultSubtotal="0"/>
    <pivotField axis="axisRow"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32"/>
  </rowFields>
  <rowItems count="7">
    <i>
      <x/>
    </i>
    <i>
      <x v="1"/>
    </i>
    <i>
      <x v="2"/>
    </i>
    <i>
      <x v="3"/>
    </i>
    <i>
      <x v="4"/>
    </i>
    <i>
      <x v="5"/>
    </i>
    <i t="grand">
      <x/>
    </i>
  </rowItems>
  <colFields count="1">
    <field x="28"/>
  </colFields>
  <colItems count="8">
    <i>
      <x/>
    </i>
    <i>
      <x v="1"/>
    </i>
    <i>
      <x v="2"/>
    </i>
    <i>
      <x v="3"/>
    </i>
    <i>
      <x v="4"/>
    </i>
    <i>
      <x v="5"/>
    </i>
    <i>
      <x v="6"/>
    </i>
    <i t="grand">
      <x/>
    </i>
  </colItems>
  <dataFields count="1">
    <dataField name="Count of Delivery_Status" fld="28" subtotal="count" baseField="0" baseItem="0"/>
  </dataFields>
  <formats count="1">
    <format dxfId="2845">
      <pivotArea outline="0" collapsedLevelsAreSubtotals="1" fieldPosition="0"/>
    </format>
  </formats>
  <chartFormats count="21">
    <chartFormat chart="0" format="0" series="1">
      <pivotArea type="data" outline="0" fieldPosition="0">
        <references count="2">
          <reference field="4294967294" count="1" selected="0">
            <x v="0"/>
          </reference>
          <reference field="28" count="1" selected="0">
            <x v="2"/>
          </reference>
        </references>
      </pivotArea>
    </chartFormat>
    <chartFormat chart="0" format="1" series="1">
      <pivotArea type="data" outline="0" fieldPosition="0">
        <references count="2">
          <reference field="4294967294" count="1" selected="0">
            <x v="0"/>
          </reference>
          <reference field="28" count="1" selected="0">
            <x v="0"/>
          </reference>
        </references>
      </pivotArea>
    </chartFormat>
    <chartFormat chart="0" format="2" series="1">
      <pivotArea type="data" outline="0" fieldPosition="0">
        <references count="2">
          <reference field="4294967294" count="1" selected="0">
            <x v="0"/>
          </reference>
          <reference field="28" count="1" selected="0">
            <x v="6"/>
          </reference>
        </references>
      </pivotArea>
    </chartFormat>
    <chartFormat chart="0" format="3" series="1">
      <pivotArea type="data" outline="0" fieldPosition="0">
        <references count="2">
          <reference field="4294967294" count="1" selected="0">
            <x v="0"/>
          </reference>
          <reference field="28" count="1" selected="0">
            <x v="3"/>
          </reference>
        </references>
      </pivotArea>
    </chartFormat>
    <chartFormat chart="0" format="4" series="1">
      <pivotArea type="data" outline="0" fieldPosition="0">
        <references count="2">
          <reference field="4294967294" count="1" selected="0">
            <x v="0"/>
          </reference>
          <reference field="28" count="1" selected="0">
            <x v="1"/>
          </reference>
        </references>
      </pivotArea>
    </chartFormat>
    <chartFormat chart="0" format="5" series="1">
      <pivotArea type="data" outline="0" fieldPosition="0">
        <references count="2">
          <reference field="4294967294" count="1" selected="0">
            <x v="0"/>
          </reference>
          <reference field="28" count="1" selected="0">
            <x v="5"/>
          </reference>
        </references>
      </pivotArea>
    </chartFormat>
    <chartFormat chart="0" format="6" series="1">
      <pivotArea type="data" outline="0" fieldPosition="0">
        <references count="2">
          <reference field="4294967294" count="1" selected="0">
            <x v="0"/>
          </reference>
          <reference field="28" count="1" selected="0">
            <x v="4"/>
          </reference>
        </references>
      </pivotArea>
    </chartFormat>
    <chartFormat chart="2" format="14" series="1">
      <pivotArea type="data" outline="0" fieldPosition="0">
        <references count="2">
          <reference field="4294967294" count="1" selected="0">
            <x v="0"/>
          </reference>
          <reference field="28" count="1" selected="0">
            <x v="0"/>
          </reference>
        </references>
      </pivotArea>
    </chartFormat>
    <chartFormat chart="2" format="15" series="1">
      <pivotArea type="data" outline="0" fieldPosition="0">
        <references count="2">
          <reference field="4294967294" count="1" selected="0">
            <x v="0"/>
          </reference>
          <reference field="28" count="1" selected="0">
            <x v="1"/>
          </reference>
        </references>
      </pivotArea>
    </chartFormat>
    <chartFormat chart="2" format="16" series="1">
      <pivotArea type="data" outline="0" fieldPosition="0">
        <references count="2">
          <reference field="4294967294" count="1" selected="0">
            <x v="0"/>
          </reference>
          <reference field="28" count="1" selected="0">
            <x v="2"/>
          </reference>
        </references>
      </pivotArea>
    </chartFormat>
    <chartFormat chart="2" format="17" series="1">
      <pivotArea type="data" outline="0" fieldPosition="0">
        <references count="2">
          <reference field="4294967294" count="1" selected="0">
            <x v="0"/>
          </reference>
          <reference field="28" count="1" selected="0">
            <x v="3"/>
          </reference>
        </references>
      </pivotArea>
    </chartFormat>
    <chartFormat chart="2" format="18" series="1">
      <pivotArea type="data" outline="0" fieldPosition="0">
        <references count="2">
          <reference field="4294967294" count="1" selected="0">
            <x v="0"/>
          </reference>
          <reference field="28" count="1" selected="0">
            <x v="4"/>
          </reference>
        </references>
      </pivotArea>
    </chartFormat>
    <chartFormat chart="2" format="19" series="1">
      <pivotArea type="data" outline="0" fieldPosition="0">
        <references count="2">
          <reference field="4294967294" count="1" selected="0">
            <x v="0"/>
          </reference>
          <reference field="28" count="1" selected="0">
            <x v="5"/>
          </reference>
        </references>
      </pivotArea>
    </chartFormat>
    <chartFormat chart="2" format="20" series="1">
      <pivotArea type="data" outline="0" fieldPosition="0">
        <references count="2">
          <reference field="4294967294" count="1" selected="0">
            <x v="0"/>
          </reference>
          <reference field="28" count="1" selected="0">
            <x v="6"/>
          </reference>
        </references>
      </pivotArea>
    </chartFormat>
    <chartFormat chart="4" format="28" series="1">
      <pivotArea type="data" outline="0" fieldPosition="0">
        <references count="2">
          <reference field="4294967294" count="1" selected="0">
            <x v="0"/>
          </reference>
          <reference field="28" count="1" selected="0">
            <x v="0"/>
          </reference>
        </references>
      </pivotArea>
    </chartFormat>
    <chartFormat chart="4" format="29" series="1">
      <pivotArea type="data" outline="0" fieldPosition="0">
        <references count="2">
          <reference field="4294967294" count="1" selected="0">
            <x v="0"/>
          </reference>
          <reference field="28" count="1" selected="0">
            <x v="1"/>
          </reference>
        </references>
      </pivotArea>
    </chartFormat>
    <chartFormat chart="4" format="30" series="1">
      <pivotArea type="data" outline="0" fieldPosition="0">
        <references count="2">
          <reference field="4294967294" count="1" selected="0">
            <x v="0"/>
          </reference>
          <reference field="28" count="1" selected="0">
            <x v="2"/>
          </reference>
        </references>
      </pivotArea>
    </chartFormat>
    <chartFormat chart="4" format="31" series="1">
      <pivotArea type="data" outline="0" fieldPosition="0">
        <references count="2">
          <reference field="4294967294" count="1" selected="0">
            <x v="0"/>
          </reference>
          <reference field="28" count="1" selected="0">
            <x v="3"/>
          </reference>
        </references>
      </pivotArea>
    </chartFormat>
    <chartFormat chart="4" format="32" series="1">
      <pivotArea type="data" outline="0" fieldPosition="0">
        <references count="2">
          <reference field="4294967294" count="1" selected="0">
            <x v="0"/>
          </reference>
          <reference field="28" count="1" selected="0">
            <x v="4"/>
          </reference>
        </references>
      </pivotArea>
    </chartFormat>
    <chartFormat chart="4" format="33" series="1">
      <pivotArea type="data" outline="0" fieldPosition="0">
        <references count="2">
          <reference field="4294967294" count="1" selected="0">
            <x v="0"/>
          </reference>
          <reference field="28" count="1" selected="0">
            <x v="5"/>
          </reference>
        </references>
      </pivotArea>
    </chartFormat>
    <chartFormat chart="4" format="34" series="1">
      <pivotArea type="data" outline="0" fieldPosition="0">
        <references count="2">
          <reference field="4294967294" count="1" selected="0">
            <x v="0"/>
          </reference>
          <reference field="28" count="1" selected="0">
            <x v="6"/>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6.xml><?xml version="1.0" encoding="utf-8"?>
<pivotTableDefinition xmlns="http://schemas.openxmlformats.org/spreadsheetml/2006/main" xmlns:mc="http://schemas.openxmlformats.org/markup-compatibility/2006" xmlns:xr="http://schemas.microsoft.com/office/spreadsheetml/2014/revision" mc:Ignorable="xr" xr:uid="{73F8AA9C-3E8C-40C2-9F13-BA724A6AD7DA}" name="PivotTable20"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
  <location ref="A977:H994"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axis="axisCol" compact="0" outline="0" showAll="0" defaultSubtotal="0">
      <items count="6">
        <item x="1"/>
        <item x="4"/>
        <item x="5"/>
        <item x="2"/>
        <item x="0"/>
        <item x="3"/>
      </items>
    </pivotField>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35"/>
  </colFields>
  <colItems count="7">
    <i>
      <x/>
    </i>
    <i>
      <x v="1"/>
    </i>
    <i>
      <x v="2"/>
    </i>
    <i>
      <x v="3"/>
    </i>
    <i>
      <x v="4"/>
    </i>
    <i>
      <x v="5"/>
    </i>
    <i t="grand">
      <x/>
    </i>
  </colItems>
  <dataFields count="1">
    <dataField name="Count of Supplier_Name" fld="6" subtotal="count" baseField="0" baseItem="0"/>
  </dataFields>
  <formats count="15">
    <format dxfId="2848">
      <pivotArea outline="0" collapsedLevelsAreSubtotals="1" fieldPosition="0"/>
    </format>
    <format dxfId="2849">
      <pivotArea dataOnly="0" labelOnly="1" grandCol="1" outline="0" fieldPosition="0"/>
    </format>
    <format dxfId="2850">
      <pivotArea grandRow="1" outline="0" collapsedLevelsAreSubtotals="1" fieldPosition="0"/>
    </format>
    <format dxfId="2851">
      <pivotArea dataOnly="0" labelOnly="1" grandRow="1" outline="0" fieldPosition="0"/>
    </format>
    <format dxfId="2852">
      <pivotArea field="6" type="button" dataOnly="0" labelOnly="1" outline="0" axis="axisRow" fieldPosition="0"/>
    </format>
    <format dxfId="2853">
      <pivotArea dataOnly="0" labelOnly="1" grandCol="1" outline="0" fieldPosition="0"/>
    </format>
    <format dxfId="2854">
      <pivotArea field="6" type="button" dataOnly="0" labelOnly="1" outline="0" axis="axisRow" fieldPosition="0"/>
    </format>
    <format dxfId="2855">
      <pivotArea dataOnly="0" labelOnly="1" grandCol="1" outline="0" fieldPosition="0"/>
    </format>
    <format dxfId="2856">
      <pivotArea field="6" type="button" dataOnly="0" labelOnly="1" outline="0" axis="axisRow" fieldPosition="0"/>
    </format>
    <format dxfId="2857">
      <pivotArea dataOnly="0" labelOnly="1" grandCol="1" outline="0" fieldPosition="0"/>
    </format>
    <format dxfId="2858">
      <pivotArea field="6" type="button" dataOnly="0" labelOnly="1" outline="0" axis="axisRow" fieldPosition="0"/>
    </format>
    <format dxfId="2859">
      <pivotArea dataOnly="0" labelOnly="1" grandCol="1" outline="0" fieldPosition="0"/>
    </format>
    <format dxfId="2860">
      <pivotArea dataOnly="0" labelOnly="1" grandCol="1" outline="0" fieldPosition="0"/>
    </format>
    <format dxfId="2861">
      <pivotArea dataOnly="0" labelOnly="1" outline="0" fieldPosition="0">
        <references count="1">
          <reference field="35" count="0"/>
        </references>
      </pivotArea>
    </format>
    <format dxfId="2862">
      <pivotArea dataOnly="0" labelOnly="1" outline="0" fieldPosition="0">
        <references count="1">
          <reference field="35" count="0"/>
        </references>
      </pivotArea>
    </format>
  </formats>
  <chartFormats count="6">
    <chartFormat chart="0" format="0" series="1">
      <pivotArea type="data" outline="0" fieldPosition="0">
        <references count="2">
          <reference field="4294967294" count="1" selected="0">
            <x v="0"/>
          </reference>
          <reference field="35" count="1" selected="0">
            <x v="0"/>
          </reference>
        </references>
      </pivotArea>
    </chartFormat>
    <chartFormat chart="0" format="1" series="1">
      <pivotArea type="data" outline="0" fieldPosition="0">
        <references count="2">
          <reference field="4294967294" count="1" selected="0">
            <x v="0"/>
          </reference>
          <reference field="35" count="1" selected="0">
            <x v="1"/>
          </reference>
        </references>
      </pivotArea>
    </chartFormat>
    <chartFormat chart="0" format="2" series="1">
      <pivotArea type="data" outline="0" fieldPosition="0">
        <references count="2">
          <reference field="4294967294" count="1" selected="0">
            <x v="0"/>
          </reference>
          <reference field="35" count="1" selected="0">
            <x v="2"/>
          </reference>
        </references>
      </pivotArea>
    </chartFormat>
    <chartFormat chart="0" format="3" series="1">
      <pivotArea type="data" outline="0" fieldPosition="0">
        <references count="2">
          <reference field="4294967294" count="1" selected="0">
            <x v="0"/>
          </reference>
          <reference field="35" count="1" selected="0">
            <x v="3"/>
          </reference>
        </references>
      </pivotArea>
    </chartFormat>
    <chartFormat chart="0" format="4" series="1">
      <pivotArea type="data" outline="0" fieldPosition="0">
        <references count="2">
          <reference field="4294967294" count="1" selected="0">
            <x v="0"/>
          </reference>
          <reference field="35" count="1" selected="0">
            <x v="4"/>
          </reference>
        </references>
      </pivotArea>
    </chartFormat>
    <chartFormat chart="0" format="5" series="1">
      <pivotArea type="data" outline="0" fieldPosition="0">
        <references count="2">
          <reference field="4294967294" count="1" selected="0">
            <x v="0"/>
          </reference>
          <reference field="35"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7.xml><?xml version="1.0" encoding="utf-8"?>
<pivotTableDefinition xmlns="http://schemas.openxmlformats.org/spreadsheetml/2006/main" xmlns:mc="http://schemas.openxmlformats.org/markup-compatibility/2006" xmlns:xr="http://schemas.microsoft.com/office/spreadsheetml/2014/revision" mc:Ignorable="xr" xr:uid="{5A43F257-C7A7-4B3C-B58D-9AD4FFE15A0E}" name="PivotTable32"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426:C436"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dataField="1" compact="0" outline="0" showAll="0" sortType="descending" defaultSubtotal="0">
      <autoSortScope>
        <pivotArea dataOnly="0" outline="0" fieldPosition="0">
          <references count="1">
            <reference field="4294967294" count="1" selected="0">
              <x v="1"/>
            </reference>
          </references>
        </pivotArea>
      </autoSortScope>
    </pivotField>
    <pivotField compact="0" outline="0" showAll="0" sortType="descending"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autoSortScope>
        <pivotArea dataOnly="0" outline="0" fieldPosition="0">
          <references count="1">
            <reference field="4294967294" count="1" selected="0">
              <x v="1"/>
            </reference>
          </references>
        </pivotArea>
      </autoSortScope>
    </pivotField>
    <pivotField compact="0" outline="0" showAll="0" sortType="descending" defaultSubtotal="0">
      <autoSortScope>
        <pivotArea dataOnly="0" outline="0" fieldPosition="0">
          <references count="1">
            <reference field="4294967294" count="1" selected="0">
              <x v="1"/>
            </reference>
          </references>
        </pivotArea>
      </autoSortScope>
    </pivotField>
    <pivotField axis="axisRow" compact="0" outline="0" showAll="0" sortType="descending" defaultSubtotal="0">
      <items count="9">
        <item x="5"/>
        <item x="2"/>
        <item x="8"/>
        <item x="3"/>
        <item x="1"/>
        <item x="4"/>
        <item x="0"/>
        <item x="6"/>
        <item x="7"/>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8"/>
  </rowFields>
  <rowItems count="10">
    <i>
      <x v="3"/>
    </i>
    <i>
      <x v="6"/>
    </i>
    <i>
      <x v="7"/>
    </i>
    <i>
      <x v="2"/>
    </i>
    <i>
      <x v="8"/>
    </i>
    <i>
      <x/>
    </i>
    <i>
      <x v="1"/>
    </i>
    <i>
      <x v="5"/>
    </i>
    <i>
      <x v="4"/>
    </i>
    <i t="grand">
      <x/>
    </i>
  </rowItems>
  <colFields count="1">
    <field x="-2"/>
  </colFields>
  <colItems count="2">
    <i>
      <x/>
    </i>
    <i i="1">
      <x v="1"/>
    </i>
  </colItems>
  <dataFields count="2">
    <dataField name="Count of Supplier_ID" fld="5" subtotal="count" baseField="0" baseItem="0"/>
    <dataField name="Sum of Ordered_Value in $" fld="19" baseField="6" baseItem="13" numFmtId="4"/>
  </dataFields>
  <formats count="1">
    <format dxfId="2800">
      <pivotArea outline="0" fieldPosition="0">
        <references count="1">
          <reference field="4294967294" count="1" selected="0">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8.xml><?xml version="1.0" encoding="utf-8"?>
<pivotTableDefinition xmlns="http://schemas.openxmlformats.org/spreadsheetml/2006/main" xmlns:mc="http://schemas.openxmlformats.org/markup-compatibility/2006" xmlns:xr="http://schemas.microsoft.com/office/spreadsheetml/2014/revision" mc:Ignorable="xr" xr:uid="{41969764-E649-4C96-9879-7E0ADCF69255}"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70:D383"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axis="axisRow" compact="0" outline="0" showAll="0" sortType="descending" defaultSubtotal="0">
      <items count="12">
        <item x="11"/>
        <item x="5"/>
        <item x="9"/>
        <item x="8"/>
        <item x="10"/>
        <item x="1"/>
        <item x="7"/>
        <item x="2"/>
        <item x="4"/>
        <item x="6"/>
        <item x="0"/>
        <item x="3"/>
      </items>
      <autoSortScope>
        <pivotArea dataOnly="0" outline="0" fieldPosition="0">
          <references count="1">
            <reference field="4294967294" count="1" selected="0">
              <x v="2"/>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7"/>
  </rowFields>
  <rowItems count="13">
    <i>
      <x v="7"/>
    </i>
    <i>
      <x v="5"/>
    </i>
    <i>
      <x v="10"/>
    </i>
    <i>
      <x v="6"/>
    </i>
    <i>
      <x v="11"/>
    </i>
    <i>
      <x v="9"/>
    </i>
    <i>
      <x v="4"/>
    </i>
    <i>
      <x v="1"/>
    </i>
    <i>
      <x v="8"/>
    </i>
    <i>
      <x v="2"/>
    </i>
    <i>
      <x v="3"/>
    </i>
    <i>
      <x/>
    </i>
    <i t="grand">
      <x/>
    </i>
  </rowItems>
  <colFields count="1">
    <field x="-2"/>
  </colFields>
  <colItems count="3">
    <i>
      <x/>
    </i>
    <i i="1">
      <x v="1"/>
    </i>
    <i i="2">
      <x v="2"/>
    </i>
  </colItems>
  <dataFields count="3">
    <dataField name="Count" fld="36" subtotal="count" baseField="5" baseItem="0"/>
    <dataField name="Sum of Order_Quantity" fld="16" baseField="7" baseItem="0" numFmtId="3"/>
    <dataField name="Sum of Ordered_Value in $" fld="19" baseField="7" baseItem="1" numFmtId="166"/>
  </dataFields>
  <formats count="11">
    <format dxfId="2962">
      <pivotArea dataOnly="0" labelOnly="1" outline="0" fieldPosition="0">
        <references count="1">
          <reference field="4294967294" count="1">
            <x v="0"/>
          </reference>
        </references>
      </pivotArea>
    </format>
    <format dxfId="2963">
      <pivotArea outline="0" collapsedLevelsAreSubtotals="1" fieldPosition="0"/>
    </format>
    <format dxfId="2964">
      <pivotArea outline="0" fieldPosition="0">
        <references count="1">
          <reference field="4294967294" count="1">
            <x v="2"/>
          </reference>
        </references>
      </pivotArea>
    </format>
    <format dxfId="2965">
      <pivotArea outline="0" fieldPosition="0">
        <references count="1">
          <reference field="4294967294" count="1" selected="0">
            <x v="2"/>
          </reference>
        </references>
      </pivotArea>
    </format>
    <format dxfId="2966">
      <pivotArea dataOnly="0" labelOnly="1" outline="0" fieldPosition="0">
        <references count="1">
          <reference field="4294967294" count="1">
            <x v="2"/>
          </reference>
        </references>
      </pivotArea>
    </format>
    <format dxfId="2967">
      <pivotArea outline="0" fieldPosition="0">
        <references count="1">
          <reference field="4294967294" count="1">
            <x v="1"/>
          </reference>
        </references>
      </pivotArea>
    </format>
    <format dxfId="2968">
      <pivotArea outline="0" fieldPosition="0">
        <references count="2">
          <reference field="4294967294" count="1" selected="0">
            <x v="1"/>
          </reference>
          <reference field="7" count="1" selected="0">
            <x v="7"/>
          </reference>
        </references>
      </pivotArea>
    </format>
    <format dxfId="2969">
      <pivotArea outline="0" fieldPosition="0">
        <references count="2">
          <reference field="4294967294" count="1" selected="0">
            <x v="1"/>
          </reference>
          <reference field="7" count="1" selected="0">
            <x v="5"/>
          </reference>
        </references>
      </pivotArea>
    </format>
    <format dxfId="2970">
      <pivotArea dataOnly="0" labelOnly="1" outline="0" fieldPosition="0">
        <references count="1">
          <reference field="7" count="2">
            <x v="5"/>
            <x v="7"/>
          </reference>
        </references>
      </pivotArea>
    </format>
    <format dxfId="2971">
      <pivotArea outline="0" fieldPosition="0">
        <references count="2">
          <reference field="4294967294" count="1" selected="0">
            <x v="1"/>
          </reference>
          <reference field="7" count="1" selected="0">
            <x v="9"/>
          </reference>
        </references>
      </pivotArea>
    </format>
    <format dxfId="2972">
      <pivotArea dataOnly="0" labelOnly="1" outline="0" fieldPosition="0">
        <references count="1">
          <reference field="7" count="1">
            <x v="9"/>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9.xml><?xml version="1.0" encoding="utf-8"?>
<pivotTableDefinition xmlns="http://schemas.openxmlformats.org/spreadsheetml/2006/main" xmlns:mc="http://schemas.openxmlformats.org/markup-compatibility/2006" xmlns:xr="http://schemas.microsoft.com/office/spreadsheetml/2014/revision" mc:Ignorable="xr" xr:uid="{30F5485A-F670-4F2B-8415-6590D777A1F2}" name="PivotTable55"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
  <location ref="A953:H970"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axis="axisCol" compact="0" outline="0" showAll="0" defaultSubtotal="0">
      <items count="6">
        <item x="3"/>
        <item x="5"/>
        <item x="0"/>
        <item x="1"/>
        <item x="2"/>
        <item x="4"/>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34"/>
  </colFields>
  <colItems count="7">
    <i>
      <x/>
    </i>
    <i>
      <x v="1"/>
    </i>
    <i>
      <x v="2"/>
    </i>
    <i>
      <x v="3"/>
    </i>
    <i>
      <x v="4"/>
    </i>
    <i>
      <x v="5"/>
    </i>
    <i t="grand">
      <x/>
    </i>
  </colItems>
  <dataFields count="1">
    <dataField name="Count of Supplier_Name" fld="6" subtotal="count" baseField="0" baseItem="0"/>
  </dataFields>
  <formats count="15">
    <format dxfId="2667">
      <pivotArea outline="0" collapsedLevelsAreSubtotals="1" fieldPosition="0"/>
    </format>
    <format dxfId="2668">
      <pivotArea dataOnly="0" labelOnly="1" grandCol="1" outline="0" fieldPosition="0"/>
    </format>
    <format dxfId="2669">
      <pivotArea grandRow="1" outline="0" collapsedLevelsAreSubtotals="1" fieldPosition="0"/>
    </format>
    <format dxfId="2670">
      <pivotArea dataOnly="0" labelOnly="1" grandRow="1" outline="0" fieldPosition="0"/>
    </format>
    <format dxfId="2671">
      <pivotArea field="6" type="button" dataOnly="0" labelOnly="1" outline="0" axis="axisRow" fieldPosition="0"/>
    </format>
    <format dxfId="2672">
      <pivotArea dataOnly="0" labelOnly="1" grandCol="1" outline="0" fieldPosition="0"/>
    </format>
    <format dxfId="2673">
      <pivotArea field="6" type="button" dataOnly="0" labelOnly="1" outline="0" axis="axisRow" fieldPosition="0"/>
    </format>
    <format dxfId="2674">
      <pivotArea dataOnly="0" labelOnly="1" grandCol="1" outline="0" fieldPosition="0"/>
    </format>
    <format dxfId="2675">
      <pivotArea field="6" type="button" dataOnly="0" labelOnly="1" outline="0" axis="axisRow" fieldPosition="0"/>
    </format>
    <format dxfId="2676">
      <pivotArea dataOnly="0" labelOnly="1" grandCol="1" outline="0" fieldPosition="0"/>
    </format>
    <format dxfId="2677">
      <pivotArea field="6" type="button" dataOnly="0" labelOnly="1" outline="0" axis="axisRow" fieldPosition="0"/>
    </format>
    <format dxfId="2678">
      <pivotArea dataOnly="0" labelOnly="1" outline="0" fieldPosition="0">
        <references count="1">
          <reference field="34" count="0"/>
        </references>
      </pivotArea>
    </format>
    <format dxfId="2679">
      <pivotArea dataOnly="0" labelOnly="1" grandCol="1" outline="0" fieldPosition="0"/>
    </format>
    <format dxfId="2680">
      <pivotArea dataOnly="0" labelOnly="1" outline="0" fieldPosition="0">
        <references count="1">
          <reference field="34" count="0"/>
        </references>
      </pivotArea>
    </format>
    <format dxfId="2681">
      <pivotArea dataOnly="0" labelOnly="1" grandCol="1" outline="0" fieldPosition="0"/>
    </format>
  </formats>
  <chartFormats count="6">
    <chartFormat chart="0" format="0" series="1">
      <pivotArea type="data" outline="0" fieldPosition="0">
        <references count="2">
          <reference field="4294967294" count="1" selected="0">
            <x v="0"/>
          </reference>
          <reference field="34" count="1" selected="0">
            <x v="0"/>
          </reference>
        </references>
      </pivotArea>
    </chartFormat>
    <chartFormat chart="0" format="1" series="1">
      <pivotArea type="data" outline="0" fieldPosition="0">
        <references count="2">
          <reference field="4294967294" count="1" selected="0">
            <x v="0"/>
          </reference>
          <reference field="34" count="1" selected="0">
            <x v="1"/>
          </reference>
        </references>
      </pivotArea>
    </chartFormat>
    <chartFormat chart="0" format="2" series="1">
      <pivotArea type="data" outline="0" fieldPosition="0">
        <references count="2">
          <reference field="4294967294" count="1" selected="0">
            <x v="0"/>
          </reference>
          <reference field="34" count="1" selected="0">
            <x v="2"/>
          </reference>
        </references>
      </pivotArea>
    </chartFormat>
    <chartFormat chart="0" format="3" series="1">
      <pivotArea type="data" outline="0" fieldPosition="0">
        <references count="2">
          <reference field="4294967294" count="1" selected="0">
            <x v="0"/>
          </reference>
          <reference field="34" count="1" selected="0">
            <x v="3"/>
          </reference>
        </references>
      </pivotArea>
    </chartFormat>
    <chartFormat chart="0" format="4" series="1">
      <pivotArea type="data" outline="0" fieldPosition="0">
        <references count="2">
          <reference field="4294967294" count="1" selected="0">
            <x v="0"/>
          </reference>
          <reference field="34" count="1" selected="0">
            <x v="4"/>
          </reference>
        </references>
      </pivotArea>
    </chartFormat>
    <chartFormat chart="0" format="5" series="1">
      <pivotArea type="data" outline="0" fieldPosition="0">
        <references count="2">
          <reference field="4294967294" count="1" selected="0">
            <x v="0"/>
          </reference>
          <reference field="34"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0.xml><?xml version="1.0" encoding="utf-8"?>
<pivotTableDefinition xmlns="http://schemas.openxmlformats.org/spreadsheetml/2006/main" xmlns:mc="http://schemas.openxmlformats.org/markup-compatibility/2006" xmlns:xr="http://schemas.microsoft.com/office/spreadsheetml/2014/revision" mc:Ignorable="xr" xr:uid="{1E640E73-80B9-43E9-92AB-B89136A39036}" name="PivotTable19"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32">
  <location ref="A1518:F1533" firstHeaderRow="0" firstDataRow="1" firstDataCol="2"/>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compact="0" outline="0" showAll="0" sortType="descending" defaultSubtotal="0">
      <items count="15">
        <item x="10"/>
        <item x="6"/>
        <item x="9"/>
        <item x="5"/>
        <item x="7"/>
        <item x="11"/>
        <item x="0"/>
        <item x="12"/>
        <item x="1"/>
        <item x="13"/>
        <item x="4"/>
        <item x="14"/>
        <item x="8"/>
        <item x="2"/>
        <item x="3"/>
      </items>
      <autoSortScope>
        <pivotArea dataOnly="0" outline="0" fieldPosition="0">
          <references count="1">
            <reference field="4294967294" count="1" selected="0">
              <x v="0"/>
            </reference>
          </references>
        </pivotArea>
      </autoSortScope>
    </pivotField>
    <pivotField axis="axisRow"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dataField="1" compact="0" outline="0" subtotalTop="0" showAll="0" defaultSubtotal="0"/>
    <pivotField compact="0" outline="0" showAll="0" defaultSubtotal="0"/>
    <pivotField compact="0" outline="0" subtotalTop="0" showAll="0" defaultSubtotal="0"/>
    <pivotField dataField="1"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2">
    <field x="5"/>
    <field x="6"/>
  </rowFields>
  <rowItems count="15">
    <i>
      <x/>
      <x v="25"/>
    </i>
    <i>
      <x v="5"/>
      <x v="26"/>
    </i>
    <i>
      <x v="8"/>
      <x v="16"/>
    </i>
    <i>
      <x v="14"/>
      <x v="18"/>
    </i>
    <i>
      <x v="10"/>
      <x v="19"/>
    </i>
    <i>
      <x v="13"/>
      <x v="17"/>
    </i>
    <i>
      <x v="4"/>
      <x v="22"/>
    </i>
    <i>
      <x v="12"/>
      <x v="23"/>
    </i>
    <i>
      <x v="1"/>
      <x v="21"/>
    </i>
    <i>
      <x v="3"/>
      <x v="20"/>
    </i>
    <i>
      <x v="2"/>
      <x v="24"/>
    </i>
    <i>
      <x v="7"/>
      <x v="27"/>
    </i>
    <i>
      <x v="9"/>
      <x v="28"/>
    </i>
    <i>
      <x v="11"/>
      <x v="29"/>
    </i>
    <i>
      <x v="6"/>
      <x v="15"/>
    </i>
  </rowItems>
  <colFields count="1">
    <field x="-2"/>
  </colFields>
  <colItems count="4">
    <i>
      <x/>
    </i>
    <i i="1">
      <x v="1"/>
    </i>
    <i i="2">
      <x v="2"/>
    </i>
    <i i="3">
      <x v="3"/>
    </i>
  </colItems>
  <dataFields count="4">
    <dataField name="Avg Lead Time Variance" fld="26" subtotal="average" baseField="6" baseItem="13" numFmtId="1"/>
    <dataField name="Sum of Calculated_Lead_Time_Variance_Days" fld="26" baseField="0" baseItem="0" numFmtId="1"/>
    <dataField name="Average of Calculated_Lead_Time2" fld="23" subtotal="average" baseField="6" baseItem="13" numFmtId="1"/>
    <dataField name="Sum of Calculated_Lead_Time2" fld="23" baseField="0" baseItem="0"/>
  </dataFields>
  <formats count="16">
    <format dxfId="2878">
      <pivotArea outline="0" collapsedLevelsAreSubtotals="1" fieldPosition="0"/>
    </format>
    <format dxfId="2879">
      <pivotArea dataOnly="0" labelOnly="1" grandCol="1" outline="0" fieldPosition="0"/>
    </format>
    <format dxfId="2880">
      <pivotArea grandRow="1" outline="0" collapsedLevelsAreSubtotals="1" fieldPosition="0"/>
    </format>
    <format dxfId="2881">
      <pivotArea dataOnly="0" labelOnly="1" grandRow="1" outline="0" fieldPosition="0"/>
    </format>
    <format dxfId="2882">
      <pivotArea field="6" type="button" dataOnly="0" labelOnly="1" outline="0" axis="axisRow" fieldPosition="1"/>
    </format>
    <format dxfId="2883">
      <pivotArea dataOnly="0" labelOnly="1" grandCol="1" outline="0" fieldPosition="0"/>
    </format>
    <format dxfId="2884">
      <pivotArea field="6" type="button" dataOnly="0" labelOnly="1" outline="0" axis="axisRow" fieldPosition="1"/>
    </format>
    <format dxfId="2885">
      <pivotArea dataOnly="0" labelOnly="1" grandCol="1" outline="0" fieldPosition="0"/>
    </format>
    <format dxfId="2886">
      <pivotArea field="6" type="button" dataOnly="0" labelOnly="1" outline="0" axis="axisRow" fieldPosition="1"/>
    </format>
    <format dxfId="2887">
      <pivotArea dataOnly="0" labelOnly="1" grandCol="1" outline="0" fieldPosition="0"/>
    </format>
    <format dxfId="2888">
      <pivotArea field="6" type="button" dataOnly="0" labelOnly="1" outline="0" axis="axisRow" fieldPosition="1"/>
    </format>
    <format dxfId="2889">
      <pivotArea dataOnly="0" labelOnly="1" grandCol="1" outline="0" fieldPosition="0"/>
    </format>
    <format dxfId="2890">
      <pivotArea dataOnly="0" labelOnly="1" grandCol="1" outline="0" fieldPosition="0"/>
    </format>
    <format dxfId="2891">
      <pivotArea dataOnly="0" labelOnly="1" grandCol="1" outline="0" fieldPosition="0"/>
    </format>
    <format dxfId="2892">
      <pivotArea dataOnly="0" labelOnly="1" grandCol="1" outline="0" fieldPosition="0"/>
    </format>
    <format dxfId="2893">
      <pivotArea outline="0" fieldPosition="0">
        <references count="1">
          <reference field="4294967294" count="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1.xml><?xml version="1.0" encoding="utf-8"?>
<pivotTableDefinition xmlns="http://schemas.openxmlformats.org/spreadsheetml/2006/main" xmlns:mc="http://schemas.openxmlformats.org/markup-compatibility/2006" xmlns:xr="http://schemas.microsoft.com/office/spreadsheetml/2014/revision" mc:Ignorable="xr" xr:uid="{D28C8E1E-C325-4C64-ADDF-68E39825ED16}" name="PivotTable5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61:I175"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axis="axisRow" compact="0" outline="0" showAll="0" defaultSubtotal="0">
      <items count="12">
        <item x="11"/>
        <item x="5"/>
        <item x="9"/>
        <item x="8"/>
        <item x="10"/>
        <item x="1"/>
        <item x="7"/>
        <item x="2"/>
        <item x="4"/>
        <item x="6"/>
        <item x="0"/>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dataField="1" compact="0" outline="0" showAll="0" defaultSubtotal="0">
      <items count="7">
        <item x="3"/>
        <item x="5"/>
        <item x="6"/>
        <item x="1"/>
        <item x="2"/>
        <item x="4"/>
        <item x="0"/>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7"/>
  </rowFields>
  <rowItems count="13">
    <i>
      <x/>
    </i>
    <i>
      <x v="1"/>
    </i>
    <i>
      <x v="2"/>
    </i>
    <i>
      <x v="3"/>
    </i>
    <i>
      <x v="4"/>
    </i>
    <i>
      <x v="5"/>
    </i>
    <i>
      <x v="6"/>
    </i>
    <i>
      <x v="7"/>
    </i>
    <i>
      <x v="8"/>
    </i>
    <i>
      <x v="9"/>
    </i>
    <i>
      <x v="10"/>
    </i>
    <i>
      <x v="11"/>
    </i>
    <i t="grand">
      <x/>
    </i>
  </rowItems>
  <colFields count="1">
    <field x="28"/>
  </colFields>
  <colItems count="8">
    <i>
      <x/>
    </i>
    <i>
      <x v="1"/>
    </i>
    <i>
      <x v="2"/>
    </i>
    <i>
      <x v="3"/>
    </i>
    <i>
      <x v="4"/>
    </i>
    <i>
      <x v="5"/>
    </i>
    <i>
      <x v="6"/>
    </i>
    <i t="grand">
      <x/>
    </i>
  </colItems>
  <dataFields count="1">
    <dataField name="Count of Delivery_Status" fld="28" subtotal="count" baseField="0" baseItem="0"/>
  </dataFields>
  <formats count="1">
    <format dxfId="2705">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2.xml><?xml version="1.0" encoding="utf-8"?>
<pivotTableDefinition xmlns="http://schemas.openxmlformats.org/spreadsheetml/2006/main" xmlns:mc="http://schemas.openxmlformats.org/markup-compatibility/2006" xmlns:xr="http://schemas.microsoft.com/office/spreadsheetml/2014/revision" mc:Ignorable="xr" xr:uid="{58E2A346-56B5-4B14-AE91-EFF23E1A835F}" name="PivotTable26"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462:G478" firstHeaderRow="0" firstDataRow="1" firstDataCol="2"/>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dataField="1" compact="0" outline="0" showAll="0" sortType="descending" defaultSubtotal="0">
      <items count="15">
        <item x="10"/>
        <item x="6"/>
        <item x="9"/>
        <item x="5"/>
        <item x="7"/>
        <item x="11"/>
        <item x="0"/>
        <item x="12"/>
        <item x="1"/>
        <item x="13"/>
        <item x="4"/>
        <item x="14"/>
        <item x="8"/>
        <item x="2"/>
        <item x="3"/>
      </items>
      <autoSortScope>
        <pivotArea dataOnly="0" outline="0" fieldPosition="0">
          <references count="1">
            <reference field="4294967294" count="1" selected="0">
              <x v="4"/>
            </reference>
          </references>
        </pivotArea>
      </autoSortScope>
    </pivotField>
    <pivotField axis="axisRow" compact="0" outline="0" showAll="0" sortType="descending"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autoSortScope>
        <pivotArea dataOnly="0" outline="0" fieldPosition="0">
          <references count="1">
            <reference field="4294967294" count="1" selected="0">
              <x v="3"/>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2">
    <field x="5"/>
    <field x="6"/>
  </rowFields>
  <rowItems count="16">
    <i>
      <x v="4"/>
      <x v="22"/>
    </i>
    <i>
      <x/>
      <x v="25"/>
    </i>
    <i>
      <x v="14"/>
      <x v="18"/>
    </i>
    <i>
      <x v="6"/>
      <x v="15"/>
    </i>
    <i>
      <x v="11"/>
      <x v="29"/>
    </i>
    <i>
      <x v="1"/>
      <x v="21"/>
    </i>
    <i>
      <x v="9"/>
      <x v="28"/>
    </i>
    <i>
      <x v="10"/>
      <x v="19"/>
    </i>
    <i>
      <x v="5"/>
      <x v="26"/>
    </i>
    <i>
      <x v="3"/>
      <x v="20"/>
    </i>
    <i>
      <x v="8"/>
      <x v="16"/>
    </i>
    <i>
      <x v="13"/>
      <x v="17"/>
    </i>
    <i>
      <x v="7"/>
      <x v="27"/>
    </i>
    <i>
      <x v="12"/>
      <x v="23"/>
    </i>
    <i>
      <x v="2"/>
      <x v="24"/>
    </i>
    <i t="grand">
      <x/>
    </i>
  </rowItems>
  <colFields count="1">
    <field x="-2"/>
  </colFields>
  <colItems count="5">
    <i>
      <x/>
    </i>
    <i i="1">
      <x v="1"/>
    </i>
    <i i="2">
      <x v="2"/>
    </i>
    <i i="3">
      <x v="3"/>
    </i>
    <i i="4">
      <x v="4"/>
    </i>
  </colItems>
  <dataFields count="5">
    <dataField name="Sum of Order_Quantity" fld="16" baseField="6" baseItem="9"/>
    <dataField name="Sum of Defective_Units" fld="20" baseField="0" baseItem="0"/>
    <dataField name="Count of Supplier_ID" fld="5" subtotal="count" baseField="0" baseItem="0"/>
    <dataField name="Calculated % Defect on Total Order" fld="39" baseField="0" baseItem="0" numFmtId="10"/>
    <dataField name="% of  Defective_Units" fld="20" showDataAs="percentOfTotal" baseField="0" baseItem="0" numFmtId="10"/>
  </dataFields>
  <formats count="3">
    <format dxfId="2827">
      <pivotArea outline="0" fieldPosition="0">
        <references count="1">
          <reference field="4294967294" count="1">
            <x v="4"/>
          </reference>
        </references>
      </pivotArea>
    </format>
    <format dxfId="2828">
      <pivotArea outline="0" fieldPosition="0">
        <references count="1">
          <reference field="4294967294" count="1" selected="0">
            <x v="3"/>
          </reference>
        </references>
      </pivotArea>
    </format>
    <format dxfId="2829">
      <pivotArea dataOnly="0" labelOnly="1" outline="0" fieldPosition="0">
        <references count="1">
          <reference field="4294967294" count="1">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3.xml><?xml version="1.0" encoding="utf-8"?>
<pivotTableDefinition xmlns="http://schemas.openxmlformats.org/spreadsheetml/2006/main" xmlns:mc="http://schemas.openxmlformats.org/markup-compatibility/2006" xmlns:xr="http://schemas.microsoft.com/office/spreadsheetml/2014/revision" mc:Ignorable="xr" xr:uid="{B37A9B57-0CBF-414D-8BA9-DAB8993984DD}" name="PivotTable3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99:E212"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axis="axisRow" compact="0" outline="0" showAll="0" defaultSubtotal="0">
      <items count="12">
        <item x="11"/>
        <item x="5"/>
        <item x="9"/>
        <item x="8"/>
        <item x="10"/>
        <item x="1"/>
        <item x="7"/>
        <item x="2"/>
        <item x="4"/>
        <item x="6"/>
        <item x="0"/>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7"/>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Defective_Units" fld="20" baseField="0" baseItem="0"/>
    <dataField name="Sum of Order_Quantity" fld="16" baseField="33" baseItem="0"/>
    <dataField name="Percent of Defect on Order by Country" fld="39" baseField="0" baseItem="0" numFmtId="10"/>
    <dataField name="Percent of Defect of Total" fld="20" showDataAs="percentOfTotal" baseField="0" baseItem="0" numFmtId="10"/>
  </dataFields>
  <formats count="3">
    <format dxfId="2802">
      <pivotArea outline="0" collapsedLevelsAreSubtotals="1" fieldPosition="0"/>
    </format>
    <format dxfId="2803">
      <pivotArea outline="0" fieldPosition="0">
        <references count="1">
          <reference field="4294967294" count="1" selected="0">
            <x v="2"/>
          </reference>
        </references>
      </pivotArea>
    </format>
    <format dxfId="2804">
      <pivotArea outline="0" fieldPosition="0">
        <references count="1">
          <reference field="4294967294" count="1">
            <x v="3"/>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4.xml><?xml version="1.0" encoding="utf-8"?>
<pivotTableDefinition xmlns="http://schemas.openxmlformats.org/spreadsheetml/2006/main" xmlns:mc="http://schemas.openxmlformats.org/markup-compatibility/2006" xmlns:xr="http://schemas.microsoft.com/office/spreadsheetml/2014/revision" mc:Ignorable="xr" xr:uid="{50FD48BD-32AA-4DAB-821E-2B979EA1119B}" name="PivotTable4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9:K10" firstHeaderRow="0" firstDataRow="1" firstDataCol="0"/>
  <pivotFields count="41">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dataField="1"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Items count="1">
    <i/>
  </rowItems>
  <colFields count="1">
    <field x="-2"/>
  </colFields>
  <colItems count="11">
    <i>
      <x/>
    </i>
    <i i="1">
      <x v="1"/>
    </i>
    <i i="2">
      <x v="2"/>
    </i>
    <i i="3">
      <x v="3"/>
    </i>
    <i i="4">
      <x v="4"/>
    </i>
    <i i="5">
      <x v="5"/>
    </i>
    <i i="6">
      <x v="6"/>
    </i>
    <i i="7">
      <x v="7"/>
    </i>
    <i i="8">
      <x v="8"/>
    </i>
    <i i="9">
      <x v="9"/>
    </i>
    <i i="10">
      <x v="10"/>
    </i>
  </colItems>
  <dataFields count="11">
    <dataField name="Count of Order_ID" fld="1" subtotal="count" baseField="0" baseItem="0"/>
    <dataField name="Sum of Order_Quantity" fld="16" baseField="0" baseItem="2" numFmtId="3"/>
    <dataField name="Average Supplier Rating" fld="36" subtotal="average" baseField="5" baseItem="0" numFmtId="164"/>
    <dataField name="Min of Supplier_Rating" fld="36" subtotal="min" baseField="0" baseItem="0"/>
    <dataField name="Max of Supplier_Rating" fld="36" subtotal="max" baseField="0" baseItem="0"/>
    <dataField name="Average of Calculated_Lead_Time_Variance_Days" fld="26" subtotal="average" baseField="0" baseItem="2" numFmtId="1"/>
    <dataField name="Max of Calculated_Lead_Time_Variance_Days" fld="26" subtotal="max" baseField="0" baseItem="0" numFmtId="1"/>
    <dataField name="Min of Calculated_Lead_Time_Variance_Days" fld="26" subtotal="min" baseField="0" baseItem="0" numFmtId="1"/>
    <dataField name="Average of Defect_Rate" fld="21" subtotal="average" baseField="0" baseItem="2" numFmtId="10"/>
    <dataField name="Max of Defect_Rate" fld="21" subtotal="max" baseField="0" baseItem="0" numFmtId="10"/>
    <dataField name="Min of Defect_Rate" fld="21" subtotal="min" baseField="0" baseItem="0" numFmtId="10"/>
  </dataFields>
  <formats count="3">
    <format dxfId="2752">
      <pivotArea outline="0" collapsedLevelsAreSubtotals="1" fieldPosition="0">
        <references count="1">
          <reference field="4294967294" count="1" selected="0">
            <x v="2"/>
          </reference>
        </references>
      </pivotArea>
    </format>
    <format dxfId="2753">
      <pivotArea outline="0" collapsedLevelsAreSubtotals="1" fieldPosition="0"/>
    </format>
    <format dxfId="2754">
      <pivotArea outline="0" fieldPosition="0">
        <references count="1">
          <reference field="4294967294" count="1">
            <x v="1"/>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5.xml><?xml version="1.0" encoding="utf-8"?>
<pivotTableDefinition xmlns="http://schemas.openxmlformats.org/spreadsheetml/2006/main" xmlns:mc="http://schemas.openxmlformats.org/markup-compatibility/2006" xmlns:xr="http://schemas.microsoft.com/office/spreadsheetml/2014/revision" mc:Ignorable="xr" xr:uid="{D201D74F-DEA9-4333-860B-D0643FBA98EB}" name="PivotTable2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75:I292"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28"/>
  </colFields>
  <colItems count="8">
    <i>
      <x/>
    </i>
    <i>
      <x v="1"/>
    </i>
    <i>
      <x v="2"/>
    </i>
    <i>
      <x v="3"/>
    </i>
    <i>
      <x v="4"/>
    </i>
    <i>
      <x v="5"/>
    </i>
    <i>
      <x v="6"/>
    </i>
    <i t="grand">
      <x/>
    </i>
  </colItems>
  <dataFields count="1">
    <dataField name="Sum of Order_Quantity" fld="16" baseField="6" baseItem="0"/>
  </dataFields>
  <formats count="1">
    <format dxfId="2806">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6.xml><?xml version="1.0" encoding="utf-8"?>
<pivotTableDefinition xmlns="http://schemas.openxmlformats.org/spreadsheetml/2006/main" xmlns:mc="http://schemas.openxmlformats.org/markup-compatibility/2006" xmlns:xr="http://schemas.microsoft.com/office/spreadsheetml/2014/revision" mc:Ignorable="xr" xr:uid="{CE28BC2C-8C05-49C2-9709-F2F5580FB7AE}" name="PivotTable28"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000:I1017"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7">
        <item x="4"/>
        <item x="2"/>
        <item x="3"/>
        <item x="1"/>
        <item x="5"/>
        <item x="0"/>
        <item x="6"/>
      </items>
    </pivotField>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37"/>
  </colFields>
  <colItems count="8">
    <i>
      <x/>
    </i>
    <i>
      <x v="1"/>
    </i>
    <i>
      <x v="2"/>
    </i>
    <i>
      <x v="3"/>
    </i>
    <i>
      <x v="4"/>
    </i>
    <i>
      <x v="5"/>
    </i>
    <i>
      <x v="6"/>
    </i>
    <i t="grand">
      <x/>
    </i>
  </colItems>
  <dataFields count="1">
    <dataField name="Count of Supplier_Name" fld="6" subtotal="count" baseField="0" baseItem="0"/>
  </dataFields>
  <formats count="17">
    <format dxfId="2807">
      <pivotArea outline="0" collapsedLevelsAreSubtotals="1" fieldPosition="0"/>
    </format>
    <format dxfId="2808">
      <pivotArea dataOnly="0" labelOnly="1" grandCol="1" outline="0" fieldPosition="0"/>
    </format>
    <format dxfId="2809">
      <pivotArea grandRow="1" outline="0" collapsedLevelsAreSubtotals="1" fieldPosition="0"/>
    </format>
    <format dxfId="2810">
      <pivotArea dataOnly="0" labelOnly="1" grandRow="1" outline="0" fieldPosition="0"/>
    </format>
    <format dxfId="2811">
      <pivotArea field="6" type="button" dataOnly="0" labelOnly="1" outline="0" axis="axisRow" fieldPosition="0"/>
    </format>
    <format dxfId="2812">
      <pivotArea dataOnly="0" labelOnly="1" grandCol="1" outline="0" fieldPosition="0"/>
    </format>
    <format dxfId="2813">
      <pivotArea field="6" type="button" dataOnly="0" labelOnly="1" outline="0" axis="axisRow" fieldPosition="0"/>
    </format>
    <format dxfId="2814">
      <pivotArea dataOnly="0" labelOnly="1" grandCol="1" outline="0" fieldPosition="0"/>
    </format>
    <format dxfId="2815">
      <pivotArea field="6" type="button" dataOnly="0" labelOnly="1" outline="0" axis="axisRow" fieldPosition="0"/>
    </format>
    <format dxfId="2816">
      <pivotArea dataOnly="0" labelOnly="1" grandCol="1" outline="0" fieldPosition="0"/>
    </format>
    <format dxfId="2817">
      <pivotArea field="6" type="button" dataOnly="0" labelOnly="1" outline="0" axis="axisRow" fieldPosition="0"/>
    </format>
    <format dxfId="2818">
      <pivotArea dataOnly="0" labelOnly="1" grandCol="1" outline="0" fieldPosition="0"/>
    </format>
    <format dxfId="2819">
      <pivotArea dataOnly="0" labelOnly="1" grandCol="1" outline="0" fieldPosition="0"/>
    </format>
    <format dxfId="2820">
      <pivotArea dataOnly="0" labelOnly="1" outline="0" fieldPosition="0">
        <references count="1">
          <reference field="37" count="0"/>
        </references>
      </pivotArea>
    </format>
    <format dxfId="2821">
      <pivotArea dataOnly="0" labelOnly="1" grandCol="1" outline="0" fieldPosition="0"/>
    </format>
    <format dxfId="2822">
      <pivotArea dataOnly="0" labelOnly="1" outline="0" fieldPosition="0">
        <references count="1">
          <reference field="37" count="0"/>
        </references>
      </pivotArea>
    </format>
    <format dxfId="2823">
      <pivotArea dataOnly="0" labelOnly="1" grandCol="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7.xml><?xml version="1.0" encoding="utf-8"?>
<pivotTableDefinition xmlns="http://schemas.openxmlformats.org/spreadsheetml/2006/main" xmlns:mc="http://schemas.openxmlformats.org/markup-compatibility/2006" xmlns:xr="http://schemas.microsoft.com/office/spreadsheetml/2014/revision" mc:Ignorable="xr" xr:uid="{B36AD39D-B000-4644-8867-E4A74C7E4FE1}" name="PivotTable15"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
  <location ref="A879:H896"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axis="axisCol" compact="0" outline="0" showAll="0" defaultSubtotal="0">
      <items count="6">
        <item x="5"/>
        <item x="4"/>
        <item x="2"/>
        <item x="3"/>
        <item x="0"/>
        <item x="1"/>
      </items>
    </pivotField>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31"/>
  </colFields>
  <colItems count="7">
    <i>
      <x/>
    </i>
    <i>
      <x v="1"/>
    </i>
    <i>
      <x v="2"/>
    </i>
    <i>
      <x v="3"/>
    </i>
    <i>
      <x v="4"/>
    </i>
    <i>
      <x v="5"/>
    </i>
    <i t="grand">
      <x/>
    </i>
  </colItems>
  <dataFields count="1">
    <dataField name="Count of Supplier_Name" fld="6" subtotal="count" baseField="0" baseItem="0"/>
  </dataFields>
  <formats count="12">
    <format dxfId="2911">
      <pivotArea outline="0" collapsedLevelsAreSubtotals="1" fieldPosition="0"/>
    </format>
    <format dxfId="2912">
      <pivotArea dataOnly="0" labelOnly="1" grandCol="1" outline="0" fieldPosition="0"/>
    </format>
    <format dxfId="2913">
      <pivotArea grandRow="1" outline="0" collapsedLevelsAreSubtotals="1" fieldPosition="0"/>
    </format>
    <format dxfId="2914">
      <pivotArea dataOnly="0" labelOnly="1" grandRow="1" outline="0" fieldPosition="0"/>
    </format>
    <format dxfId="2915">
      <pivotArea field="6" type="button" dataOnly="0" labelOnly="1" outline="0" axis="axisRow" fieldPosition="0"/>
    </format>
    <format dxfId="2916">
      <pivotArea dataOnly="0" labelOnly="1" grandCol="1" outline="0" fieldPosition="0"/>
    </format>
    <format dxfId="2917">
      <pivotArea field="6" type="button" dataOnly="0" labelOnly="1" outline="0" axis="axisRow" fieldPosition="0"/>
    </format>
    <format dxfId="2918">
      <pivotArea dataOnly="0" labelOnly="1" grandCol="1" outline="0" fieldPosition="0"/>
    </format>
    <format dxfId="2919">
      <pivotArea field="6" type="button" dataOnly="0" labelOnly="1" outline="0" axis="axisRow" fieldPosition="0"/>
    </format>
    <format dxfId="2920">
      <pivotArea dataOnly="0" labelOnly="1" grandCol="1" outline="0" fieldPosition="0"/>
    </format>
    <format dxfId="2921">
      <pivotArea field="6" type="button" dataOnly="0" labelOnly="1" outline="0" axis="axisRow" fieldPosition="0"/>
    </format>
    <format dxfId="2922">
      <pivotArea dataOnly="0" labelOnly="1" outline="0" fieldPosition="0">
        <references count="1">
          <reference field="31" count="0"/>
        </references>
      </pivotArea>
    </format>
  </formats>
  <chartFormats count="6">
    <chartFormat chart="2" format="12" series="1">
      <pivotArea type="data" outline="0" fieldPosition="0">
        <references count="2">
          <reference field="4294967294" count="1" selected="0">
            <x v="0"/>
          </reference>
          <reference field="31" count="1" selected="0">
            <x v="0"/>
          </reference>
        </references>
      </pivotArea>
    </chartFormat>
    <chartFormat chart="2" format="13" series="1">
      <pivotArea type="data" outline="0" fieldPosition="0">
        <references count="2">
          <reference field="4294967294" count="1" selected="0">
            <x v="0"/>
          </reference>
          <reference field="31" count="1" selected="0">
            <x v="1"/>
          </reference>
        </references>
      </pivotArea>
    </chartFormat>
    <chartFormat chart="2" format="14" series="1">
      <pivotArea type="data" outline="0" fieldPosition="0">
        <references count="2">
          <reference field="4294967294" count="1" selected="0">
            <x v="0"/>
          </reference>
          <reference field="31" count="1" selected="0">
            <x v="2"/>
          </reference>
        </references>
      </pivotArea>
    </chartFormat>
    <chartFormat chart="2" format="15" series="1">
      <pivotArea type="data" outline="0" fieldPosition="0">
        <references count="2">
          <reference field="4294967294" count="1" selected="0">
            <x v="0"/>
          </reference>
          <reference field="31" count="1" selected="0">
            <x v="3"/>
          </reference>
        </references>
      </pivotArea>
    </chartFormat>
    <chartFormat chart="2" format="16" series="1">
      <pivotArea type="data" outline="0" fieldPosition="0">
        <references count="2">
          <reference field="4294967294" count="1" selected="0">
            <x v="0"/>
          </reference>
          <reference field="31" count="1" selected="0">
            <x v="4"/>
          </reference>
        </references>
      </pivotArea>
    </chartFormat>
    <chartFormat chart="2" format="17" series="1">
      <pivotArea type="data" outline="0" fieldPosition="0">
        <references count="2">
          <reference field="4294967294" count="1" selected="0">
            <x v="0"/>
          </reference>
          <reference field="31"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8.xml><?xml version="1.0" encoding="utf-8"?>
<pivotTableDefinition xmlns="http://schemas.openxmlformats.org/spreadsheetml/2006/main" xmlns:mc="http://schemas.openxmlformats.org/markup-compatibility/2006" xmlns:xr="http://schemas.microsoft.com/office/spreadsheetml/2014/revision" mc:Ignorable="xr" xr:uid="{53A55229-A3C0-48DB-A21F-6C5958C52A99}" name="PivotTable4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046:B1063" firstHeaderRow="1"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dataField="1"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16">
        <item x="4"/>
        <item x="0"/>
        <item x="5"/>
        <item x="1"/>
        <item x="6"/>
        <item x="11"/>
        <item x="12"/>
        <item x="9"/>
        <item x="7"/>
        <item x="10"/>
        <item x="13"/>
        <item x="15"/>
        <item x="14"/>
        <item x="2"/>
        <item x="3"/>
        <item x="8"/>
      </items>
      <autoSortScope>
        <pivotArea dataOnly="0" outline="0" fieldPosition="0">
          <references count="1">
            <reference field="4294967294" count="1" selected="0">
              <x v="0"/>
            </reference>
          </references>
        </pivotArea>
      </autoSortScope>
    </pivotField>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38"/>
  </rowFields>
  <rowItems count="17">
    <i>
      <x v="1"/>
    </i>
    <i>
      <x v="13"/>
    </i>
    <i>
      <x v="2"/>
    </i>
    <i>
      <x/>
    </i>
    <i>
      <x v="3"/>
    </i>
    <i>
      <x v="14"/>
    </i>
    <i>
      <x v="4"/>
    </i>
    <i>
      <x v="15"/>
    </i>
    <i>
      <x v="7"/>
    </i>
    <i>
      <x v="5"/>
    </i>
    <i>
      <x v="8"/>
    </i>
    <i>
      <x v="11"/>
    </i>
    <i>
      <x v="9"/>
    </i>
    <i>
      <x v="10"/>
    </i>
    <i>
      <x v="6"/>
    </i>
    <i>
      <x v="12"/>
    </i>
    <i t="grand">
      <x/>
    </i>
  </rowItems>
  <colItems count="1">
    <i/>
  </colItems>
  <dataFields count="1">
    <dataField name="Count of Supplier_Name" fld="6" subtotal="count" baseField="0" baseItem="0"/>
  </dataFields>
  <formats count="16">
    <format dxfId="2758">
      <pivotArea outline="0" collapsedLevelsAreSubtotals="1" fieldPosition="0"/>
    </format>
    <format dxfId="2759">
      <pivotArea dataOnly="0" labelOnly="1" grandCol="1" outline="0" fieldPosition="0"/>
    </format>
    <format dxfId="2760">
      <pivotArea grandRow="1" outline="0" collapsedLevelsAreSubtotals="1" fieldPosition="0"/>
    </format>
    <format dxfId="2761">
      <pivotArea dataOnly="0" labelOnly="1" grandRow="1" outline="0" fieldPosition="0"/>
    </format>
    <format dxfId="2762">
      <pivotArea field="6" type="button" dataOnly="0" labelOnly="1" outline="0"/>
    </format>
    <format dxfId="2763">
      <pivotArea dataOnly="0" labelOnly="1" grandCol="1" outline="0" fieldPosition="0"/>
    </format>
    <format dxfId="2764">
      <pivotArea field="6" type="button" dataOnly="0" labelOnly="1" outline="0"/>
    </format>
    <format dxfId="2765">
      <pivotArea dataOnly="0" labelOnly="1" grandCol="1" outline="0" fieldPosition="0"/>
    </format>
    <format dxfId="2766">
      <pivotArea field="6" type="button" dataOnly="0" labelOnly="1" outline="0"/>
    </format>
    <format dxfId="2767">
      <pivotArea dataOnly="0" labelOnly="1" grandCol="1" outline="0" fieldPosition="0"/>
    </format>
    <format dxfId="2768">
      <pivotArea field="6" type="button" dataOnly="0" labelOnly="1" outline="0"/>
    </format>
    <format dxfId="2769">
      <pivotArea dataOnly="0" labelOnly="1" grandCol="1" outline="0" fieldPosition="0"/>
    </format>
    <format dxfId="2770">
      <pivotArea dataOnly="0" labelOnly="1" grandCol="1" outline="0" fieldPosition="0"/>
    </format>
    <format dxfId="2771">
      <pivotArea dataOnly="0" labelOnly="1" grandCol="1" outline="0" fieldPosition="0"/>
    </format>
    <format dxfId="2772">
      <pivotArea dataOnly="0" labelOnly="1" grandCol="1" outline="0" fieldPosition="0"/>
    </format>
    <format dxfId="2773">
      <pivotArea dataOnly="0" labelOnly="1" outline="0" fieldPosition="0">
        <references count="1">
          <reference field="38"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9.xml><?xml version="1.0" encoding="utf-8"?>
<pivotTableDefinition xmlns="http://schemas.openxmlformats.org/spreadsheetml/2006/main" xmlns:mc="http://schemas.openxmlformats.org/markup-compatibility/2006" xmlns:xr="http://schemas.microsoft.com/office/spreadsheetml/2014/revision" mc:Ignorable="xr" xr:uid="{3DE9BE70-D5CE-4FAD-8868-C0A167607B11}" name="PivotTable3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01:E108" firstHeaderRow="0"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axis="axisRow"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32"/>
  </rowFields>
  <rowItems count="7">
    <i>
      <x/>
    </i>
    <i>
      <x v="1"/>
    </i>
    <i>
      <x v="2"/>
    </i>
    <i>
      <x v="3"/>
    </i>
    <i>
      <x v="4"/>
    </i>
    <i>
      <x v="5"/>
    </i>
    <i t="grand">
      <x/>
    </i>
  </rowItems>
  <colFields count="1">
    <field x="-2"/>
  </colFields>
  <colItems count="4">
    <i>
      <x/>
    </i>
    <i i="1">
      <x v="1"/>
    </i>
    <i i="2">
      <x v="2"/>
    </i>
    <i i="3">
      <x v="3"/>
    </i>
  </colItems>
  <dataFields count="4">
    <dataField name="Sum of Defective_Units" fld="20" baseField="0" baseItem="0"/>
    <dataField name="Sum of Order_Quantity" fld="16" baseField="33" baseItem="0"/>
    <dataField name="Percent of Defect on Order by Location" fld="39" baseField="0" baseItem="0" numFmtId="10"/>
    <dataField name="Percent of Defect of Total" fld="16" showDataAs="percentOfTotal" baseField="32" baseItem="0" numFmtId="10"/>
  </dataFields>
  <formats count="3">
    <format dxfId="2796">
      <pivotArea outline="0" collapsedLevelsAreSubtotals="1" fieldPosition="0"/>
    </format>
    <format dxfId="2797">
      <pivotArea outline="0" fieldPosition="0">
        <references count="1">
          <reference field="4294967294" count="1" selected="0">
            <x v="2"/>
          </reference>
        </references>
      </pivotArea>
    </format>
    <format dxfId="2798">
      <pivotArea outline="0" fieldPosition="0">
        <references count="1">
          <reference field="4294967294" count="1">
            <x v="3"/>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0.xml><?xml version="1.0" encoding="utf-8"?>
<pivotTableDefinition xmlns="http://schemas.openxmlformats.org/spreadsheetml/2006/main" xmlns:mc="http://schemas.openxmlformats.org/markup-compatibility/2006" xmlns:xr="http://schemas.microsoft.com/office/spreadsheetml/2014/revision" mc:Ignorable="xr" xr:uid="{E5760B30-687A-4288-BDE8-57E59ED3B464}" name="PivotTable1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477:I1494"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dataField="1"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axis="axisCol"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40"/>
  </colFields>
  <colItems count="8">
    <i>
      <x v="1"/>
    </i>
    <i>
      <x v="2"/>
    </i>
    <i>
      <x v="3"/>
    </i>
    <i>
      <x v="4"/>
    </i>
    <i>
      <x v="5"/>
    </i>
    <i>
      <x v="6"/>
    </i>
    <i>
      <x v="7"/>
    </i>
    <i t="grand">
      <x/>
    </i>
  </colItems>
  <dataFields count="1">
    <dataField name="Sum of Lead_Time_Days" fld="22" baseField="4" baseItem="0"/>
  </dataFields>
  <formats count="15">
    <format dxfId="2947">
      <pivotArea outline="0" collapsedLevelsAreSubtotals="1" fieldPosition="0"/>
    </format>
    <format dxfId="2948">
      <pivotArea dataOnly="0" labelOnly="1" grandCol="1" outline="0" fieldPosition="0"/>
    </format>
    <format dxfId="2949">
      <pivotArea grandRow="1" outline="0" collapsedLevelsAreSubtotals="1" fieldPosition="0"/>
    </format>
    <format dxfId="2950">
      <pivotArea dataOnly="0" labelOnly="1" grandRow="1" outline="0" fieldPosition="0"/>
    </format>
    <format dxfId="2951">
      <pivotArea field="6" type="button" dataOnly="0" labelOnly="1" outline="0" axis="axisRow" fieldPosition="0"/>
    </format>
    <format dxfId="2952">
      <pivotArea dataOnly="0" labelOnly="1" grandCol="1" outline="0" fieldPosition="0"/>
    </format>
    <format dxfId="2953">
      <pivotArea field="6" type="button" dataOnly="0" labelOnly="1" outline="0" axis="axisRow" fieldPosition="0"/>
    </format>
    <format dxfId="2954">
      <pivotArea dataOnly="0" labelOnly="1" grandCol="1" outline="0" fieldPosition="0"/>
    </format>
    <format dxfId="2955">
      <pivotArea field="6" type="button" dataOnly="0" labelOnly="1" outline="0" axis="axisRow" fieldPosition="0"/>
    </format>
    <format dxfId="2956">
      <pivotArea dataOnly="0" labelOnly="1" grandCol="1" outline="0" fieldPosition="0"/>
    </format>
    <format dxfId="2957">
      <pivotArea field="6" type="button" dataOnly="0" labelOnly="1" outline="0" axis="axisRow" fieldPosition="0"/>
    </format>
    <format dxfId="2958">
      <pivotArea dataOnly="0" labelOnly="1" grandCol="1" outline="0" fieldPosition="0"/>
    </format>
    <format dxfId="2959">
      <pivotArea dataOnly="0" labelOnly="1" grandCol="1" outline="0" fieldPosition="0"/>
    </format>
    <format dxfId="2960">
      <pivotArea dataOnly="0" labelOnly="1" grandCol="1" outline="0" fieldPosition="0"/>
    </format>
    <format dxfId="2961">
      <pivotArea dataOnly="0" labelOnly="1" grandCol="1" outline="0" fieldPosition="0"/>
    </format>
  </formats>
  <conditionalFormats count="1">
    <conditionalFormat priority="1">
      <pivotAreas count="1">
        <pivotArea type="data" outline="0" collapsedLevelsAreSubtotals="1" fieldPosition="0">
          <references count="3">
            <reference field="4294967294" count="1" selected="0">
              <x v="0"/>
            </reference>
            <reference field="6" count="15" selected="0">
              <x v="0"/>
              <x v="1"/>
              <x v="2"/>
              <x v="3"/>
              <x v="4"/>
              <x v="5"/>
              <x v="6"/>
              <x v="7"/>
              <x v="8"/>
              <x v="9"/>
              <x v="10"/>
              <x v="11"/>
              <x v="12"/>
              <x v="13"/>
              <x v="14"/>
            </reference>
            <reference field="40" count="7" selected="0">
              <x v="1"/>
              <x v="2"/>
              <x v="3"/>
              <x v="4"/>
              <x v="5"/>
              <x v="6"/>
              <x v="7"/>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1.xml><?xml version="1.0" encoding="utf-8"?>
<pivotTableDefinition xmlns="http://schemas.openxmlformats.org/spreadsheetml/2006/main" xmlns:mc="http://schemas.openxmlformats.org/markup-compatibility/2006" xmlns:xr="http://schemas.microsoft.com/office/spreadsheetml/2014/revision" mc:Ignorable="xr" xr:uid="{CD33BDA6-92D3-4847-BD38-DB894695A708}"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30:D346" firstHeaderRow="0" firstDataRow="1" firstDataCol="2"/>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axis="axisRow" compact="0" outline="0" showAll="0" sortType="descending" defaultSubtotal="0">
      <items count="15">
        <item x="10"/>
        <item x="6"/>
        <item x="9"/>
        <item x="5"/>
        <item x="7"/>
        <item x="11"/>
        <item x="0"/>
        <item x="12"/>
        <item x="1"/>
        <item x="13"/>
        <item x="4"/>
        <item x="14"/>
        <item x="8"/>
        <item x="2"/>
        <item x="3"/>
      </items>
      <autoSortScope>
        <pivotArea dataOnly="0" outline="0" fieldPosition="0">
          <references count="1">
            <reference field="4294967294" count="1" selected="0">
              <x v="1"/>
            </reference>
          </references>
        </pivotArea>
      </autoSortScope>
    </pivotField>
    <pivotField axis="axisRow"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2">
    <field x="5"/>
    <field x="6"/>
  </rowFields>
  <rowItems count="16">
    <i>
      <x v="2"/>
      <x v="24"/>
    </i>
    <i>
      <x v="12"/>
      <x v="23"/>
    </i>
    <i>
      <x v="4"/>
      <x v="22"/>
    </i>
    <i>
      <x v="9"/>
      <x v="28"/>
    </i>
    <i>
      <x/>
      <x v="25"/>
    </i>
    <i>
      <x v="1"/>
      <x v="21"/>
    </i>
    <i>
      <x v="6"/>
      <x v="15"/>
    </i>
    <i>
      <x v="10"/>
      <x v="19"/>
    </i>
    <i>
      <x v="8"/>
      <x v="16"/>
    </i>
    <i>
      <x v="11"/>
      <x v="29"/>
    </i>
    <i>
      <x v="7"/>
      <x v="27"/>
    </i>
    <i>
      <x v="13"/>
      <x v="17"/>
    </i>
    <i>
      <x v="14"/>
      <x v="18"/>
    </i>
    <i>
      <x v="3"/>
      <x v="20"/>
    </i>
    <i>
      <x v="5"/>
      <x v="26"/>
    </i>
    <i t="grand">
      <x/>
    </i>
  </rowItems>
  <colFields count="1">
    <field x="-2"/>
  </colFields>
  <colItems count="2">
    <i>
      <x/>
    </i>
    <i i="1">
      <x v="1"/>
    </i>
  </colItems>
  <dataFields count="2">
    <dataField name="Count" fld="36" subtotal="count" baseField="5" baseItem="0"/>
    <dataField name="Average Rating" fld="36" subtotal="average" baseField="5" baseItem="0" numFmtId="164"/>
  </dataFields>
  <formats count="3">
    <format dxfId="2664">
      <pivotArea outline="0" collapsedLevelsAreSubtotals="1" fieldPosition="0">
        <references count="1">
          <reference field="4294967294" count="1" selected="0">
            <x v="1"/>
          </reference>
        </references>
      </pivotArea>
    </format>
    <format dxfId="2665">
      <pivotArea dataOnly="0" labelOnly="1" outline="0" fieldPosition="0">
        <references count="1">
          <reference field="4294967294" count="2">
            <x v="0"/>
            <x v="1"/>
          </reference>
        </references>
      </pivotArea>
    </format>
    <format dxfId="2666">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2.xml><?xml version="1.0" encoding="utf-8"?>
<pivotTableDefinition xmlns="http://schemas.openxmlformats.org/spreadsheetml/2006/main" xmlns:mc="http://schemas.openxmlformats.org/markup-compatibility/2006" xmlns:xr="http://schemas.microsoft.com/office/spreadsheetml/2014/revision" mc:Ignorable="xr" xr:uid="{62AA1A05-9754-4144-AE2A-90335F0D50A9}" name="PivotTable12"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9">
  <location ref="A756:Q766" firstHeaderRow="1" firstDataRow="3"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axis="axisCol" compact="0" outline="0" showAll="0" defaultSubtotal="0">
      <items count="7">
        <item x="1"/>
        <item x="2"/>
        <item x="0"/>
        <item x="6"/>
        <item x="4"/>
        <item x="5"/>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Row" compact="0" outline="0" showAll="0" defaultSubtotal="0">
      <items count="7">
        <item x="5"/>
        <item x="2"/>
        <item x="3"/>
        <item x="1"/>
        <item x="4"/>
        <item x="0"/>
        <item x="6"/>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28"/>
  </rowFields>
  <rowItems count="8">
    <i>
      <x/>
    </i>
    <i>
      <x v="1"/>
    </i>
    <i>
      <x v="2"/>
    </i>
    <i>
      <x v="3"/>
    </i>
    <i>
      <x v="4"/>
    </i>
    <i>
      <x v="5"/>
    </i>
    <i>
      <x v="6"/>
    </i>
    <i t="grand">
      <x/>
    </i>
  </rowItems>
  <colFields count="2">
    <field x="9"/>
    <field x="-2"/>
  </colFields>
  <colItems count="16">
    <i>
      <x/>
      <x/>
    </i>
    <i r="1" i="1">
      <x v="1"/>
    </i>
    <i>
      <x v="1"/>
      <x/>
    </i>
    <i r="1" i="1">
      <x v="1"/>
    </i>
    <i>
      <x v="2"/>
      <x/>
    </i>
    <i r="1" i="1">
      <x v="1"/>
    </i>
    <i>
      <x v="3"/>
      <x/>
    </i>
    <i r="1" i="1">
      <x v="1"/>
    </i>
    <i>
      <x v="4"/>
      <x/>
    </i>
    <i r="1" i="1">
      <x v="1"/>
    </i>
    <i>
      <x v="5"/>
      <x/>
    </i>
    <i r="1" i="1">
      <x v="1"/>
    </i>
    <i>
      <x v="6"/>
      <x/>
    </i>
    <i r="1" i="1">
      <x v="1"/>
    </i>
    <i t="grand">
      <x/>
    </i>
    <i t="grand" i="1">
      <x/>
    </i>
  </colItems>
  <dataFields count="2">
    <dataField name="Sum of Order_Quantity" fld="16" baseField="6" baseItem="0"/>
    <dataField name="Sum of Order_Quantity2" fld="16" showDataAs="percentOfTotal" baseField="28" baseItem="0" numFmtId="10"/>
  </dataFields>
  <formats count="6">
    <format dxfId="2941">
      <pivotArea outline="0" collapsedLevelsAreSubtotals="1" fieldPosition="0"/>
    </format>
    <format dxfId="2942">
      <pivotArea dataOnly="0" labelOnly="1" outline="0" fieldPosition="0">
        <references count="1">
          <reference field="28" count="0"/>
        </references>
      </pivotArea>
    </format>
    <format dxfId="2943">
      <pivotArea dataOnly="0" labelOnly="1" grandCol="1" outline="0" fieldPosition="0"/>
    </format>
    <format dxfId="2944">
      <pivotArea grandRow="1" outline="0" collapsedLevelsAreSubtotals="1" fieldPosition="0"/>
    </format>
    <format dxfId="2945">
      <pivotArea dataOnly="0" labelOnly="1" grandRow="1" outline="0" fieldPosition="0"/>
    </format>
    <format dxfId="2946">
      <pivotArea outline="0" fieldPosition="0">
        <references count="1">
          <reference field="4294967294" count="1">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3.xml><?xml version="1.0" encoding="utf-8"?>
<pivotTableDefinition xmlns="http://schemas.openxmlformats.org/spreadsheetml/2006/main" xmlns:mc="http://schemas.openxmlformats.org/markup-compatibility/2006" xmlns:xr="http://schemas.microsoft.com/office/spreadsheetml/2014/revision" mc:Ignorable="xr" xr:uid="{A32066CF-C2D5-454E-A6A7-87255D3075E4}" name="PivotTable5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14:I125"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axis="axisRow" compact="0" outline="0" showAll="0" defaultSubtotal="0">
      <items count="9">
        <item x="5"/>
        <item x="2"/>
        <item x="8"/>
        <item x="3"/>
        <item x="1"/>
        <item x="4"/>
        <item x="0"/>
        <item x="6"/>
        <item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dataField="1" compact="0" outline="0" showAll="0" defaultSubtotal="0">
      <items count="7">
        <item x="3"/>
        <item x="5"/>
        <item x="6"/>
        <item x="1"/>
        <item x="2"/>
        <item x="4"/>
        <item x="0"/>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8"/>
  </rowFields>
  <rowItems count="10">
    <i>
      <x/>
    </i>
    <i>
      <x v="1"/>
    </i>
    <i>
      <x v="2"/>
    </i>
    <i>
      <x v="3"/>
    </i>
    <i>
      <x v="4"/>
    </i>
    <i>
      <x v="5"/>
    </i>
    <i>
      <x v="6"/>
    </i>
    <i>
      <x v="7"/>
    </i>
    <i>
      <x v="8"/>
    </i>
    <i t="grand">
      <x/>
    </i>
  </rowItems>
  <colFields count="1">
    <field x="28"/>
  </colFields>
  <colItems count="8">
    <i>
      <x/>
    </i>
    <i>
      <x v="1"/>
    </i>
    <i>
      <x v="2"/>
    </i>
    <i>
      <x v="3"/>
    </i>
    <i>
      <x v="4"/>
    </i>
    <i>
      <x v="5"/>
    </i>
    <i>
      <x v="6"/>
    </i>
    <i t="grand">
      <x/>
    </i>
  </colItems>
  <dataFields count="1">
    <dataField name="Count of Delivery_Status" fld="28" subtotal="count" baseField="0" baseItem="0"/>
  </dataFields>
  <formats count="1">
    <format dxfId="2682">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4.xml><?xml version="1.0" encoding="utf-8"?>
<pivotTableDefinition xmlns="http://schemas.openxmlformats.org/spreadsheetml/2006/main" xmlns:mc="http://schemas.openxmlformats.org/markup-compatibility/2006" xmlns:xr="http://schemas.microsoft.com/office/spreadsheetml/2014/revision" mc:Ignorable="xr" xr:uid="{C2F78FCD-A624-4915-9864-E92D9A5EE094}" name="PivotTable2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88:B95" firstHeaderRow="1"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axis="axisRow"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32"/>
  </rowFields>
  <rowItems count="7">
    <i>
      <x/>
    </i>
    <i>
      <x v="1"/>
    </i>
    <i>
      <x v="2"/>
    </i>
    <i>
      <x v="3"/>
    </i>
    <i>
      <x v="4"/>
    </i>
    <i>
      <x v="5"/>
    </i>
    <i t="grand">
      <x/>
    </i>
  </rowItems>
  <colItems count="1">
    <i/>
  </colItems>
  <dataFields count="1">
    <dataField name="Average of Defect_Rate" fld="21" subtotal="average" baseField="33" baseItem="2" numFmtId="10"/>
  </dataFields>
  <formats count="1">
    <format dxfId="2846">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5.xml><?xml version="1.0" encoding="utf-8"?>
<pivotTableDefinition xmlns="http://schemas.openxmlformats.org/spreadsheetml/2006/main" xmlns:mc="http://schemas.openxmlformats.org/markup-compatibility/2006" xmlns:xr="http://schemas.microsoft.com/office/spreadsheetml/2014/revision" mc:Ignorable="xr" xr:uid="{58FE362F-6631-443E-8153-D8E4BF90F34B}" name="PivotTable53"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9">
  <location ref="A733:I750"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compact="0" outline="0" showAll="0" defaultSubtotal="0">
      <items count="30">
        <item m="1" x="29"/>
        <item m="1" x="26"/>
        <item m="1" x="28"/>
        <item m="1" x="22"/>
        <item m="1" x="23"/>
        <item m="1" x="15"/>
        <item m="1" x="18"/>
        <item m="1" x="17"/>
        <item m="1" x="21"/>
        <item m="1" x="19"/>
        <item m="1" x="27"/>
        <item m="1" x="16"/>
        <item m="1" x="20"/>
        <item m="1" x="25"/>
        <item m="1" x="24"/>
        <item x="0"/>
        <item x="1"/>
        <item x="2"/>
        <item x="3"/>
        <item x="4"/>
        <item x="5"/>
        <item x="6"/>
        <item x="7"/>
        <item x="8"/>
        <item x="9"/>
        <item x="10"/>
        <item x="11"/>
        <item x="12"/>
        <item x="13"/>
        <item x="1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compact="0" outline="0" showAll="0" defaultSubtotal="0">
      <items count="7">
        <item x="5"/>
        <item x="2"/>
        <item x="3"/>
        <item x="1"/>
        <item x="4"/>
        <item x="0"/>
        <item x="6"/>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5"/>
    </i>
    <i>
      <x v="16"/>
    </i>
    <i>
      <x v="17"/>
    </i>
    <i>
      <x v="18"/>
    </i>
    <i>
      <x v="19"/>
    </i>
    <i>
      <x v="20"/>
    </i>
    <i>
      <x v="21"/>
    </i>
    <i>
      <x v="22"/>
    </i>
    <i>
      <x v="23"/>
    </i>
    <i>
      <x v="24"/>
    </i>
    <i>
      <x v="25"/>
    </i>
    <i>
      <x v="26"/>
    </i>
    <i>
      <x v="27"/>
    </i>
    <i>
      <x v="28"/>
    </i>
    <i>
      <x v="29"/>
    </i>
    <i t="grand">
      <x/>
    </i>
  </rowItems>
  <colFields count="1">
    <field x="28"/>
  </colFields>
  <colItems count="8">
    <i>
      <x/>
    </i>
    <i>
      <x v="1"/>
    </i>
    <i>
      <x v="2"/>
    </i>
    <i>
      <x v="3"/>
    </i>
    <i>
      <x v="4"/>
    </i>
    <i>
      <x v="5"/>
    </i>
    <i>
      <x v="6"/>
    </i>
    <i t="grand">
      <x/>
    </i>
  </colItems>
  <dataFields count="1">
    <dataField name="Sum of Order_Quantity" fld="16" baseField="6" baseItem="0"/>
  </dataFields>
  <formats count="5">
    <format dxfId="2683">
      <pivotArea outline="0" collapsedLevelsAreSubtotals="1" fieldPosition="0"/>
    </format>
    <format dxfId="2684">
      <pivotArea dataOnly="0" labelOnly="1" outline="0" fieldPosition="0">
        <references count="1">
          <reference field="28" count="0"/>
        </references>
      </pivotArea>
    </format>
    <format dxfId="2685">
      <pivotArea dataOnly="0" labelOnly="1" grandCol="1" outline="0" fieldPosition="0"/>
    </format>
    <format dxfId="2686">
      <pivotArea grandRow="1" outline="0" collapsedLevelsAreSubtotals="1" fieldPosition="0"/>
    </format>
    <format dxfId="2687">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6.xml><?xml version="1.0" encoding="utf-8"?>
<pivotTableDefinition xmlns="http://schemas.openxmlformats.org/spreadsheetml/2006/main" xmlns:mc="http://schemas.openxmlformats.org/markup-compatibility/2006" xmlns:xr="http://schemas.microsoft.com/office/spreadsheetml/2014/revision" mc:Ignorable="xr" xr:uid="{81C08341-E43B-4F74-8375-FD1754DAA8EF}" name="PivotTable4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81:B194" firstHeaderRow="1"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axis="axisRow" compact="0" outline="0" showAll="0" defaultSubtotal="0">
      <items count="12">
        <item x="11"/>
        <item x="5"/>
        <item x="9"/>
        <item x="8"/>
        <item x="10"/>
        <item x="1"/>
        <item x="7"/>
        <item x="2"/>
        <item x="4"/>
        <item x="6"/>
        <item x="0"/>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7"/>
  </rowFields>
  <rowItems count="13">
    <i>
      <x/>
    </i>
    <i>
      <x v="1"/>
    </i>
    <i>
      <x v="2"/>
    </i>
    <i>
      <x v="3"/>
    </i>
    <i>
      <x v="4"/>
    </i>
    <i>
      <x v="5"/>
    </i>
    <i>
      <x v="6"/>
    </i>
    <i>
      <x v="7"/>
    </i>
    <i>
      <x v="8"/>
    </i>
    <i>
      <x v="9"/>
    </i>
    <i>
      <x v="10"/>
    </i>
    <i>
      <x v="11"/>
    </i>
    <i t="grand">
      <x/>
    </i>
  </rowItems>
  <colItems count="1">
    <i/>
  </colItems>
  <dataFields count="1">
    <dataField name="Average of Defect_Rate" fld="21" subtotal="average" baseField="8" baseItem="0" numFmtId="10"/>
  </dataFields>
  <formats count="1">
    <format dxfId="2757">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7.xml><?xml version="1.0" encoding="utf-8"?>
<pivotTableDefinition xmlns="http://schemas.openxmlformats.org/spreadsheetml/2006/main" xmlns:mc="http://schemas.openxmlformats.org/markup-compatibility/2006" xmlns:xr="http://schemas.microsoft.com/office/spreadsheetml/2014/revision" mc:Ignorable="xr" xr:uid="{9F62482F-A34F-4CB7-9A99-B2D4FEA6B26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4" firstHeaderRow="0" firstDataRow="1" firstDataCol="0"/>
  <pivotFields count="41">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dataField="1"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Items count="1">
    <i/>
  </rowItems>
  <colFields count="1">
    <field x="-2"/>
  </colFields>
  <colItems count="5">
    <i>
      <x/>
    </i>
    <i i="1">
      <x v="1"/>
    </i>
    <i i="2">
      <x v="2"/>
    </i>
    <i i="3">
      <x v="3"/>
    </i>
    <i i="4">
      <x v="4"/>
    </i>
  </colItems>
  <dataFields count="5">
    <dataField name="Count of Order_ID" fld="1" subtotal="count" baseField="0" baseItem="0"/>
    <dataField name="Sum of Order_Quantity" fld="16" baseField="0" baseItem="2" numFmtId="3"/>
    <dataField name="Average Supplier Rating" fld="36" subtotal="average" baseField="5" baseItem="0" numFmtId="164"/>
    <dataField name="Average of Calculated_Lead_Time_Variance_Days" fld="26" subtotal="average" baseField="0" baseItem="2" numFmtId="1"/>
    <dataField name="Average of Defect_Rate" fld="21" subtotal="average" baseField="0" baseItem="2" numFmtId="10"/>
  </dataFields>
  <formats count="3">
    <format dxfId="2973">
      <pivotArea outline="0" collapsedLevelsAreSubtotals="1" fieldPosition="0">
        <references count="1">
          <reference field="4294967294" count="1" selected="0">
            <x v="2"/>
          </reference>
        </references>
      </pivotArea>
    </format>
    <format dxfId="2974">
      <pivotArea outline="0" collapsedLevelsAreSubtotals="1" fieldPosition="0"/>
    </format>
    <format dxfId="2975">
      <pivotArea outline="0" fieldPosition="0">
        <references count="1">
          <reference field="4294967294" count="1">
            <x v="1"/>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8.xml><?xml version="1.0" encoding="utf-8"?>
<pivotTableDefinition xmlns="http://schemas.openxmlformats.org/spreadsheetml/2006/main" xmlns:mc="http://schemas.openxmlformats.org/markup-compatibility/2006" xmlns:xr="http://schemas.microsoft.com/office/spreadsheetml/2014/revision" mc:Ignorable="xr" xr:uid="{AF27050B-5908-4D33-B129-D4B955BBACB1}" name="PivotTable4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00:I309" firstHeaderRow="1" firstDataRow="2"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compact="0" outline="0" showAll="0"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pivotField>
    <pivotField compact="0" outline="0" showAll="0" defaultSubtotal="0"/>
    <pivotField compact="0" outline="0" showAll="0" defaultSubtotal="0"/>
    <pivotField axis="axisRow" compact="0" outline="0" showAll="0" defaultSubtotal="0">
      <items count="7">
        <item x="1"/>
        <item x="2"/>
        <item x="0"/>
        <item x="6"/>
        <item x="4"/>
        <item x="5"/>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axis="axisCol" dataField="1"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9"/>
  </rowFields>
  <rowItems count="8">
    <i>
      <x/>
    </i>
    <i>
      <x v="1"/>
    </i>
    <i>
      <x v="2"/>
    </i>
    <i>
      <x v="3"/>
    </i>
    <i>
      <x v="4"/>
    </i>
    <i>
      <x v="5"/>
    </i>
    <i>
      <x v="6"/>
    </i>
    <i t="grand">
      <x/>
    </i>
  </rowItems>
  <colFields count="1">
    <field x="28"/>
  </colFields>
  <colItems count="8">
    <i>
      <x/>
    </i>
    <i>
      <x v="1"/>
    </i>
    <i>
      <x v="2"/>
    </i>
    <i>
      <x v="3"/>
    </i>
    <i>
      <x v="4"/>
    </i>
    <i>
      <x v="5"/>
    </i>
    <i>
      <x v="6"/>
    </i>
    <i t="grand">
      <x/>
    </i>
  </colItems>
  <dataFields count="1">
    <dataField name="Count of Delivery_Status" fld="28" subtotal="count" baseField="0" baseItem="0"/>
  </dataFields>
  <formats count="1">
    <format dxfId="2721">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9.xml><?xml version="1.0" encoding="utf-8"?>
<pivotTableDefinition xmlns="http://schemas.openxmlformats.org/spreadsheetml/2006/main" xmlns:mc="http://schemas.openxmlformats.org/markup-compatibility/2006" xmlns:xr="http://schemas.microsoft.com/office/spreadsheetml/2014/revision" mc:Ignorable="xr" xr:uid="{1C8D1A0E-196E-451A-B236-7F1742EDE071}" name="Supplier Defect Rate"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5">
  <location ref="A218:B234" firstHeaderRow="1" firstDataRow="1" firstDataCol="1"/>
  <pivotFields count="41">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98">
        <item x="188"/>
        <item x="189"/>
        <item x="146"/>
        <item x="178"/>
        <item x="183"/>
        <item x="195"/>
        <item x="156"/>
        <item x="170"/>
        <item x="193"/>
        <item x="143"/>
        <item x="89"/>
        <item x="91"/>
        <item x="118"/>
        <item x="87"/>
        <item x="174"/>
        <item x="135"/>
        <item x="28"/>
        <item x="167"/>
        <item x="108"/>
        <item x="153"/>
        <item x="56"/>
        <item x="106"/>
        <item x="93"/>
        <item x="36"/>
        <item x="105"/>
        <item x="191"/>
        <item x="147"/>
        <item x="16"/>
        <item x="10"/>
        <item x="168"/>
        <item x="176"/>
        <item x="166"/>
        <item x="129"/>
        <item x="107"/>
        <item x="40"/>
        <item x="38"/>
        <item x="94"/>
        <item x="119"/>
        <item x="101"/>
        <item x="103"/>
        <item x="169"/>
        <item x="35"/>
        <item x="131"/>
        <item x="23"/>
        <item x="124"/>
        <item x="21"/>
        <item x="75"/>
        <item x="34"/>
        <item x="61"/>
        <item x="181"/>
        <item x="125"/>
        <item x="49"/>
        <item x="1"/>
        <item x="54"/>
        <item x="190"/>
        <item x="8"/>
        <item x="17"/>
        <item x="175"/>
        <item x="159"/>
        <item x="90"/>
        <item x="64"/>
        <item x="85"/>
        <item x="15"/>
        <item x="46"/>
        <item x="53"/>
        <item x="48"/>
        <item x="184"/>
        <item x="60"/>
        <item x="7"/>
        <item x="18"/>
        <item x="158"/>
        <item x="164"/>
        <item x="71"/>
        <item x="133"/>
        <item x="20"/>
        <item x="29"/>
        <item x="180"/>
        <item x="152"/>
        <item x="47"/>
        <item x="68"/>
        <item x="92"/>
        <item x="0"/>
        <item x="149"/>
        <item x="144"/>
        <item x="32"/>
        <item x="165"/>
        <item x="11"/>
        <item x="148"/>
        <item x="41"/>
        <item x="76"/>
        <item x="161"/>
        <item x="187"/>
        <item x="115"/>
        <item x="84"/>
        <item x="42"/>
        <item x="96"/>
        <item x="77"/>
        <item x="112"/>
        <item x="24"/>
        <item x="52"/>
        <item x="66"/>
        <item x="145"/>
        <item x="177"/>
        <item x="104"/>
        <item x="26"/>
        <item x="59"/>
        <item x="100"/>
        <item x="19"/>
        <item x="51"/>
        <item x="140"/>
        <item x="70"/>
        <item x="25"/>
        <item x="6"/>
        <item x="117"/>
        <item x="157"/>
        <item x="139"/>
        <item x="82"/>
        <item x="3"/>
        <item x="102"/>
        <item x="142"/>
        <item x="57"/>
        <item x="50"/>
        <item x="171"/>
        <item x="73"/>
        <item x="116"/>
        <item x="110"/>
        <item x="113"/>
        <item x="137"/>
        <item x="45"/>
        <item x="151"/>
        <item x="5"/>
        <item x="86"/>
        <item x="65"/>
        <item x="22"/>
        <item x="123"/>
        <item x="2"/>
        <item x="88"/>
        <item x="196"/>
        <item x="132"/>
        <item x="44"/>
        <item x="31"/>
        <item x="80"/>
        <item x="194"/>
        <item x="13"/>
        <item x="63"/>
        <item x="98"/>
        <item x="97"/>
        <item x="163"/>
        <item x="72"/>
        <item x="58"/>
        <item x="9"/>
        <item x="134"/>
        <item x="111"/>
        <item x="12"/>
        <item x="155"/>
        <item x="4"/>
        <item x="122"/>
        <item x="154"/>
        <item x="127"/>
        <item x="121"/>
        <item x="81"/>
        <item x="67"/>
        <item x="128"/>
        <item x="74"/>
        <item x="114"/>
        <item x="138"/>
        <item x="126"/>
        <item x="39"/>
        <item x="160"/>
        <item x="14"/>
        <item x="27"/>
        <item x="30"/>
        <item x="37"/>
        <item x="78"/>
        <item x="150"/>
        <item x="33"/>
        <item x="99"/>
        <item x="162"/>
        <item x="55"/>
        <item x="79"/>
        <item x="130"/>
        <item x="83"/>
        <item x="43"/>
        <item x="136"/>
        <item x="120"/>
        <item x="109"/>
        <item x="192"/>
        <item x="95"/>
        <item x="173"/>
        <item x="172"/>
        <item x="69"/>
        <item x="141"/>
        <item x="62"/>
        <item x="179"/>
        <item x="197"/>
        <item x="182"/>
        <item x="186"/>
        <item x="185"/>
      </items>
    </pivotField>
    <pivotField compact="0" outline="0" showAll="0" defaultSubtotal="0"/>
    <pivotField axis="axisRow" compact="0" outline="0" showAll="0" sortType="descending" defaultSubtotal="0">
      <items count="30">
        <item m="1" x="29"/>
        <item x="14"/>
        <item m="1" x="26"/>
        <item x="11"/>
        <item m="1" x="28"/>
        <item x="13"/>
        <item x="7"/>
        <item m="1" x="22"/>
        <item x="8"/>
        <item m="1" x="23"/>
        <item x="0"/>
        <item m="1" x="15"/>
        <item x="3"/>
        <item m="1" x="18"/>
        <item x="2"/>
        <item m="1" x="17"/>
        <item x="6"/>
        <item m="1" x="21"/>
        <item x="4"/>
        <item m="1" x="19"/>
        <item m="1" x="27"/>
        <item x="12"/>
        <item x="1"/>
        <item m="1" x="16"/>
        <item x="5"/>
        <item m="1" x="20"/>
        <item x="10"/>
        <item m="1" x="25"/>
        <item x="9"/>
        <item m="1" x="2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9">
        <item x="5"/>
        <item x="2"/>
        <item x="8"/>
        <item x="3"/>
        <item x="1"/>
        <item x="4"/>
        <item x="0"/>
        <item x="6"/>
        <item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numFmtId="1" outline="0" subtotalTop="0" showAll="0" defaultSubtotal="0"/>
    <pivotField compact="0" outline="0" showAll="0" defaultSubtotal="0"/>
    <pivotField compact="0" outline="0" showAll="0" defaultSubtotal="0">
      <items count="7">
        <item x="3"/>
        <item x="5"/>
        <item x="6"/>
        <item x="1"/>
        <item x="2"/>
        <item x="0"/>
        <item x="4"/>
      </items>
    </pivotField>
    <pivotField compact="0" outline="0" showAll="0" defaultSubtotal="0"/>
    <pivotField compact="0" outline="0" showAll="0" defaultSubtotal="0"/>
    <pivotField compact="0" outline="0" showAll="0" defaultSubtotal="0"/>
    <pivotField compact="0" outline="0" showAll="0" defaultSubtotal="0">
      <items count="6">
        <item x="5"/>
        <item x="4"/>
        <item x="3"/>
        <item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16">
    <i>
      <x v="1"/>
    </i>
    <i>
      <x v="10"/>
    </i>
    <i>
      <x v="24"/>
    </i>
    <i>
      <x v="12"/>
    </i>
    <i>
      <x v="5"/>
    </i>
    <i>
      <x v="22"/>
    </i>
    <i>
      <x v="3"/>
    </i>
    <i>
      <x v="16"/>
    </i>
    <i>
      <x v="14"/>
    </i>
    <i>
      <x v="21"/>
    </i>
    <i>
      <x v="6"/>
    </i>
    <i>
      <x v="8"/>
    </i>
    <i>
      <x v="26"/>
    </i>
    <i>
      <x v="18"/>
    </i>
    <i>
      <x v="28"/>
    </i>
    <i t="grand">
      <x/>
    </i>
  </rowItems>
  <colItems count="1">
    <i/>
  </colItems>
  <dataFields count="1">
    <dataField name="Average of Defect_Rate" fld="21" subtotal="average" baseField="8" baseItem="0" numFmtId="10"/>
  </dataFields>
  <formats count="1">
    <format dxfId="2648">
      <pivotArea outline="0" collapsedLevelsAreSubtotals="1" fieldPosition="0"/>
    </format>
  </format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E27B51C8-750D-423D-81E2-F9ACF98BA3EF}" sourceName="Supplier_Name">
  <pivotTables>
    <pivotTable tabId="7" name="Actual&amp;ExpectedLeadtimeTrend2"/>
    <pivotTable tabId="7" name="ValuebyCountry"/>
    <pivotTable tabId="7" name="DefectiveUnitsbySupplier"/>
    <pivotTable tabId="7" name="LeadTimeVariancebySupplier"/>
    <pivotTable tabId="7" name="LeadTimeVariancebyProductCategory"/>
    <pivotTable tabId="7" name="LeadTimeVariancebySupplier&amp;Product"/>
    <pivotTable tabId="7" name="CountofDeliveryStatusbySupplier"/>
    <pivotTable tabId="7" name="QualityStatusbySupplier"/>
    <pivotTable tabId="7" name="InvoiceStatusbySupplier"/>
    <pivotTable tabId="7" name="PaymentTermsbySupplier"/>
    <pivotTable tabId="7" name="ShippingModebySupplier"/>
    <pivotTable tabId="7" name="CarrierSummaybySupplierName"/>
    <pivotTable tabId="7" name="ValuebyBuyerLocation"/>
    <pivotTable tabId="7" name="RejectionReasonbySupplierName"/>
    <pivotTable tabId="7" name="%ofDefectRate"/>
    <pivotTable tabId="7" name="CountofOrderbyCountry&amp;Supplier"/>
    <pivotTable tabId="7" name="DataSourcebySupplier"/>
    <pivotTable tabId="7" name="DataQualityNotesbySupplier"/>
    <pivotTable tabId="7" name="CountofDataQualityNotes"/>
    <pivotTable tabId="7" name="Expected&amp;ActualLT Trend"/>
    <pivotTable tabId="7" name="PivotTable28"/>
    <pivotTable tabId="7" name="SupplierCountbyCountry"/>
    <pivotTable tabId="7" name="RatingbySupplier"/>
    <pivotTable tabId="7" name="VolumeAmountbyCountry"/>
    <pivotTable tabId="7" name="SupplierRatingbyProductCategory"/>
    <pivotTable tabId="7" name="SupplierDeliveryTrend"/>
    <pivotTable tabId="7" name="Count&amp;AmountbySupplier"/>
    <pivotTable tabId="7" name="Qty&amp;AmountbySupplier"/>
    <pivotTable tabId="7" name="OrderSummary"/>
    <pivotTable tabId="7" name="RatingbyProduct"/>
    <pivotTable tabId="7" name="KeyMetrics"/>
    <pivotTable tabId="7" name="DeliveryStatusCount"/>
    <pivotTable tabId="7" name="LeadTimeAnalysisbySupplier"/>
    <pivotTable tabId="7" name="QualityStatusSummarybySupplier"/>
    <pivotTable tabId="7" name="QtyofDeliveryStatusbySupplier"/>
    <pivotTable tabId="7" name="LeadTimeVarianceDays"/>
    <pivotTable tabId="7" name="StatusofDeliverybyQty&amp;%"/>
    <pivotTable tabId="7" name="ProductCategorybyDeliveryStatus"/>
    <pivotTable tabId="7" name="DeliveryStatusbyCategory"/>
    <pivotTable tabId="7" name="TotalDeliveryStatus"/>
    <pivotTable tabId="7" name="DeliveryStatusbyCarrier"/>
    <pivotTable tabId="7" name="DefectRatebyCarrier"/>
    <pivotTable tabId="7" name="DefectiveUnitsbyCarrieras%ofTotal"/>
    <pivotTable tabId="7" name="DeliveryStatusbyShppingMode"/>
    <pivotTable tabId="7" name="DefectRatebyShippingMode"/>
    <pivotTable tabId="7" name="Defectas%ofTotalShippingMode"/>
    <pivotTable tabId="7" name="DeliveryStatusbyyLocation"/>
    <pivotTable tabId="7" name="DefectRate byBuyerLocation"/>
    <pivotTable tabId="7" name="Defectas%ofBuyerLocation"/>
    <pivotTable tabId="7" name="DeliveryStatusbyCountry"/>
    <pivotTable tabId="7" name="PivotTable20"/>
    <pivotTable tabId="7" name="PivotTable21"/>
    <pivotTable tabId="7" name="KeyMetrics2"/>
    <pivotTable tabId="7" name="PivotTable1"/>
    <pivotTable tabId="13" name="PivotTable1"/>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 tabId="13" name="PivotTable10"/>
    <pivotTable tabId="13" name="PivotTable11"/>
    <pivotTable tabId="13" name="PivotTable12"/>
    <pivotTable tabId="13" name="PivotTable13"/>
    <pivotTable tabId="13" name="PivotTable14"/>
    <pivotTable tabId="13" name="PivotTable15"/>
    <pivotTable tabId="13" name="PivotTable16"/>
    <pivotTable tabId="13" name="PivotTable17"/>
    <pivotTable tabId="13" name="PivotTable18"/>
    <pivotTable tabId="13" name="PivotTable19"/>
    <pivotTable tabId="13" name="PivotTable20"/>
    <pivotTable tabId="13" name="DefectiveUnitsbyCarrier"/>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29"/>
    <pivotTable tabId="13" name="PivotTable30"/>
    <pivotTable tabId="13" name="PivotTable31"/>
    <pivotTable tabId="13" name="PivotTable32"/>
    <pivotTable tabId="13" name="PivotTable33"/>
    <pivotTable tabId="13" name="PivotTable34"/>
    <pivotTable tabId="13" name="PivotTable35"/>
    <pivotTable tabId="13" name="PivotTable38"/>
    <pivotTable tabId="13" name="PivotTable39"/>
    <pivotTable tabId="13" name="PivotTable40"/>
    <pivotTable tabId="13" name="PivotTable41"/>
    <pivotTable tabId="13" name="PivotTable42"/>
    <pivotTable tabId="13" name="PivotTable43"/>
    <pivotTable tabId="13" name="PivotTable44"/>
    <pivotTable tabId="13" name="PivotTable45"/>
    <pivotTable tabId="13" name="PivotTable46"/>
    <pivotTable tabId="13" name="PivotTable47"/>
    <pivotTable tabId="13" name="PivotTable48"/>
    <pivotTable tabId="13" name="PivotTable49"/>
    <pivotTable tabId="13" name="PivotTable50"/>
    <pivotTable tabId="13" name="PivotTable51"/>
    <pivotTable tabId="13" name="PivotTable52"/>
    <pivotTable tabId="13" name="PivotTable53"/>
    <pivotTable tabId="13" name="PivotTable54"/>
    <pivotTable tabId="13" name="Supplier Defect Rate"/>
  </pivotTables>
  <data>
    <tabular pivotCacheId="1164846956">
      <items count="30">
        <i x="14" s="1"/>
        <i x="11" s="1"/>
        <i x="13" s="1"/>
        <i x="7" s="1"/>
        <i x="8" s="1"/>
        <i x="0" s="1"/>
        <i x="3" s="1"/>
        <i x="2" s="1"/>
        <i x="6" s="1"/>
        <i x="4" s="1"/>
        <i x="12" s="1"/>
        <i x="1" s="1"/>
        <i x="5" s="1"/>
        <i x="10" s="1"/>
        <i x="9" s="1"/>
        <i x="29" s="1" nd="1"/>
        <i x="26" s="1" nd="1"/>
        <i x="28" s="1" nd="1"/>
        <i x="22" s="1" nd="1"/>
        <i x="23" s="1" nd="1"/>
        <i x="15" s="1" nd="1"/>
        <i x="18" s="1" nd="1"/>
        <i x="17" s="1" nd="1"/>
        <i x="21" s="1" nd="1"/>
        <i x="19" s="1" nd="1"/>
        <i x="27" s="1" nd="1"/>
        <i x="16" s="1" nd="1"/>
        <i x="20" s="1" nd="1"/>
        <i x="25" s="1" nd="1"/>
        <i x="2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Actual_Delivery_Date" xr10:uid="{BC83AC2E-D03F-48DE-A0EB-7C88257A7ABC}" sourceName="Months (Actual_Delivery_Date)">
  <pivotTables>
    <pivotTable tabId="7" name="Expected&amp;ActualLT Trend"/>
    <pivotTable tabId="7" name="ValuebyCountry"/>
    <pivotTable tabId="7" name="DefectiveUnitsbySupplier"/>
    <pivotTable tabId="7" name="LeadTimeVariancebySupplier"/>
    <pivotTable tabId="7" name="LeadTimeVariancebyProductCategory"/>
    <pivotTable tabId="7" name="LeadTimeVariancebySupplier&amp;Product"/>
    <pivotTable tabId="7" name="CountofDeliveryStatusbySupplier"/>
    <pivotTable tabId="7" name="QualityStatusbySupplier"/>
    <pivotTable tabId="7" name="InvoiceStatusbySupplier"/>
    <pivotTable tabId="7" name="PaymentTermsbySupplier"/>
    <pivotTable tabId="7" name="ShippingModebySupplier"/>
    <pivotTable tabId="7" name="CarrierSummaybySupplierName"/>
    <pivotTable tabId="7" name="ValuebyBuyerLocation"/>
    <pivotTable tabId="7" name="InciermbySupplierName"/>
    <pivotTable tabId="7" name="RejectionReasonbySupplierName"/>
    <pivotTable tabId="7" name="%ofDefectRate"/>
    <pivotTable tabId="7" name="CountofOrderbyCountry&amp;Supplier"/>
    <pivotTable tabId="7" name="DataSourcebySupplier"/>
    <pivotTable tabId="7" name="DataQualityNotesbySupplier"/>
    <pivotTable tabId="7" name="CountofDataQualityNotes"/>
    <pivotTable tabId="7" name="PivotTable28"/>
    <pivotTable tabId="7" name="SupplierCountbyCountry"/>
    <pivotTable tabId="7" name="RatingbySupplier"/>
    <pivotTable tabId="7" name="VolumeAmountbyCountry"/>
    <pivotTable tabId="7" name="Actual&amp;ExpectedLeadtimeTrend2"/>
    <pivotTable tabId="7" name="KeyMetrics"/>
    <pivotTable tabId="7" name="DeliveryStatusCount"/>
    <pivotTable tabId="7" name="LeadTimeAnalysisbySupplier"/>
    <pivotTable tabId="7" name="QualityStatusSummarybySupplier"/>
    <pivotTable tabId="7" name="QtyofDeliveryStatusbySupplier"/>
    <pivotTable tabId="7" name="LeadTimeVarianceDays"/>
    <pivotTable tabId="7" name="StatusofDeliverybyQty&amp;%"/>
    <pivotTable tabId="7" name="ProductCategorybyDeliveryStatus"/>
    <pivotTable tabId="7" name="SupplierRatingbyProductCategory"/>
    <pivotTable tabId="7" name="DeliveryStatusbyCategory"/>
    <pivotTable tabId="7" name="TotalDeliveryStatus"/>
    <pivotTable tabId="7" name="SupplierDeliveryTrend"/>
    <pivotTable tabId="7" name="Count&amp;AmountbySupplier"/>
    <pivotTable tabId="7" name="Qty&amp;AmountbySupplier"/>
    <pivotTable tabId="7" name="OrderSummary"/>
    <pivotTable tabId="7" name="RatingbyProduct"/>
    <pivotTable tabId="7" name="DeliveryStatusbyCarrier"/>
    <pivotTable tabId="7" name="DefectRatebyCarrier"/>
    <pivotTable tabId="7" name="DefectiveUnitsbyCarrieras%ofTotal"/>
    <pivotTable tabId="7" name="DeliveryStatusbyShppingMode"/>
    <pivotTable tabId="7" name="DefectRatebyShippingMode"/>
    <pivotTable tabId="7" name="Defectas%ofTotalShippingMode"/>
    <pivotTable tabId="7" name="DeliveryStatusbyyLocation"/>
    <pivotTable tabId="7" name="DefectRate byBuyerLocation"/>
    <pivotTable tabId="7" name="Defectas%ofBuyerLocation"/>
    <pivotTable tabId="7" name="DeliveryStatusbyCountry"/>
    <pivotTable tabId="7" name="PivotTable20"/>
    <pivotTable tabId="7" name="PivotTable21"/>
    <pivotTable tabId="7" name="KeyMetrics2"/>
    <pivotTable tabId="7" name="PivotTable1"/>
    <pivotTable tabId="13" name="PivotTable1"/>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 tabId="13" name="PivotTable10"/>
    <pivotTable tabId="13" name="PivotTable11"/>
    <pivotTable tabId="13" name="PivotTable12"/>
    <pivotTable tabId="13" name="PivotTable13"/>
    <pivotTable tabId="13" name="PivotTable14"/>
    <pivotTable tabId="13" name="PivotTable15"/>
    <pivotTable tabId="13" name="PivotTable16"/>
    <pivotTable tabId="13" name="PivotTable17"/>
    <pivotTable tabId="13" name="PivotTable18"/>
    <pivotTable tabId="13" name="PivotTable19"/>
    <pivotTable tabId="13" name="PivotTable20"/>
    <pivotTable tabId="13" name="DefectiveUnitsbyCarrier"/>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29"/>
    <pivotTable tabId="13" name="PivotTable30"/>
    <pivotTable tabId="13" name="PivotTable31"/>
    <pivotTable tabId="13" name="PivotTable32"/>
    <pivotTable tabId="13" name="PivotTable33"/>
    <pivotTable tabId="13" name="PivotTable34"/>
    <pivotTable tabId="13" name="PivotTable35"/>
    <pivotTable tabId="13" name="PivotTable38"/>
    <pivotTable tabId="13" name="PivotTable39"/>
    <pivotTable tabId="13" name="PivotTable40"/>
    <pivotTable tabId="13" name="PivotTable41"/>
    <pivotTable tabId="13" name="PivotTable42"/>
    <pivotTable tabId="13" name="PivotTable43"/>
    <pivotTable tabId="13" name="PivotTable44"/>
    <pivotTable tabId="13" name="PivotTable45"/>
    <pivotTable tabId="13" name="PivotTable46"/>
    <pivotTable tabId="13" name="PivotTable47"/>
    <pivotTable tabId="13" name="PivotTable48"/>
    <pivotTable tabId="13" name="PivotTable49"/>
    <pivotTable tabId="13" name="PivotTable50"/>
    <pivotTable tabId="13" name="PivotTable51"/>
    <pivotTable tabId="13" name="PivotTable52"/>
    <pivotTable tabId="13" name="PivotTable53"/>
    <pivotTable tabId="13" name="PivotTable54"/>
    <pivotTable tabId="13" name="PivotTable55"/>
    <pivotTable tabId="13" name="Supplier Defect Rate"/>
  </pivotTables>
  <data>
    <tabular pivotCacheId="1164846956">
      <items count="14">
        <i x="1" s="1"/>
        <i x="2" s="1"/>
        <i x="3" s="1"/>
        <i x="4" s="1"/>
        <i x="5" s="1"/>
        <i x="6" s="1"/>
        <i x="7" s="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Mode" xr10:uid="{975F192B-650E-4CA0-8A16-AE4748857F7D}" sourceName="Shipping_Mode">
  <pivotTables>
    <pivotTable tabId="13" name="PivotTable1"/>
    <pivotTable tabId="7" name="%ofDefectRate"/>
    <pivotTable tabId="7" name="Actual&amp;ExpectedLeadtimeTrend2"/>
    <pivotTable tabId="7" name="CarrierSummaybySupplierName"/>
    <pivotTable tabId="7" name="Count&amp;AmountbySupplier"/>
    <pivotTable tabId="7" name="CountofDataQualityNotes"/>
    <pivotTable tabId="7" name="CountofDeliveryStatusbySupplier"/>
    <pivotTable tabId="7" name="CountofOrderbyCountry&amp;Supplier"/>
    <pivotTable tabId="7" name="DataQualityNotesbySupplier"/>
    <pivotTable tabId="7" name="DataSourcebySupplier"/>
    <pivotTable tabId="7" name="Defectas%ofBuyerLocation"/>
    <pivotTable tabId="7" name="Defectas%ofTotalShippingMode"/>
    <pivotTable tabId="7" name="DefectiveUnitsbyCarrieras%ofTotal"/>
    <pivotTable tabId="7" name="DefectiveUnitsbySupplier"/>
    <pivotTable tabId="7" name="DefectRate byBuyerLocation"/>
    <pivotTable tabId="7" name="DefectRatebyCarrier"/>
    <pivotTable tabId="7" name="DefectRatebyShippingMode"/>
    <pivotTable tabId="7" name="DeliveryStatusbyCarrier"/>
    <pivotTable tabId="7" name="DeliveryStatusbyCategory"/>
    <pivotTable tabId="7" name="DeliveryStatusbyCountry"/>
    <pivotTable tabId="7" name="DeliveryStatusbyShppingMode"/>
    <pivotTable tabId="7" name="DeliveryStatusbyyLocation"/>
    <pivotTable tabId="7" name="DeliveryStatusCount"/>
    <pivotTable tabId="7" name="Expected&amp;ActualLT Trend"/>
    <pivotTable tabId="7" name="InciermbySupplierName"/>
    <pivotTable tabId="7" name="InvoiceStatusbySupplier"/>
    <pivotTable tabId="7" name="KeyMetrics"/>
    <pivotTable tabId="7" name="KeyMetrics2"/>
    <pivotTable tabId="7" name="LeadTimeAnalysisbySupplier"/>
    <pivotTable tabId="7" name="LeadTimeVariancebyProductCategory"/>
    <pivotTable tabId="7" name="LeadTimeVariancebySupplier"/>
    <pivotTable tabId="7" name="LeadTimeVariancebySupplier&amp;Product"/>
    <pivotTable tabId="7" name="LeadTimeVarianceDays"/>
    <pivotTable tabId="7" name="OrderSummary"/>
    <pivotTable tabId="7" name="PaymentTermsbySupplier"/>
    <pivotTable tabId="7" name="PivotTable1"/>
    <pivotTable tabId="7" name="PivotTable20"/>
    <pivotTable tabId="7" name="PivotTable21"/>
    <pivotTable tabId="7" name="PivotTable28"/>
    <pivotTable tabId="7" name="ProductCategorybyDeliveryStatus"/>
    <pivotTable tabId="7" name="Qty&amp;AmountbySupplier"/>
    <pivotTable tabId="7" name="QtyofDeliveryStatusbySupplier"/>
    <pivotTable tabId="7" name="QualityStatusbySupplier"/>
    <pivotTable tabId="7" name="QualityStatusSummarybySupplier"/>
    <pivotTable tabId="7" name="RatingbyProduct"/>
    <pivotTable tabId="7" name="RatingbySupplier"/>
    <pivotTable tabId="7" name="RejectionReasonbySupplierName"/>
    <pivotTable tabId="7" name="ShippingModebySupplier"/>
    <pivotTable tabId="7" name="StatusofDeliverybyQty&amp;%"/>
    <pivotTable tabId="7" name="SupplierCountbyCountry"/>
    <pivotTable tabId="7" name="SupplierDeliveryTrend"/>
    <pivotTable tabId="7" name="SupplierRatingbyProductCategory"/>
    <pivotTable tabId="7" name="TotalDeliveryStatus"/>
    <pivotTable tabId="7" name="ValuebyBuyerLocation"/>
    <pivotTable tabId="7" name="ValuebyCountry"/>
    <pivotTable tabId="7" name="VolumeAmountbyCountry"/>
    <pivotTable tabId="13" name="DefectiveUnitsbyCarrier"/>
    <pivotTable tabId="13" name="PivotTable10"/>
    <pivotTable tabId="13" name="PivotTable11"/>
    <pivotTable tabId="13" name="PivotTable12"/>
    <pivotTable tabId="13" name="PivotTable13"/>
    <pivotTable tabId="13" name="PivotTable14"/>
    <pivotTable tabId="13" name="PivotTable15"/>
    <pivotTable tabId="13" name="PivotTable16"/>
    <pivotTable tabId="13" name="PivotTable17"/>
    <pivotTable tabId="13" name="PivotTable18"/>
    <pivotTable tabId="13" name="PivotTable19"/>
    <pivotTable tabId="13" name="PivotTable2"/>
    <pivotTable tabId="13" name="PivotTable20"/>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29"/>
    <pivotTable tabId="13" name="PivotTable3"/>
    <pivotTable tabId="13" name="PivotTable30"/>
    <pivotTable tabId="13" name="PivotTable31"/>
    <pivotTable tabId="13" name="PivotTable32"/>
    <pivotTable tabId="13" name="PivotTable33"/>
    <pivotTable tabId="13" name="PivotTable34"/>
    <pivotTable tabId="13" name="PivotTable35"/>
    <pivotTable tabId="13" name="PivotTable38"/>
    <pivotTable tabId="13" name="PivotTable39"/>
    <pivotTable tabId="13" name="PivotTable4"/>
    <pivotTable tabId="13" name="PivotTable40"/>
    <pivotTable tabId="13" name="PivotTable41"/>
    <pivotTable tabId="13" name="PivotTable42"/>
    <pivotTable tabId="13" name="PivotTable43"/>
    <pivotTable tabId="13" name="PivotTable44"/>
    <pivotTable tabId="13" name="PivotTable45"/>
    <pivotTable tabId="13" name="PivotTable46"/>
    <pivotTable tabId="13" name="PivotTable47"/>
    <pivotTable tabId="13" name="PivotTable48"/>
    <pivotTable tabId="13" name="PivotTable49"/>
    <pivotTable tabId="13" name="PivotTable5"/>
    <pivotTable tabId="13" name="PivotTable50"/>
    <pivotTable tabId="13" name="PivotTable51"/>
    <pivotTable tabId="13" name="PivotTable52"/>
    <pivotTable tabId="13" name="PivotTable53"/>
    <pivotTable tabId="13" name="PivotTable54"/>
    <pivotTable tabId="13" name="PivotTable55"/>
    <pivotTable tabId="13" name="PivotTable6"/>
    <pivotTable tabId="13" name="PivotTable7"/>
    <pivotTable tabId="13" name="PivotTable8"/>
    <pivotTable tabId="13" name="PivotTable9"/>
    <pivotTable tabId="13" name="Supplier Defect Rate"/>
  </pivotTables>
  <data>
    <tabular pivotCacheId="1164846956">
      <items count="6">
        <i x="5" s="1"/>
        <i x="4" s="1"/>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6A077E6F-A5B8-4612-94C8-8C61BAC31ECB}" sourceName="Delivery_Status">
  <pivotTables>
    <pivotTable tabId="7" name="DeliveryStatusCount"/>
    <pivotTable tabId="7" name="%ofDefectRate"/>
    <pivotTable tabId="7" name="Actual&amp;ExpectedLeadtimeTrend2"/>
    <pivotTable tabId="7" name="CarrierSummaybySupplierName"/>
    <pivotTable tabId="7" name="Count&amp;AmountbySupplier"/>
    <pivotTable tabId="7" name="CountofDataQualityNotes"/>
    <pivotTable tabId="7" name="CountofDeliveryStatusbySupplier"/>
    <pivotTable tabId="7" name="CountofOrderbyCountry&amp;Supplier"/>
    <pivotTable tabId="7" name="DataQualityNotesbySupplier"/>
    <pivotTable tabId="7" name="DataSourcebySupplier"/>
    <pivotTable tabId="7" name="Defectas%ofBuyerLocation"/>
    <pivotTable tabId="7" name="Defectas%ofTotalShippingMode"/>
    <pivotTable tabId="7" name="DefectiveUnitsbyCarrieras%ofTotal"/>
    <pivotTable tabId="7" name="DefectiveUnitsbySupplier"/>
    <pivotTable tabId="7" name="DefectRate byBuyerLocation"/>
    <pivotTable tabId="7" name="DefectRatebyCarrier"/>
    <pivotTable tabId="7" name="DefectRatebyShippingMode"/>
    <pivotTable tabId="7" name="DeliveryStatusbyCarrier"/>
    <pivotTable tabId="7" name="DeliveryStatusbyCategory"/>
    <pivotTable tabId="7" name="DeliveryStatusbyCountry"/>
    <pivotTable tabId="7" name="DeliveryStatusbyShppingMode"/>
    <pivotTable tabId="7" name="DeliveryStatusbyyLocation"/>
    <pivotTable tabId="7" name="Expected&amp;ActualLT Trend"/>
    <pivotTable tabId="7" name="InciermbySupplierName"/>
    <pivotTable tabId="7" name="InvoiceStatusbySupplier"/>
    <pivotTable tabId="7" name="KeyMetrics"/>
    <pivotTable tabId="7" name="KeyMetrics2"/>
    <pivotTable tabId="7" name="LeadTimeAnalysisbySupplier"/>
    <pivotTable tabId="7" name="LeadTimeVariancebyProductCategory"/>
    <pivotTable tabId="7" name="LeadTimeVariancebySupplier"/>
    <pivotTable tabId="7" name="LeadTimeVariancebySupplier&amp;Product"/>
    <pivotTable tabId="7" name="LeadTimeVarianceDays"/>
    <pivotTable tabId="7" name="OrderSummary"/>
    <pivotTable tabId="7" name="PaymentTermsbySupplier"/>
    <pivotTable tabId="7" name="PivotTable1"/>
    <pivotTable tabId="7" name="PivotTable20"/>
    <pivotTable tabId="7" name="PivotTable21"/>
    <pivotTable tabId="7" name="PivotTable28"/>
    <pivotTable tabId="7" name="ProductCategorybyDeliveryStatus"/>
    <pivotTable tabId="7" name="Qty&amp;AmountbySupplier"/>
    <pivotTable tabId="7" name="QtyofDeliveryStatusbySupplier"/>
    <pivotTable tabId="7" name="QualityStatusbySupplier"/>
    <pivotTable tabId="7" name="QualityStatusSummarybySupplier"/>
    <pivotTable tabId="7" name="RatingbyProduct"/>
    <pivotTable tabId="7" name="RatingbySupplier"/>
    <pivotTable tabId="7" name="RejectionReasonbySupplierName"/>
    <pivotTable tabId="7" name="ShippingModebySupplier"/>
    <pivotTable tabId="7" name="StatusofDeliverybyQty&amp;%"/>
    <pivotTable tabId="7" name="SupplierCountbyCountry"/>
    <pivotTable tabId="7" name="SupplierDeliveryTrend"/>
    <pivotTable tabId="7" name="SupplierRatingbyProductCategory"/>
    <pivotTable tabId="7" name="TotalDeliveryStatus"/>
    <pivotTable tabId="7" name="ValuebyBuyerLocation"/>
    <pivotTable tabId="7" name="ValuebyCountry"/>
    <pivotTable tabId="7" name="VolumeAmountbyCountry"/>
    <pivotTable tabId="13" name="DefectiveUnitsbyCarrier"/>
    <pivotTable tabId="13" name="PivotTable1"/>
    <pivotTable tabId="13" name="PivotTable10"/>
    <pivotTable tabId="13" name="PivotTable11"/>
    <pivotTable tabId="13" name="PivotTable12"/>
    <pivotTable tabId="13" name="PivotTable13"/>
    <pivotTable tabId="13" name="PivotTable14"/>
    <pivotTable tabId="13" name="PivotTable15"/>
    <pivotTable tabId="13" name="PivotTable16"/>
    <pivotTable tabId="13" name="PivotTable17"/>
    <pivotTable tabId="13" name="PivotTable18"/>
    <pivotTable tabId="13" name="PivotTable19"/>
    <pivotTable tabId="13" name="PivotTable2"/>
    <pivotTable tabId="13" name="PivotTable20"/>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29"/>
    <pivotTable tabId="13" name="PivotTable3"/>
    <pivotTable tabId="13" name="PivotTable30"/>
    <pivotTable tabId="13" name="PivotTable31"/>
    <pivotTable tabId="13" name="PivotTable32"/>
    <pivotTable tabId="13" name="PivotTable33"/>
    <pivotTable tabId="13" name="PivotTable34"/>
    <pivotTable tabId="13" name="PivotTable35"/>
    <pivotTable tabId="13" name="PivotTable38"/>
    <pivotTable tabId="13" name="PivotTable39"/>
    <pivotTable tabId="13" name="PivotTable4"/>
    <pivotTable tabId="13" name="PivotTable40"/>
    <pivotTable tabId="13" name="PivotTable41"/>
    <pivotTable tabId="13" name="PivotTable42"/>
    <pivotTable tabId="13" name="PivotTable43"/>
    <pivotTable tabId="13" name="PivotTable44"/>
    <pivotTable tabId="13" name="PivotTable45"/>
    <pivotTable tabId="13" name="PivotTable46"/>
    <pivotTable tabId="13" name="PivotTable47"/>
    <pivotTable tabId="13" name="PivotTable48"/>
    <pivotTable tabId="13" name="PivotTable49"/>
    <pivotTable tabId="13" name="PivotTable5"/>
    <pivotTable tabId="13" name="PivotTable50"/>
    <pivotTable tabId="13" name="PivotTable51"/>
    <pivotTable tabId="13" name="PivotTable52"/>
    <pivotTable tabId="13" name="PivotTable53"/>
    <pivotTable tabId="13" name="PivotTable54"/>
    <pivotTable tabId="13" name="PivotTable55"/>
    <pivotTable tabId="13" name="PivotTable6"/>
    <pivotTable tabId="13" name="PivotTable7"/>
    <pivotTable tabId="13" name="PivotTable8"/>
    <pivotTable tabId="13" name="PivotTable9"/>
    <pivotTable tabId="13" name="Supplier Defect Rate"/>
  </pivotTables>
  <data>
    <tabular pivotCacheId="1164846956">
      <items count="7">
        <i x="3" s="1"/>
        <i x="5" s="1"/>
        <i x="6" s="1"/>
        <i x="1"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_Name 1" xr10:uid="{BD29E0F3-C0CF-421E-BE90-EF5EA0A6301D}" cache="Slicer_Supplier_Name" caption="Supplier_Name" rowHeight="230716"/>
  <slicer name="Months" xr10:uid="{9345BE0D-D593-4D6F-8C50-9616B93A7B39}" cache="Slicer_Months__Actual_Delivery_Date" caption="Months"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_Name" xr10:uid="{DFF1E80B-70BF-4277-9AB1-DF6B72170D4A}" cache="Slicer_Supplier_Name" caption="Supplier_Name" rowHeight="230716"/>
  <slicer name="Months 1" xr10:uid="{661FB2B7-C27E-440C-9FD2-5923F41D3285}" cache="Slicer_Months__Actual_Delivery_Date" caption="Months"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_Name 2" xr10:uid="{6223611D-D3DA-4773-B4EA-36681A69029C}" cache="Slicer_Supplier_Name" caption="Supplier_Name" rowHeight="230716"/>
  <slicer name="Months 3" xr10:uid="{9150D4A2-4D91-4BD7-BD7E-94DC3D9492EE}" cache="Slicer_Months__Actual_Delivery_Date" caption="Months" columnCount="7" showCaption="0" style="SlicerStyleLight1 2" rowHeight="230716"/>
  <slicer name="Shipping_Mode" xr10:uid="{FB6D3504-D8A1-4F8C-830C-6AE2FE521694}" cache="Slicer_Shipping_Mode" caption="Shipping_Mode"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_Name 3" xr10:uid="{3FA9E51F-3D76-41B2-85E8-588995DBEBF2}" cache="Slicer_Supplier_Name" caption="Supplier_Name" rowHeight="230716"/>
  <slicer name="Shipping_Mode 1" xr10:uid="{5575C65C-B703-43E3-973D-303B8083E6E9}" cache="Slicer_Shipping_Mode" caption="Shipping_Mode" rowHeight="23071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4" xr10:uid="{012D2003-3EA9-4592-BAE6-306776CEFDA9}" cache="Slicer_Months__Actual_Delivery_Date" caption="Months" columnCount="7" showCaption="0" style="SlicerStyleLight1 2" rowHeight="230716"/>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2" xr10:uid="{4496920C-1694-499D-A025-707D39D1B91F}" cache="Slicer_Months__Actual_Delivery_Date" caption="Months" columnCount="7" showCaption="0" style="SlicerStyleLight1 2" rowHeight="230716"/>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_Status" xr10:uid="{C7F37509-CCD8-49E9-94EF-75733E44CD00}" cache="Slicer_Delivery_Status" caption="Delivery_Statu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2938F3-3480-4016-BD69-B52380B141E7}" name="Supplier_Perf_Table" displayName="Supplier_Perf_Table" ref="A1:AM1001" totalsRowShown="0" headerRowDxfId="22509">
  <autoFilter ref="A1:AM1001" xr:uid="{1A2938F3-3480-4016-BD69-B52380B141E7}"/>
  <tableColumns count="39">
    <tableColumn id="1" xr3:uid="{0B498B3C-6DC1-4ADA-967C-568F96D42E1D}" name="PO_ID" dataDxfId="22508" totalsRowDxfId="22507"/>
    <tableColumn id="2" xr3:uid="{178E85A9-F707-4C09-B92F-ED99FFF17162}" name="Order_ID" dataDxfId="22506" totalsRowDxfId="22505"/>
    <tableColumn id="3" xr3:uid="{1E2864D8-A83E-4724-A8E5-B277BAE4C470}" name="Order Date" dataDxfId="22504"/>
    <tableColumn id="4" xr3:uid="{72D7CF31-0839-4554-92A8-54CA35E3C97F}" name="Expected Delivery_Date" dataDxfId="22503" totalsRowDxfId="22502"/>
    <tableColumn id="5" xr3:uid="{63B58329-8A85-4061-A8C9-7C052900DFDD}" name="Actual_Delivery_Date" dataDxfId="22501" totalsRowDxfId="22500"/>
    <tableColumn id="6" xr3:uid="{5E27DE6B-712F-4FBA-9971-97D8AB759459}" name="Supplier_ID" dataDxfId="22499"/>
    <tableColumn id="7" xr3:uid="{846BE986-C6A7-4CC1-9EED-1F6D56117F8C}" name="Supplier_Name" dataDxfId="22498"/>
    <tableColumn id="8" xr3:uid="{2C2789BF-1E20-4696-B2D3-42A0944A4E58}" name="Supplier_Country" dataDxfId="22497"/>
    <tableColumn id="9" xr3:uid="{0CF4CF74-F863-450D-B7C8-84C5662620E8}" name="Buyer_Location" dataDxfId="22496" totalsRowDxfId="22495"/>
    <tableColumn id="10" xr3:uid="{5902C2C4-B352-44BE-9C5F-7394B41BBB22}" name="Product_Category" dataDxfId="22494" totalsRowDxfId="22493"/>
    <tableColumn id="11" xr3:uid="{51EFB905-7C9C-4D04-9E94-78947476DFB2}" name="SKU" dataDxfId="22492" totalsRowDxfId="22491"/>
    <tableColumn id="12" xr3:uid="{4DE7BDE3-C1C6-4CF2-85C8-DA767C43C6C4}" name="Item_Description" dataDxfId="22490" totalsRowDxfId="22489"/>
    <tableColumn id="13" xr3:uid="{C17569AB-B2AD-4EAC-9CDE-17E571CFB5C1}" name="Unit_Cost" dataDxfId="22488"/>
    <tableColumn id="14" xr3:uid="{093B8C56-603B-4070-9E42-DF330DCD06D3}" name="Currency" dataDxfId="22487"/>
    <tableColumn id="33" xr3:uid="{A01FC0A6-D057-4EF4-9929-B9AD6057F41A}" name="Dollar Equivalent" dataDxfId="22486">
      <calculatedColumnFormula>_xlfn.XLOOKUP(Supplier_Perf_Table[[#This Row],[Currency]],'Comments 2'!$C$4:$C$16,'Comments 2'!$D$4:$D$16)</calculatedColumnFormula>
    </tableColumn>
    <tableColumn id="34" xr3:uid="{EA773142-DBB4-4B7C-8447-8B72B03A6253}" name="Unit_Cost in $" dataDxfId="22485">
      <calculatedColumnFormula>IFERROR(Supplier_Perf_Table[[#This Row],[Unit_Cost]]*Supplier_Perf_Table[[#This Row],[Dollar Equivalent]],"")</calculatedColumnFormula>
    </tableColumn>
    <tableColumn id="15" xr3:uid="{061C7DB5-7B7E-4033-9483-E3CA99B4C777}" name="Order_Quantity" dataDxfId="22484"/>
    <tableColumn id="16" xr3:uid="{DF65CA48-D98B-49F5-930E-05DE37F27AF4}" name="Ordered_Value"/>
    <tableColumn id="36" xr3:uid="{21938386-A85D-420B-A42D-1A0279B9BFB8}" name="Calculated_Order_Value" dataDxfId="22483">
      <calculatedColumnFormula>Supplier_Perf_Table[[#This Row],[Unit_Cost]]*Supplier_Perf_Table[[#This Row],[Order_Quantity]]</calculatedColumnFormula>
    </tableColumn>
    <tableColumn id="35" xr3:uid="{524C30A3-08AC-449B-A865-2F6241E44BA6}" name="Ordered_Value in $" dataDxfId="22482">
      <calculatedColumnFormula>IFERROR(Supplier_Perf_Table[[#This Row],[Dollar Equivalent]]*Supplier_Perf_Table[[#This Row],[Ordered_Value]],"")</calculatedColumnFormula>
    </tableColumn>
    <tableColumn id="17" xr3:uid="{BF2FFE66-DC9D-4D71-BA90-DAC7626C1A8C}" name="Defective_Units" dataDxfId="22481" totalsRowDxfId="22480"/>
    <tableColumn id="18" xr3:uid="{0499BFF0-13A8-409D-975B-7537253F7195}" name="Defect_Rate" dataDxfId="22479" totalsRowDxfId="22478"/>
    <tableColumn id="19" xr3:uid="{350923BC-CE90-4855-BCA0-8D294019BFF5}" name="Lead_Time_Days" dataDxfId="22477"/>
    <tableColumn id="38" xr3:uid="{B999C194-E9CE-4FA2-A200-6EEF2FF398F7}" name="Calculated_Lead_Time2" dataDxfId="22476">
      <calculatedColumnFormula>IFERROR(Supplier_Perf_Table[[#This Row],[Actual_Delivery_Date]]-Supplier_Perf_Table[[#This Row],[Order Date]],"")</calculatedColumnFormula>
    </tableColumn>
    <tableColumn id="20" xr3:uid="{425430B4-A7E1-42F5-8D2A-22BB71DA6009}" name="Promised_Lead_Time_Days" dataDxfId="22475"/>
    <tableColumn id="39" xr3:uid="{DC81230D-59D6-431D-8117-18F6605DFC4C}" name="Calculated_Expected_Lead_Time" dataDxfId="22474">
      <calculatedColumnFormula>IFERROR(Supplier_Perf_Table[[#This Row],[Expected Delivery_Date]]-Supplier_Perf_Table[[#This Row],[Order Date]],"")</calculatedColumnFormula>
    </tableColumn>
    <tableColumn id="37" xr3:uid="{B95223F0-6707-49CA-9AC3-37F56D6F1DBE}" name="Calculated_Lead_Time_Variance_Days" dataDxfId="22473">
      <calculatedColumnFormula>Supplier_Perf_Table[[#This Row],[Calculated_Lead_Time2]]-Supplier_Perf_Table[[#This Row],[Calculated_Expected_Lead_Time]]</calculatedColumnFormula>
    </tableColumn>
    <tableColumn id="21" xr3:uid="{5B861617-8401-4523-9E1C-4568936564A7}" name="Lead_Time_Variance_Days" dataDxfId="22472"/>
    <tableColumn id="22" xr3:uid="{EA79337B-4DF3-4B44-8AEE-CC753706FCA9}" name="Delivery_Status" dataDxfId="22471" totalsRowDxfId="22470"/>
    <tableColumn id="23" xr3:uid="{F98F67A9-EC72-46C9-A26E-BCD9C746CF79}" name="Quality_Status" dataDxfId="22469"/>
    <tableColumn id="24" xr3:uid="{F1BA5282-79DF-45B2-B3B2-97B822A9959D}" name="Invoice_Status" dataDxfId="22468"/>
    <tableColumn id="25" xr3:uid="{3960C69F-8926-45ED-BD92-534329835128}" name="Payment_Terms" dataDxfId="22467"/>
    <tableColumn id="26" xr3:uid="{86ADA4F4-AEB0-4F11-81C3-B357F24F803A}" name="Shipping_Mode" dataDxfId="22466"/>
    <tableColumn id="27" xr3:uid="{A579904A-BE69-4A0E-9533-5BBFEC57E847}" name="Carrier" dataDxfId="22465"/>
    <tableColumn id="28" xr3:uid="{A9B21D55-7D08-43AB-89E7-E81EC4EEAB36}" name="Incoterm" dataDxfId="22464"/>
    <tableColumn id="29" xr3:uid="{8BEBECF8-5BA0-499C-8A6B-540D4A98DB4F}" name="Rejection_Reason" dataDxfId="22463"/>
    <tableColumn id="30" xr3:uid="{E20C3022-2C2A-45E3-87D4-02045325B91E}" name="Supplier_Rating" dataDxfId="22462" totalsRowDxfId="22461" dataCellStyle="Comma"/>
    <tableColumn id="31" xr3:uid="{317E2A45-6004-498B-B820-6C274DD0DC5F}" name="Data_Source" dataDxfId="22460" totalsRowDxfId="22459"/>
    <tableColumn id="32" xr3:uid="{F9BDE127-2EC7-40C8-9181-D80518DD4ADA}" name="Data_Quality_Notes" dataDxfId="22458"/>
  </tableColumns>
  <tableStyleInfo name="Raw_Dirty_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BB1EA3-3D7C-4D16-B4F9-81BD281CCFCF}" name="Table_1" displayName="Table_1" ref="A1:AG1002" totalsRowCount="1" headerRowDxfId="22457">
  <autoFilter ref="A1:AG1001" xr:uid="{00000000-000C-0000-FFFF-FFFF00000000}">
    <filterColumn colId="28">
      <filters blank="1"/>
    </filterColumn>
  </autoFilter>
  <tableColumns count="33">
    <tableColumn id="1" xr3:uid="{3F45633F-E9A8-45AF-B4D9-BAD337655DC2}" name="PO_ID" totalsRowFunction="custom">
      <totalsRowFormula>COUNTBLANK(A2:A1001)</totalsRowFormula>
    </tableColumn>
    <tableColumn id="2" xr3:uid="{18C70D25-2305-442E-8E31-22E1FEE596B5}" name="Order_ID" totalsRowFunction="custom">
      <totalsRowFormula>COUNTBLANK(B2:B1001)</totalsRowFormula>
    </tableColumn>
    <tableColumn id="3" xr3:uid="{212BC565-B3FC-4BBA-BD61-A5946A156EFE}" name="Order_Date" totalsRowFunction="custom">
      <totalsRowFormula>COUNTBLANK(C2:C1001)</totalsRowFormula>
    </tableColumn>
    <tableColumn id="4" xr3:uid="{58152959-8697-44E7-ABFE-5AA99C82B6D2}" name="Expected_Delivery_Date" totalsRowFunction="custom" totalsRowDxfId="22456">
      <totalsRowFormula>COUNTBLANK(D2:D1001)</totalsRowFormula>
    </tableColumn>
    <tableColumn id="5" xr3:uid="{58FF9DB2-95E2-4FFA-B600-711E4F90AE65}" name="Actual_Delivery_Date" totalsRowFunction="custom" totalsRowDxfId="22455">
      <totalsRowFormula>COUNTBLANK(E2:E1001)</totalsRowFormula>
    </tableColumn>
    <tableColumn id="6" xr3:uid="{6EBEE8C0-8E9B-4B2C-B667-706DA56FC31F}" name="Supplier_ID" totalsRowFunction="custom">
      <totalsRowFormula>COUNTBLANK(F2:F1001)</totalsRowFormula>
    </tableColumn>
    <tableColumn id="7" xr3:uid="{E382226F-E4A8-4B9D-865B-6CE3F9E4F222}" name="Supplier_Name" totalsRowFunction="custom">
      <totalsRowFormula>COUNTBLANK(G2:G1001)</totalsRowFormula>
    </tableColumn>
    <tableColumn id="8" xr3:uid="{71CEA90D-03DC-4632-9ABF-F517FD625E70}" name="Supplier_Country" totalsRowFunction="custom">
      <totalsRowFormula>COUNTBLANK(H2:H1001)</totalsRowFormula>
    </tableColumn>
    <tableColumn id="9" xr3:uid="{9C392E91-BABC-40B3-9D93-C7750A32A4A0}" name="Buyer_Location" totalsRowFunction="custom">
      <totalsRowFormula>COUNTBLANK(I2:I1001)</totalsRowFormula>
    </tableColumn>
    <tableColumn id="10" xr3:uid="{34F44A6B-8751-466F-8293-6BF08CF2843A}" name="Product_Category" totalsRowFunction="custom">
      <totalsRowFormula>COUNTBLANK(J2:J1001)</totalsRowFormula>
    </tableColumn>
    <tableColumn id="11" xr3:uid="{62232009-9020-4B79-B4AA-6ABE86D9E32D}" name="SKU" totalsRowFunction="custom">
      <totalsRowFormula>COUNTBLANK(K2:K1001)</totalsRowFormula>
    </tableColumn>
    <tableColumn id="12" xr3:uid="{060432F7-9D64-4B0F-9EA4-E33712894FC9}" name="Item_Description" totalsRowFunction="custom">
      <totalsRowFormula>COUNTBLANK(L2:L1001)</totalsRowFormula>
    </tableColumn>
    <tableColumn id="13" xr3:uid="{5A247D72-31FF-4FAC-A5A9-633268FFE32F}" name="Unit_Cost" totalsRowFunction="custom">
      <totalsRowFormula>COUNTBLANK(M2:M1001)</totalsRowFormula>
    </tableColumn>
    <tableColumn id="14" xr3:uid="{54D2D6AF-27BD-411A-9B98-652ADC311619}" name="Currency" totalsRowFunction="custom">
      <totalsRowFormula>COUNTBLANK(N2:N1001)</totalsRowFormula>
    </tableColumn>
    <tableColumn id="15" xr3:uid="{65381E01-D296-4529-9443-F7928E096F9D}" name="Order_Quantity" totalsRowFunction="custom">
      <totalsRowFormula>COUNTBLANK(O2:O1001)</totalsRowFormula>
    </tableColumn>
    <tableColumn id="16" xr3:uid="{64335806-50DC-4863-B813-5F35CBFAF950}" name="Ordered_Value" totalsRowFunction="custom">
      <totalsRowFormula>COUNTBLANK(P2:P1001)</totalsRowFormula>
    </tableColumn>
    <tableColumn id="17" xr3:uid="{AC933AE8-7F71-48B0-BE3C-7C985C238097}" name="Defective_Units" totalsRowFunction="custom">
      <totalsRowFormula>COUNTBLANK(Q2:Q1001)</totalsRowFormula>
    </tableColumn>
    <tableColumn id="18" xr3:uid="{5E59E829-CCCF-4156-BBF2-E4DED1429006}" name="Defect_Rate" totalsRowFunction="custom">
      <totalsRowFormula>COUNTBLANK(R2:R1001)</totalsRowFormula>
    </tableColumn>
    <tableColumn id="19" xr3:uid="{6DF6B1E4-49E8-4DD6-A94C-5AC78D75C4C6}" name="Lead_Time_Days" totalsRowFunction="custom">
      <totalsRowFormula>COUNTBLANK(S2:S1001)</totalsRowFormula>
    </tableColumn>
    <tableColumn id="20" xr3:uid="{6FC93760-9E3B-4ABD-B4CC-E33AAF1B5530}" name="Promised_Lead_Time_Days" totalsRowFunction="custom">
      <totalsRowFormula>COUNTBLANK(T2:T1001)</totalsRowFormula>
    </tableColumn>
    <tableColumn id="21" xr3:uid="{FFE6E889-A59E-4FF3-BE22-B37E52CCA301}" name="Lead_Time_Variance_Days" totalsRowFunction="custom">
      <totalsRowFormula>COUNTBLANK(U2:U1001)</totalsRowFormula>
    </tableColumn>
    <tableColumn id="22" xr3:uid="{A02B9634-EA37-4AF0-BFA4-2990F30813F5}" name="Delivery_Status" totalsRowFunction="custom">
      <totalsRowFormula>COUNTBLANK(V2:V1001)</totalsRowFormula>
    </tableColumn>
    <tableColumn id="23" xr3:uid="{06B17A58-7684-4F28-B694-3F325C89D861}" name="Quality_Status" totalsRowFunction="custom">
      <totalsRowFormula>COUNTBLANK(W2:W1001)</totalsRowFormula>
    </tableColumn>
    <tableColumn id="24" xr3:uid="{88A20FCB-E6A3-48DB-BBC4-79DB4BB79F4A}" name="Invoice_Status" totalsRowFunction="custom">
      <totalsRowFormula>COUNTBLANK(X2:X1001)</totalsRowFormula>
    </tableColumn>
    <tableColumn id="25" xr3:uid="{5294CAD9-B9E5-4AA3-8EF0-1956917D5FE2}" name="Payment_Terms" totalsRowFunction="custom">
      <totalsRowFormula>COUNTBLANK(Y2:Y1001)</totalsRowFormula>
    </tableColumn>
    <tableColumn id="26" xr3:uid="{0778DED0-6787-4F9A-9217-220346AAFF8A}" name="Shipping_Mode" totalsRowFunction="custom">
      <totalsRowFormula>COUNTBLANK(Z2:Z1001)</totalsRowFormula>
    </tableColumn>
    <tableColumn id="27" xr3:uid="{B6D1A3B6-DDE5-4022-97B5-6009FC0965DC}" name="Carrier" totalsRowFunction="custom">
      <totalsRowFormula>COUNTBLANK(AA2:AA1001)</totalsRowFormula>
    </tableColumn>
    <tableColumn id="28" xr3:uid="{F10FE3B3-93E6-43AE-91E0-DE17C52AEE4E}" name="Incoterm" totalsRowFunction="custom">
      <totalsRowFormula>COUNTBLANK(AB2:AB1001)</totalsRowFormula>
    </tableColumn>
    <tableColumn id="29" xr3:uid="{6AB02F22-888F-4853-861A-ADF4D49B424E}" name="Rejection_Reason" totalsRowFunction="custom">
      <totalsRowFormula>COUNTBLANK(AC2:AC1001)</totalsRowFormula>
    </tableColumn>
    <tableColumn id="30" xr3:uid="{AD5C2C21-D54E-482E-89A9-6CE8714DB009}" name="Supplier_Rating" totalsRowFunction="custom">
      <totalsRowFormula>COUNTBLANK(AD2:AD1001)</totalsRowFormula>
    </tableColumn>
    <tableColumn id="31" xr3:uid="{3E0A40D5-EF7D-4753-B673-21A2D218F8F3}" name="Data_Source" totalsRowFunction="custom">
      <totalsRowFormula>COUNTBLANK(AE2:AE1001)</totalsRowFormula>
    </tableColumn>
    <tableColumn id="32" xr3:uid="{BB607876-52A6-4D62-B1A7-F49D1FE4FA70}" name="Data_Quality_Notes" totalsRowFunction="custom">
      <totalsRowFormula>COUNTBLANK(AF2:AF1001)</totalsRowFormula>
    </tableColumn>
    <tableColumn id="34" xr3:uid="{99FD0D64-C3C0-4F3C-A687-F589C43348F5}" name="Column1"/>
  </tableColumns>
  <tableStyleInfo name="Raw_Dirty_Data-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2C6198-E72B-4A62-8EEB-EA26B61B9E0A}" name="Table1" displayName="Table1" ref="B4:D16" totalsRowShown="0">
  <autoFilter ref="B4:D16" xr:uid="{082C6198-E72B-4A62-8EEB-EA26B61B9E0A}"/>
  <tableColumns count="3">
    <tableColumn id="1" xr3:uid="{55B64A5F-B836-4E8C-856C-92AC651E0BF7}" name="Country"/>
    <tableColumn id="2" xr3:uid="{1AE84C34-80A4-413E-B49E-609D4D8ED3E6}" name="Currency"/>
    <tableColumn id="3" xr3:uid="{032B7453-B6F0-415A-98B2-033602418405}" name="Dollar Equivalent as @ 12/05/26"/>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pivotTable" Target="../pivotTables/pivotTable42.xml"/><Relationship Id="rId47" Type="http://schemas.openxmlformats.org/officeDocument/2006/relationships/pivotTable" Target="../pivotTables/pivotTable47.xml"/><Relationship Id="rId50" Type="http://schemas.openxmlformats.org/officeDocument/2006/relationships/pivotTable" Target="../pivotTables/pivotTable50.xml"/><Relationship Id="rId55" Type="http://schemas.openxmlformats.org/officeDocument/2006/relationships/pivotTable" Target="../pivotTables/pivotTable55.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9" Type="http://schemas.openxmlformats.org/officeDocument/2006/relationships/pivotTable" Target="../pivotTables/pivotTable29.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45" Type="http://schemas.openxmlformats.org/officeDocument/2006/relationships/pivotTable" Target="../pivotTables/pivotTable45.xml"/><Relationship Id="rId53" Type="http://schemas.openxmlformats.org/officeDocument/2006/relationships/pivotTable" Target="../pivotTables/pivotTable53.xml"/><Relationship Id="rId58" Type="http://schemas.microsoft.com/office/2007/relationships/slicer" Target="../slicers/slicer7.xml"/><Relationship Id="rId5" Type="http://schemas.openxmlformats.org/officeDocument/2006/relationships/pivotTable" Target="../pivotTables/pivotTable5.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openxmlformats.org/officeDocument/2006/relationships/pivotTable" Target="../pivotTables/pivotTable43.xml"/><Relationship Id="rId48" Type="http://schemas.openxmlformats.org/officeDocument/2006/relationships/pivotTable" Target="../pivotTables/pivotTable48.xml"/><Relationship Id="rId56" Type="http://schemas.openxmlformats.org/officeDocument/2006/relationships/printerSettings" Target="../printerSettings/printerSettings1.bin"/><Relationship Id="rId8" Type="http://schemas.openxmlformats.org/officeDocument/2006/relationships/pivotTable" Target="../pivotTables/pivotTable8.xml"/><Relationship Id="rId51" Type="http://schemas.openxmlformats.org/officeDocument/2006/relationships/pivotTable" Target="../pivotTables/pivotTable51.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46" Type="http://schemas.openxmlformats.org/officeDocument/2006/relationships/pivotTable" Target="../pivotTables/pivotTable46.xml"/><Relationship Id="rId20" Type="http://schemas.openxmlformats.org/officeDocument/2006/relationships/pivotTable" Target="../pivotTables/pivotTable20.xml"/><Relationship Id="rId41" Type="http://schemas.openxmlformats.org/officeDocument/2006/relationships/pivotTable" Target="../pivotTables/pivotTable41.xml"/><Relationship Id="rId54" Type="http://schemas.openxmlformats.org/officeDocument/2006/relationships/pivotTable" Target="../pivotTables/pivotTable54.xml"/><Relationship Id="rId1" Type="http://schemas.openxmlformats.org/officeDocument/2006/relationships/pivotTable" Target="../pivotTables/pivotTable1.xml"/><Relationship Id="rId6" Type="http://schemas.openxmlformats.org/officeDocument/2006/relationships/pivotTable" Target="../pivotTables/pivotTable6.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49" Type="http://schemas.openxmlformats.org/officeDocument/2006/relationships/pivotTable" Target="../pivotTables/pivotTable49.xml"/><Relationship Id="rId57" Type="http://schemas.openxmlformats.org/officeDocument/2006/relationships/drawing" Target="../drawings/drawing8.xml"/><Relationship Id="rId10" Type="http://schemas.openxmlformats.org/officeDocument/2006/relationships/pivotTable" Target="../pivotTables/pivotTable10.xml"/><Relationship Id="rId31" Type="http://schemas.openxmlformats.org/officeDocument/2006/relationships/pivotTable" Target="../pivotTables/pivotTable31.xml"/><Relationship Id="rId44" Type="http://schemas.openxmlformats.org/officeDocument/2006/relationships/pivotTable" Target="../pivotTables/pivotTable44.xml"/><Relationship Id="rId52" Type="http://schemas.openxmlformats.org/officeDocument/2006/relationships/pivotTable" Target="../pivotTables/pivotTable52.xml"/></Relationships>
</file>

<file path=xl/worksheets/_rels/sheet9.xml.rels><?xml version="1.0" encoding="UTF-8" standalone="yes"?>
<Relationships xmlns="http://schemas.openxmlformats.org/package/2006/relationships"><Relationship Id="rId13" Type="http://schemas.openxmlformats.org/officeDocument/2006/relationships/pivotTable" Target="../pivotTables/pivotTable68.xml"/><Relationship Id="rId18" Type="http://schemas.openxmlformats.org/officeDocument/2006/relationships/pivotTable" Target="../pivotTables/pivotTable73.xml"/><Relationship Id="rId26" Type="http://schemas.openxmlformats.org/officeDocument/2006/relationships/pivotTable" Target="../pivotTables/pivotTable81.xml"/><Relationship Id="rId39" Type="http://schemas.openxmlformats.org/officeDocument/2006/relationships/pivotTable" Target="../pivotTables/pivotTable94.xml"/><Relationship Id="rId21" Type="http://schemas.openxmlformats.org/officeDocument/2006/relationships/pivotTable" Target="../pivotTables/pivotTable76.xml"/><Relationship Id="rId34" Type="http://schemas.openxmlformats.org/officeDocument/2006/relationships/pivotTable" Target="../pivotTables/pivotTable89.xml"/><Relationship Id="rId42" Type="http://schemas.openxmlformats.org/officeDocument/2006/relationships/pivotTable" Target="../pivotTables/pivotTable97.xml"/><Relationship Id="rId47" Type="http://schemas.openxmlformats.org/officeDocument/2006/relationships/pivotTable" Target="../pivotTables/pivotTable102.xml"/><Relationship Id="rId50" Type="http://schemas.openxmlformats.org/officeDocument/2006/relationships/pivotTable" Target="../pivotTables/pivotTable105.xml"/><Relationship Id="rId55" Type="http://schemas.openxmlformats.org/officeDocument/2006/relationships/drawing" Target="../drawings/drawing9.xml"/><Relationship Id="rId7" Type="http://schemas.openxmlformats.org/officeDocument/2006/relationships/pivotTable" Target="../pivotTables/pivotTable62.xml"/><Relationship Id="rId2" Type="http://schemas.openxmlformats.org/officeDocument/2006/relationships/pivotTable" Target="../pivotTables/pivotTable57.xml"/><Relationship Id="rId16" Type="http://schemas.openxmlformats.org/officeDocument/2006/relationships/pivotTable" Target="../pivotTables/pivotTable71.xml"/><Relationship Id="rId29" Type="http://schemas.openxmlformats.org/officeDocument/2006/relationships/pivotTable" Target="../pivotTables/pivotTable84.xml"/><Relationship Id="rId11" Type="http://schemas.openxmlformats.org/officeDocument/2006/relationships/pivotTable" Target="../pivotTables/pivotTable66.xml"/><Relationship Id="rId24" Type="http://schemas.openxmlformats.org/officeDocument/2006/relationships/pivotTable" Target="../pivotTables/pivotTable79.xml"/><Relationship Id="rId32" Type="http://schemas.openxmlformats.org/officeDocument/2006/relationships/pivotTable" Target="../pivotTables/pivotTable87.xml"/><Relationship Id="rId37" Type="http://schemas.openxmlformats.org/officeDocument/2006/relationships/pivotTable" Target="../pivotTables/pivotTable92.xml"/><Relationship Id="rId40" Type="http://schemas.openxmlformats.org/officeDocument/2006/relationships/pivotTable" Target="../pivotTables/pivotTable95.xml"/><Relationship Id="rId45" Type="http://schemas.openxmlformats.org/officeDocument/2006/relationships/pivotTable" Target="../pivotTables/pivotTable100.xml"/><Relationship Id="rId53" Type="http://schemas.openxmlformats.org/officeDocument/2006/relationships/pivotTable" Target="../pivotTables/pivotTable108.xml"/><Relationship Id="rId5" Type="http://schemas.openxmlformats.org/officeDocument/2006/relationships/pivotTable" Target="../pivotTables/pivotTable60.xml"/><Relationship Id="rId10" Type="http://schemas.openxmlformats.org/officeDocument/2006/relationships/pivotTable" Target="../pivotTables/pivotTable65.xml"/><Relationship Id="rId19" Type="http://schemas.openxmlformats.org/officeDocument/2006/relationships/pivotTable" Target="../pivotTables/pivotTable74.xml"/><Relationship Id="rId31" Type="http://schemas.openxmlformats.org/officeDocument/2006/relationships/pivotTable" Target="../pivotTables/pivotTable86.xml"/><Relationship Id="rId44" Type="http://schemas.openxmlformats.org/officeDocument/2006/relationships/pivotTable" Target="../pivotTables/pivotTable99.xml"/><Relationship Id="rId52" Type="http://schemas.openxmlformats.org/officeDocument/2006/relationships/pivotTable" Target="../pivotTables/pivotTable107.xml"/><Relationship Id="rId4" Type="http://schemas.openxmlformats.org/officeDocument/2006/relationships/pivotTable" Target="../pivotTables/pivotTable59.xml"/><Relationship Id="rId9" Type="http://schemas.openxmlformats.org/officeDocument/2006/relationships/pivotTable" Target="../pivotTables/pivotTable64.xml"/><Relationship Id="rId14" Type="http://schemas.openxmlformats.org/officeDocument/2006/relationships/pivotTable" Target="../pivotTables/pivotTable69.xml"/><Relationship Id="rId22" Type="http://schemas.openxmlformats.org/officeDocument/2006/relationships/pivotTable" Target="../pivotTables/pivotTable77.xml"/><Relationship Id="rId27" Type="http://schemas.openxmlformats.org/officeDocument/2006/relationships/pivotTable" Target="../pivotTables/pivotTable82.xml"/><Relationship Id="rId30" Type="http://schemas.openxmlformats.org/officeDocument/2006/relationships/pivotTable" Target="../pivotTables/pivotTable85.xml"/><Relationship Id="rId35" Type="http://schemas.openxmlformats.org/officeDocument/2006/relationships/pivotTable" Target="../pivotTables/pivotTable90.xml"/><Relationship Id="rId43" Type="http://schemas.openxmlformats.org/officeDocument/2006/relationships/pivotTable" Target="../pivotTables/pivotTable98.xml"/><Relationship Id="rId48" Type="http://schemas.openxmlformats.org/officeDocument/2006/relationships/pivotTable" Target="../pivotTables/pivotTable103.xml"/><Relationship Id="rId8" Type="http://schemas.openxmlformats.org/officeDocument/2006/relationships/pivotTable" Target="../pivotTables/pivotTable63.xml"/><Relationship Id="rId51" Type="http://schemas.openxmlformats.org/officeDocument/2006/relationships/pivotTable" Target="../pivotTables/pivotTable106.xml"/><Relationship Id="rId3" Type="http://schemas.openxmlformats.org/officeDocument/2006/relationships/pivotTable" Target="../pivotTables/pivotTable58.xml"/><Relationship Id="rId12" Type="http://schemas.openxmlformats.org/officeDocument/2006/relationships/pivotTable" Target="../pivotTables/pivotTable67.xml"/><Relationship Id="rId17" Type="http://schemas.openxmlformats.org/officeDocument/2006/relationships/pivotTable" Target="../pivotTables/pivotTable72.xml"/><Relationship Id="rId25" Type="http://schemas.openxmlformats.org/officeDocument/2006/relationships/pivotTable" Target="../pivotTables/pivotTable80.xml"/><Relationship Id="rId33" Type="http://schemas.openxmlformats.org/officeDocument/2006/relationships/pivotTable" Target="../pivotTables/pivotTable88.xml"/><Relationship Id="rId38" Type="http://schemas.openxmlformats.org/officeDocument/2006/relationships/pivotTable" Target="../pivotTables/pivotTable93.xml"/><Relationship Id="rId46" Type="http://schemas.openxmlformats.org/officeDocument/2006/relationships/pivotTable" Target="../pivotTables/pivotTable101.xml"/><Relationship Id="rId20" Type="http://schemas.openxmlformats.org/officeDocument/2006/relationships/pivotTable" Target="../pivotTables/pivotTable75.xml"/><Relationship Id="rId41" Type="http://schemas.openxmlformats.org/officeDocument/2006/relationships/pivotTable" Target="../pivotTables/pivotTable96.xml"/><Relationship Id="rId54" Type="http://schemas.openxmlformats.org/officeDocument/2006/relationships/pivotTable" Target="../pivotTables/pivotTable109.xml"/><Relationship Id="rId1" Type="http://schemas.openxmlformats.org/officeDocument/2006/relationships/pivotTable" Target="../pivotTables/pivotTable56.xml"/><Relationship Id="rId6" Type="http://schemas.openxmlformats.org/officeDocument/2006/relationships/pivotTable" Target="../pivotTables/pivotTable61.xml"/><Relationship Id="rId15" Type="http://schemas.openxmlformats.org/officeDocument/2006/relationships/pivotTable" Target="../pivotTables/pivotTable70.xml"/><Relationship Id="rId23" Type="http://schemas.openxmlformats.org/officeDocument/2006/relationships/pivotTable" Target="../pivotTables/pivotTable78.xml"/><Relationship Id="rId28" Type="http://schemas.openxmlformats.org/officeDocument/2006/relationships/pivotTable" Target="../pivotTables/pivotTable83.xml"/><Relationship Id="rId36" Type="http://schemas.openxmlformats.org/officeDocument/2006/relationships/pivotTable" Target="../pivotTables/pivotTable91.xml"/><Relationship Id="rId49" Type="http://schemas.openxmlformats.org/officeDocument/2006/relationships/pivotTable" Target="../pivotTables/pivotTable10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13085-CA91-41A8-9729-B82040D75E8A}">
  <dimension ref="U20:U21"/>
  <sheetViews>
    <sheetView showGridLines="0" tabSelected="1" workbookViewId="0">
      <selection activeCell="N23" sqref="N23"/>
    </sheetView>
  </sheetViews>
  <sheetFormatPr defaultRowHeight="14"/>
  <cols>
    <col min="1" max="1" width="33.75" customWidth="1"/>
    <col min="2" max="2" width="8.6640625" customWidth="1"/>
    <col min="3" max="3" width="3" customWidth="1"/>
    <col min="20" max="20" width="4.25" customWidth="1"/>
    <col min="21" max="21" width="12.75" customWidth="1"/>
  </cols>
  <sheetData>
    <row r="20" spans="21:21" ht="16.5">
      <c r="U20" s="88"/>
    </row>
    <row r="21" spans="21:21">
      <c r="U21" s="3"/>
    </row>
  </sheetData>
  <dataValidations disablePrompts="1" count="1">
    <dataValidation type="list" allowBlank="1" showInputMessage="1" showErrorMessage="1" sqref="U21" xr:uid="{B5BE4429-4811-40B6-A44B-FFD4FABFC7F1}">
      <formula1>"Order_Qty,Order_Value"</formula1>
    </dataValidation>
  </dataValidation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D6195-4051-4A60-9915-607FF7E127E5}">
  <dimension ref="U20"/>
  <sheetViews>
    <sheetView showGridLines="0" workbookViewId="0">
      <selection activeCell="S5" sqref="S5"/>
    </sheetView>
  </sheetViews>
  <sheetFormatPr defaultRowHeight="14"/>
  <cols>
    <col min="1" max="1" width="33.75" customWidth="1"/>
    <col min="2" max="2" width="8.6640625" customWidth="1"/>
    <col min="3" max="3" width="3" customWidth="1"/>
    <col min="20" max="20" width="4.25" customWidth="1"/>
    <col min="21" max="21" width="13" customWidth="1"/>
  </cols>
  <sheetData>
    <row r="20" spans="21:21" ht="16.5">
      <c r="U20" s="9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0806F-5097-45CB-A1D5-107A273EC23D}">
  <dimension ref="U20:U21"/>
  <sheetViews>
    <sheetView showGridLines="0" workbookViewId="0">
      <selection activeCell="V2" sqref="V2"/>
    </sheetView>
  </sheetViews>
  <sheetFormatPr defaultRowHeight="14"/>
  <cols>
    <col min="1" max="1" width="33.75" customWidth="1"/>
    <col min="2" max="2" width="8.6640625" customWidth="1"/>
    <col min="3" max="3" width="3" customWidth="1"/>
    <col min="20" max="20" width="4.25" customWidth="1"/>
    <col min="21" max="21" width="13" customWidth="1"/>
  </cols>
  <sheetData>
    <row r="20" spans="21:21" ht="16.5">
      <c r="U20" s="88"/>
    </row>
    <row r="21" spans="21:21">
      <c r="U21" s="3"/>
    </row>
  </sheetData>
  <dataValidations count="1">
    <dataValidation type="list" allowBlank="1" showInputMessage="1" showErrorMessage="1" sqref="U21" xr:uid="{D27DBBB1-A672-4858-8C99-DCEA724FF2A8}">
      <formula1>"Order_Qty,Order_Value"</formula1>
    </dataValidation>
  </dataValidation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87DB5-57E6-43A6-B12F-5F47510C3846}">
  <dimension ref="U20:U21"/>
  <sheetViews>
    <sheetView showGridLines="0" zoomScaleNormal="100" workbookViewId="0">
      <selection activeCell="O22" sqref="O22"/>
    </sheetView>
  </sheetViews>
  <sheetFormatPr defaultRowHeight="14"/>
  <cols>
    <col min="1" max="1" width="0.75" customWidth="1"/>
    <col min="2" max="2" width="8.6640625" customWidth="1"/>
    <col min="3" max="3" width="3" customWidth="1"/>
    <col min="20" max="20" width="4.25" customWidth="1"/>
    <col min="21" max="21" width="13" customWidth="1"/>
  </cols>
  <sheetData>
    <row r="20" spans="21:21" ht="16.5">
      <c r="U20" s="88"/>
    </row>
    <row r="21" spans="21:21">
      <c r="U21" s="3"/>
    </row>
  </sheetData>
  <dataValidations count="1">
    <dataValidation type="list" allowBlank="1" showInputMessage="1" showErrorMessage="1" sqref="U21" xr:uid="{EF171CB0-B9EB-493C-B571-04F1C9E26C6B}">
      <formula1>"Order_Qty,Order_Value"</formula1>
    </dataValidation>
  </dataValidation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2B7E5-58ED-4225-9C02-23E8166FB37A}">
  <dimension ref="U20:U21"/>
  <sheetViews>
    <sheetView showGridLines="0" workbookViewId="0">
      <selection activeCell="F12" sqref="F12"/>
    </sheetView>
  </sheetViews>
  <sheetFormatPr defaultRowHeight="14"/>
  <cols>
    <col min="1" max="1" width="33.75" customWidth="1"/>
    <col min="2" max="2" width="8.6640625" customWidth="1"/>
    <col min="3" max="3" width="3" customWidth="1"/>
    <col min="20" max="20" width="4.25" customWidth="1"/>
    <col min="21" max="21" width="13" customWidth="1"/>
  </cols>
  <sheetData>
    <row r="20" spans="21:21" ht="16.5">
      <c r="U20" s="88"/>
    </row>
    <row r="21" spans="21:21">
      <c r="U21" s="3"/>
    </row>
  </sheetData>
  <dataValidations count="1">
    <dataValidation type="list" allowBlank="1" showInputMessage="1" showErrorMessage="1" sqref="U21" xr:uid="{DD742770-1B7D-4C5F-ABAB-D53FE7A2BB87}">
      <formula1>"Order_Qty,Order_Value"</formula1>
    </dataValidation>
  </dataValidation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A4B70-33C7-481E-BC47-CD95BBD8F5C8}">
  <dimension ref="A1"/>
  <sheetViews>
    <sheetView workbookViewId="0">
      <selection activeCell="D39" sqref="D39"/>
    </sheetView>
  </sheetViews>
  <sheetFormatPr defaultRowHeight="14"/>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8493E-AF2F-4CAB-AD52-E5F1122454ED}">
  <dimension ref="U20:U21"/>
  <sheetViews>
    <sheetView showGridLines="0" workbookViewId="0">
      <selection activeCell="J25" sqref="J25"/>
    </sheetView>
  </sheetViews>
  <sheetFormatPr defaultRowHeight="14"/>
  <cols>
    <col min="1" max="1" width="33.75" customWidth="1"/>
    <col min="2" max="2" width="8.6640625" customWidth="1"/>
    <col min="3" max="3" width="3" customWidth="1"/>
    <col min="20" max="20" width="4.25" customWidth="1"/>
    <col min="21" max="21" width="13" customWidth="1"/>
  </cols>
  <sheetData>
    <row r="20" spans="21:21" ht="16.5">
      <c r="U20" s="88"/>
    </row>
    <row r="21" spans="21:21">
      <c r="U21" s="3"/>
    </row>
  </sheetData>
  <dataValidations count="1">
    <dataValidation type="list" allowBlank="1" showInputMessage="1" showErrorMessage="1" sqref="U21" xr:uid="{5B43C4ED-3A5E-4188-B39A-97ED8A4222DB}">
      <formula1>"Order_Qty,Order_Value"</formula1>
    </dataValidation>
  </dataValidation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74505-5EEF-4451-9BD6-A5F3C29348E1}">
  <dimension ref="A1:V2939"/>
  <sheetViews>
    <sheetView topLeftCell="F4" workbookViewId="0">
      <selection activeCell="J14" sqref="J14"/>
    </sheetView>
  </sheetViews>
  <sheetFormatPr defaultRowHeight="14"/>
  <cols>
    <col min="1" max="1" width="18.33203125" bestFit="1" customWidth="1"/>
    <col min="2" max="2" width="21" style="23" bestFit="1" customWidth="1"/>
    <col min="3" max="3" width="20.4140625" style="23" bestFit="1" customWidth="1"/>
    <col min="4" max="4" width="34.33203125" style="23" bestFit="1" customWidth="1"/>
    <col min="5" max="5" width="22.75" style="23" bestFit="1" customWidth="1"/>
    <col min="6" max="6" width="44.1640625" style="23" bestFit="1" customWidth="1"/>
    <col min="7" max="7" width="40.4140625" style="23" bestFit="1" customWidth="1"/>
    <col min="8" max="8" width="39.9140625" style="23" bestFit="1" customWidth="1"/>
    <col min="9" max="9" width="21.1640625" style="23" bestFit="1" customWidth="1"/>
    <col min="10" max="10" width="17.4140625" style="23" customWidth="1"/>
    <col min="11" max="11" width="16.9140625" style="23" bestFit="1" customWidth="1"/>
    <col min="12" max="13" width="16.33203125" style="23" bestFit="1" customWidth="1"/>
    <col min="14" max="14" width="16.33203125" bestFit="1" customWidth="1"/>
    <col min="15" max="15" width="20.83203125" customWidth="1"/>
    <col min="16" max="16" width="19.58203125" customWidth="1"/>
    <col min="17" max="93" width="16.33203125" bestFit="1" customWidth="1"/>
    <col min="94" max="94" width="10.83203125" bestFit="1" customWidth="1"/>
    <col min="95" max="152" width="13.25" bestFit="1" customWidth="1"/>
    <col min="153" max="153" width="10.83203125" bestFit="1" customWidth="1"/>
    <col min="154" max="186" width="22.75" bestFit="1" customWidth="1"/>
    <col min="187" max="187" width="22.33203125" bestFit="1" customWidth="1"/>
    <col min="188" max="188" width="27.4140625" bestFit="1" customWidth="1"/>
  </cols>
  <sheetData>
    <row r="1" spans="1:19">
      <c r="G1" s="23" t="s">
        <v>3273</v>
      </c>
    </row>
    <row r="2" spans="1:19">
      <c r="A2" t="s">
        <v>3258</v>
      </c>
      <c r="G2" s="23" t="s">
        <v>257</v>
      </c>
      <c r="H2" s="23" t="s">
        <v>232</v>
      </c>
      <c r="I2" s="23" t="s">
        <v>236</v>
      </c>
      <c r="J2" s="23" t="s">
        <v>244</v>
      </c>
      <c r="K2" s="23" t="s">
        <v>91</v>
      </c>
      <c r="L2" s="23" t="s">
        <v>466</v>
      </c>
      <c r="M2" s="23" t="s">
        <v>3082</v>
      </c>
      <c r="N2" t="s">
        <v>232</v>
      </c>
      <c r="O2" t="s">
        <v>257</v>
      </c>
      <c r="P2" t="s">
        <v>3271</v>
      </c>
    </row>
    <row r="3" spans="1:19">
      <c r="A3" t="s">
        <v>3185</v>
      </c>
      <c r="B3" t="s">
        <v>3153</v>
      </c>
      <c r="C3" t="s">
        <v>3152</v>
      </c>
      <c r="D3" t="s">
        <v>3188</v>
      </c>
      <c r="E3" t="s">
        <v>3144</v>
      </c>
      <c r="F3" s="23" t="s">
        <v>3272</v>
      </c>
      <c r="G3" s="23" t="s">
        <v>3271</v>
      </c>
      <c r="O3" t="s">
        <v>232</v>
      </c>
    </row>
    <row r="4" spans="1:19">
      <c r="A4" s="179">
        <v>1000</v>
      </c>
      <c r="B4" s="91">
        <v>548375</v>
      </c>
      <c r="C4" s="52">
        <v>2.9623000000000004</v>
      </c>
      <c r="D4" s="95">
        <v>2.069</v>
      </c>
      <c r="E4" s="96">
        <v>2.5242499999999956E-2</v>
      </c>
      <c r="O4" t="s">
        <v>236</v>
      </c>
      <c r="S4" t="s">
        <v>3244</v>
      </c>
    </row>
    <row r="5" spans="1:19">
      <c r="B5"/>
      <c r="C5"/>
      <c r="F5" s="23" t="s">
        <v>3269</v>
      </c>
      <c r="O5" t="s">
        <v>244</v>
      </c>
      <c r="S5" t="s">
        <v>3243</v>
      </c>
    </row>
    <row r="6" spans="1:19">
      <c r="A6">
        <f>18195/B4</f>
        <v>3.3179849555504903E-2</v>
      </c>
      <c r="B6" t="s">
        <v>3288</v>
      </c>
      <c r="C6"/>
      <c r="J6" s="23" t="s">
        <v>3274</v>
      </c>
      <c r="O6" t="s">
        <v>91</v>
      </c>
    </row>
    <row r="7" spans="1:19">
      <c r="B7"/>
      <c r="C7"/>
      <c r="O7" t="s">
        <v>466</v>
      </c>
    </row>
    <row r="8" spans="1:19">
      <c r="A8" t="s">
        <v>3259</v>
      </c>
      <c r="B8"/>
      <c r="C8"/>
      <c r="E8" s="23" t="s">
        <v>3270</v>
      </c>
      <c r="G8" s="23" t="s">
        <v>3268</v>
      </c>
      <c r="H8" s="23" t="s">
        <v>3267</v>
      </c>
      <c r="J8" s="23" t="s">
        <v>257</v>
      </c>
      <c r="O8" t="s">
        <v>3082</v>
      </c>
    </row>
    <row r="9" spans="1:19">
      <c r="A9" t="s">
        <v>3185</v>
      </c>
      <c r="B9" t="s">
        <v>3153</v>
      </c>
      <c r="C9" t="s">
        <v>3152</v>
      </c>
      <c r="D9" t="s">
        <v>3262</v>
      </c>
      <c r="E9" t="s">
        <v>3263</v>
      </c>
      <c r="F9" t="s">
        <v>3188</v>
      </c>
      <c r="G9" t="s">
        <v>3260</v>
      </c>
      <c r="H9" t="s">
        <v>3261</v>
      </c>
      <c r="I9" t="s">
        <v>3144</v>
      </c>
      <c r="J9" t="s">
        <v>3264</v>
      </c>
      <c r="K9" t="s">
        <v>3265</v>
      </c>
      <c r="O9" t="s">
        <v>232</v>
      </c>
    </row>
    <row r="10" spans="1:19">
      <c r="A10" s="179">
        <v>1000</v>
      </c>
      <c r="B10" s="91">
        <v>548375</v>
      </c>
      <c r="C10" s="52">
        <v>2.9623000000000004</v>
      </c>
      <c r="D10" s="179">
        <v>-1</v>
      </c>
      <c r="E10" s="179">
        <v>6</v>
      </c>
      <c r="F10" s="95">
        <v>2.069</v>
      </c>
      <c r="G10" s="95">
        <v>23</v>
      </c>
      <c r="H10" s="95">
        <v>-16</v>
      </c>
      <c r="I10" s="96">
        <v>2.5242499999999956E-2</v>
      </c>
      <c r="J10" s="96">
        <v>0.16</v>
      </c>
      <c r="K10" s="96">
        <v>0</v>
      </c>
    </row>
    <row r="11" spans="1:19">
      <c r="B11"/>
      <c r="C11"/>
    </row>
    <row r="12" spans="1:19">
      <c r="B12"/>
      <c r="C12"/>
    </row>
    <row r="13" spans="1:19">
      <c r="A13" t="s">
        <v>3215</v>
      </c>
      <c r="B13"/>
      <c r="C13"/>
      <c r="J13" s="23" t="s">
        <v>3880</v>
      </c>
    </row>
    <row r="14" spans="1:19">
      <c r="A14" s="51" t="s">
        <v>3189</v>
      </c>
      <c r="B14" s="51" t="s">
        <v>19</v>
      </c>
      <c r="C14"/>
      <c r="D14"/>
      <c r="E14"/>
      <c r="F14"/>
      <c r="G14"/>
      <c r="H14"/>
      <c r="I14"/>
      <c r="J14"/>
      <c r="K14"/>
      <c r="L14"/>
      <c r="M14"/>
    </row>
    <row r="15" spans="1:19">
      <c r="A15" s="51" t="s">
        <v>4</v>
      </c>
      <c r="B15" t="s">
        <v>270</v>
      </c>
      <c r="C15" t="s">
        <v>87</v>
      </c>
      <c r="D15" t="s">
        <v>166</v>
      </c>
      <c r="E15" t="s">
        <v>135</v>
      </c>
      <c r="F15" t="s">
        <v>205</v>
      </c>
      <c r="G15" t="s">
        <v>39</v>
      </c>
      <c r="H15" t="s">
        <v>362</v>
      </c>
      <c r="I15" t="s">
        <v>3122</v>
      </c>
      <c r="J15" s="23" t="s">
        <v>270</v>
      </c>
      <c r="K15" t="s">
        <v>3190</v>
      </c>
      <c r="L15" t="s">
        <v>4</v>
      </c>
      <c r="M15" t="s">
        <v>3190</v>
      </c>
    </row>
    <row r="16" spans="1:19">
      <c r="A16" t="s">
        <v>3835</v>
      </c>
      <c r="B16" s="179">
        <v>5</v>
      </c>
      <c r="C16" s="179">
        <v>22</v>
      </c>
      <c r="D16" s="179">
        <v>3</v>
      </c>
      <c r="E16" s="179">
        <v>14</v>
      </c>
      <c r="F16" s="179">
        <v>5</v>
      </c>
      <c r="G16" s="179">
        <v>6</v>
      </c>
      <c r="H16" s="179"/>
      <c r="I16" s="179">
        <v>55</v>
      </c>
      <c r="J16" s="97">
        <f>IFERROR($B16/$I16,"")</f>
        <v>9.0909090909090912E-2</v>
      </c>
      <c r="K16" s="97">
        <f>IFERROR($C16/$I16,"")</f>
        <v>0.4</v>
      </c>
      <c r="L16" t="s">
        <v>33</v>
      </c>
      <c r="M16" s="97">
        <f>J16+K16</f>
        <v>0.49090909090909096</v>
      </c>
    </row>
    <row r="17" spans="1:13">
      <c r="A17" t="s">
        <v>3836</v>
      </c>
      <c r="B17" s="179">
        <v>10</v>
      </c>
      <c r="C17" s="179">
        <v>16</v>
      </c>
      <c r="D17" s="179">
        <v>4</v>
      </c>
      <c r="E17" s="179">
        <v>14</v>
      </c>
      <c r="F17" s="179">
        <v>9</v>
      </c>
      <c r="G17" s="179">
        <v>14</v>
      </c>
      <c r="H17" s="179"/>
      <c r="I17" s="179">
        <v>67</v>
      </c>
      <c r="J17" s="97">
        <f t="shared" ref="J17:J31" si="0">IFERROR($B17/$I17,"")</f>
        <v>0.14925373134328357</v>
      </c>
      <c r="K17" s="97">
        <f t="shared" ref="K17:K31" si="1">IFERROR($C17/$I17,"")</f>
        <v>0.23880597014925373</v>
      </c>
      <c r="L17" t="s">
        <v>91</v>
      </c>
      <c r="M17" s="97">
        <f t="shared" ref="M17:M30" si="2">J17+K17</f>
        <v>0.38805970149253732</v>
      </c>
    </row>
    <row r="18" spans="1:13">
      <c r="A18" t="s">
        <v>3837</v>
      </c>
      <c r="B18" s="179">
        <v>4</v>
      </c>
      <c r="C18" s="179">
        <v>16</v>
      </c>
      <c r="D18" s="179">
        <v>5</v>
      </c>
      <c r="E18" s="179">
        <v>25</v>
      </c>
      <c r="F18" s="179">
        <v>3</v>
      </c>
      <c r="G18" s="179">
        <v>8</v>
      </c>
      <c r="H18" s="179">
        <v>3</v>
      </c>
      <c r="I18" s="179">
        <v>64</v>
      </c>
      <c r="J18" s="97">
        <f t="shared" si="0"/>
        <v>6.25E-2</v>
      </c>
      <c r="K18" s="97">
        <f t="shared" si="1"/>
        <v>0.25</v>
      </c>
      <c r="L18" t="s">
        <v>101</v>
      </c>
      <c r="M18" s="97">
        <f t="shared" si="2"/>
        <v>0.3125</v>
      </c>
    </row>
    <row r="19" spans="1:13">
      <c r="A19" t="s">
        <v>3838</v>
      </c>
      <c r="B19" s="179">
        <v>8</v>
      </c>
      <c r="C19" s="179">
        <v>18</v>
      </c>
      <c r="D19" s="179">
        <v>4</v>
      </c>
      <c r="E19" s="179">
        <v>27</v>
      </c>
      <c r="F19" s="179">
        <v>10</v>
      </c>
      <c r="G19" s="179">
        <v>8</v>
      </c>
      <c r="H19" s="179">
        <v>2</v>
      </c>
      <c r="I19" s="179">
        <v>77</v>
      </c>
      <c r="J19" s="97">
        <f t="shared" si="0"/>
        <v>0.1038961038961039</v>
      </c>
      <c r="K19" s="97">
        <f t="shared" si="1"/>
        <v>0.23376623376623376</v>
      </c>
      <c r="L19" t="s">
        <v>257</v>
      </c>
      <c r="M19" s="97">
        <f t="shared" si="2"/>
        <v>0.33766233766233766</v>
      </c>
    </row>
    <row r="20" spans="1:13">
      <c r="A20" t="s">
        <v>3839</v>
      </c>
      <c r="B20" s="179">
        <v>7</v>
      </c>
      <c r="C20" s="179">
        <v>17</v>
      </c>
      <c r="D20" s="179">
        <v>2</v>
      </c>
      <c r="E20" s="179">
        <v>22</v>
      </c>
      <c r="F20" s="179">
        <v>15</v>
      </c>
      <c r="G20" s="179">
        <v>9</v>
      </c>
      <c r="H20" s="179"/>
      <c r="I20" s="179">
        <v>72</v>
      </c>
      <c r="J20" s="97">
        <f t="shared" si="0"/>
        <v>9.7222222222222224E-2</v>
      </c>
      <c r="K20" s="97">
        <f t="shared" si="1"/>
        <v>0.2361111111111111</v>
      </c>
      <c r="L20" t="s">
        <v>236</v>
      </c>
      <c r="M20" s="97">
        <f t="shared" si="2"/>
        <v>0.33333333333333331</v>
      </c>
    </row>
    <row r="21" spans="1:13">
      <c r="A21" t="s">
        <v>3840</v>
      </c>
      <c r="B21" s="179">
        <v>4</v>
      </c>
      <c r="C21" s="179">
        <v>23</v>
      </c>
      <c r="D21" s="179">
        <v>4</v>
      </c>
      <c r="E21" s="179">
        <v>12</v>
      </c>
      <c r="F21" s="179">
        <v>8</v>
      </c>
      <c r="G21" s="179">
        <v>10</v>
      </c>
      <c r="H21" s="179"/>
      <c r="I21" s="179">
        <v>61</v>
      </c>
      <c r="J21" s="97">
        <f t="shared" si="0"/>
        <v>6.5573770491803282E-2</v>
      </c>
      <c r="K21" s="97">
        <f t="shared" si="1"/>
        <v>0.37704918032786883</v>
      </c>
      <c r="L21" t="s">
        <v>119</v>
      </c>
      <c r="M21" s="97">
        <f t="shared" si="2"/>
        <v>0.44262295081967212</v>
      </c>
    </row>
    <row r="22" spans="1:13">
      <c r="A22" t="s">
        <v>3841</v>
      </c>
      <c r="B22" s="179">
        <v>5</v>
      </c>
      <c r="C22" s="179">
        <v>25</v>
      </c>
      <c r="D22" s="179">
        <v>6</v>
      </c>
      <c r="E22" s="179">
        <v>20</v>
      </c>
      <c r="F22" s="179">
        <v>9</v>
      </c>
      <c r="G22" s="179">
        <v>11</v>
      </c>
      <c r="H22" s="179"/>
      <c r="I22" s="179">
        <v>76</v>
      </c>
      <c r="J22" s="97">
        <f t="shared" si="0"/>
        <v>6.5789473684210523E-2</v>
      </c>
      <c r="K22" s="97">
        <f t="shared" si="1"/>
        <v>0.32894736842105265</v>
      </c>
      <c r="L22" t="s">
        <v>244</v>
      </c>
      <c r="M22" s="97">
        <f t="shared" si="2"/>
        <v>0.39473684210526316</v>
      </c>
    </row>
    <row r="23" spans="1:13">
      <c r="A23" t="s">
        <v>3842</v>
      </c>
      <c r="B23" s="179">
        <v>7</v>
      </c>
      <c r="C23" s="179">
        <v>18</v>
      </c>
      <c r="D23" s="179">
        <v>5</v>
      </c>
      <c r="E23" s="179">
        <v>17</v>
      </c>
      <c r="F23" s="179">
        <v>10</v>
      </c>
      <c r="G23" s="179">
        <v>8</v>
      </c>
      <c r="H23" s="179"/>
      <c r="I23" s="179">
        <v>65</v>
      </c>
      <c r="J23" s="97">
        <f t="shared" si="0"/>
        <v>0.1076923076923077</v>
      </c>
      <c r="K23" s="97">
        <f t="shared" si="1"/>
        <v>0.27692307692307694</v>
      </c>
      <c r="L23" t="s">
        <v>466</v>
      </c>
      <c r="M23" s="97">
        <f t="shared" si="2"/>
        <v>0.38461538461538464</v>
      </c>
    </row>
    <row r="24" spans="1:13">
      <c r="A24" t="s">
        <v>3843</v>
      </c>
      <c r="B24" s="179">
        <v>7</v>
      </c>
      <c r="C24" s="179">
        <v>10</v>
      </c>
      <c r="D24" s="179">
        <v>6</v>
      </c>
      <c r="E24" s="179">
        <v>17</v>
      </c>
      <c r="F24" s="179">
        <v>6</v>
      </c>
      <c r="G24" s="179">
        <v>7</v>
      </c>
      <c r="H24" s="179"/>
      <c r="I24" s="179">
        <v>53</v>
      </c>
      <c r="J24" s="97">
        <f t="shared" si="0"/>
        <v>0.13207547169811321</v>
      </c>
      <c r="K24" s="97">
        <f t="shared" si="1"/>
        <v>0.18867924528301888</v>
      </c>
      <c r="L24" t="s">
        <v>210</v>
      </c>
      <c r="M24" s="97">
        <f t="shared" si="2"/>
        <v>0.32075471698113212</v>
      </c>
    </row>
    <row r="25" spans="1:13">
      <c r="A25" t="s">
        <v>3844</v>
      </c>
      <c r="B25" s="179">
        <v>8</v>
      </c>
      <c r="C25" s="179">
        <v>20</v>
      </c>
      <c r="D25" s="179">
        <v>4</v>
      </c>
      <c r="E25" s="179">
        <v>25</v>
      </c>
      <c r="F25" s="179">
        <v>5</v>
      </c>
      <c r="G25" s="179">
        <v>12</v>
      </c>
      <c r="H25" s="179">
        <v>4</v>
      </c>
      <c r="I25" s="179">
        <v>78</v>
      </c>
      <c r="J25" s="97">
        <f t="shared" si="0"/>
        <v>0.10256410256410256</v>
      </c>
      <c r="K25" s="97">
        <f t="shared" si="1"/>
        <v>0.25641025641025639</v>
      </c>
      <c r="L25" t="s">
        <v>232</v>
      </c>
      <c r="M25" s="97">
        <f t="shared" si="2"/>
        <v>0.35897435897435892</v>
      </c>
    </row>
    <row r="26" spans="1:13">
      <c r="A26" t="s">
        <v>3847</v>
      </c>
      <c r="B26" s="179">
        <v>7</v>
      </c>
      <c r="C26" s="179">
        <v>11</v>
      </c>
      <c r="D26" s="179">
        <v>7</v>
      </c>
      <c r="E26" s="179">
        <v>16</v>
      </c>
      <c r="F26" s="179">
        <v>6</v>
      </c>
      <c r="G26" s="179">
        <v>11</v>
      </c>
      <c r="H26" s="179">
        <v>1</v>
      </c>
      <c r="I26" s="179">
        <v>59</v>
      </c>
      <c r="J26" s="97">
        <f t="shared" si="0"/>
        <v>0.11864406779661017</v>
      </c>
      <c r="K26" s="97">
        <f t="shared" si="1"/>
        <v>0.1864406779661017</v>
      </c>
      <c r="L26" t="s">
        <v>81</v>
      </c>
      <c r="M26" s="97">
        <f t="shared" si="2"/>
        <v>0.30508474576271188</v>
      </c>
    </row>
    <row r="27" spans="1:13">
      <c r="A27" t="s">
        <v>3845</v>
      </c>
      <c r="B27" s="179">
        <v>6</v>
      </c>
      <c r="C27" s="179">
        <v>17</v>
      </c>
      <c r="D27" s="179">
        <v>2</v>
      </c>
      <c r="E27" s="179">
        <v>22</v>
      </c>
      <c r="F27" s="179">
        <v>9</v>
      </c>
      <c r="G27" s="179">
        <v>12</v>
      </c>
      <c r="H27" s="179">
        <v>1</v>
      </c>
      <c r="I27" s="179">
        <v>69</v>
      </c>
      <c r="J27" s="97">
        <f t="shared" si="0"/>
        <v>8.6956521739130432E-2</v>
      </c>
      <c r="K27" s="97">
        <f t="shared" si="1"/>
        <v>0.24637681159420291</v>
      </c>
      <c r="L27" t="s">
        <v>111</v>
      </c>
      <c r="M27" s="97">
        <f t="shared" si="2"/>
        <v>0.33333333333333337</v>
      </c>
    </row>
    <row r="28" spans="1:13">
      <c r="A28" t="s">
        <v>3846</v>
      </c>
      <c r="B28" s="179">
        <v>11</v>
      </c>
      <c r="C28" s="179">
        <v>15</v>
      </c>
      <c r="D28" s="179">
        <v>8</v>
      </c>
      <c r="E28" s="179">
        <v>13</v>
      </c>
      <c r="F28" s="179">
        <v>5</v>
      </c>
      <c r="G28" s="179">
        <v>12</v>
      </c>
      <c r="H28" s="179">
        <v>3</v>
      </c>
      <c r="I28" s="179">
        <v>67</v>
      </c>
      <c r="J28" s="97">
        <f t="shared" si="0"/>
        <v>0.16417910447761194</v>
      </c>
      <c r="K28" s="97">
        <f t="shared" si="1"/>
        <v>0.22388059701492538</v>
      </c>
      <c r="L28" t="s">
        <v>216</v>
      </c>
      <c r="M28" s="97">
        <f t="shared" si="2"/>
        <v>0.38805970149253732</v>
      </c>
    </row>
    <row r="29" spans="1:13">
      <c r="A29" t="s">
        <v>3848</v>
      </c>
      <c r="B29" s="179">
        <v>7</v>
      </c>
      <c r="C29" s="179">
        <v>21</v>
      </c>
      <c r="D29" s="179">
        <v>3</v>
      </c>
      <c r="E29" s="179">
        <v>20</v>
      </c>
      <c r="F29" s="179">
        <v>9</v>
      </c>
      <c r="G29" s="179">
        <v>14</v>
      </c>
      <c r="H29" s="179"/>
      <c r="I29" s="179">
        <v>74</v>
      </c>
      <c r="J29" s="97">
        <f t="shared" si="0"/>
        <v>9.45945945945946E-2</v>
      </c>
      <c r="K29" s="97">
        <f t="shared" si="1"/>
        <v>0.28378378378378377</v>
      </c>
      <c r="L29" t="s">
        <v>143</v>
      </c>
      <c r="M29" s="97">
        <f t="shared" si="2"/>
        <v>0.3783783783783784</v>
      </c>
    </row>
    <row r="30" spans="1:13">
      <c r="A30" t="s">
        <v>3849</v>
      </c>
      <c r="B30" s="179">
        <v>8</v>
      </c>
      <c r="C30" s="179">
        <v>19</v>
      </c>
      <c r="D30" s="179">
        <v>4</v>
      </c>
      <c r="E30" s="179">
        <v>14</v>
      </c>
      <c r="F30" s="179">
        <v>11</v>
      </c>
      <c r="G30" s="179">
        <v>7</v>
      </c>
      <c r="H30" s="179"/>
      <c r="I30" s="179">
        <v>63</v>
      </c>
      <c r="J30" s="97">
        <f t="shared" si="0"/>
        <v>0.12698412698412698</v>
      </c>
      <c r="K30" s="97">
        <f t="shared" si="1"/>
        <v>0.30158730158730157</v>
      </c>
      <c r="L30" t="s">
        <v>3082</v>
      </c>
      <c r="M30" s="97">
        <f t="shared" si="2"/>
        <v>0.42857142857142855</v>
      </c>
    </row>
    <row r="31" spans="1:13">
      <c r="A31" t="s">
        <v>3122</v>
      </c>
      <c r="B31" s="179">
        <v>104</v>
      </c>
      <c r="C31" s="179">
        <v>268</v>
      </c>
      <c r="D31" s="179">
        <v>67</v>
      </c>
      <c r="E31" s="179">
        <v>278</v>
      </c>
      <c r="F31" s="179">
        <v>120</v>
      </c>
      <c r="G31" s="179">
        <v>149</v>
      </c>
      <c r="H31" s="179">
        <v>14</v>
      </c>
      <c r="I31" s="179">
        <v>1000</v>
      </c>
      <c r="J31" s="97">
        <f>AVERAGE(J16:J30)</f>
        <v>0.10458897933955412</v>
      </c>
      <c r="K31" s="97">
        <f>AVERAGE(K16:K30)</f>
        <v>0.26858410762254586</v>
      </c>
      <c r="L31"/>
      <c r="M31"/>
    </row>
    <row r="32" spans="1:13">
      <c r="B32"/>
      <c r="C32"/>
      <c r="D32"/>
      <c r="E32"/>
      <c r="F32"/>
      <c r="G32"/>
      <c r="H32"/>
      <c r="I32"/>
      <c r="J32"/>
      <c r="K32"/>
      <c r="L32"/>
      <c r="M32"/>
    </row>
    <row r="35" spans="1:9">
      <c r="A35" t="s">
        <v>3245</v>
      </c>
    </row>
    <row r="37" spans="1:9">
      <c r="A37" s="51" t="s">
        <v>3189</v>
      </c>
      <c r="B37" s="51" t="s">
        <v>19</v>
      </c>
      <c r="C37"/>
      <c r="D37"/>
      <c r="E37"/>
      <c r="F37"/>
      <c r="G37"/>
      <c r="H37"/>
      <c r="I37"/>
    </row>
    <row r="38" spans="1:9">
      <c r="A38" s="51" t="s">
        <v>24</v>
      </c>
      <c r="B38" t="s">
        <v>270</v>
      </c>
      <c r="C38" t="s">
        <v>87</v>
      </c>
      <c r="D38" t="s">
        <v>166</v>
      </c>
      <c r="E38" t="s">
        <v>135</v>
      </c>
      <c r="F38" t="s">
        <v>205</v>
      </c>
      <c r="G38" t="s">
        <v>39</v>
      </c>
      <c r="H38" t="s">
        <v>362</v>
      </c>
      <c r="I38" t="s">
        <v>3122</v>
      </c>
    </row>
    <row r="39" spans="1:9">
      <c r="A39" t="s">
        <v>88</v>
      </c>
      <c r="B39" s="179">
        <v>20</v>
      </c>
      <c r="C39" s="179">
        <v>34</v>
      </c>
      <c r="D39" s="179">
        <v>11</v>
      </c>
      <c r="E39" s="179">
        <v>33</v>
      </c>
      <c r="F39" s="179">
        <v>15</v>
      </c>
      <c r="G39" s="179">
        <v>18</v>
      </c>
      <c r="H39" s="179">
        <v>5</v>
      </c>
      <c r="I39" s="179">
        <v>136</v>
      </c>
    </row>
    <row r="40" spans="1:9">
      <c r="A40" t="s">
        <v>129</v>
      </c>
      <c r="B40" s="179">
        <v>20</v>
      </c>
      <c r="C40" s="179">
        <v>45</v>
      </c>
      <c r="D40" s="179">
        <v>8</v>
      </c>
      <c r="E40" s="179">
        <v>42</v>
      </c>
      <c r="F40" s="179">
        <v>10</v>
      </c>
      <c r="G40" s="179">
        <v>15</v>
      </c>
      <c r="H40" s="179">
        <v>2</v>
      </c>
      <c r="I40" s="179">
        <v>142</v>
      </c>
    </row>
    <row r="41" spans="1:9">
      <c r="A41" t="s">
        <v>206</v>
      </c>
      <c r="B41" s="179">
        <v>11</v>
      </c>
      <c r="C41" s="179">
        <v>34</v>
      </c>
      <c r="D41" s="179">
        <v>7</v>
      </c>
      <c r="E41" s="179">
        <v>30</v>
      </c>
      <c r="F41" s="179">
        <v>19</v>
      </c>
      <c r="G41" s="179">
        <v>17</v>
      </c>
      <c r="H41" s="179">
        <v>2</v>
      </c>
      <c r="I41" s="179">
        <v>120</v>
      </c>
    </row>
    <row r="42" spans="1:9">
      <c r="A42" t="s">
        <v>55</v>
      </c>
      <c r="B42" s="179">
        <v>6</v>
      </c>
      <c r="C42" s="179">
        <v>21</v>
      </c>
      <c r="D42" s="179">
        <v>15</v>
      </c>
      <c r="E42" s="179">
        <v>23</v>
      </c>
      <c r="F42" s="179">
        <v>11</v>
      </c>
      <c r="G42" s="179">
        <v>21</v>
      </c>
      <c r="H42" s="179"/>
      <c r="I42" s="179">
        <v>97</v>
      </c>
    </row>
    <row r="43" spans="1:9">
      <c r="A43" t="s">
        <v>174</v>
      </c>
      <c r="B43" s="179">
        <v>14</v>
      </c>
      <c r="C43" s="179">
        <v>28</v>
      </c>
      <c r="D43" s="179">
        <v>4</v>
      </c>
      <c r="E43" s="179">
        <v>38</v>
      </c>
      <c r="F43" s="179">
        <v>16</v>
      </c>
      <c r="G43" s="179">
        <v>18</v>
      </c>
      <c r="H43" s="179">
        <v>2</v>
      </c>
      <c r="I43" s="179">
        <v>120</v>
      </c>
    </row>
    <row r="44" spans="1:9">
      <c r="A44" t="s">
        <v>136</v>
      </c>
      <c r="B44" s="179">
        <v>5</v>
      </c>
      <c r="C44" s="179">
        <v>40</v>
      </c>
      <c r="D44" s="179">
        <v>9</v>
      </c>
      <c r="E44" s="179">
        <v>31</v>
      </c>
      <c r="F44" s="179">
        <v>25</v>
      </c>
      <c r="G44" s="179">
        <v>23</v>
      </c>
      <c r="H44" s="179"/>
      <c r="I44" s="179">
        <v>133</v>
      </c>
    </row>
    <row r="45" spans="1:9">
      <c r="A45" t="s">
        <v>3112</v>
      </c>
      <c r="B45" s="179">
        <v>28</v>
      </c>
      <c r="C45" s="179">
        <v>66</v>
      </c>
      <c r="D45" s="179">
        <v>13</v>
      </c>
      <c r="E45" s="179">
        <v>81</v>
      </c>
      <c r="F45" s="179">
        <v>24</v>
      </c>
      <c r="G45" s="179">
        <v>37</v>
      </c>
      <c r="H45" s="179">
        <v>3</v>
      </c>
      <c r="I45" s="179">
        <v>252</v>
      </c>
    </row>
    <row r="46" spans="1:9">
      <c r="A46" t="s">
        <v>3122</v>
      </c>
      <c r="B46" s="179">
        <v>104</v>
      </c>
      <c r="C46" s="179">
        <v>268</v>
      </c>
      <c r="D46" s="179">
        <v>67</v>
      </c>
      <c r="E46" s="179">
        <v>278</v>
      </c>
      <c r="F46" s="179">
        <v>120</v>
      </c>
      <c r="G46" s="179">
        <v>149</v>
      </c>
      <c r="H46" s="179">
        <v>14</v>
      </c>
      <c r="I46" s="179">
        <v>1000</v>
      </c>
    </row>
    <row r="49" spans="1:13">
      <c r="A49" t="s">
        <v>3246</v>
      </c>
    </row>
    <row r="50" spans="1:13">
      <c r="C50" s="23" t="s">
        <v>3275</v>
      </c>
    </row>
    <row r="51" spans="1:13">
      <c r="A51" s="51" t="s">
        <v>24</v>
      </c>
      <c r="B51" t="s">
        <v>3144</v>
      </c>
      <c r="C51"/>
      <c r="D51"/>
      <c r="E51"/>
      <c r="F51"/>
      <c r="G51"/>
      <c r="H51"/>
      <c r="I51"/>
      <c r="J51"/>
      <c r="K51"/>
      <c r="L51"/>
      <c r="M51"/>
    </row>
    <row r="52" spans="1:13">
      <c r="A52" t="s">
        <v>88</v>
      </c>
      <c r="B52" s="96">
        <v>2.3103676470588232E-2</v>
      </c>
      <c r="C52"/>
      <c r="D52" t="s">
        <v>3277</v>
      </c>
      <c r="E52"/>
      <c r="F52"/>
      <c r="G52"/>
      <c r="H52"/>
      <c r="I52"/>
      <c r="J52"/>
      <c r="K52"/>
      <c r="L52"/>
      <c r="M52"/>
    </row>
    <row r="53" spans="1:13">
      <c r="A53" t="s">
        <v>129</v>
      </c>
      <c r="B53" s="96">
        <v>2.6909154929577475E-2</v>
      </c>
      <c r="C53"/>
      <c r="D53" t="s">
        <v>3278</v>
      </c>
      <c r="E53"/>
      <c r="F53"/>
      <c r="G53"/>
      <c r="H53"/>
      <c r="I53"/>
      <c r="J53"/>
      <c r="K53"/>
      <c r="L53"/>
      <c r="M53"/>
    </row>
    <row r="54" spans="1:13">
      <c r="A54" t="s">
        <v>206</v>
      </c>
      <c r="B54" s="96">
        <v>2.7305000000000017E-2</v>
      </c>
      <c r="C54"/>
      <c r="D54"/>
      <c r="E54"/>
      <c r="F54"/>
      <c r="G54"/>
      <c r="H54"/>
      <c r="I54"/>
      <c r="J54"/>
      <c r="K54"/>
      <c r="L54"/>
      <c r="M54"/>
    </row>
    <row r="55" spans="1:13">
      <c r="A55" t="s">
        <v>55</v>
      </c>
      <c r="B55" s="96">
        <v>2.8075257731958767E-2</v>
      </c>
      <c r="C55"/>
      <c r="D55"/>
      <c r="E55"/>
      <c r="F55"/>
      <c r="G55"/>
      <c r="H55"/>
      <c r="I55"/>
      <c r="J55"/>
      <c r="K55"/>
      <c r="L55"/>
      <c r="M55"/>
    </row>
    <row r="56" spans="1:13">
      <c r="A56" t="s">
        <v>174</v>
      </c>
      <c r="B56" s="96">
        <v>2.3894166666666664E-2</v>
      </c>
      <c r="C56"/>
      <c r="D56"/>
      <c r="E56"/>
      <c r="F56"/>
      <c r="G56"/>
      <c r="H56"/>
      <c r="I56"/>
      <c r="J56"/>
      <c r="K56"/>
      <c r="L56"/>
      <c r="M56"/>
    </row>
    <row r="57" spans="1:13">
      <c r="A57" t="s">
        <v>136</v>
      </c>
      <c r="B57" s="96">
        <v>2.6454887218045123E-2</v>
      </c>
      <c r="C57"/>
      <c r="D57"/>
      <c r="E57"/>
      <c r="F57"/>
      <c r="G57"/>
      <c r="H57"/>
      <c r="I57"/>
      <c r="J57"/>
      <c r="K57"/>
      <c r="L57"/>
      <c r="M57"/>
    </row>
    <row r="58" spans="1:13">
      <c r="A58" t="s">
        <v>3112</v>
      </c>
      <c r="B58" s="96">
        <v>2.3387301587301578E-2</v>
      </c>
      <c r="C58"/>
      <c r="D58"/>
      <c r="E58"/>
      <c r="F58"/>
      <c r="G58"/>
      <c r="H58"/>
      <c r="I58"/>
      <c r="J58"/>
      <c r="K58"/>
      <c r="L58"/>
      <c r="M58"/>
    </row>
    <row r="59" spans="1:13">
      <c r="A59" t="s">
        <v>3122</v>
      </c>
      <c r="B59" s="96">
        <v>2.524249999999997E-2</v>
      </c>
      <c r="C59"/>
      <c r="D59"/>
      <c r="E59"/>
      <c r="F59"/>
      <c r="G59"/>
      <c r="H59"/>
      <c r="I59"/>
      <c r="J59"/>
      <c r="K59"/>
      <c r="L59"/>
      <c r="M59"/>
    </row>
    <row r="60" spans="1:13">
      <c r="B60"/>
      <c r="C60"/>
      <c r="D60"/>
      <c r="E60"/>
      <c r="F60"/>
      <c r="G60"/>
      <c r="H60"/>
      <c r="I60"/>
      <c r="J60"/>
      <c r="K60"/>
      <c r="L60"/>
      <c r="M60"/>
    </row>
    <row r="61" spans="1:13">
      <c r="A61" t="s">
        <v>3247</v>
      </c>
    </row>
    <row r="62" spans="1:13">
      <c r="A62" s="51" t="s">
        <v>24</v>
      </c>
      <c r="B62" t="s">
        <v>3143</v>
      </c>
      <c r="C62" t="s">
        <v>3153</v>
      </c>
      <c r="D62" t="s">
        <v>3257</v>
      </c>
      <c r="E62" t="s">
        <v>3276</v>
      </c>
      <c r="F62"/>
      <c r="G62"/>
      <c r="H62"/>
      <c r="I62"/>
      <c r="J62"/>
      <c r="K62"/>
      <c r="L62"/>
      <c r="M62"/>
    </row>
    <row r="63" spans="1:13">
      <c r="A63" t="s">
        <v>88</v>
      </c>
      <c r="B63" s="179">
        <v>1831</v>
      </c>
      <c r="C63" s="179">
        <v>80725</v>
      </c>
      <c r="D63" s="96">
        <v>2.2681944874574173E-2</v>
      </c>
      <c r="E63" s="96">
        <v>0.10063204176971695</v>
      </c>
      <c r="F63" s="97">
        <f t="shared" ref="F63:F70" si="3">B63/C63</f>
        <v>2.2681944874574173E-2</v>
      </c>
      <c r="G63" s="97">
        <f>B63/B70</f>
        <v>0.10063204176971695</v>
      </c>
      <c r="H63"/>
      <c r="I63"/>
      <c r="J63"/>
      <c r="K63"/>
      <c r="L63"/>
      <c r="M63"/>
    </row>
    <row r="64" spans="1:13">
      <c r="A64" t="s">
        <v>129</v>
      </c>
      <c r="B64" s="179">
        <v>2805</v>
      </c>
      <c r="C64" s="179">
        <v>71500</v>
      </c>
      <c r="D64" s="96">
        <v>3.9230769230769229E-2</v>
      </c>
      <c r="E64" s="96">
        <v>0.15416323165704865</v>
      </c>
      <c r="F64" s="97">
        <f t="shared" si="3"/>
        <v>3.9230769230769229E-2</v>
      </c>
      <c r="G64"/>
      <c r="H64"/>
      <c r="I64"/>
      <c r="J64"/>
      <c r="K64"/>
      <c r="L64"/>
      <c r="M64"/>
    </row>
    <row r="65" spans="1:13">
      <c r="A65" t="s">
        <v>206</v>
      </c>
      <c r="B65" s="179">
        <v>1399</v>
      </c>
      <c r="C65" s="179">
        <v>57275</v>
      </c>
      <c r="D65" s="96">
        <v>2.4426014840680927E-2</v>
      </c>
      <c r="E65" s="96">
        <v>7.6889255289914818E-2</v>
      </c>
      <c r="F65" s="97">
        <f t="shared" si="3"/>
        <v>2.4426014840680927E-2</v>
      </c>
      <c r="G65"/>
      <c r="H65"/>
      <c r="I65"/>
      <c r="J65"/>
      <c r="K65"/>
      <c r="L65"/>
      <c r="M65"/>
    </row>
    <row r="66" spans="1:13">
      <c r="A66" t="s">
        <v>55</v>
      </c>
      <c r="B66" s="179">
        <v>2825</v>
      </c>
      <c r="C66" s="179">
        <v>62100</v>
      </c>
      <c r="D66" s="96">
        <v>4.5491143317230275E-2</v>
      </c>
      <c r="E66" s="96">
        <v>0.15526243473481727</v>
      </c>
      <c r="F66" s="97">
        <f t="shared" si="3"/>
        <v>4.5491143317230275E-2</v>
      </c>
      <c r="G66"/>
      <c r="H66"/>
      <c r="I66"/>
      <c r="J66"/>
      <c r="K66"/>
      <c r="L66"/>
      <c r="M66"/>
    </row>
    <row r="67" spans="1:13">
      <c r="A67" t="s">
        <v>174</v>
      </c>
      <c r="B67" s="179">
        <v>1669</v>
      </c>
      <c r="C67" s="179">
        <v>67175</v>
      </c>
      <c r="D67" s="96">
        <v>2.4845552660960179E-2</v>
      </c>
      <c r="E67" s="96">
        <v>9.1728496839791146E-2</v>
      </c>
      <c r="F67" s="97">
        <f t="shared" si="3"/>
        <v>2.4845552660960179E-2</v>
      </c>
      <c r="G67"/>
      <c r="H67"/>
      <c r="I67"/>
      <c r="J67"/>
      <c r="K67"/>
      <c r="L67"/>
      <c r="M67"/>
    </row>
    <row r="68" spans="1:13">
      <c r="A68" t="s">
        <v>136</v>
      </c>
      <c r="B68" s="179">
        <v>3862</v>
      </c>
      <c r="C68" s="179">
        <v>74125</v>
      </c>
      <c r="D68" s="96">
        <v>5.2101180438448566E-2</v>
      </c>
      <c r="E68" s="96">
        <v>0.21225611431712008</v>
      </c>
      <c r="F68" s="97">
        <f t="shared" si="3"/>
        <v>5.2101180438448566E-2</v>
      </c>
      <c r="G68"/>
      <c r="H68"/>
      <c r="I68"/>
      <c r="J68"/>
      <c r="K68"/>
      <c r="L68"/>
      <c r="M68"/>
    </row>
    <row r="69" spans="1:13">
      <c r="A69" t="s">
        <v>3112</v>
      </c>
      <c r="B69" s="179">
        <v>3804</v>
      </c>
      <c r="C69" s="179">
        <v>135475</v>
      </c>
      <c r="D69" s="96">
        <v>2.8078981361874884E-2</v>
      </c>
      <c r="E69" s="96">
        <v>0.2090684253915911</v>
      </c>
      <c r="F69" s="97">
        <f t="shared" si="3"/>
        <v>2.8078981361874884E-2</v>
      </c>
      <c r="G69"/>
      <c r="H69"/>
      <c r="I69"/>
      <c r="J69"/>
      <c r="K69"/>
      <c r="L69"/>
      <c r="M69"/>
    </row>
    <row r="70" spans="1:13">
      <c r="A70" t="s">
        <v>3122</v>
      </c>
      <c r="B70" s="179">
        <v>18195</v>
      </c>
      <c r="C70" s="179">
        <v>548375</v>
      </c>
      <c r="D70" s="96">
        <v>3.3179849555504903E-2</v>
      </c>
      <c r="E70" s="96">
        <v>1</v>
      </c>
      <c r="F70" s="97">
        <f t="shared" si="3"/>
        <v>3.3179849555504903E-2</v>
      </c>
      <c r="G70"/>
      <c r="H70"/>
      <c r="I70"/>
      <c r="J70"/>
      <c r="K70"/>
      <c r="L70"/>
      <c r="M70"/>
    </row>
    <row r="71" spans="1:13">
      <c r="B71"/>
      <c r="C71"/>
      <c r="D71"/>
      <c r="E71"/>
      <c r="F71"/>
      <c r="G71"/>
      <c r="H71"/>
      <c r="I71"/>
      <c r="J71"/>
      <c r="K71"/>
      <c r="L71"/>
      <c r="M71"/>
    </row>
    <row r="72" spans="1:13">
      <c r="B72"/>
      <c r="C72"/>
      <c r="D72"/>
      <c r="E72"/>
      <c r="F72"/>
      <c r="G72"/>
      <c r="H72"/>
      <c r="I72"/>
      <c r="J72"/>
      <c r="K72"/>
      <c r="L72"/>
      <c r="M72"/>
    </row>
    <row r="73" spans="1:13">
      <c r="B73"/>
      <c r="C73"/>
      <c r="D73"/>
      <c r="E73"/>
      <c r="F73"/>
      <c r="G73"/>
      <c r="H73"/>
      <c r="I73"/>
      <c r="J73"/>
      <c r="K73"/>
      <c r="L73"/>
      <c r="M73"/>
    </row>
    <row r="74" spans="1:13">
      <c r="A74" t="s">
        <v>3248</v>
      </c>
      <c r="B74"/>
      <c r="C74"/>
      <c r="D74"/>
      <c r="E74"/>
      <c r="F74"/>
      <c r="G74"/>
      <c r="H74"/>
      <c r="I74"/>
      <c r="J74"/>
      <c r="K74"/>
      <c r="L74"/>
      <c r="M74"/>
    </row>
    <row r="75" spans="1:13">
      <c r="A75" s="51" t="s">
        <v>3189</v>
      </c>
      <c r="B75" s="51" t="s">
        <v>19</v>
      </c>
      <c r="C75"/>
      <c r="D75"/>
      <c r="E75"/>
      <c r="F75"/>
      <c r="G75"/>
      <c r="H75"/>
      <c r="I75"/>
      <c r="J75"/>
      <c r="K75"/>
      <c r="L75"/>
      <c r="M75"/>
    </row>
    <row r="76" spans="1:13">
      <c r="A76" s="51" t="s">
        <v>23</v>
      </c>
      <c r="B76" t="s">
        <v>270</v>
      </c>
      <c r="C76" t="s">
        <v>87</v>
      </c>
      <c r="D76" t="s">
        <v>166</v>
      </c>
      <c r="E76" t="s">
        <v>135</v>
      </c>
      <c r="F76" t="s">
        <v>205</v>
      </c>
      <c r="G76" t="s">
        <v>39</v>
      </c>
      <c r="H76" t="s">
        <v>362</v>
      </c>
      <c r="I76" t="s">
        <v>3122</v>
      </c>
      <c r="J76"/>
      <c r="K76"/>
      <c r="L76"/>
      <c r="M76"/>
    </row>
    <row r="77" spans="1:13">
      <c r="A77" t="s">
        <v>128</v>
      </c>
      <c r="B77" s="179">
        <v>19</v>
      </c>
      <c r="C77" s="179">
        <v>28</v>
      </c>
      <c r="D77" s="179">
        <v>9</v>
      </c>
      <c r="E77" s="179">
        <v>41</v>
      </c>
      <c r="F77" s="179">
        <v>11</v>
      </c>
      <c r="G77" s="179">
        <v>21</v>
      </c>
      <c r="H77" s="179">
        <v>1</v>
      </c>
      <c r="I77" s="179">
        <v>130</v>
      </c>
      <c r="J77"/>
      <c r="K77"/>
      <c r="L77"/>
      <c r="M77"/>
    </row>
    <row r="78" spans="1:13">
      <c r="A78" t="s">
        <v>107</v>
      </c>
      <c r="B78" s="179">
        <v>16</v>
      </c>
      <c r="C78" s="179">
        <v>42</v>
      </c>
      <c r="D78" s="179">
        <v>4</v>
      </c>
      <c r="E78" s="179">
        <v>36</v>
      </c>
      <c r="F78" s="179">
        <v>17</v>
      </c>
      <c r="G78" s="179">
        <v>24</v>
      </c>
      <c r="H78" s="179">
        <v>2</v>
      </c>
      <c r="I78" s="179">
        <v>141</v>
      </c>
      <c r="J78"/>
      <c r="K78"/>
      <c r="L78"/>
      <c r="M78"/>
    </row>
    <row r="79" spans="1:13">
      <c r="A79" t="s">
        <v>3088</v>
      </c>
      <c r="B79" s="179">
        <v>6</v>
      </c>
      <c r="C79" s="179">
        <v>35</v>
      </c>
      <c r="D79" s="179">
        <v>8</v>
      </c>
      <c r="E79" s="179">
        <v>40</v>
      </c>
      <c r="F79" s="179">
        <v>17</v>
      </c>
      <c r="G79" s="179">
        <v>18</v>
      </c>
      <c r="H79" s="179">
        <v>2</v>
      </c>
      <c r="I79" s="179">
        <v>126</v>
      </c>
      <c r="J79"/>
      <c r="K79"/>
      <c r="L79"/>
      <c r="M79"/>
    </row>
    <row r="80" spans="1:13">
      <c r="A80" t="s">
        <v>54</v>
      </c>
      <c r="B80" s="179">
        <v>9</v>
      </c>
      <c r="C80" s="179">
        <v>35</v>
      </c>
      <c r="D80" s="179">
        <v>8</v>
      </c>
      <c r="E80" s="179">
        <v>44</v>
      </c>
      <c r="F80" s="179">
        <v>17</v>
      </c>
      <c r="G80" s="179">
        <v>19</v>
      </c>
      <c r="H80" s="179">
        <v>1</v>
      </c>
      <c r="I80" s="179">
        <v>133</v>
      </c>
      <c r="J80"/>
      <c r="K80"/>
      <c r="L80"/>
      <c r="M80"/>
    </row>
    <row r="81" spans="1:13">
      <c r="A81" t="s">
        <v>173</v>
      </c>
      <c r="B81" s="179">
        <v>28</v>
      </c>
      <c r="C81" s="179">
        <v>66</v>
      </c>
      <c r="D81" s="179">
        <v>19</v>
      </c>
      <c r="E81" s="179">
        <v>55</v>
      </c>
      <c r="F81" s="179">
        <v>30</v>
      </c>
      <c r="G81" s="179">
        <v>33</v>
      </c>
      <c r="H81" s="179">
        <v>4</v>
      </c>
      <c r="I81" s="179">
        <v>235</v>
      </c>
      <c r="J81"/>
      <c r="K81"/>
      <c r="L81"/>
      <c r="M81"/>
    </row>
    <row r="82" spans="1:13">
      <c r="A82" t="s">
        <v>43</v>
      </c>
      <c r="B82" s="179">
        <v>26</v>
      </c>
      <c r="C82" s="179">
        <v>62</v>
      </c>
      <c r="D82" s="179">
        <v>19</v>
      </c>
      <c r="E82" s="179">
        <v>62</v>
      </c>
      <c r="F82" s="179">
        <v>28</v>
      </c>
      <c r="G82" s="179">
        <v>34</v>
      </c>
      <c r="H82" s="179">
        <v>4</v>
      </c>
      <c r="I82" s="179">
        <v>235</v>
      </c>
      <c r="J82"/>
      <c r="K82"/>
      <c r="L82"/>
      <c r="M82"/>
    </row>
    <row r="83" spans="1:13">
      <c r="A83" t="s">
        <v>3122</v>
      </c>
      <c r="B83" s="179">
        <v>104</v>
      </c>
      <c r="C83" s="179">
        <v>268</v>
      </c>
      <c r="D83" s="179">
        <v>67</v>
      </c>
      <c r="E83" s="179">
        <v>278</v>
      </c>
      <c r="F83" s="179">
        <v>120</v>
      </c>
      <c r="G83" s="179">
        <v>149</v>
      </c>
      <c r="H83" s="179">
        <v>14</v>
      </c>
      <c r="I83" s="179">
        <v>1000</v>
      </c>
      <c r="J83"/>
      <c r="K83"/>
      <c r="L83"/>
      <c r="M83"/>
    </row>
    <row r="84" spans="1:13">
      <c r="B84"/>
      <c r="C84"/>
      <c r="D84"/>
      <c r="E84"/>
      <c r="F84"/>
      <c r="G84"/>
      <c r="H84"/>
      <c r="I84"/>
      <c r="J84"/>
      <c r="K84"/>
      <c r="L84"/>
      <c r="M84"/>
    </row>
    <row r="85" spans="1:13">
      <c r="B85"/>
      <c r="C85"/>
      <c r="D85"/>
      <c r="E85"/>
      <c r="F85"/>
      <c r="G85"/>
      <c r="H85"/>
      <c r="I85"/>
      <c r="J85"/>
      <c r="K85"/>
      <c r="L85"/>
      <c r="M85"/>
    </row>
    <row r="86" spans="1:13">
      <c r="B86"/>
      <c r="C86"/>
      <c r="D86"/>
      <c r="E86"/>
      <c r="F86"/>
      <c r="G86"/>
      <c r="H86"/>
      <c r="I86"/>
      <c r="J86"/>
      <c r="K86"/>
      <c r="L86"/>
      <c r="M86"/>
    </row>
    <row r="87" spans="1:13">
      <c r="A87" t="s">
        <v>3249</v>
      </c>
      <c r="B87"/>
      <c r="C87"/>
      <c r="D87"/>
      <c r="E87"/>
      <c r="F87"/>
      <c r="G87"/>
      <c r="H87"/>
      <c r="I87"/>
      <c r="J87"/>
      <c r="K87"/>
      <c r="L87"/>
      <c r="M87"/>
    </row>
    <row r="88" spans="1:13">
      <c r="A88" s="51" t="s">
        <v>23</v>
      </c>
      <c r="B88" t="s">
        <v>3144</v>
      </c>
      <c r="C88"/>
      <c r="D88"/>
      <c r="E88"/>
      <c r="F88"/>
      <c r="G88"/>
      <c r="H88"/>
      <c r="I88"/>
      <c r="J88"/>
      <c r="K88"/>
      <c r="L88"/>
      <c r="M88"/>
    </row>
    <row r="89" spans="1:13">
      <c r="A89" t="s">
        <v>128</v>
      </c>
      <c r="B89" s="96">
        <v>2.4852307692307698E-2</v>
      </c>
      <c r="C89"/>
      <c r="D89"/>
      <c r="E89"/>
      <c r="F89"/>
      <c r="G89"/>
      <c r="H89"/>
      <c r="I89"/>
      <c r="J89"/>
      <c r="K89"/>
      <c r="L89"/>
      <c r="M89"/>
    </row>
    <row r="90" spans="1:13">
      <c r="A90" t="s">
        <v>107</v>
      </c>
      <c r="B90" s="96">
        <v>2.4758865248226958E-2</v>
      </c>
      <c r="C90"/>
      <c r="D90"/>
      <c r="E90"/>
      <c r="F90"/>
      <c r="G90"/>
      <c r="H90"/>
      <c r="I90"/>
      <c r="J90"/>
      <c r="K90"/>
      <c r="L90"/>
      <c r="M90"/>
    </row>
    <row r="91" spans="1:13">
      <c r="A91" t="s">
        <v>3088</v>
      </c>
      <c r="B91" s="96">
        <v>2.4246031746031748E-2</v>
      </c>
      <c r="C91"/>
      <c r="D91"/>
      <c r="E91"/>
      <c r="F91"/>
      <c r="G91"/>
      <c r="H91"/>
      <c r="I91"/>
      <c r="J91"/>
      <c r="K91"/>
      <c r="L91"/>
      <c r="M91"/>
    </row>
    <row r="92" spans="1:13">
      <c r="A92" t="s">
        <v>54</v>
      </c>
      <c r="B92" s="96">
        <v>2.539323308270678E-2</v>
      </c>
      <c r="C92"/>
      <c r="D92"/>
      <c r="E92"/>
      <c r="F92"/>
      <c r="G92"/>
      <c r="H92"/>
      <c r="I92"/>
      <c r="J92"/>
      <c r="K92"/>
      <c r="L92"/>
      <c r="M92"/>
    </row>
    <row r="93" spans="1:13">
      <c r="A93" t="s">
        <v>173</v>
      </c>
      <c r="B93" s="96">
        <v>2.5639148936170187E-2</v>
      </c>
      <c r="C93"/>
      <c r="D93"/>
      <c r="E93"/>
      <c r="F93"/>
      <c r="G93"/>
      <c r="H93"/>
      <c r="I93"/>
      <c r="J93"/>
      <c r="K93"/>
      <c r="L93"/>
      <c r="M93"/>
    </row>
    <row r="94" spans="1:13">
      <c r="A94" t="s">
        <v>43</v>
      </c>
      <c r="B94" s="96">
        <v>2.5800851063829764E-2</v>
      </c>
      <c r="C94"/>
      <c r="D94"/>
      <c r="E94"/>
      <c r="F94"/>
      <c r="G94"/>
      <c r="H94"/>
      <c r="I94"/>
      <c r="J94"/>
      <c r="K94"/>
      <c r="L94"/>
      <c r="M94"/>
    </row>
    <row r="95" spans="1:13">
      <c r="A95" t="s">
        <v>3122</v>
      </c>
      <c r="B95" s="96">
        <v>2.5242499999999963E-2</v>
      </c>
      <c r="C95"/>
      <c r="D95"/>
      <c r="E95"/>
      <c r="F95"/>
      <c r="G95"/>
      <c r="H95"/>
      <c r="I95"/>
      <c r="J95"/>
      <c r="K95"/>
      <c r="L95"/>
      <c r="M95"/>
    </row>
    <row r="96" spans="1:13">
      <c r="B96"/>
      <c r="C96"/>
      <c r="D96"/>
      <c r="E96"/>
      <c r="F96"/>
      <c r="G96"/>
      <c r="H96"/>
      <c r="I96"/>
      <c r="J96"/>
      <c r="K96"/>
      <c r="L96"/>
      <c r="M96"/>
    </row>
    <row r="97" spans="1:13">
      <c r="B97"/>
      <c r="C97"/>
      <c r="D97" t="s">
        <v>3279</v>
      </c>
      <c r="E97"/>
      <c r="F97"/>
      <c r="G97"/>
      <c r="H97"/>
      <c r="I97"/>
      <c r="J97"/>
      <c r="K97"/>
      <c r="L97"/>
      <c r="M97"/>
    </row>
    <row r="98" spans="1:13">
      <c r="B98"/>
      <c r="C98"/>
      <c r="D98" t="s">
        <v>3280</v>
      </c>
      <c r="E98"/>
      <c r="F98"/>
      <c r="G98"/>
      <c r="H98"/>
      <c r="I98"/>
      <c r="J98"/>
      <c r="K98"/>
      <c r="L98"/>
      <c r="M98"/>
    </row>
    <row r="99" spans="1:13">
      <c r="B99"/>
      <c r="C99"/>
      <c r="D99"/>
      <c r="E99"/>
      <c r="F99"/>
      <c r="G99"/>
      <c r="H99"/>
      <c r="I99"/>
      <c r="J99"/>
      <c r="K99"/>
      <c r="L99"/>
      <c r="M99"/>
    </row>
    <row r="100" spans="1:13">
      <c r="A100" t="s">
        <v>3250</v>
      </c>
      <c r="B100"/>
      <c r="C100"/>
      <c r="D100"/>
      <c r="E100"/>
      <c r="F100"/>
      <c r="G100"/>
      <c r="H100"/>
      <c r="I100"/>
      <c r="J100"/>
      <c r="K100"/>
      <c r="L100"/>
      <c r="M100"/>
    </row>
    <row r="101" spans="1:13">
      <c r="A101" s="51" t="s">
        <v>23</v>
      </c>
      <c r="B101" t="s">
        <v>3143</v>
      </c>
      <c r="C101" t="s">
        <v>3153</v>
      </c>
      <c r="D101" t="s">
        <v>3257</v>
      </c>
      <c r="E101" t="s">
        <v>3256</v>
      </c>
      <c r="F101"/>
      <c r="G101"/>
      <c r="H101"/>
      <c r="I101"/>
      <c r="J101"/>
      <c r="K101"/>
      <c r="L101"/>
      <c r="M101"/>
    </row>
    <row r="102" spans="1:13">
      <c r="A102" t="s">
        <v>128</v>
      </c>
      <c r="B102" s="179">
        <v>2164</v>
      </c>
      <c r="C102" s="179">
        <v>67925</v>
      </c>
      <c r="D102" s="96">
        <v>3.1858667648141333E-2</v>
      </c>
      <c r="E102" s="96">
        <v>0.12386596763163893</v>
      </c>
      <c r="F102" s="97">
        <f t="shared" ref="F102:F108" si="4">B102/C102</f>
        <v>3.1858667648141333E-2</v>
      </c>
      <c r="G102" s="97">
        <f>B$102/B$108</f>
        <v>0.11893377301456444</v>
      </c>
      <c r="H102"/>
      <c r="I102"/>
      <c r="J102"/>
      <c r="K102"/>
      <c r="L102"/>
      <c r="M102"/>
    </row>
    <row r="103" spans="1:13">
      <c r="A103" t="s">
        <v>107</v>
      </c>
      <c r="B103" s="179">
        <v>1760</v>
      </c>
      <c r="C103" s="179">
        <v>64500</v>
      </c>
      <c r="D103" s="96">
        <v>2.7286821705426356E-2</v>
      </c>
      <c r="E103" s="96">
        <v>0.11762024162297698</v>
      </c>
      <c r="F103" s="97">
        <f t="shared" si="4"/>
        <v>2.7286821705426356E-2</v>
      </c>
      <c r="G103" s="97">
        <f>B$103/B$108</f>
        <v>9.6729870843638363E-2</v>
      </c>
      <c r="H103"/>
      <c r="I103"/>
      <c r="J103"/>
      <c r="K103"/>
      <c r="L103"/>
      <c r="M103"/>
    </row>
    <row r="104" spans="1:13">
      <c r="A104" t="s">
        <v>3088</v>
      </c>
      <c r="B104" s="179">
        <v>1647</v>
      </c>
      <c r="C104" s="179">
        <v>69725</v>
      </c>
      <c r="D104" s="96">
        <v>2.3621369666547151E-2</v>
      </c>
      <c r="E104" s="96">
        <v>0.1271483929792569</v>
      </c>
      <c r="F104" s="97">
        <f t="shared" si="4"/>
        <v>2.3621369666547151E-2</v>
      </c>
      <c r="G104" s="97">
        <f>B$104/B$108</f>
        <v>9.0519373454245669E-2</v>
      </c>
      <c r="H104"/>
      <c r="I104"/>
      <c r="J104"/>
      <c r="K104"/>
      <c r="L104"/>
      <c r="M104"/>
    </row>
    <row r="105" spans="1:13">
      <c r="A105" t="s">
        <v>54</v>
      </c>
      <c r="B105" s="179">
        <v>2846</v>
      </c>
      <c r="C105" s="179">
        <v>80025</v>
      </c>
      <c r="D105" s="96">
        <v>3.5563886285535772E-2</v>
      </c>
      <c r="E105" s="96">
        <v>0.14593116024618191</v>
      </c>
      <c r="F105" s="97">
        <f t="shared" si="4"/>
        <v>3.5563886285535772E-2</v>
      </c>
      <c r="G105" s="97">
        <f>B$105/B$108</f>
        <v>0.15641659796647431</v>
      </c>
      <c r="H105"/>
      <c r="I105"/>
      <c r="J105"/>
      <c r="K105"/>
      <c r="L105"/>
      <c r="M105"/>
    </row>
    <row r="106" spans="1:13">
      <c r="A106" t="s">
        <v>173</v>
      </c>
      <c r="B106" s="179">
        <v>4773</v>
      </c>
      <c r="C106" s="179">
        <v>141850</v>
      </c>
      <c r="D106" s="96">
        <v>3.3648219950652099E-2</v>
      </c>
      <c r="E106" s="96">
        <v>0.25867335308867107</v>
      </c>
      <c r="F106" s="97">
        <f t="shared" si="4"/>
        <v>3.3648219950652099E-2</v>
      </c>
      <c r="G106" s="97">
        <f>B$106/B$108</f>
        <v>0.26232481450948064</v>
      </c>
      <c r="H106"/>
      <c r="I106"/>
      <c r="J106"/>
      <c r="K106"/>
      <c r="L106"/>
      <c r="M106"/>
    </row>
    <row r="107" spans="1:13">
      <c r="A107" t="s">
        <v>43</v>
      </c>
      <c r="B107" s="179">
        <v>5005</v>
      </c>
      <c r="C107" s="179">
        <v>124350</v>
      </c>
      <c r="D107" s="96">
        <v>4.0249296340973059E-2</v>
      </c>
      <c r="E107" s="96">
        <v>0.22676088443127421</v>
      </c>
      <c r="F107" s="97">
        <f t="shared" si="4"/>
        <v>4.0249296340973059E-2</v>
      </c>
      <c r="G107" s="97">
        <f>B$107/B$108</f>
        <v>0.27507557021159657</v>
      </c>
      <c r="H107"/>
      <c r="I107"/>
      <c r="J107"/>
      <c r="K107"/>
      <c r="L107"/>
      <c r="M107"/>
    </row>
    <row r="108" spans="1:13">
      <c r="A108" t="s">
        <v>3122</v>
      </c>
      <c r="B108" s="179">
        <v>18195</v>
      </c>
      <c r="C108" s="179">
        <v>548375</v>
      </c>
      <c r="D108" s="96">
        <v>3.3179849555504903E-2</v>
      </c>
      <c r="E108" s="96">
        <v>1</v>
      </c>
      <c r="F108" s="97">
        <f t="shared" si="4"/>
        <v>3.3179849555504903E-2</v>
      </c>
      <c r="G108" s="97">
        <f>B$108/B$108</f>
        <v>1</v>
      </c>
      <c r="H108"/>
      <c r="I108"/>
      <c r="J108"/>
      <c r="K108"/>
      <c r="L108"/>
      <c r="M108"/>
    </row>
    <row r="109" spans="1:13">
      <c r="B109"/>
      <c r="C109"/>
      <c r="D109"/>
      <c r="E109"/>
      <c r="F109"/>
      <c r="G109"/>
      <c r="H109"/>
      <c r="I109"/>
      <c r="J109"/>
      <c r="K109"/>
      <c r="L109"/>
      <c r="M109"/>
    </row>
    <row r="110" spans="1:13">
      <c r="B110"/>
      <c r="C110"/>
      <c r="D110"/>
      <c r="E110"/>
      <c r="F110"/>
      <c r="G110"/>
      <c r="H110"/>
      <c r="I110"/>
      <c r="J110"/>
      <c r="K110"/>
      <c r="L110"/>
      <c r="M110"/>
    </row>
    <row r="111" spans="1:13">
      <c r="B111"/>
      <c r="C111"/>
      <c r="D111"/>
      <c r="E111"/>
      <c r="F111"/>
      <c r="G111"/>
      <c r="H111"/>
      <c r="I111"/>
      <c r="J111"/>
      <c r="K111"/>
      <c r="L111"/>
      <c r="M111"/>
    </row>
    <row r="112" spans="1:13">
      <c r="B112"/>
      <c r="C112"/>
      <c r="D112"/>
      <c r="E112"/>
      <c r="F112"/>
      <c r="G112"/>
      <c r="H112"/>
      <c r="I112"/>
      <c r="J112"/>
      <c r="K112"/>
      <c r="L112"/>
      <c r="M112"/>
    </row>
    <row r="113" spans="1:13">
      <c r="B113"/>
      <c r="C113"/>
      <c r="D113"/>
      <c r="E113"/>
      <c r="F113"/>
      <c r="G113"/>
      <c r="H113"/>
      <c r="I113"/>
      <c r="J113"/>
      <c r="K113"/>
      <c r="L113"/>
      <c r="M113"/>
    </row>
    <row r="114" spans="1:13">
      <c r="A114" s="51" t="s">
        <v>3189</v>
      </c>
      <c r="B114" s="51" t="s">
        <v>19</v>
      </c>
      <c r="C114"/>
      <c r="D114"/>
      <c r="E114"/>
      <c r="F114"/>
      <c r="G114"/>
      <c r="H114"/>
      <c r="I114"/>
      <c r="J114"/>
      <c r="K114"/>
      <c r="L114"/>
      <c r="M114"/>
    </row>
    <row r="115" spans="1:13">
      <c r="A115" s="51" t="s">
        <v>6</v>
      </c>
      <c r="B115" t="s">
        <v>166</v>
      </c>
      <c r="C115" t="s">
        <v>270</v>
      </c>
      <c r="D115" t="s">
        <v>362</v>
      </c>
      <c r="E115" t="s">
        <v>135</v>
      </c>
      <c r="F115" t="s">
        <v>87</v>
      </c>
      <c r="G115" t="s">
        <v>205</v>
      </c>
      <c r="H115" t="s">
        <v>39</v>
      </c>
      <c r="I115" t="s">
        <v>3122</v>
      </c>
      <c r="J115"/>
      <c r="K115"/>
      <c r="L115"/>
      <c r="M115"/>
    </row>
    <row r="116" spans="1:13">
      <c r="A116" t="s">
        <v>92</v>
      </c>
      <c r="B116" s="179">
        <v>5</v>
      </c>
      <c r="C116" s="179">
        <v>12</v>
      </c>
      <c r="D116" s="179">
        <v>1</v>
      </c>
      <c r="E116" s="179">
        <v>30</v>
      </c>
      <c r="F116" s="179">
        <v>28</v>
      </c>
      <c r="G116" s="179">
        <v>12</v>
      </c>
      <c r="H116" s="179">
        <v>19</v>
      </c>
      <c r="I116" s="179">
        <v>107</v>
      </c>
      <c r="J116"/>
      <c r="K116"/>
      <c r="L116"/>
      <c r="M116"/>
    </row>
    <row r="117" spans="1:13">
      <c r="A117" t="s">
        <v>61</v>
      </c>
      <c r="B117" s="179">
        <v>7</v>
      </c>
      <c r="C117" s="179">
        <v>11</v>
      </c>
      <c r="D117" s="179">
        <v>2</v>
      </c>
      <c r="E117" s="179">
        <v>28</v>
      </c>
      <c r="F117" s="179">
        <v>20</v>
      </c>
      <c r="G117" s="179">
        <v>18</v>
      </c>
      <c r="H117" s="179">
        <v>22</v>
      </c>
      <c r="I117" s="179">
        <v>108</v>
      </c>
      <c r="J117"/>
      <c r="K117"/>
      <c r="L117"/>
      <c r="M117"/>
    </row>
    <row r="118" spans="1:13">
      <c r="A118" t="s">
        <v>241</v>
      </c>
      <c r="B118" s="179">
        <v>8</v>
      </c>
      <c r="C118" s="179">
        <v>6</v>
      </c>
      <c r="D118" s="179">
        <v>4</v>
      </c>
      <c r="E118" s="179">
        <v>38</v>
      </c>
      <c r="F118" s="179">
        <v>29</v>
      </c>
      <c r="G118" s="179">
        <v>13</v>
      </c>
      <c r="H118" s="179">
        <v>11</v>
      </c>
      <c r="I118" s="179">
        <v>109</v>
      </c>
      <c r="J118"/>
      <c r="K118"/>
      <c r="L118"/>
      <c r="M118"/>
    </row>
    <row r="119" spans="1:13">
      <c r="A119" t="s">
        <v>70</v>
      </c>
      <c r="B119" s="179">
        <v>7</v>
      </c>
      <c r="C119" s="179">
        <v>17</v>
      </c>
      <c r="D119" s="179"/>
      <c r="E119" s="179">
        <v>32</v>
      </c>
      <c r="F119" s="179">
        <v>39</v>
      </c>
      <c r="G119" s="179">
        <v>14</v>
      </c>
      <c r="H119" s="179">
        <v>19</v>
      </c>
      <c r="I119" s="179">
        <v>128</v>
      </c>
      <c r="J119"/>
      <c r="K119"/>
      <c r="L119"/>
      <c r="M119"/>
    </row>
    <row r="120" spans="1:13">
      <c r="A120" t="s">
        <v>49</v>
      </c>
      <c r="B120" s="179">
        <v>7</v>
      </c>
      <c r="C120" s="179">
        <v>8</v>
      </c>
      <c r="D120" s="179"/>
      <c r="E120" s="179">
        <v>36</v>
      </c>
      <c r="F120" s="179">
        <v>36</v>
      </c>
      <c r="G120" s="179">
        <v>16</v>
      </c>
      <c r="H120" s="179">
        <v>23</v>
      </c>
      <c r="I120" s="179">
        <v>126</v>
      </c>
      <c r="J120"/>
      <c r="K120"/>
      <c r="L120"/>
      <c r="M120"/>
    </row>
    <row r="121" spans="1:13">
      <c r="A121" t="s">
        <v>83</v>
      </c>
      <c r="B121" s="179">
        <v>13</v>
      </c>
      <c r="C121" s="179">
        <v>15</v>
      </c>
      <c r="D121" s="179">
        <v>2</v>
      </c>
      <c r="E121" s="179">
        <v>28</v>
      </c>
      <c r="F121" s="179">
        <v>27</v>
      </c>
      <c r="G121" s="179">
        <v>15</v>
      </c>
      <c r="H121" s="179">
        <v>13</v>
      </c>
      <c r="I121" s="179">
        <v>113</v>
      </c>
      <c r="J121"/>
      <c r="K121"/>
      <c r="L121"/>
      <c r="M121"/>
    </row>
    <row r="122" spans="1:13">
      <c r="A122" t="s">
        <v>34</v>
      </c>
      <c r="B122" s="179">
        <v>5</v>
      </c>
      <c r="C122" s="179">
        <v>14</v>
      </c>
      <c r="D122" s="179">
        <v>2</v>
      </c>
      <c r="E122" s="179">
        <v>38</v>
      </c>
      <c r="F122" s="179">
        <v>27</v>
      </c>
      <c r="G122" s="179">
        <v>11</v>
      </c>
      <c r="H122" s="179">
        <v>10</v>
      </c>
      <c r="I122" s="179">
        <v>107</v>
      </c>
      <c r="J122"/>
      <c r="K122"/>
      <c r="L122"/>
      <c r="M122"/>
    </row>
    <row r="123" spans="1:13">
      <c r="A123" t="s">
        <v>120</v>
      </c>
      <c r="B123" s="179">
        <v>9</v>
      </c>
      <c r="C123" s="179">
        <v>9</v>
      </c>
      <c r="D123" s="179">
        <v>3</v>
      </c>
      <c r="E123" s="179">
        <v>25</v>
      </c>
      <c r="F123" s="179">
        <v>32</v>
      </c>
      <c r="G123" s="179">
        <v>12</v>
      </c>
      <c r="H123" s="179">
        <v>13</v>
      </c>
      <c r="I123" s="179">
        <v>103</v>
      </c>
    </row>
    <row r="124" spans="1:13">
      <c r="A124" t="s">
        <v>178</v>
      </c>
      <c r="B124" s="179">
        <v>6</v>
      </c>
      <c r="C124" s="179">
        <v>12</v>
      </c>
      <c r="D124" s="179"/>
      <c r="E124" s="179">
        <v>23</v>
      </c>
      <c r="F124" s="179">
        <v>30</v>
      </c>
      <c r="G124" s="179">
        <v>9</v>
      </c>
      <c r="H124" s="179">
        <v>19</v>
      </c>
      <c r="I124" s="179">
        <v>99</v>
      </c>
    </row>
    <row r="125" spans="1:13">
      <c r="A125" t="s">
        <v>3122</v>
      </c>
      <c r="B125" s="179">
        <v>67</v>
      </c>
      <c r="C125" s="179">
        <v>104</v>
      </c>
      <c r="D125" s="179">
        <v>14</v>
      </c>
      <c r="E125" s="179">
        <v>278</v>
      </c>
      <c r="F125" s="179">
        <v>268</v>
      </c>
      <c r="G125" s="179">
        <v>120</v>
      </c>
      <c r="H125" s="179">
        <v>149</v>
      </c>
      <c r="I125" s="179">
        <v>1000</v>
      </c>
    </row>
    <row r="129" spans="1:9">
      <c r="A129" t="s">
        <v>3252</v>
      </c>
    </row>
    <row r="130" spans="1:9">
      <c r="A130" s="51" t="s">
        <v>6</v>
      </c>
      <c r="B130" t="s">
        <v>3144</v>
      </c>
      <c r="C130"/>
      <c r="D130"/>
      <c r="E130"/>
      <c r="F130"/>
      <c r="G130"/>
      <c r="H130"/>
      <c r="I130"/>
    </row>
    <row r="131" spans="1:9">
      <c r="A131" t="s">
        <v>92</v>
      </c>
      <c r="B131" s="96">
        <v>2.5060747663551399E-2</v>
      </c>
      <c r="C131" t="s">
        <v>3284</v>
      </c>
      <c r="D131" s="80">
        <f>MAX(B131:B139)</f>
        <v>2.9771681415929219E-2</v>
      </c>
      <c r="E131"/>
      <c r="F131"/>
      <c r="G131"/>
      <c r="H131"/>
      <c r="I131"/>
    </row>
    <row r="132" spans="1:9">
      <c r="A132" t="s">
        <v>61</v>
      </c>
      <c r="B132" s="96">
        <v>2.422685185185185E-2</v>
      </c>
      <c r="C132" t="s">
        <v>3285</v>
      </c>
      <c r="D132" s="80">
        <f>MIN(B131:B139)</f>
        <v>2.1489062500000006E-2</v>
      </c>
      <c r="E132"/>
      <c r="F132"/>
      <c r="G132"/>
      <c r="H132"/>
      <c r="I132"/>
    </row>
    <row r="133" spans="1:9">
      <c r="A133" t="s">
        <v>241</v>
      </c>
      <c r="B133" s="96">
        <v>2.459357798165138E-2</v>
      </c>
      <c r="C133"/>
      <c r="D133"/>
      <c r="E133"/>
      <c r="F133"/>
      <c r="G133"/>
      <c r="H133"/>
      <c r="I133"/>
    </row>
    <row r="134" spans="1:9">
      <c r="A134" t="s">
        <v>70</v>
      </c>
      <c r="B134" s="96">
        <v>2.1489062500000006E-2</v>
      </c>
      <c r="C134"/>
      <c r="D134"/>
      <c r="E134"/>
      <c r="F134"/>
      <c r="G134"/>
      <c r="H134"/>
      <c r="I134"/>
    </row>
    <row r="135" spans="1:9">
      <c r="A135" t="s">
        <v>49</v>
      </c>
      <c r="B135" s="96">
        <v>2.2429365079365094E-2</v>
      </c>
      <c r="C135"/>
      <c r="D135"/>
      <c r="E135"/>
      <c r="F135"/>
      <c r="G135"/>
      <c r="H135"/>
      <c r="I135"/>
    </row>
    <row r="136" spans="1:9">
      <c r="A136" t="s">
        <v>83</v>
      </c>
      <c r="B136" s="96">
        <v>2.9771681415929219E-2</v>
      </c>
      <c r="C136"/>
      <c r="D136"/>
      <c r="E136"/>
      <c r="F136"/>
      <c r="G136"/>
      <c r="H136"/>
      <c r="I136"/>
    </row>
    <row r="137" spans="1:9">
      <c r="A137" t="s">
        <v>34</v>
      </c>
      <c r="B137" s="96">
        <v>2.736168224299065E-2</v>
      </c>
      <c r="C137"/>
      <c r="D137"/>
      <c r="E137"/>
      <c r="F137"/>
      <c r="G137"/>
      <c r="H137"/>
      <c r="I137"/>
    </row>
    <row r="138" spans="1:9">
      <c r="A138" t="s">
        <v>120</v>
      </c>
      <c r="B138" s="96">
        <v>2.6994174757281556E-2</v>
      </c>
      <c r="C138"/>
      <c r="D138"/>
      <c r="E138"/>
      <c r="F138"/>
      <c r="G138"/>
      <c r="H138"/>
      <c r="I138"/>
    </row>
    <row r="139" spans="1:9">
      <c r="A139" t="s">
        <v>178</v>
      </c>
      <c r="B139" s="96">
        <v>2.641212121212122E-2</v>
      </c>
      <c r="C139"/>
      <c r="D139" t="s">
        <v>3283</v>
      </c>
      <c r="E139"/>
      <c r="F139"/>
      <c r="G139"/>
      <c r="H139"/>
      <c r="I139"/>
    </row>
    <row r="140" spans="1:9">
      <c r="A140" t="s">
        <v>3122</v>
      </c>
      <c r="B140" s="96">
        <v>2.5242499999999949E-2</v>
      </c>
      <c r="C140"/>
      <c r="D140" t="s">
        <v>3281</v>
      </c>
      <c r="E140"/>
      <c r="F140"/>
      <c r="G140"/>
      <c r="H140"/>
      <c r="I140"/>
    </row>
    <row r="141" spans="1:9">
      <c r="B141"/>
      <c r="C141"/>
      <c r="D141" t="s">
        <v>3282</v>
      </c>
      <c r="E141"/>
      <c r="F141"/>
      <c r="G141"/>
      <c r="H141"/>
      <c r="I141"/>
    </row>
    <row r="145" spans="1:6">
      <c r="A145" t="s">
        <v>3251</v>
      </c>
      <c r="B145"/>
      <c r="C145"/>
      <c r="D145"/>
    </row>
    <row r="146" spans="1:6">
      <c r="A146" s="51" t="s">
        <v>6</v>
      </c>
      <c r="B146" t="s">
        <v>3143</v>
      </c>
      <c r="C146" t="s">
        <v>3153</v>
      </c>
      <c r="D146" t="s">
        <v>3257</v>
      </c>
      <c r="E146" t="s">
        <v>3256</v>
      </c>
    </row>
    <row r="147" spans="1:6">
      <c r="A147" t="s">
        <v>92</v>
      </c>
      <c r="B147" s="179">
        <v>1993</v>
      </c>
      <c r="C147" s="179">
        <v>59575</v>
      </c>
      <c r="D147" s="96">
        <v>3.3453629878304657E-2</v>
      </c>
      <c r="E147" s="96">
        <v>0.10953558669964276</v>
      </c>
      <c r="F147" s="98">
        <f>B147/B156</f>
        <v>0.10953558669964276</v>
      </c>
    </row>
    <row r="148" spans="1:6">
      <c r="A148" t="s">
        <v>61</v>
      </c>
      <c r="B148" s="179">
        <v>2595</v>
      </c>
      <c r="C148" s="179">
        <v>60675</v>
      </c>
      <c r="D148" s="96">
        <v>4.2768850432632878E-2</v>
      </c>
      <c r="E148" s="96">
        <v>0.14262159934047816</v>
      </c>
    </row>
    <row r="149" spans="1:6">
      <c r="A149" t="s">
        <v>241</v>
      </c>
      <c r="B149" s="179">
        <v>1456</v>
      </c>
      <c r="C149" s="179">
        <v>69175</v>
      </c>
      <c r="D149" s="96">
        <v>2.1048066498012288E-2</v>
      </c>
      <c r="E149" s="96">
        <v>8.0021984061555376E-2</v>
      </c>
    </row>
    <row r="150" spans="1:6">
      <c r="A150" t="s">
        <v>70</v>
      </c>
      <c r="B150" s="179">
        <v>4024</v>
      </c>
      <c r="C150" s="179">
        <v>74200</v>
      </c>
      <c r="D150" s="96">
        <v>5.4231805929919136E-2</v>
      </c>
      <c r="E150" s="96">
        <v>0.22115965924704589</v>
      </c>
    </row>
    <row r="151" spans="1:6">
      <c r="A151" t="s">
        <v>49</v>
      </c>
      <c r="B151" s="179">
        <v>1096</v>
      </c>
      <c r="C151" s="179">
        <v>63850</v>
      </c>
      <c r="D151" s="96">
        <v>1.716523101018011E-2</v>
      </c>
      <c r="E151" s="96">
        <v>6.0236328661720254E-2</v>
      </c>
    </row>
    <row r="152" spans="1:6">
      <c r="A152" t="s">
        <v>83</v>
      </c>
      <c r="B152" s="179">
        <v>1602</v>
      </c>
      <c r="C152" s="179">
        <v>56050</v>
      </c>
      <c r="D152" s="96">
        <v>2.8581623550401426E-2</v>
      </c>
      <c r="E152" s="96">
        <v>8.8046166529266279E-2</v>
      </c>
    </row>
    <row r="153" spans="1:6">
      <c r="A153" t="s">
        <v>34</v>
      </c>
      <c r="B153" s="179">
        <v>2585</v>
      </c>
      <c r="C153" s="179">
        <v>59650</v>
      </c>
      <c r="D153" s="96">
        <v>4.3336127409891033E-2</v>
      </c>
      <c r="E153" s="96">
        <v>0.14207199780159385</v>
      </c>
    </row>
    <row r="154" spans="1:6">
      <c r="A154" t="s">
        <v>120</v>
      </c>
      <c r="B154" s="179">
        <v>1334</v>
      </c>
      <c r="C154" s="179">
        <v>51800</v>
      </c>
      <c r="D154" s="96">
        <v>2.5752895752895754E-2</v>
      </c>
      <c r="E154" s="96">
        <v>7.331684528716681E-2</v>
      </c>
    </row>
    <row r="155" spans="1:6">
      <c r="A155" t="s">
        <v>178</v>
      </c>
      <c r="B155" s="179">
        <v>1510</v>
      </c>
      <c r="C155" s="179">
        <v>53400</v>
      </c>
      <c r="D155" s="96">
        <v>2.8277153558052433E-2</v>
      </c>
      <c r="E155" s="96">
        <v>8.2989832371530639E-2</v>
      </c>
    </row>
    <row r="156" spans="1:6">
      <c r="A156" t="s">
        <v>3122</v>
      </c>
      <c r="B156" s="179">
        <v>18195</v>
      </c>
      <c r="C156" s="179">
        <v>548375</v>
      </c>
      <c r="D156" s="96">
        <v>3.3179849555504903E-2</v>
      </c>
      <c r="E156" s="96">
        <v>1</v>
      </c>
    </row>
    <row r="160" spans="1:6">
      <c r="A160" t="s">
        <v>3253</v>
      </c>
    </row>
    <row r="161" spans="1:9">
      <c r="A161" s="51" t="s">
        <v>3189</v>
      </c>
      <c r="B161" s="51" t="s">
        <v>19</v>
      </c>
      <c r="C161"/>
      <c r="D161"/>
      <c r="E161"/>
      <c r="F161"/>
      <c r="G161"/>
      <c r="H161"/>
      <c r="I161"/>
    </row>
    <row r="162" spans="1:9">
      <c r="A162" s="51" t="s">
        <v>5</v>
      </c>
      <c r="B162" t="s">
        <v>166</v>
      </c>
      <c r="C162" t="s">
        <v>270</v>
      </c>
      <c r="D162" t="s">
        <v>362</v>
      </c>
      <c r="E162" t="s">
        <v>135</v>
      </c>
      <c r="F162" t="s">
        <v>87</v>
      </c>
      <c r="G162" t="s">
        <v>205</v>
      </c>
      <c r="H162" t="s">
        <v>39</v>
      </c>
      <c r="I162" t="s">
        <v>3122</v>
      </c>
    </row>
    <row r="163" spans="1:9">
      <c r="A163" t="s">
        <v>702</v>
      </c>
      <c r="B163" s="179"/>
      <c r="C163" s="179">
        <v>1</v>
      </c>
      <c r="D163" s="179"/>
      <c r="E163" s="179">
        <v>2</v>
      </c>
      <c r="F163" s="179"/>
      <c r="G163" s="179"/>
      <c r="H163" s="179"/>
      <c r="I163" s="179">
        <v>3</v>
      </c>
    </row>
    <row r="164" spans="1:9">
      <c r="A164" t="s">
        <v>133</v>
      </c>
      <c r="B164" s="179">
        <v>4</v>
      </c>
      <c r="C164" s="179">
        <v>4</v>
      </c>
      <c r="D164" s="179"/>
      <c r="E164" s="179">
        <v>12</v>
      </c>
      <c r="F164" s="179">
        <v>23</v>
      </c>
      <c r="G164" s="179">
        <v>8</v>
      </c>
      <c r="H164" s="179">
        <v>9</v>
      </c>
      <c r="I164" s="179">
        <v>60</v>
      </c>
    </row>
    <row r="165" spans="1:9">
      <c r="A165" t="s">
        <v>479</v>
      </c>
      <c r="B165" s="179">
        <v>3</v>
      </c>
      <c r="C165" s="179">
        <v>6</v>
      </c>
      <c r="D165" s="179"/>
      <c r="E165" s="179">
        <v>19</v>
      </c>
      <c r="F165" s="179">
        <v>20</v>
      </c>
      <c r="G165" s="179">
        <v>9</v>
      </c>
      <c r="H165" s="179">
        <v>14</v>
      </c>
      <c r="I165" s="179">
        <v>71</v>
      </c>
    </row>
    <row r="166" spans="1:9">
      <c r="A166" t="s">
        <v>316</v>
      </c>
      <c r="B166" s="179">
        <v>2</v>
      </c>
      <c r="C166" s="179">
        <v>6</v>
      </c>
      <c r="D166" s="179">
        <v>2</v>
      </c>
      <c r="E166" s="179">
        <v>22</v>
      </c>
      <c r="F166" s="179">
        <v>17</v>
      </c>
      <c r="G166" s="179">
        <v>9</v>
      </c>
      <c r="H166" s="179">
        <v>12</v>
      </c>
      <c r="I166" s="179">
        <v>70</v>
      </c>
    </row>
    <row r="167" spans="1:9">
      <c r="A167" t="s">
        <v>258</v>
      </c>
      <c r="B167" s="179">
        <v>4</v>
      </c>
      <c r="C167" s="179">
        <v>8</v>
      </c>
      <c r="D167" s="179"/>
      <c r="E167" s="179">
        <v>14</v>
      </c>
      <c r="F167" s="179">
        <v>19</v>
      </c>
      <c r="G167" s="179">
        <v>11</v>
      </c>
      <c r="H167" s="179">
        <v>7</v>
      </c>
      <c r="I167" s="179">
        <v>63</v>
      </c>
    </row>
    <row r="168" spans="1:9">
      <c r="A168" t="s">
        <v>102</v>
      </c>
      <c r="B168" s="179">
        <v>10</v>
      </c>
      <c r="C168" s="179">
        <v>16</v>
      </c>
      <c r="D168" s="179"/>
      <c r="E168" s="179">
        <v>35</v>
      </c>
      <c r="F168" s="179">
        <v>41</v>
      </c>
      <c r="G168" s="179">
        <v>18</v>
      </c>
      <c r="H168" s="179">
        <v>25</v>
      </c>
      <c r="I168" s="179">
        <v>145</v>
      </c>
    </row>
    <row r="169" spans="1:9">
      <c r="A169" t="s">
        <v>169</v>
      </c>
      <c r="B169" s="179">
        <v>6</v>
      </c>
      <c r="C169" s="179">
        <v>6</v>
      </c>
      <c r="D169" s="179"/>
      <c r="E169" s="179">
        <v>17</v>
      </c>
      <c r="F169" s="179">
        <v>10</v>
      </c>
      <c r="G169" s="179">
        <v>6</v>
      </c>
      <c r="H169" s="179">
        <v>6</v>
      </c>
      <c r="I169" s="179">
        <v>51</v>
      </c>
    </row>
    <row r="170" spans="1:9">
      <c r="A170" t="s">
        <v>152</v>
      </c>
      <c r="B170" s="179">
        <v>24</v>
      </c>
      <c r="C170" s="179">
        <v>30</v>
      </c>
      <c r="D170" s="179">
        <v>10</v>
      </c>
      <c r="E170" s="179">
        <v>79</v>
      </c>
      <c r="F170" s="179">
        <v>62</v>
      </c>
      <c r="G170" s="179">
        <v>19</v>
      </c>
      <c r="H170" s="179">
        <v>43</v>
      </c>
      <c r="I170" s="179">
        <v>267</v>
      </c>
    </row>
    <row r="171" spans="1:9">
      <c r="A171" t="s">
        <v>82</v>
      </c>
      <c r="B171" s="179">
        <v>2</v>
      </c>
      <c r="C171" s="179">
        <v>7</v>
      </c>
      <c r="D171" s="179"/>
      <c r="E171" s="179">
        <v>21</v>
      </c>
      <c r="F171" s="179">
        <v>17</v>
      </c>
      <c r="G171" s="179">
        <v>15</v>
      </c>
      <c r="H171" s="179">
        <v>9</v>
      </c>
      <c r="I171" s="179">
        <v>71</v>
      </c>
    </row>
    <row r="172" spans="1:9">
      <c r="A172" t="s">
        <v>301</v>
      </c>
      <c r="B172" s="179">
        <v>5</v>
      </c>
      <c r="C172" s="179">
        <v>7</v>
      </c>
      <c r="D172" s="179"/>
      <c r="E172" s="179">
        <v>16</v>
      </c>
      <c r="F172" s="179">
        <v>19</v>
      </c>
      <c r="G172" s="179">
        <v>10</v>
      </c>
      <c r="H172" s="179">
        <v>10</v>
      </c>
      <c r="I172" s="179">
        <v>67</v>
      </c>
    </row>
    <row r="173" spans="1:9">
      <c r="A173" t="s">
        <v>177</v>
      </c>
      <c r="B173" s="179">
        <v>3</v>
      </c>
      <c r="C173" s="179">
        <v>5</v>
      </c>
      <c r="D173" s="179"/>
      <c r="E173" s="179">
        <v>14</v>
      </c>
      <c r="F173" s="179">
        <v>22</v>
      </c>
      <c r="G173" s="179">
        <v>5</v>
      </c>
      <c r="H173" s="179">
        <v>6</v>
      </c>
      <c r="I173" s="179">
        <v>55</v>
      </c>
    </row>
    <row r="174" spans="1:9">
      <c r="A174" t="s">
        <v>194</v>
      </c>
      <c r="B174" s="179">
        <v>4</v>
      </c>
      <c r="C174" s="179">
        <v>8</v>
      </c>
      <c r="D174" s="179">
        <v>2</v>
      </c>
      <c r="E174" s="179">
        <v>27</v>
      </c>
      <c r="F174" s="179">
        <v>18</v>
      </c>
      <c r="G174" s="179">
        <v>10</v>
      </c>
      <c r="H174" s="179">
        <v>8</v>
      </c>
      <c r="I174" s="179">
        <v>77</v>
      </c>
    </row>
    <row r="175" spans="1:9">
      <c r="A175" t="s">
        <v>3122</v>
      </c>
      <c r="B175" s="179">
        <v>67</v>
      </c>
      <c r="C175" s="179">
        <v>104</v>
      </c>
      <c r="D175" s="179">
        <v>14</v>
      </c>
      <c r="E175" s="179">
        <v>278</v>
      </c>
      <c r="F175" s="179">
        <v>268</v>
      </c>
      <c r="G175" s="179">
        <v>120</v>
      </c>
      <c r="H175" s="179">
        <v>149</v>
      </c>
      <c r="I175" s="179">
        <v>1000</v>
      </c>
    </row>
    <row r="180" spans="1:4">
      <c r="A180" t="s">
        <v>3252</v>
      </c>
    </row>
    <row r="181" spans="1:4">
      <c r="A181" s="51" t="s">
        <v>5</v>
      </c>
      <c r="B181" t="s">
        <v>3144</v>
      </c>
    </row>
    <row r="182" spans="1:4">
      <c r="A182" t="s">
        <v>702</v>
      </c>
      <c r="B182" s="96">
        <v>1.6666666666666666E-2</v>
      </c>
      <c r="C182" s="96">
        <f>MIN(B182:B193)</f>
        <v>1.6666666666666666E-2</v>
      </c>
    </row>
    <row r="183" spans="1:4">
      <c r="A183" t="s">
        <v>133</v>
      </c>
      <c r="B183" s="96">
        <v>3.3783333333333339E-2</v>
      </c>
      <c r="C183" s="96">
        <f>MAX(B182:B193)</f>
        <v>4.0217460317460325E-2</v>
      </c>
    </row>
    <row r="184" spans="1:4">
      <c r="A184" t="s">
        <v>479</v>
      </c>
      <c r="B184" s="96">
        <v>2.9071830985915498E-2</v>
      </c>
    </row>
    <row r="185" spans="1:4">
      <c r="A185" t="s">
        <v>316</v>
      </c>
      <c r="B185" s="96">
        <v>2.6974285714285718E-2</v>
      </c>
    </row>
    <row r="186" spans="1:4">
      <c r="A186" t="s">
        <v>258</v>
      </c>
      <c r="B186" s="96">
        <v>4.0217460317460325E-2</v>
      </c>
      <c r="D186" t="s">
        <v>3286</v>
      </c>
    </row>
    <row r="187" spans="1:4">
      <c r="A187" t="s">
        <v>102</v>
      </c>
      <c r="B187" s="96">
        <v>2.6083448275862068E-2</v>
      </c>
      <c r="D187" t="s">
        <v>3287</v>
      </c>
    </row>
    <row r="188" spans="1:4">
      <c r="A188" t="s">
        <v>169</v>
      </c>
      <c r="B188" s="96">
        <v>1.9668627450980403E-2</v>
      </c>
    </row>
    <row r="189" spans="1:4">
      <c r="A189" t="s">
        <v>152</v>
      </c>
      <c r="B189" s="96">
        <v>1.8281647940074894E-2</v>
      </c>
    </row>
    <row r="190" spans="1:4">
      <c r="A190" t="s">
        <v>82</v>
      </c>
      <c r="B190" s="96">
        <v>1.6676056338028173E-2</v>
      </c>
    </row>
    <row r="191" spans="1:4">
      <c r="A191" t="s">
        <v>301</v>
      </c>
      <c r="B191" s="96">
        <v>2.0297014925373134E-2</v>
      </c>
    </row>
    <row r="192" spans="1:4">
      <c r="A192" t="s">
        <v>177</v>
      </c>
      <c r="B192" s="96">
        <v>3.9534545454545461E-2</v>
      </c>
    </row>
    <row r="193" spans="1:7">
      <c r="A193" t="s">
        <v>194</v>
      </c>
      <c r="B193" s="96">
        <v>2.9802597402597414E-2</v>
      </c>
    </row>
    <row r="194" spans="1:7">
      <c r="A194" t="s">
        <v>3122</v>
      </c>
      <c r="B194" s="96">
        <v>2.5242499999999946E-2</v>
      </c>
    </row>
    <row r="197" spans="1:7">
      <c r="C197" s="23" t="s">
        <v>3284</v>
      </c>
      <c r="D197" s="96">
        <f>MAX(D200:D211)</f>
        <v>9.4181204276871128E-2</v>
      </c>
    </row>
    <row r="198" spans="1:7">
      <c r="A198" t="s">
        <v>3254</v>
      </c>
      <c r="C198" s="23" t="s">
        <v>3285</v>
      </c>
      <c r="D198" s="96">
        <f>MIN(D200:D211)</f>
        <v>1.6666666666666666E-2</v>
      </c>
    </row>
    <row r="199" spans="1:7">
      <c r="A199" s="51" t="s">
        <v>5</v>
      </c>
      <c r="B199" t="s">
        <v>3143</v>
      </c>
      <c r="C199" t="s">
        <v>3153</v>
      </c>
      <c r="D199" t="s">
        <v>3255</v>
      </c>
      <c r="E199" t="s">
        <v>3256</v>
      </c>
    </row>
    <row r="200" spans="1:7">
      <c r="A200" t="s">
        <v>702</v>
      </c>
      <c r="B200" s="179">
        <v>5</v>
      </c>
      <c r="C200" s="179">
        <v>300</v>
      </c>
      <c r="D200" s="96">
        <v>1.6666666666666666E-2</v>
      </c>
      <c r="E200" s="96">
        <v>2.7480076944215443E-4</v>
      </c>
      <c r="F200" s="98">
        <f>$B200/$C200</f>
        <v>1.6666666666666666E-2</v>
      </c>
      <c r="G200" s="98">
        <f>B200/B212</f>
        <v>2.7480076944215443E-4</v>
      </c>
    </row>
    <row r="201" spans="1:7">
      <c r="A201" t="s">
        <v>133</v>
      </c>
      <c r="B201" s="179">
        <v>948</v>
      </c>
      <c r="C201" s="179">
        <v>32850</v>
      </c>
      <c r="D201" s="96">
        <v>2.8858447488584474E-2</v>
      </c>
      <c r="E201" s="96">
        <v>5.2102225886232478E-2</v>
      </c>
      <c r="F201" s="98">
        <f t="shared" ref="F201:F211" si="5">$B201/$C201</f>
        <v>2.8858447488584474E-2</v>
      </c>
    </row>
    <row r="202" spans="1:7">
      <c r="A202" t="s">
        <v>479</v>
      </c>
      <c r="B202" s="179">
        <v>979</v>
      </c>
      <c r="C202" s="179">
        <v>34025</v>
      </c>
      <c r="D202" s="96">
        <v>2.8772961058045554E-2</v>
      </c>
      <c r="E202" s="96">
        <v>5.3805990656773842E-2</v>
      </c>
      <c r="F202" s="98">
        <f t="shared" si="5"/>
        <v>2.8772961058045554E-2</v>
      </c>
    </row>
    <row r="203" spans="1:7">
      <c r="A203" t="s">
        <v>316</v>
      </c>
      <c r="B203" s="179">
        <v>1011</v>
      </c>
      <c r="C203" s="179">
        <v>35750</v>
      </c>
      <c r="D203" s="96">
        <v>2.8279720279720279E-2</v>
      </c>
      <c r="E203" s="96">
        <v>5.5564715581203628E-2</v>
      </c>
      <c r="F203" s="98">
        <f t="shared" si="5"/>
        <v>2.8279720279720279E-2</v>
      </c>
    </row>
    <row r="204" spans="1:7">
      <c r="A204" t="s">
        <v>258</v>
      </c>
      <c r="B204" s="179">
        <v>1164</v>
      </c>
      <c r="C204" s="179">
        <v>31725</v>
      </c>
      <c r="D204" s="96">
        <v>3.6690307328605204E-2</v>
      </c>
      <c r="E204" s="96">
        <v>6.3973619126133557E-2</v>
      </c>
      <c r="F204" s="98">
        <f t="shared" si="5"/>
        <v>3.6690307328605204E-2</v>
      </c>
    </row>
    <row r="205" spans="1:7">
      <c r="A205" t="s">
        <v>102</v>
      </c>
      <c r="B205" s="179">
        <v>2201</v>
      </c>
      <c r="C205" s="179">
        <v>79550</v>
      </c>
      <c r="D205" s="96">
        <v>2.7668133249528597E-2</v>
      </c>
      <c r="E205" s="96">
        <v>0.12096729870843638</v>
      </c>
      <c r="F205" s="98">
        <f t="shared" si="5"/>
        <v>2.7668133249528597E-2</v>
      </c>
    </row>
    <row r="206" spans="1:7">
      <c r="A206" t="s">
        <v>169</v>
      </c>
      <c r="B206" s="179">
        <v>617</v>
      </c>
      <c r="C206" s="179">
        <v>23100</v>
      </c>
      <c r="D206" s="96">
        <v>2.6709956709956711E-2</v>
      </c>
      <c r="E206" s="96">
        <v>3.391041494916186E-2</v>
      </c>
      <c r="F206" s="98">
        <f t="shared" si="5"/>
        <v>2.6709956709956711E-2</v>
      </c>
    </row>
    <row r="207" spans="1:7">
      <c r="A207" t="s">
        <v>152</v>
      </c>
      <c r="B207" s="179">
        <v>3568</v>
      </c>
      <c r="C207" s="179">
        <v>165925</v>
      </c>
      <c r="D207" s="96">
        <v>2.1503691426849481E-2</v>
      </c>
      <c r="E207" s="96">
        <v>0.1960978290739214</v>
      </c>
      <c r="F207" s="98">
        <f t="shared" si="5"/>
        <v>2.1503691426849481E-2</v>
      </c>
    </row>
    <row r="208" spans="1:7">
      <c r="A208" t="s">
        <v>82</v>
      </c>
      <c r="B208" s="179">
        <v>1028</v>
      </c>
      <c r="C208" s="179">
        <v>32650</v>
      </c>
      <c r="D208" s="96">
        <v>3.1485451761102602E-2</v>
      </c>
      <c r="E208" s="96">
        <v>5.649903819730695E-2</v>
      </c>
      <c r="F208" s="98">
        <f t="shared" si="5"/>
        <v>3.1485451761102602E-2</v>
      </c>
    </row>
    <row r="209" spans="1:22">
      <c r="A209" t="s">
        <v>301</v>
      </c>
      <c r="B209" s="179">
        <v>4184</v>
      </c>
      <c r="C209" s="179">
        <v>44425</v>
      </c>
      <c r="D209" s="96">
        <v>9.4181204276871128E-2</v>
      </c>
      <c r="E209" s="96">
        <v>0.22995328386919484</v>
      </c>
      <c r="F209" s="98">
        <f t="shared" si="5"/>
        <v>9.4181204276871128E-2</v>
      </c>
    </row>
    <row r="210" spans="1:22">
      <c r="A210" t="s">
        <v>177</v>
      </c>
      <c r="B210" s="179">
        <v>1206</v>
      </c>
      <c r="C210" s="179">
        <v>26875</v>
      </c>
      <c r="D210" s="96">
        <v>4.4874418604651162E-2</v>
      </c>
      <c r="E210" s="96">
        <v>6.6281945589447652E-2</v>
      </c>
      <c r="F210" s="98">
        <f t="shared" si="5"/>
        <v>4.4874418604651162E-2</v>
      </c>
    </row>
    <row r="211" spans="1:22">
      <c r="A211" t="s">
        <v>194</v>
      </c>
      <c r="B211" s="179">
        <v>1284</v>
      </c>
      <c r="C211" s="179">
        <v>41200</v>
      </c>
      <c r="D211" s="96">
        <v>3.116504854368932E-2</v>
      </c>
      <c r="E211" s="96">
        <v>7.0568837592745265E-2</v>
      </c>
      <c r="F211" s="98">
        <f t="shared" si="5"/>
        <v>3.116504854368932E-2</v>
      </c>
    </row>
    <row r="212" spans="1:22">
      <c r="A212" t="s">
        <v>3122</v>
      </c>
      <c r="B212" s="179">
        <v>18195</v>
      </c>
      <c r="C212" s="179">
        <v>548375</v>
      </c>
      <c r="D212" s="96">
        <v>3.3179849555504903E-2</v>
      </c>
      <c r="E212" s="96">
        <v>1</v>
      </c>
    </row>
    <row r="222" spans="1:22">
      <c r="B222" s="23" t="s">
        <v>3240</v>
      </c>
    </row>
    <row r="223" spans="1:22">
      <c r="B223" s="23" t="s">
        <v>3237</v>
      </c>
      <c r="H223" s="23" t="s">
        <v>3238</v>
      </c>
      <c r="T223" t="s">
        <v>3242</v>
      </c>
    </row>
    <row r="224" spans="1:22">
      <c r="A224" t="str">
        <f t="shared" ref="A224:A239" si="6">$A15</f>
        <v>Supplier_Name</v>
      </c>
      <c r="B224" s="23" t="str" cm="1">
        <f t="array" ref="B224:E224">$D15:$G15</f>
        <v>Delayed</v>
      </c>
      <c r="C224" s="23" t="str">
        <v>Late</v>
      </c>
      <c r="D224" s="23" t="str">
        <v>Very Late</v>
      </c>
      <c r="E224" s="23" t="str">
        <v>Severely Delayed</v>
      </c>
      <c r="F224" s="23" t="s">
        <v>3239</v>
      </c>
      <c r="H224" s="134" t="str">
        <f t="shared" ref="H224:H239" si="7">$A15</f>
        <v>Supplier_Name</v>
      </c>
      <c r="I224" s="23" t="str" cm="1">
        <f t="array" ref="I224:J224">$B15:$C15</f>
        <v>Delivered Early</v>
      </c>
      <c r="J224" s="23" t="str">
        <v>On Time</v>
      </c>
      <c r="K224" s="23" t="s">
        <v>3239</v>
      </c>
      <c r="M224" s="23" t="str">
        <f>$H224</f>
        <v>Supplier_Name</v>
      </c>
      <c r="N224" t="s">
        <v>87</v>
      </c>
      <c r="O224" t="s">
        <v>3241</v>
      </c>
      <c r="P224" t="str">
        <f t="shared" ref="P224:P239" si="8">$H15</f>
        <v>Invalid Lead Time</v>
      </c>
      <c r="Q224" t="s">
        <v>3239</v>
      </c>
      <c r="S224" t="str">
        <f>$M224</f>
        <v>Supplier_Name</v>
      </c>
      <c r="T224" t="s">
        <v>87</v>
      </c>
      <c r="U224" t="s">
        <v>3241</v>
      </c>
      <c r="V224" t="s">
        <v>362</v>
      </c>
    </row>
    <row r="225" spans="1:22">
      <c r="A225" t="str">
        <f t="shared" si="6"/>
        <v>Dar</v>
      </c>
      <c r="B225" s="23" cm="1">
        <f t="array" ref="B225:E225">$D16:$G16</f>
        <v>3</v>
      </c>
      <c r="C225" s="23">
        <v>14</v>
      </c>
      <c r="D225" s="23">
        <v>5</v>
      </c>
      <c r="E225" s="23">
        <v>6</v>
      </c>
      <c r="F225" s="23">
        <f t="shared" ref="F225:F239" si="9">SUM(_xlfn.ANCHORARRAY(B225))</f>
        <v>28</v>
      </c>
      <c r="H225" s="134" t="str">
        <f t="shared" si="7"/>
        <v>Dar</v>
      </c>
      <c r="I225" s="23" cm="1">
        <f t="array" ref="I225:J225">$B16:$C16</f>
        <v>5</v>
      </c>
      <c r="J225" s="23">
        <v>22</v>
      </c>
      <c r="K225" s="23">
        <f t="shared" ref="K225:K239" si="10">SUM(_xlfn.ANCHORARRAY(I225))</f>
        <v>27</v>
      </c>
      <c r="M225" s="23" t="str">
        <f t="shared" ref="M225:M239" si="11">$H225</f>
        <v>Dar</v>
      </c>
      <c r="N225">
        <f>$K225</f>
        <v>27</v>
      </c>
      <c r="O225">
        <f t="shared" ref="O225:O239" si="12">F225</f>
        <v>28</v>
      </c>
      <c r="P225">
        <f t="shared" si="8"/>
        <v>0</v>
      </c>
      <c r="Q225">
        <f>SUM(N225:P225)</f>
        <v>55</v>
      </c>
      <c r="S225" t="str">
        <f>$M225</f>
        <v>Dar</v>
      </c>
      <c r="T225" s="138">
        <f>$N225/$Q225</f>
        <v>0.49090909090909091</v>
      </c>
      <c r="U225" s="138">
        <f>$O225/$Q225</f>
        <v>0.50909090909090904</v>
      </c>
      <c r="V225" s="138">
        <f>$P225/$Q225</f>
        <v>0</v>
      </c>
    </row>
    <row r="226" spans="1:22">
      <c r="A226" t="str">
        <f t="shared" si="6"/>
        <v>Mombasa</v>
      </c>
      <c r="B226" s="23" cm="1">
        <f t="array" ref="B226:E226">$D17:$G17</f>
        <v>4</v>
      </c>
      <c r="C226" s="23">
        <v>14</v>
      </c>
      <c r="D226" s="23">
        <v>9</v>
      </c>
      <c r="E226" s="23">
        <v>14</v>
      </c>
      <c r="F226" s="23">
        <f t="shared" si="9"/>
        <v>41</v>
      </c>
      <c r="H226" s="134" t="str">
        <f t="shared" si="7"/>
        <v>Mombasa</v>
      </c>
      <c r="I226" s="23" cm="1">
        <f t="array" ref="I226:J226">$B17:$C17</f>
        <v>10</v>
      </c>
      <c r="J226" s="23">
        <v>16</v>
      </c>
      <c r="K226" s="23">
        <f t="shared" si="10"/>
        <v>26</v>
      </c>
      <c r="M226" s="23" t="str">
        <f t="shared" si="11"/>
        <v>Mombasa</v>
      </c>
      <c r="N226">
        <f t="shared" ref="N226:N239" si="13">$K226</f>
        <v>26</v>
      </c>
      <c r="O226">
        <f t="shared" si="12"/>
        <v>41</v>
      </c>
      <c r="P226">
        <f t="shared" si="8"/>
        <v>0</v>
      </c>
      <c r="Q226">
        <f t="shared" ref="Q226:Q239" si="14">SUM(N226:P226)</f>
        <v>67</v>
      </c>
      <c r="S226" t="str">
        <f t="shared" ref="S226:S239" si="15">$M226</f>
        <v>Mombasa</v>
      </c>
      <c r="T226" s="138">
        <f t="shared" ref="T226:T239" si="16">$N226/$Q226</f>
        <v>0.38805970149253732</v>
      </c>
      <c r="U226" s="138">
        <f t="shared" ref="U226:U239" si="17">$O226/$Q226</f>
        <v>0.61194029850746268</v>
      </c>
      <c r="V226" s="138">
        <f t="shared" ref="V226:V239" si="18">$P226/$Q226</f>
        <v>0</v>
      </c>
    </row>
    <row r="227" spans="1:22">
      <c r="A227" t="str">
        <f t="shared" si="6"/>
        <v>Kano</v>
      </c>
      <c r="B227" s="23" cm="1">
        <f t="array" ref="B227:E227">$D18:$G18</f>
        <v>5</v>
      </c>
      <c r="C227" s="23">
        <v>25</v>
      </c>
      <c r="D227" s="23">
        <v>3</v>
      </c>
      <c r="E227" s="23">
        <v>8</v>
      </c>
      <c r="F227" s="23">
        <f t="shared" si="9"/>
        <v>41</v>
      </c>
      <c r="H227" s="134" t="str">
        <f t="shared" si="7"/>
        <v>Kano</v>
      </c>
      <c r="I227" s="23" cm="1">
        <f t="array" ref="I227:J227">$B18:$C18</f>
        <v>4</v>
      </c>
      <c r="J227" s="23">
        <v>16</v>
      </c>
      <c r="K227" s="23">
        <f t="shared" si="10"/>
        <v>20</v>
      </c>
      <c r="M227" s="23" t="str">
        <f t="shared" si="11"/>
        <v>Kano</v>
      </c>
      <c r="N227">
        <f t="shared" si="13"/>
        <v>20</v>
      </c>
      <c r="O227">
        <f t="shared" si="12"/>
        <v>41</v>
      </c>
      <c r="P227">
        <f t="shared" si="8"/>
        <v>3</v>
      </c>
      <c r="Q227">
        <f t="shared" si="14"/>
        <v>64</v>
      </c>
      <c r="S227" t="str">
        <f t="shared" si="15"/>
        <v>Kano</v>
      </c>
      <c r="T227" s="138">
        <f t="shared" si="16"/>
        <v>0.3125</v>
      </c>
      <c r="U227" s="138">
        <f t="shared" si="17"/>
        <v>0.640625</v>
      </c>
      <c r="V227" s="138">
        <f t="shared" si="18"/>
        <v>4.6875E-2</v>
      </c>
    </row>
    <row r="228" spans="1:22">
      <c r="A228" t="str">
        <f t="shared" si="6"/>
        <v>Kampala</v>
      </c>
      <c r="B228" s="23" cm="1">
        <f t="array" ref="B228:E228">$D19:$G19</f>
        <v>4</v>
      </c>
      <c r="C228" s="23">
        <v>27</v>
      </c>
      <c r="D228" s="23">
        <v>10</v>
      </c>
      <c r="E228" s="23">
        <v>8</v>
      </c>
      <c r="F228" s="23">
        <f t="shared" si="9"/>
        <v>49</v>
      </c>
      <c r="H228" s="134" t="str">
        <f t="shared" si="7"/>
        <v>Kampala</v>
      </c>
      <c r="I228" s="23" cm="1">
        <f t="array" ref="I228:J228">$B19:$C19</f>
        <v>8</v>
      </c>
      <c r="J228" s="23">
        <v>18</v>
      </c>
      <c r="K228" s="23">
        <f t="shared" si="10"/>
        <v>26</v>
      </c>
      <c r="M228" s="23" t="str">
        <f t="shared" si="11"/>
        <v>Kampala</v>
      </c>
      <c r="N228">
        <f t="shared" si="13"/>
        <v>26</v>
      </c>
      <c r="O228">
        <f t="shared" si="12"/>
        <v>49</v>
      </c>
      <c r="P228">
        <f t="shared" si="8"/>
        <v>2</v>
      </c>
      <c r="Q228">
        <f t="shared" si="14"/>
        <v>77</v>
      </c>
      <c r="S228" t="str">
        <f t="shared" si="15"/>
        <v>Kampala</v>
      </c>
      <c r="T228" s="138">
        <f t="shared" si="16"/>
        <v>0.33766233766233766</v>
      </c>
      <c r="U228" s="138">
        <f t="shared" si="17"/>
        <v>0.63636363636363635</v>
      </c>
      <c r="V228" s="138">
        <f t="shared" si="18"/>
        <v>2.5974025974025976E-2</v>
      </c>
    </row>
    <row r="229" spans="1:22">
      <c r="A229" t="str">
        <f t="shared" si="6"/>
        <v>Kigali</v>
      </c>
      <c r="B229" s="23" cm="1">
        <f t="array" ref="B229:E229">$D20:$G20</f>
        <v>2</v>
      </c>
      <c r="C229" s="23">
        <v>22</v>
      </c>
      <c r="D229" s="23">
        <v>15</v>
      </c>
      <c r="E229" s="23">
        <v>9</v>
      </c>
      <c r="F229" s="23">
        <f t="shared" si="9"/>
        <v>48</v>
      </c>
      <c r="H229" s="134" t="str">
        <f t="shared" si="7"/>
        <v>Kigali</v>
      </c>
      <c r="I229" s="23" cm="1">
        <f t="array" ref="I229:J229">$B20:$C20</f>
        <v>7</v>
      </c>
      <c r="J229" s="23">
        <v>17</v>
      </c>
      <c r="K229" s="23">
        <f t="shared" si="10"/>
        <v>24</v>
      </c>
      <c r="M229" s="23" t="str">
        <f t="shared" si="11"/>
        <v>Kigali</v>
      </c>
      <c r="N229">
        <f t="shared" si="13"/>
        <v>24</v>
      </c>
      <c r="O229">
        <f t="shared" si="12"/>
        <v>48</v>
      </c>
      <c r="P229">
        <f t="shared" si="8"/>
        <v>0</v>
      </c>
      <c r="Q229">
        <f t="shared" si="14"/>
        <v>72</v>
      </c>
      <c r="S229" t="str">
        <f t="shared" si="15"/>
        <v>Kigali</v>
      </c>
      <c r="T229" s="138">
        <f t="shared" si="16"/>
        <v>0.33333333333333331</v>
      </c>
      <c r="U229" s="138">
        <f t="shared" si="17"/>
        <v>0.66666666666666663</v>
      </c>
      <c r="V229" s="138">
        <f t="shared" si="18"/>
        <v>0</v>
      </c>
    </row>
    <row r="230" spans="1:22">
      <c r="A230" t="str">
        <f t="shared" si="6"/>
        <v>Nile</v>
      </c>
      <c r="B230" s="23" cm="1">
        <f t="array" ref="B230:E230">$D21:$G21</f>
        <v>4</v>
      </c>
      <c r="C230" s="23">
        <v>12</v>
      </c>
      <c r="D230" s="23">
        <v>8</v>
      </c>
      <c r="E230" s="23">
        <v>10</v>
      </c>
      <c r="F230" s="23">
        <f t="shared" si="9"/>
        <v>34</v>
      </c>
      <c r="H230" s="134" t="str">
        <f t="shared" si="7"/>
        <v>Nile</v>
      </c>
      <c r="I230" s="23" cm="1">
        <f t="array" ref="I230:J230">$B21:$C21</f>
        <v>4</v>
      </c>
      <c r="J230" s="23">
        <v>23</v>
      </c>
      <c r="K230" s="23">
        <f t="shared" si="10"/>
        <v>27</v>
      </c>
      <c r="M230" s="23" t="str">
        <f t="shared" si="11"/>
        <v>Nile</v>
      </c>
      <c r="N230">
        <f t="shared" si="13"/>
        <v>27</v>
      </c>
      <c r="O230">
        <f t="shared" si="12"/>
        <v>34</v>
      </c>
      <c r="P230">
        <f t="shared" si="8"/>
        <v>0</v>
      </c>
      <c r="Q230">
        <f t="shared" si="14"/>
        <v>61</v>
      </c>
      <c r="S230" t="str">
        <f t="shared" si="15"/>
        <v>Nile</v>
      </c>
      <c r="T230" s="138">
        <f t="shared" si="16"/>
        <v>0.44262295081967212</v>
      </c>
      <c r="U230" s="138">
        <f t="shared" si="17"/>
        <v>0.55737704918032782</v>
      </c>
      <c r="V230" s="138">
        <f t="shared" si="18"/>
        <v>0</v>
      </c>
    </row>
    <row r="231" spans="1:22">
      <c r="A231" t="str">
        <f t="shared" si="6"/>
        <v>Kentech</v>
      </c>
      <c r="B231" s="23" cm="1">
        <f t="array" ref="B231:E231">$D22:$G22</f>
        <v>6</v>
      </c>
      <c r="C231" s="23">
        <v>20</v>
      </c>
      <c r="D231" s="23">
        <v>9</v>
      </c>
      <c r="E231" s="23">
        <v>11</v>
      </c>
      <c r="F231" s="23">
        <f t="shared" si="9"/>
        <v>46</v>
      </c>
      <c r="H231" s="134" t="str">
        <f t="shared" si="7"/>
        <v>Kentech</v>
      </c>
      <c r="I231" s="23" cm="1">
        <f t="array" ref="I231:J231">$B22:$C22</f>
        <v>5</v>
      </c>
      <c r="J231" s="23">
        <v>25</v>
      </c>
      <c r="K231" s="23">
        <f t="shared" si="10"/>
        <v>30</v>
      </c>
      <c r="M231" s="23" t="str">
        <f t="shared" si="11"/>
        <v>Kentech</v>
      </c>
      <c r="N231">
        <f t="shared" si="13"/>
        <v>30</v>
      </c>
      <c r="O231">
        <f t="shared" si="12"/>
        <v>46</v>
      </c>
      <c r="P231">
        <f t="shared" si="8"/>
        <v>0</v>
      </c>
      <c r="Q231">
        <f t="shared" si="14"/>
        <v>76</v>
      </c>
      <c r="S231" t="str">
        <f t="shared" si="15"/>
        <v>Kentech</v>
      </c>
      <c r="T231" s="138">
        <f t="shared" si="16"/>
        <v>0.39473684210526316</v>
      </c>
      <c r="U231" s="138">
        <f t="shared" si="17"/>
        <v>0.60526315789473684</v>
      </c>
      <c r="V231" s="138">
        <f t="shared" si="18"/>
        <v>0</v>
      </c>
    </row>
    <row r="232" spans="1:22">
      <c r="A232" t="str">
        <f t="shared" si="6"/>
        <v>Cape</v>
      </c>
      <c r="B232" s="23" cm="1">
        <f t="array" ref="B232:E232">$D23:$G23</f>
        <v>5</v>
      </c>
      <c r="C232" s="23">
        <v>17</v>
      </c>
      <c r="D232" s="23">
        <v>10</v>
      </c>
      <c r="E232" s="23">
        <v>8</v>
      </c>
      <c r="F232" s="23">
        <f t="shared" si="9"/>
        <v>40</v>
      </c>
      <c r="H232" s="134" t="str">
        <f t="shared" si="7"/>
        <v>Cape</v>
      </c>
      <c r="I232" s="23" cm="1">
        <f t="array" ref="I232:J232">$B23:$C23</f>
        <v>7</v>
      </c>
      <c r="J232" s="23">
        <v>18</v>
      </c>
      <c r="K232" s="23">
        <f t="shared" si="10"/>
        <v>25</v>
      </c>
      <c r="M232" s="23" t="str">
        <f t="shared" si="11"/>
        <v>Cape</v>
      </c>
      <c r="N232">
        <f t="shared" si="13"/>
        <v>25</v>
      </c>
      <c r="O232">
        <f t="shared" si="12"/>
        <v>40</v>
      </c>
      <c r="P232">
        <f t="shared" si="8"/>
        <v>0</v>
      </c>
      <c r="Q232">
        <f t="shared" si="14"/>
        <v>65</v>
      </c>
      <c r="S232" t="str">
        <f t="shared" si="15"/>
        <v>Cape</v>
      </c>
      <c r="T232" s="138">
        <f t="shared" si="16"/>
        <v>0.38461538461538464</v>
      </c>
      <c r="U232" s="138">
        <f t="shared" si="17"/>
        <v>0.61538461538461542</v>
      </c>
      <c r="V232" s="138">
        <f t="shared" si="18"/>
        <v>0</v>
      </c>
    </row>
    <row r="233" spans="1:22">
      <c r="A233" t="str">
        <f t="shared" si="6"/>
        <v>Casablanca</v>
      </c>
      <c r="B233" s="23" cm="1">
        <f t="array" ref="B233:E233">$D24:$G24</f>
        <v>6</v>
      </c>
      <c r="C233" s="23">
        <v>17</v>
      </c>
      <c r="D233" s="23">
        <v>6</v>
      </c>
      <c r="E233" s="23">
        <v>7</v>
      </c>
      <c r="F233" s="23">
        <f t="shared" si="9"/>
        <v>36</v>
      </c>
      <c r="H233" s="134" t="str">
        <f t="shared" si="7"/>
        <v>Casablanca</v>
      </c>
      <c r="I233" s="23" cm="1">
        <f t="array" ref="I233:J233">$B24:$C24</f>
        <v>7</v>
      </c>
      <c r="J233" s="23">
        <v>10</v>
      </c>
      <c r="K233" s="23">
        <f t="shared" si="10"/>
        <v>17</v>
      </c>
      <c r="M233" s="23" t="str">
        <f t="shared" si="11"/>
        <v>Casablanca</v>
      </c>
      <c r="N233">
        <f t="shared" si="13"/>
        <v>17</v>
      </c>
      <c r="O233">
        <f t="shared" si="12"/>
        <v>36</v>
      </c>
      <c r="P233">
        <f t="shared" si="8"/>
        <v>0</v>
      </c>
      <c r="Q233">
        <f t="shared" si="14"/>
        <v>53</v>
      </c>
      <c r="S233" t="str">
        <f t="shared" si="15"/>
        <v>Casablanca</v>
      </c>
      <c r="T233" s="138">
        <f t="shared" si="16"/>
        <v>0.32075471698113206</v>
      </c>
      <c r="U233" s="138">
        <f t="shared" si="17"/>
        <v>0.67924528301886788</v>
      </c>
      <c r="V233" s="138">
        <f t="shared" si="18"/>
        <v>0</v>
      </c>
    </row>
    <row r="234" spans="1:22">
      <c r="A234" t="str">
        <f t="shared" si="6"/>
        <v>Sahara</v>
      </c>
      <c r="B234" s="23" cm="1">
        <f t="array" ref="B234:E234">$D25:$G25</f>
        <v>4</v>
      </c>
      <c r="C234" s="23">
        <v>25</v>
      </c>
      <c r="D234" s="23">
        <v>5</v>
      </c>
      <c r="E234" s="23">
        <v>12</v>
      </c>
      <c r="F234" s="23">
        <f t="shared" si="9"/>
        <v>46</v>
      </c>
      <c r="H234" s="134" t="str">
        <f t="shared" si="7"/>
        <v>Sahara</v>
      </c>
      <c r="I234" s="23" cm="1">
        <f t="array" ref="I234:J234">$B25:$C25</f>
        <v>8</v>
      </c>
      <c r="J234" s="23">
        <v>20</v>
      </c>
      <c r="K234" s="23">
        <f t="shared" si="10"/>
        <v>28</v>
      </c>
      <c r="M234" s="23" t="str">
        <f t="shared" si="11"/>
        <v>Sahara</v>
      </c>
      <c r="N234">
        <f t="shared" si="13"/>
        <v>28</v>
      </c>
      <c r="O234">
        <f t="shared" si="12"/>
        <v>46</v>
      </c>
      <c r="P234">
        <f t="shared" si="8"/>
        <v>4</v>
      </c>
      <c r="Q234">
        <f t="shared" si="14"/>
        <v>78</v>
      </c>
      <c r="S234" t="str">
        <f t="shared" si="15"/>
        <v>Sahara</v>
      </c>
      <c r="T234" s="138">
        <f t="shared" si="16"/>
        <v>0.35897435897435898</v>
      </c>
      <c r="U234" s="138">
        <f t="shared" si="17"/>
        <v>0.58974358974358976</v>
      </c>
      <c r="V234" s="138">
        <f t="shared" si="18"/>
        <v>5.128205128205128E-2</v>
      </c>
    </row>
    <row r="235" spans="1:22">
      <c r="A235" t="str">
        <f t="shared" si="6"/>
        <v>Primesteel</v>
      </c>
      <c r="B235" s="23" cm="1">
        <f t="array" ref="B235:E235">$D26:$G26</f>
        <v>7</v>
      </c>
      <c r="C235" s="23">
        <v>16</v>
      </c>
      <c r="D235" s="23">
        <v>6</v>
      </c>
      <c r="E235" s="23">
        <v>11</v>
      </c>
      <c r="F235" s="23">
        <f t="shared" si="9"/>
        <v>40</v>
      </c>
      <c r="H235" s="134" t="str">
        <f t="shared" si="7"/>
        <v>Primesteel</v>
      </c>
      <c r="I235" s="23" cm="1">
        <f t="array" ref="I235:J235">$B26:$C26</f>
        <v>7</v>
      </c>
      <c r="J235" s="23">
        <v>11</v>
      </c>
      <c r="K235" s="23">
        <f t="shared" si="10"/>
        <v>18</v>
      </c>
      <c r="M235" s="23" t="str">
        <f t="shared" si="11"/>
        <v>Primesteel</v>
      </c>
      <c r="N235">
        <f t="shared" si="13"/>
        <v>18</v>
      </c>
      <c r="O235">
        <f t="shared" si="12"/>
        <v>40</v>
      </c>
      <c r="P235">
        <f t="shared" si="8"/>
        <v>1</v>
      </c>
      <c r="Q235">
        <f t="shared" si="14"/>
        <v>59</v>
      </c>
      <c r="S235" t="str">
        <f t="shared" si="15"/>
        <v>Primesteel</v>
      </c>
      <c r="T235" s="138">
        <f t="shared" si="16"/>
        <v>0.30508474576271188</v>
      </c>
      <c r="U235" s="138">
        <f t="shared" si="17"/>
        <v>0.67796610169491522</v>
      </c>
      <c r="V235" s="138">
        <f t="shared" si="18"/>
        <v>1.6949152542372881E-2</v>
      </c>
    </row>
    <row r="236" spans="1:22">
      <c r="A236" t="str">
        <f t="shared" si="6"/>
        <v>AccraAI</v>
      </c>
      <c r="B236" s="23" cm="1">
        <f t="array" ref="B236:E236">$D27:$G27</f>
        <v>2</v>
      </c>
      <c r="C236" s="23">
        <v>22</v>
      </c>
      <c r="D236" s="23">
        <v>9</v>
      </c>
      <c r="E236" s="23">
        <v>12</v>
      </c>
      <c r="F236" s="23">
        <f t="shared" si="9"/>
        <v>45</v>
      </c>
      <c r="H236" s="134" t="str">
        <f t="shared" si="7"/>
        <v>AccraAI</v>
      </c>
      <c r="I236" s="23" cm="1">
        <f t="array" ref="I236:J236">$B27:$C27</f>
        <v>6</v>
      </c>
      <c r="J236" s="23">
        <v>17</v>
      </c>
      <c r="K236" s="23">
        <f t="shared" si="10"/>
        <v>23</v>
      </c>
      <c r="M236" s="23" t="str">
        <f t="shared" si="11"/>
        <v>AccraAI</v>
      </c>
      <c r="N236">
        <f t="shared" si="13"/>
        <v>23</v>
      </c>
      <c r="O236">
        <f t="shared" si="12"/>
        <v>45</v>
      </c>
      <c r="P236">
        <f t="shared" si="8"/>
        <v>1</v>
      </c>
      <c r="Q236">
        <f t="shared" si="14"/>
        <v>69</v>
      </c>
      <c r="S236" t="str">
        <f t="shared" si="15"/>
        <v>AccraAI</v>
      </c>
      <c r="T236" s="138">
        <f t="shared" si="16"/>
        <v>0.33333333333333331</v>
      </c>
      <c r="U236" s="138">
        <f t="shared" si="17"/>
        <v>0.65217391304347827</v>
      </c>
      <c r="V236" s="138">
        <f t="shared" si="18"/>
        <v>1.4492753623188406E-2</v>
      </c>
    </row>
    <row r="237" spans="1:22">
      <c r="A237" t="str">
        <f t="shared" si="6"/>
        <v>LagosPR</v>
      </c>
      <c r="B237" s="23" cm="1">
        <f t="array" ref="B237:E237">$D28:$G28</f>
        <v>8</v>
      </c>
      <c r="C237" s="23">
        <v>13</v>
      </c>
      <c r="D237" s="23">
        <v>5</v>
      </c>
      <c r="E237" s="23">
        <v>12</v>
      </c>
      <c r="F237" s="23">
        <f t="shared" si="9"/>
        <v>38</v>
      </c>
      <c r="H237" s="134" t="str">
        <f t="shared" si="7"/>
        <v>LagosPR</v>
      </c>
      <c r="I237" s="23" cm="1">
        <f t="array" ref="I237:J237">$B28:$C28</f>
        <v>11</v>
      </c>
      <c r="J237" s="23">
        <v>15</v>
      </c>
      <c r="K237" s="23">
        <f t="shared" si="10"/>
        <v>26</v>
      </c>
      <c r="M237" s="23" t="str">
        <f t="shared" si="11"/>
        <v>LagosPR</v>
      </c>
      <c r="N237">
        <f t="shared" si="13"/>
        <v>26</v>
      </c>
      <c r="O237">
        <f t="shared" si="12"/>
        <v>38</v>
      </c>
      <c r="P237">
        <f t="shared" si="8"/>
        <v>3</v>
      </c>
      <c r="Q237">
        <f t="shared" si="14"/>
        <v>67</v>
      </c>
      <c r="S237" t="str">
        <f t="shared" si="15"/>
        <v>LagosPR</v>
      </c>
      <c r="T237" s="138">
        <f t="shared" si="16"/>
        <v>0.38805970149253732</v>
      </c>
      <c r="U237" s="138">
        <f t="shared" si="17"/>
        <v>0.56716417910447758</v>
      </c>
      <c r="V237" s="138">
        <f t="shared" si="18"/>
        <v>4.4776119402985072E-2</v>
      </c>
    </row>
    <row r="238" spans="1:22">
      <c r="A238" t="str">
        <f t="shared" si="6"/>
        <v>AddisFW</v>
      </c>
      <c r="B238" s="23" cm="1">
        <f t="array" ref="B238:E238">$D29:$G29</f>
        <v>3</v>
      </c>
      <c r="C238" s="23">
        <v>20</v>
      </c>
      <c r="D238" s="23">
        <v>9</v>
      </c>
      <c r="E238" s="23">
        <v>14</v>
      </c>
      <c r="F238" s="23">
        <f t="shared" si="9"/>
        <v>46</v>
      </c>
      <c r="H238" s="134" t="str">
        <f t="shared" si="7"/>
        <v>AddisFW</v>
      </c>
      <c r="I238" s="23" cm="1">
        <f t="array" ref="I238:J238">$B29:$C29</f>
        <v>7</v>
      </c>
      <c r="J238" s="23">
        <v>21</v>
      </c>
      <c r="K238" s="23">
        <f t="shared" si="10"/>
        <v>28</v>
      </c>
      <c r="M238" s="23" t="str">
        <f t="shared" si="11"/>
        <v>AddisFW</v>
      </c>
      <c r="N238">
        <f t="shared" si="13"/>
        <v>28</v>
      </c>
      <c r="O238">
        <f t="shared" si="12"/>
        <v>46</v>
      </c>
      <c r="P238">
        <f t="shared" si="8"/>
        <v>0</v>
      </c>
      <c r="Q238">
        <f t="shared" si="14"/>
        <v>74</v>
      </c>
      <c r="S238" t="str">
        <f t="shared" si="15"/>
        <v>AddisFW</v>
      </c>
      <c r="T238" s="138">
        <f t="shared" si="16"/>
        <v>0.3783783783783784</v>
      </c>
      <c r="U238" s="138">
        <f t="shared" si="17"/>
        <v>0.6216216216216216</v>
      </c>
      <c r="V238" s="138">
        <f t="shared" si="18"/>
        <v>0</v>
      </c>
    </row>
    <row r="239" spans="1:22">
      <c r="A239" t="str">
        <f t="shared" si="6"/>
        <v>AbidjanCS</v>
      </c>
      <c r="B239" s="23" cm="1">
        <f t="array" ref="B239:E239">$D30:$G30</f>
        <v>4</v>
      </c>
      <c r="C239" s="23">
        <v>14</v>
      </c>
      <c r="D239" s="23">
        <v>11</v>
      </c>
      <c r="E239" s="23">
        <v>7</v>
      </c>
      <c r="F239" s="23">
        <f t="shared" si="9"/>
        <v>36</v>
      </c>
      <c r="H239" s="134" t="str">
        <f t="shared" si="7"/>
        <v>AbidjanCS</v>
      </c>
      <c r="I239" s="23" cm="1">
        <f t="array" ref="I239:J239">$B30:$C30</f>
        <v>8</v>
      </c>
      <c r="J239" s="23">
        <v>19</v>
      </c>
      <c r="K239" s="23">
        <f t="shared" si="10"/>
        <v>27</v>
      </c>
      <c r="M239" s="23" t="str">
        <f t="shared" si="11"/>
        <v>AbidjanCS</v>
      </c>
      <c r="N239">
        <f t="shared" si="13"/>
        <v>27</v>
      </c>
      <c r="O239">
        <f t="shared" si="12"/>
        <v>36</v>
      </c>
      <c r="P239">
        <f t="shared" si="8"/>
        <v>0</v>
      </c>
      <c r="Q239">
        <f t="shared" si="14"/>
        <v>63</v>
      </c>
      <c r="S239" t="str">
        <f t="shared" si="15"/>
        <v>AbidjanCS</v>
      </c>
      <c r="T239" s="138">
        <f t="shared" si="16"/>
        <v>0.42857142857142855</v>
      </c>
      <c r="U239" s="138">
        <f t="shared" si="17"/>
        <v>0.5714285714285714</v>
      </c>
      <c r="V239" s="138">
        <f t="shared" si="18"/>
        <v>0</v>
      </c>
    </row>
    <row r="246" spans="1:16">
      <c r="L246" s="23" t="s">
        <v>3217</v>
      </c>
    </row>
    <row r="247" spans="1:16">
      <c r="A247" s="137" t="s">
        <v>3266</v>
      </c>
    </row>
    <row r="248" spans="1:16">
      <c r="A248" s="51" t="s">
        <v>3153</v>
      </c>
      <c r="B248" s="51" t="s">
        <v>19</v>
      </c>
      <c r="C248"/>
      <c r="D248"/>
      <c r="E248"/>
      <c r="F248"/>
      <c r="G248"/>
      <c r="H248"/>
      <c r="I248"/>
      <c r="J248"/>
      <c r="L248" s="23" t="s">
        <v>3216</v>
      </c>
    </row>
    <row r="249" spans="1:16">
      <c r="A249" s="51" t="s">
        <v>4</v>
      </c>
      <c r="B249" t="s">
        <v>166</v>
      </c>
      <c r="C249" t="s">
        <v>270</v>
      </c>
      <c r="D249" t="s">
        <v>362</v>
      </c>
      <c r="E249" t="s">
        <v>135</v>
      </c>
      <c r="F249" t="s">
        <v>87</v>
      </c>
      <c r="G249" t="s">
        <v>39</v>
      </c>
      <c r="H249" t="s">
        <v>205</v>
      </c>
      <c r="I249" t="s">
        <v>3122</v>
      </c>
      <c r="J249" t="s">
        <v>3200</v>
      </c>
      <c r="L249" s="23" t="s">
        <v>4</v>
      </c>
      <c r="M249" s="98" t="s">
        <v>3200</v>
      </c>
    </row>
    <row r="250" spans="1:16">
      <c r="A250" t="s">
        <v>3835</v>
      </c>
      <c r="B250" s="179">
        <v>925</v>
      </c>
      <c r="C250" s="179">
        <v>2000</v>
      </c>
      <c r="D250" s="179"/>
      <c r="E250" s="179">
        <v>10300</v>
      </c>
      <c r="F250" s="179">
        <v>7750</v>
      </c>
      <c r="G250" s="179">
        <v>2650</v>
      </c>
      <c r="H250" s="179">
        <v>3250</v>
      </c>
      <c r="I250" s="179">
        <v>26875</v>
      </c>
      <c r="J250" s="97">
        <f t="shared" ref="J250:J264" si="19">$F250/$I250</f>
        <v>0.28837209302325584</v>
      </c>
      <c r="L250" s="134" t="s">
        <v>101</v>
      </c>
      <c r="M250" s="98">
        <v>0.39584685269305647</v>
      </c>
      <c r="P250" s="97"/>
    </row>
    <row r="251" spans="1:16">
      <c r="A251" t="s">
        <v>3836</v>
      </c>
      <c r="B251" s="179">
        <v>2500</v>
      </c>
      <c r="C251" s="179">
        <v>7200</v>
      </c>
      <c r="D251" s="179"/>
      <c r="E251" s="179">
        <v>6225</v>
      </c>
      <c r="F251" s="179">
        <v>6875</v>
      </c>
      <c r="G251" s="179">
        <v>7725</v>
      </c>
      <c r="H251" s="179">
        <v>8525</v>
      </c>
      <c r="I251" s="179">
        <v>39050</v>
      </c>
      <c r="J251" s="97">
        <f t="shared" si="19"/>
        <v>0.176056338028169</v>
      </c>
      <c r="L251" s="134" t="s">
        <v>91</v>
      </c>
      <c r="M251" s="98">
        <v>0.35083880379285193</v>
      </c>
      <c r="P251" s="97"/>
    </row>
    <row r="252" spans="1:16">
      <c r="A252" t="s">
        <v>3837</v>
      </c>
      <c r="B252" s="179">
        <v>4500</v>
      </c>
      <c r="C252" s="179">
        <v>3700</v>
      </c>
      <c r="D252" s="179">
        <v>550</v>
      </c>
      <c r="E252" s="179">
        <v>11550</v>
      </c>
      <c r="F252" s="179">
        <v>8750</v>
      </c>
      <c r="G252" s="179">
        <v>3750</v>
      </c>
      <c r="H252" s="179">
        <v>300</v>
      </c>
      <c r="I252" s="179">
        <v>33100</v>
      </c>
      <c r="J252" s="97">
        <f t="shared" si="19"/>
        <v>0.26435045317220546</v>
      </c>
      <c r="L252" s="134" t="s">
        <v>216</v>
      </c>
      <c r="M252" s="98">
        <v>0.33472304943418701</v>
      </c>
      <c r="P252" s="97"/>
    </row>
    <row r="253" spans="1:16">
      <c r="A253" t="s">
        <v>3838</v>
      </c>
      <c r="B253" s="179">
        <v>3575</v>
      </c>
      <c r="C253" s="179">
        <v>5500</v>
      </c>
      <c r="D253" s="179">
        <v>1075</v>
      </c>
      <c r="E253" s="179">
        <v>8325</v>
      </c>
      <c r="F253" s="179">
        <v>8600</v>
      </c>
      <c r="G253" s="179">
        <v>6225</v>
      </c>
      <c r="H253" s="179">
        <v>7900</v>
      </c>
      <c r="I253" s="179">
        <v>41200</v>
      </c>
      <c r="J253" s="97">
        <f t="shared" si="19"/>
        <v>0.20873786407766989</v>
      </c>
      <c r="L253" s="134" t="s">
        <v>81</v>
      </c>
      <c r="M253" s="98">
        <v>0.29632465543644715</v>
      </c>
      <c r="P253" s="97"/>
    </row>
    <row r="254" spans="1:16">
      <c r="A254" t="s">
        <v>3839</v>
      </c>
      <c r="B254" s="179">
        <v>1300</v>
      </c>
      <c r="C254" s="179">
        <v>5075</v>
      </c>
      <c r="D254" s="179"/>
      <c r="E254" s="179">
        <v>6125</v>
      </c>
      <c r="F254" s="179">
        <v>9675</v>
      </c>
      <c r="G254" s="179">
        <v>2125</v>
      </c>
      <c r="H254" s="179">
        <v>8350</v>
      </c>
      <c r="I254" s="179">
        <v>32650</v>
      </c>
      <c r="J254" s="97">
        <f t="shared" si="19"/>
        <v>0.29632465543644715</v>
      </c>
      <c r="L254" s="134" t="s">
        <v>33</v>
      </c>
      <c r="M254" s="98">
        <v>0.28837209302325584</v>
      </c>
      <c r="P254" s="97"/>
    </row>
    <row r="255" spans="1:16">
      <c r="A255" t="s">
        <v>3840</v>
      </c>
      <c r="B255" s="179">
        <v>1800</v>
      </c>
      <c r="C255" s="179">
        <v>725</v>
      </c>
      <c r="D255" s="179"/>
      <c r="E255" s="179">
        <v>8925</v>
      </c>
      <c r="F255" s="179">
        <v>12025</v>
      </c>
      <c r="G255" s="179">
        <v>5725</v>
      </c>
      <c r="H255" s="179">
        <v>5075</v>
      </c>
      <c r="I255" s="179">
        <v>34275</v>
      </c>
      <c r="J255" s="97">
        <f t="shared" si="19"/>
        <v>0.35083880379285193</v>
      </c>
      <c r="L255" s="134" t="s">
        <v>119</v>
      </c>
      <c r="M255" s="98">
        <v>0.2865296803652968</v>
      </c>
      <c r="P255" s="97"/>
    </row>
    <row r="256" spans="1:16">
      <c r="A256" t="s">
        <v>3841</v>
      </c>
      <c r="B256" s="179">
        <v>2800</v>
      </c>
      <c r="C256" s="179">
        <v>1400</v>
      </c>
      <c r="D256" s="179"/>
      <c r="E256" s="179">
        <v>12050</v>
      </c>
      <c r="F256" s="179">
        <v>15250</v>
      </c>
      <c r="G256" s="179">
        <v>3375</v>
      </c>
      <c r="H256" s="179">
        <v>3650</v>
      </c>
      <c r="I256" s="179">
        <v>38525</v>
      </c>
      <c r="J256" s="97">
        <f t="shared" si="19"/>
        <v>0.39584685269305647</v>
      </c>
      <c r="L256" s="134" t="s">
        <v>236</v>
      </c>
      <c r="M256" s="98">
        <v>0.2689895470383275</v>
      </c>
      <c r="P256" s="97"/>
    </row>
    <row r="257" spans="1:16">
      <c r="A257" t="s">
        <v>3842</v>
      </c>
      <c r="B257" s="179">
        <v>2600</v>
      </c>
      <c r="C257" s="179">
        <v>3775</v>
      </c>
      <c r="D257" s="179"/>
      <c r="E257" s="179">
        <v>10625</v>
      </c>
      <c r="F257" s="179">
        <v>12550</v>
      </c>
      <c r="G257" s="179">
        <v>4400</v>
      </c>
      <c r="H257" s="179">
        <v>9850</v>
      </c>
      <c r="I257" s="179">
        <v>43800</v>
      </c>
      <c r="J257" s="97">
        <f t="shared" si="19"/>
        <v>0.2865296803652968</v>
      </c>
      <c r="L257" s="134" t="s">
        <v>466</v>
      </c>
      <c r="M257" s="98">
        <v>0.26435045317220546</v>
      </c>
      <c r="P257" s="97"/>
    </row>
    <row r="258" spans="1:16">
      <c r="A258" t="s">
        <v>3843</v>
      </c>
      <c r="B258" s="179">
        <v>5000</v>
      </c>
      <c r="C258" s="179">
        <v>4350</v>
      </c>
      <c r="D258" s="179"/>
      <c r="E258" s="179">
        <v>4450</v>
      </c>
      <c r="F258" s="179">
        <v>4650</v>
      </c>
      <c r="G258" s="179">
        <v>1500</v>
      </c>
      <c r="H258" s="179">
        <v>3350</v>
      </c>
      <c r="I258" s="179">
        <v>23300</v>
      </c>
      <c r="J258" s="97">
        <f t="shared" si="19"/>
        <v>0.19957081545064378</v>
      </c>
      <c r="L258" s="134" t="s">
        <v>244</v>
      </c>
      <c r="M258" s="98">
        <v>0.2606837606837607</v>
      </c>
      <c r="P258" s="97"/>
    </row>
    <row r="259" spans="1:16">
      <c r="A259" t="s">
        <v>3844</v>
      </c>
      <c r="B259" s="179">
        <v>2275</v>
      </c>
      <c r="C259" s="179">
        <v>6425</v>
      </c>
      <c r="D259" s="179">
        <v>2600</v>
      </c>
      <c r="E259" s="179">
        <v>11625</v>
      </c>
      <c r="F259" s="179">
        <v>12200</v>
      </c>
      <c r="G259" s="179">
        <v>8275</v>
      </c>
      <c r="H259" s="179">
        <v>3400</v>
      </c>
      <c r="I259" s="179">
        <v>46800</v>
      </c>
      <c r="J259" s="97">
        <f t="shared" si="19"/>
        <v>0.2606837606837607</v>
      </c>
      <c r="L259" s="134" t="s">
        <v>210</v>
      </c>
      <c r="M259" s="98">
        <v>0.26022304832713755</v>
      </c>
      <c r="P259" s="97"/>
    </row>
    <row r="260" spans="1:16">
      <c r="A260" t="s">
        <v>3847</v>
      </c>
      <c r="B260" s="179">
        <v>5650</v>
      </c>
      <c r="C260" s="179">
        <v>4925</v>
      </c>
      <c r="D260" s="179">
        <v>300</v>
      </c>
      <c r="E260" s="179">
        <v>13775</v>
      </c>
      <c r="F260" s="179">
        <v>8425</v>
      </c>
      <c r="G260" s="179">
        <v>5425</v>
      </c>
      <c r="H260" s="179">
        <v>7100</v>
      </c>
      <c r="I260" s="179">
        <v>45600</v>
      </c>
      <c r="J260" s="97">
        <f t="shared" si="19"/>
        <v>0.18475877192982457</v>
      </c>
      <c r="L260" s="134" t="s">
        <v>111</v>
      </c>
      <c r="M260" s="98">
        <v>0.20873786407766989</v>
      </c>
      <c r="P260" s="97"/>
    </row>
    <row r="261" spans="1:16">
      <c r="A261" t="s">
        <v>3845</v>
      </c>
      <c r="B261" s="179">
        <v>2150</v>
      </c>
      <c r="C261" s="179">
        <v>1525</v>
      </c>
      <c r="D261" s="179">
        <v>150</v>
      </c>
      <c r="E261" s="179">
        <v>9125</v>
      </c>
      <c r="F261" s="179">
        <v>8750</v>
      </c>
      <c r="G261" s="179">
        <v>7500</v>
      </c>
      <c r="H261" s="179">
        <v>4425</v>
      </c>
      <c r="I261" s="179">
        <v>33625</v>
      </c>
      <c r="J261" s="97">
        <f t="shared" si="19"/>
        <v>0.26022304832713755</v>
      </c>
      <c r="L261" s="134" t="s">
        <v>143</v>
      </c>
      <c r="M261" s="98">
        <v>0.19957081545064378</v>
      </c>
      <c r="P261" s="97"/>
    </row>
    <row r="262" spans="1:16">
      <c r="A262" t="s">
        <v>3846</v>
      </c>
      <c r="B262" s="179">
        <v>3350</v>
      </c>
      <c r="C262" s="179">
        <v>6425</v>
      </c>
      <c r="D262" s="179">
        <v>5500</v>
      </c>
      <c r="E262" s="179">
        <v>5525</v>
      </c>
      <c r="F262" s="179">
        <v>14050</v>
      </c>
      <c r="G262" s="179">
        <v>5275</v>
      </c>
      <c r="H262" s="179">
        <v>1850</v>
      </c>
      <c r="I262" s="179">
        <v>41975</v>
      </c>
      <c r="J262" s="97">
        <f t="shared" si="19"/>
        <v>0.33472304943418701</v>
      </c>
      <c r="L262" s="134" t="s">
        <v>3082</v>
      </c>
      <c r="M262" s="98">
        <v>0.18475877192982457</v>
      </c>
      <c r="P262" s="97"/>
    </row>
    <row r="263" spans="1:16">
      <c r="A263" t="s">
        <v>3848</v>
      </c>
      <c r="B263" s="179">
        <v>1450</v>
      </c>
      <c r="C263" s="179">
        <v>3950</v>
      </c>
      <c r="D263" s="179"/>
      <c r="E263" s="179">
        <v>9875</v>
      </c>
      <c r="F263" s="179">
        <v>9650</v>
      </c>
      <c r="G263" s="179">
        <v>6825</v>
      </c>
      <c r="H263" s="179">
        <v>4125</v>
      </c>
      <c r="I263" s="179">
        <v>35875</v>
      </c>
      <c r="J263" s="97">
        <f t="shared" si="19"/>
        <v>0.2689895470383275</v>
      </c>
      <c r="L263" s="134" t="s">
        <v>232</v>
      </c>
      <c r="M263" s="98">
        <v>0.176056338028169</v>
      </c>
      <c r="P263" s="97"/>
    </row>
    <row r="264" spans="1:16">
      <c r="A264" t="s">
        <v>3849</v>
      </c>
      <c r="B264" s="179">
        <v>4800</v>
      </c>
      <c r="C264" s="179">
        <v>4300</v>
      </c>
      <c r="D264" s="179"/>
      <c r="E264" s="179">
        <v>6025</v>
      </c>
      <c r="F264" s="179">
        <v>5275</v>
      </c>
      <c r="G264" s="179">
        <v>5075</v>
      </c>
      <c r="H264" s="179">
        <v>6250</v>
      </c>
      <c r="I264" s="179">
        <v>31725</v>
      </c>
      <c r="J264" s="97">
        <f t="shared" si="19"/>
        <v>0.16627265563435775</v>
      </c>
      <c r="L264" s="134" t="s">
        <v>257</v>
      </c>
      <c r="M264" s="98">
        <v>0.16627265563435775</v>
      </c>
      <c r="P264" s="97"/>
    </row>
    <row r="265" spans="1:16">
      <c r="A265" t="s">
        <v>3122</v>
      </c>
      <c r="B265" s="179">
        <v>44675</v>
      </c>
      <c r="C265" s="179">
        <v>61275</v>
      </c>
      <c r="D265" s="179">
        <v>10175</v>
      </c>
      <c r="E265" s="179">
        <v>134525</v>
      </c>
      <c r="F265" s="179">
        <v>144475</v>
      </c>
      <c r="G265" s="179">
        <v>75850</v>
      </c>
      <c r="H265" s="179">
        <v>77400</v>
      </c>
      <c r="I265" s="179">
        <v>548375</v>
      </c>
      <c r="J265" s="80">
        <f>AVERAGE(J250:J264)</f>
        <v>0.26281855927247938</v>
      </c>
    </row>
    <row r="271" spans="1:16">
      <c r="A271" t="s">
        <v>3220</v>
      </c>
    </row>
    <row r="273" spans="1:9">
      <c r="A273" s="51" t="s">
        <v>3189</v>
      </c>
      <c r="B273" s="51" t="s">
        <v>19</v>
      </c>
      <c r="C273"/>
      <c r="D273"/>
      <c r="E273"/>
      <c r="F273"/>
      <c r="G273"/>
      <c r="H273"/>
      <c r="I273"/>
    </row>
    <row r="274" spans="1:9">
      <c r="A274" s="51" t="s">
        <v>7</v>
      </c>
      <c r="B274" t="s">
        <v>166</v>
      </c>
      <c r="C274" t="s">
        <v>270</v>
      </c>
      <c r="D274" t="s">
        <v>362</v>
      </c>
      <c r="E274" t="s">
        <v>135</v>
      </c>
      <c r="F274" t="s">
        <v>87</v>
      </c>
      <c r="G274" t="s">
        <v>39</v>
      </c>
      <c r="H274" t="s">
        <v>205</v>
      </c>
      <c r="I274" t="s">
        <v>3122</v>
      </c>
    </row>
    <row r="275" spans="1:9">
      <c r="A275" t="s">
        <v>50</v>
      </c>
      <c r="B275" s="179">
        <v>13</v>
      </c>
      <c r="C275" s="179">
        <v>21</v>
      </c>
      <c r="D275" s="179">
        <v>1</v>
      </c>
      <c r="E275" s="179">
        <v>48</v>
      </c>
      <c r="F275" s="179">
        <v>49</v>
      </c>
      <c r="G275" s="179">
        <v>28</v>
      </c>
      <c r="H275" s="179">
        <v>25</v>
      </c>
      <c r="I275" s="179">
        <v>185</v>
      </c>
    </row>
    <row r="276" spans="1:9">
      <c r="A276" t="s">
        <v>62</v>
      </c>
      <c r="B276" s="179">
        <v>5</v>
      </c>
      <c r="C276" s="179">
        <v>13</v>
      </c>
      <c r="D276" s="179">
        <v>1</v>
      </c>
      <c r="E276" s="179">
        <v>41</v>
      </c>
      <c r="F276" s="179">
        <v>37</v>
      </c>
      <c r="G276" s="179">
        <v>23</v>
      </c>
      <c r="H276" s="179">
        <v>13</v>
      </c>
      <c r="I276" s="179">
        <v>133</v>
      </c>
    </row>
    <row r="277" spans="1:9">
      <c r="A277" t="s">
        <v>35</v>
      </c>
      <c r="B277" s="179">
        <v>6</v>
      </c>
      <c r="C277" s="179">
        <v>16</v>
      </c>
      <c r="D277" s="179">
        <v>2</v>
      </c>
      <c r="E277" s="179">
        <v>38</v>
      </c>
      <c r="F277" s="179">
        <v>35</v>
      </c>
      <c r="G277" s="179">
        <v>17</v>
      </c>
      <c r="H277" s="179">
        <v>19</v>
      </c>
      <c r="I277" s="179">
        <v>133</v>
      </c>
    </row>
    <row r="278" spans="1:9">
      <c r="A278" t="s">
        <v>163</v>
      </c>
      <c r="B278" s="179">
        <v>13</v>
      </c>
      <c r="C278" s="179">
        <v>6</v>
      </c>
      <c r="D278" s="179">
        <v>1</v>
      </c>
      <c r="E278" s="179">
        <v>22</v>
      </c>
      <c r="F278" s="179">
        <v>17</v>
      </c>
      <c r="G278" s="179">
        <v>12</v>
      </c>
      <c r="H278" s="179">
        <v>9</v>
      </c>
      <c r="I278" s="179">
        <v>80</v>
      </c>
    </row>
    <row r="279" spans="1:9">
      <c r="A279" t="s">
        <v>112</v>
      </c>
      <c r="B279" s="179">
        <v>16</v>
      </c>
      <c r="C279" s="179">
        <v>22</v>
      </c>
      <c r="D279" s="179">
        <v>7</v>
      </c>
      <c r="E279" s="179">
        <v>60</v>
      </c>
      <c r="F279" s="179">
        <v>50</v>
      </c>
      <c r="G279" s="179">
        <v>24</v>
      </c>
      <c r="H279" s="179">
        <v>19</v>
      </c>
      <c r="I279" s="179">
        <v>198</v>
      </c>
    </row>
    <row r="280" spans="1:9">
      <c r="A280" t="s">
        <v>153</v>
      </c>
      <c r="B280" s="179">
        <v>7</v>
      </c>
      <c r="C280" s="179">
        <v>15</v>
      </c>
      <c r="D280" s="179">
        <v>1</v>
      </c>
      <c r="E280" s="179">
        <v>41</v>
      </c>
      <c r="F280" s="179">
        <v>44</v>
      </c>
      <c r="G280" s="179">
        <v>20</v>
      </c>
      <c r="H280" s="179">
        <v>16</v>
      </c>
      <c r="I280" s="179">
        <v>144</v>
      </c>
    </row>
    <row r="281" spans="1:9">
      <c r="A281" t="s">
        <v>71</v>
      </c>
      <c r="B281" s="179">
        <v>7</v>
      </c>
      <c r="C281" s="179">
        <v>11</v>
      </c>
      <c r="D281" s="179">
        <v>1</v>
      </c>
      <c r="E281" s="179">
        <v>28</v>
      </c>
      <c r="F281" s="179">
        <v>36</v>
      </c>
      <c r="G281" s="179">
        <v>25</v>
      </c>
      <c r="H281" s="179">
        <v>19</v>
      </c>
      <c r="I281" s="179">
        <v>127</v>
      </c>
    </row>
    <row r="282" spans="1:9">
      <c r="A282" t="s">
        <v>3122</v>
      </c>
      <c r="B282" s="179">
        <v>67</v>
      </c>
      <c r="C282" s="179">
        <v>104</v>
      </c>
      <c r="D282" s="179">
        <v>14</v>
      </c>
      <c r="E282" s="179">
        <v>278</v>
      </c>
      <c r="F282" s="179">
        <v>268</v>
      </c>
      <c r="G282" s="179">
        <v>149</v>
      </c>
      <c r="H282" s="179">
        <v>120</v>
      </c>
      <c r="I282" s="179">
        <v>1000</v>
      </c>
    </row>
    <row r="283" spans="1:9">
      <c r="B283"/>
      <c r="C283"/>
      <c r="D283"/>
      <c r="E283"/>
      <c r="F283"/>
      <c r="G283"/>
      <c r="H283"/>
      <c r="I283"/>
    </row>
    <row r="284" spans="1:9">
      <c r="B284"/>
      <c r="C284"/>
      <c r="D284"/>
      <c r="E284"/>
      <c r="F284"/>
      <c r="G284"/>
      <c r="H284"/>
      <c r="I284" t="s">
        <v>3296</v>
      </c>
    </row>
    <row r="285" spans="1:9">
      <c r="B285"/>
      <c r="C285" t="s">
        <v>3284</v>
      </c>
      <c r="D285" s="80">
        <f>MAX(D289:D295)</f>
        <v>6.5902422381439785E-2</v>
      </c>
      <c r="E285" s="80">
        <f>MAX(E289:E295)</f>
        <v>0.26540258312723275</v>
      </c>
      <c r="F285" t="s">
        <v>3290</v>
      </c>
      <c r="G285"/>
      <c r="H285"/>
      <c r="I285" t="s">
        <v>3293</v>
      </c>
    </row>
    <row r="286" spans="1:9">
      <c r="B286"/>
      <c r="C286" t="s">
        <v>3285</v>
      </c>
      <c r="D286" s="80">
        <f>MIN(D289:D295)</f>
        <v>2.2274678111587985E-2</v>
      </c>
      <c r="E286" s="80">
        <f>MIN(E289:E295)</f>
        <v>0.10250068700192361</v>
      </c>
      <c r="F286" t="s">
        <v>3291</v>
      </c>
      <c r="G286" t="s">
        <v>3292</v>
      </c>
      <c r="H286"/>
      <c r="I286" t="s">
        <v>3294</v>
      </c>
    </row>
    <row r="287" spans="1:9">
      <c r="B287"/>
      <c r="C287"/>
      <c r="D287"/>
      <c r="E287"/>
      <c r="F287"/>
      <c r="G287"/>
      <c r="H287"/>
      <c r="I287" t="s">
        <v>3295</v>
      </c>
    </row>
    <row r="288" spans="1:9">
      <c r="A288" s="51" t="s">
        <v>7</v>
      </c>
      <c r="B288" t="s">
        <v>3143</v>
      </c>
      <c r="C288" t="s">
        <v>3153</v>
      </c>
      <c r="D288" t="s">
        <v>3289</v>
      </c>
      <c r="E288" t="s">
        <v>3256</v>
      </c>
      <c r="F288"/>
      <c r="G288"/>
      <c r="H288"/>
      <c r="I288" t="s">
        <v>3297</v>
      </c>
    </row>
    <row r="289" spans="1:9">
      <c r="A289" t="s">
        <v>50</v>
      </c>
      <c r="B289" s="179">
        <v>2673</v>
      </c>
      <c r="C289" s="179">
        <v>98000</v>
      </c>
      <c r="D289" s="96">
        <v>2.7275510204081633E-2</v>
      </c>
      <c r="E289" s="96">
        <v>0.14690849134377576</v>
      </c>
      <c r="F289" s="97">
        <f>B289/C289</f>
        <v>2.7275510204081633E-2</v>
      </c>
      <c r="G289" s="97">
        <f>B289/B296</f>
        <v>0.14690849134377576</v>
      </c>
      <c r="H289"/>
      <c r="I289" t="s">
        <v>3298</v>
      </c>
    </row>
    <row r="290" spans="1:9">
      <c r="A290" t="s">
        <v>62</v>
      </c>
      <c r="B290" s="179">
        <v>4829</v>
      </c>
      <c r="C290" s="179">
        <v>73275</v>
      </c>
      <c r="D290" s="96">
        <v>6.5902422381439785E-2</v>
      </c>
      <c r="E290" s="96">
        <v>0.26540258312723275</v>
      </c>
      <c r="F290"/>
      <c r="G290"/>
      <c r="H290"/>
      <c r="I290" t="s">
        <v>3299</v>
      </c>
    </row>
    <row r="291" spans="1:9">
      <c r="A291" t="s">
        <v>35</v>
      </c>
      <c r="B291" s="179">
        <v>2298</v>
      </c>
      <c r="C291" s="179">
        <v>68825</v>
      </c>
      <c r="D291" s="96">
        <v>3.3389030148928439E-2</v>
      </c>
      <c r="E291" s="96">
        <v>0.12629843363561419</v>
      </c>
      <c r="F291"/>
      <c r="G291"/>
      <c r="H291"/>
      <c r="I291" t="s">
        <v>3300</v>
      </c>
    </row>
    <row r="292" spans="1:9">
      <c r="A292" t="s">
        <v>163</v>
      </c>
      <c r="B292" s="179">
        <v>1935</v>
      </c>
      <c r="C292" s="179">
        <v>60050</v>
      </c>
      <c r="D292" s="96">
        <v>3.2223147377185679E-2</v>
      </c>
      <c r="E292" s="96">
        <v>0.10634789777411377</v>
      </c>
      <c r="F292"/>
      <c r="G292"/>
      <c r="H292"/>
      <c r="I292" t="s">
        <v>3301</v>
      </c>
    </row>
    <row r="293" spans="1:9">
      <c r="A293" t="s">
        <v>112</v>
      </c>
      <c r="B293" s="179">
        <v>2595</v>
      </c>
      <c r="C293" s="179">
        <v>116500</v>
      </c>
      <c r="D293" s="96">
        <v>2.2274678111587985E-2</v>
      </c>
      <c r="E293" s="96">
        <v>0.14262159934047816</v>
      </c>
      <c r="F293"/>
      <c r="G293"/>
      <c r="H293"/>
      <c r="I293"/>
    </row>
    <row r="294" spans="1:9">
      <c r="A294" t="s">
        <v>153</v>
      </c>
      <c r="B294" s="179">
        <v>2000</v>
      </c>
      <c r="C294" s="179">
        <v>64925</v>
      </c>
      <c r="D294" s="96">
        <v>3.0804774740084712E-2</v>
      </c>
      <c r="E294" s="96">
        <v>0.10992030777686178</v>
      </c>
      <c r="F294"/>
      <c r="G294" t="s">
        <v>3302</v>
      </c>
      <c r="H294"/>
      <c r="I294"/>
    </row>
    <row r="295" spans="1:9">
      <c r="A295" t="s">
        <v>71</v>
      </c>
      <c r="B295" s="179">
        <v>1865</v>
      </c>
      <c r="C295" s="179">
        <v>66800</v>
      </c>
      <c r="D295" s="96">
        <v>2.7919161676646705E-2</v>
      </c>
      <c r="E295" s="96">
        <v>0.10250068700192361</v>
      </c>
      <c r="F295"/>
      <c r="G295" t="s">
        <v>3303</v>
      </c>
      <c r="H295"/>
      <c r="I295"/>
    </row>
    <row r="296" spans="1:9">
      <c r="A296" t="s">
        <v>3122</v>
      </c>
      <c r="B296" s="179">
        <v>18195</v>
      </c>
      <c r="C296" s="179">
        <v>548375</v>
      </c>
      <c r="D296" s="96">
        <v>3.3179849555504903E-2</v>
      </c>
      <c r="E296" s="96">
        <v>1</v>
      </c>
      <c r="F296"/>
      <c r="G296"/>
      <c r="H296"/>
      <c r="I296"/>
    </row>
    <row r="297" spans="1:9">
      <c r="B297"/>
      <c r="C297"/>
      <c r="D297"/>
      <c r="E297"/>
      <c r="F297"/>
      <c r="G297"/>
      <c r="H297"/>
      <c r="I297"/>
    </row>
    <row r="302" spans="1:9">
      <c r="A302" t="s">
        <v>3223</v>
      </c>
      <c r="F302" s="23" t="s">
        <v>3224</v>
      </c>
    </row>
    <row r="303" spans="1:9">
      <c r="A303" s="51" t="s">
        <v>3</v>
      </c>
      <c r="B303" s="51" t="s">
        <v>4</v>
      </c>
      <c r="C303" s="23" t="s">
        <v>3149</v>
      </c>
      <c r="D303" s="23" t="s">
        <v>3150</v>
      </c>
      <c r="F303" s="51" t="s">
        <v>7</v>
      </c>
      <c r="G303" t="s">
        <v>3149</v>
      </c>
      <c r="H303" t="s">
        <v>3221</v>
      </c>
    </row>
    <row r="304" spans="1:9">
      <c r="A304" t="s">
        <v>151</v>
      </c>
      <c r="B304" t="s">
        <v>3844</v>
      </c>
      <c r="C304" s="179">
        <v>78</v>
      </c>
      <c r="D304" s="52">
        <v>3.437179487179487</v>
      </c>
      <c r="F304" t="s">
        <v>163</v>
      </c>
      <c r="G304" s="179">
        <v>80</v>
      </c>
      <c r="H304" s="52">
        <v>3.1225000000000001</v>
      </c>
    </row>
    <row r="305" spans="1:8">
      <c r="A305" t="s">
        <v>142</v>
      </c>
      <c r="B305" t="s">
        <v>3843</v>
      </c>
      <c r="C305" s="179">
        <v>53</v>
      </c>
      <c r="D305" s="52">
        <v>3.3150943396226413</v>
      </c>
      <c r="F305" t="s">
        <v>112</v>
      </c>
      <c r="G305" s="179">
        <v>198</v>
      </c>
      <c r="H305" s="52">
        <v>3.0176767676767673</v>
      </c>
    </row>
    <row r="306" spans="1:8">
      <c r="A306" t="s">
        <v>118</v>
      </c>
      <c r="B306" t="s">
        <v>3842</v>
      </c>
      <c r="C306" s="179">
        <v>65</v>
      </c>
      <c r="D306" s="52">
        <v>3.2153846153846155</v>
      </c>
      <c r="F306" t="s">
        <v>50</v>
      </c>
      <c r="G306" s="179">
        <v>185</v>
      </c>
      <c r="H306" s="52">
        <v>3.0102702702702708</v>
      </c>
    </row>
    <row r="307" spans="1:8">
      <c r="A307" t="s">
        <v>235</v>
      </c>
      <c r="B307" t="s">
        <v>3848</v>
      </c>
      <c r="C307" s="179">
        <v>74</v>
      </c>
      <c r="D307" s="52">
        <v>3.077027027027027</v>
      </c>
      <c r="F307" t="s">
        <v>62</v>
      </c>
      <c r="G307" s="179">
        <v>133</v>
      </c>
      <c r="H307" s="52">
        <v>3.0067669172932328</v>
      </c>
    </row>
    <row r="308" spans="1:8">
      <c r="A308" t="s">
        <v>162</v>
      </c>
      <c r="B308" t="s">
        <v>3847</v>
      </c>
      <c r="C308" s="179">
        <v>59</v>
      </c>
      <c r="D308" s="52">
        <v>3.0254237288135593</v>
      </c>
      <c r="F308" t="s">
        <v>35</v>
      </c>
      <c r="G308" s="179">
        <v>133</v>
      </c>
      <c r="H308" s="52">
        <v>2.9135338345864668</v>
      </c>
    </row>
    <row r="309" spans="1:8">
      <c r="A309" t="s">
        <v>100</v>
      </c>
      <c r="B309" t="s">
        <v>3841</v>
      </c>
      <c r="C309" s="179">
        <v>76</v>
      </c>
      <c r="D309" s="52">
        <v>2.9526315789473681</v>
      </c>
      <c r="F309" t="s">
        <v>71</v>
      </c>
      <c r="G309" s="179">
        <v>127</v>
      </c>
      <c r="H309" s="52">
        <v>2.8779527559055125</v>
      </c>
    </row>
    <row r="310" spans="1:8">
      <c r="A310" t="s">
        <v>32</v>
      </c>
      <c r="B310" t="s">
        <v>3835</v>
      </c>
      <c r="C310" s="179">
        <v>55</v>
      </c>
      <c r="D310" s="52">
        <v>2.9490909090909092</v>
      </c>
      <c r="F310" t="s">
        <v>153</v>
      </c>
      <c r="G310" s="179">
        <v>144</v>
      </c>
      <c r="H310" s="52">
        <v>2.8138888888888882</v>
      </c>
    </row>
    <row r="311" spans="1:8">
      <c r="A311" t="s">
        <v>80</v>
      </c>
      <c r="B311" t="s">
        <v>3839</v>
      </c>
      <c r="C311" s="179">
        <v>72</v>
      </c>
      <c r="D311" s="52">
        <v>2.9263888888888889</v>
      </c>
      <c r="F311" t="s">
        <v>3122</v>
      </c>
      <c r="G311" s="179">
        <v>1000</v>
      </c>
      <c r="H311" s="52">
        <v>2.9623000000000013</v>
      </c>
    </row>
    <row r="312" spans="1:8">
      <c r="A312" t="s">
        <v>48</v>
      </c>
      <c r="B312" t="s">
        <v>3836</v>
      </c>
      <c r="C312" s="179">
        <v>67</v>
      </c>
      <c r="D312" s="52">
        <v>2.8925373134328356</v>
      </c>
    </row>
    <row r="313" spans="1:8">
      <c r="A313" t="s">
        <v>256</v>
      </c>
      <c r="B313" t="s">
        <v>3849</v>
      </c>
      <c r="C313" s="179">
        <v>63</v>
      </c>
      <c r="D313" s="52">
        <v>2.8841269841269845</v>
      </c>
      <c r="F313" s="121" t="s">
        <v>3314</v>
      </c>
    </row>
    <row r="314" spans="1:8">
      <c r="A314" t="s">
        <v>215</v>
      </c>
      <c r="B314" t="s">
        <v>3846</v>
      </c>
      <c r="C314" s="179">
        <v>67</v>
      </c>
      <c r="D314" s="52">
        <v>2.8462686567164184</v>
      </c>
    </row>
    <row r="315" spans="1:8">
      <c r="A315" t="s">
        <v>60</v>
      </c>
      <c r="B315" t="s">
        <v>3837</v>
      </c>
      <c r="C315" s="179">
        <v>64</v>
      </c>
      <c r="D315" s="52">
        <v>2.8234374999999998</v>
      </c>
    </row>
    <row r="316" spans="1:8">
      <c r="A316" t="s">
        <v>69</v>
      </c>
      <c r="B316" t="s">
        <v>3838</v>
      </c>
      <c r="C316" s="179">
        <v>77</v>
      </c>
      <c r="D316" s="52">
        <v>2.80909090909091</v>
      </c>
    </row>
    <row r="317" spans="1:8">
      <c r="A317" t="s">
        <v>90</v>
      </c>
      <c r="B317" t="s">
        <v>3840</v>
      </c>
      <c r="C317" s="179">
        <v>61</v>
      </c>
      <c r="D317" s="52">
        <v>2.6852459016393446</v>
      </c>
      <c r="F317" s="121" t="s">
        <v>3315</v>
      </c>
    </row>
    <row r="318" spans="1:8">
      <c r="A318" t="s">
        <v>209</v>
      </c>
      <c r="B318" t="s">
        <v>3845</v>
      </c>
      <c r="C318" s="179">
        <v>69</v>
      </c>
      <c r="D318" s="52">
        <v>2.5942028985507237</v>
      </c>
    </row>
    <row r="319" spans="1:8">
      <c r="A319" t="s">
        <v>3122</v>
      </c>
      <c r="B319"/>
      <c r="C319" s="179">
        <v>1000</v>
      </c>
      <c r="D319" s="52">
        <v>2.9622999999999986</v>
      </c>
    </row>
    <row r="322" spans="1:17">
      <c r="A322" s="23" t="s">
        <v>3222</v>
      </c>
    </row>
    <row r="323" spans="1:17">
      <c r="A323" s="51" t="s">
        <v>3149</v>
      </c>
      <c r="B323" s="51" t="s">
        <v>4</v>
      </c>
      <c r="C323"/>
      <c r="D323"/>
      <c r="E323"/>
      <c r="F323"/>
      <c r="G323"/>
      <c r="H323"/>
      <c r="I323"/>
      <c r="J323"/>
      <c r="K323"/>
      <c r="L323"/>
      <c r="M323"/>
    </row>
    <row r="324" spans="1:17">
      <c r="A324" s="51" t="s">
        <v>5</v>
      </c>
      <c r="B324" t="s">
        <v>3835</v>
      </c>
      <c r="C324" t="s">
        <v>3836</v>
      </c>
      <c r="D324" t="s">
        <v>3837</v>
      </c>
      <c r="E324" t="s">
        <v>3838</v>
      </c>
      <c r="F324" t="s">
        <v>3839</v>
      </c>
      <c r="G324" t="s">
        <v>3840</v>
      </c>
      <c r="H324" t="s">
        <v>3841</v>
      </c>
      <c r="I324" t="s">
        <v>3842</v>
      </c>
      <c r="J324" t="s">
        <v>3843</v>
      </c>
      <c r="K324" t="s">
        <v>3844</v>
      </c>
      <c r="L324" t="s">
        <v>3847</v>
      </c>
      <c r="M324" t="s">
        <v>3845</v>
      </c>
      <c r="N324" t="s">
        <v>3846</v>
      </c>
      <c r="O324" t="s">
        <v>3848</v>
      </c>
      <c r="P324" t="s">
        <v>3849</v>
      </c>
      <c r="Q324" t="s">
        <v>3122</v>
      </c>
    </row>
    <row r="325" spans="1:17">
      <c r="A325" t="s">
        <v>702</v>
      </c>
      <c r="B325" s="179"/>
      <c r="C325" s="179">
        <v>1</v>
      </c>
      <c r="D325" s="179"/>
      <c r="E325" s="179"/>
      <c r="F325" s="179"/>
      <c r="G325" s="179"/>
      <c r="H325" s="179"/>
      <c r="I325" s="179"/>
      <c r="J325" s="179">
        <v>1</v>
      </c>
      <c r="K325" s="179">
        <v>1</v>
      </c>
      <c r="L325" s="179"/>
      <c r="M325" s="179"/>
      <c r="N325" s="179"/>
      <c r="O325" s="179"/>
      <c r="P325" s="179"/>
      <c r="Q325" s="179">
        <v>3</v>
      </c>
    </row>
    <row r="326" spans="1:17">
      <c r="A326" t="s">
        <v>133</v>
      </c>
      <c r="B326" s="179"/>
      <c r="C326" s="179"/>
      <c r="D326" s="179"/>
      <c r="E326" s="179"/>
      <c r="F326" s="179"/>
      <c r="G326" s="179">
        <v>59</v>
      </c>
      <c r="H326" s="179"/>
      <c r="I326" s="179"/>
      <c r="J326" s="179"/>
      <c r="K326" s="179"/>
      <c r="L326" s="179"/>
      <c r="M326" s="179">
        <v>1</v>
      </c>
      <c r="N326" s="179"/>
      <c r="O326" s="179"/>
      <c r="P326" s="179"/>
      <c r="Q326" s="179">
        <v>60</v>
      </c>
    </row>
    <row r="327" spans="1:17">
      <c r="A327" t="s">
        <v>479</v>
      </c>
      <c r="B327" s="179"/>
      <c r="C327" s="179"/>
      <c r="D327" s="179"/>
      <c r="E327" s="179"/>
      <c r="F327" s="179"/>
      <c r="G327" s="179"/>
      <c r="H327" s="179"/>
      <c r="I327" s="179"/>
      <c r="J327" s="179"/>
      <c r="K327" s="179"/>
      <c r="L327" s="179"/>
      <c r="M327" s="179"/>
      <c r="N327" s="179"/>
      <c r="O327" s="179">
        <v>71</v>
      </c>
      <c r="P327" s="179"/>
      <c r="Q327" s="179">
        <v>71</v>
      </c>
    </row>
    <row r="328" spans="1:17">
      <c r="A328" t="s">
        <v>316</v>
      </c>
      <c r="B328" s="179"/>
      <c r="C328" s="179"/>
      <c r="D328" s="179"/>
      <c r="E328" s="179"/>
      <c r="F328" s="179"/>
      <c r="G328" s="179"/>
      <c r="H328" s="179"/>
      <c r="I328" s="179">
        <v>1</v>
      </c>
      <c r="J328" s="179"/>
      <c r="K328" s="179"/>
      <c r="L328" s="179"/>
      <c r="M328" s="179">
        <v>68</v>
      </c>
      <c r="N328" s="179">
        <v>1</v>
      </c>
      <c r="O328" s="179"/>
      <c r="P328" s="179"/>
      <c r="Q328" s="179">
        <v>70</v>
      </c>
    </row>
    <row r="329" spans="1:17">
      <c r="A329" t="s">
        <v>258</v>
      </c>
      <c r="B329" s="179"/>
      <c r="C329" s="179"/>
      <c r="D329" s="179"/>
      <c r="E329" s="179"/>
      <c r="F329" s="179"/>
      <c r="G329" s="179"/>
      <c r="H329" s="179"/>
      <c r="I329" s="179"/>
      <c r="J329" s="179"/>
      <c r="K329" s="179"/>
      <c r="L329" s="179"/>
      <c r="M329" s="179"/>
      <c r="N329" s="179"/>
      <c r="O329" s="179"/>
      <c r="P329" s="179">
        <v>63</v>
      </c>
      <c r="Q329" s="179">
        <v>63</v>
      </c>
    </row>
    <row r="330" spans="1:17">
      <c r="A330" t="s">
        <v>102</v>
      </c>
      <c r="B330" s="179"/>
      <c r="C330" s="179">
        <v>64</v>
      </c>
      <c r="D330" s="179"/>
      <c r="E330" s="179"/>
      <c r="F330" s="179">
        <v>1</v>
      </c>
      <c r="G330" s="179">
        <v>1</v>
      </c>
      <c r="H330" s="179">
        <v>75</v>
      </c>
      <c r="I330" s="179"/>
      <c r="J330" s="179">
        <v>1</v>
      </c>
      <c r="K330" s="179"/>
      <c r="L330" s="179"/>
      <c r="M330" s="179"/>
      <c r="N330" s="179"/>
      <c r="O330" s="179">
        <v>3</v>
      </c>
      <c r="P330" s="179"/>
      <c r="Q330" s="179">
        <v>145</v>
      </c>
    </row>
    <row r="331" spans="1:17">
      <c r="A331" t="s">
        <v>169</v>
      </c>
      <c r="B331" s="179"/>
      <c r="C331" s="179"/>
      <c r="D331" s="179"/>
      <c r="E331" s="179"/>
      <c r="F331" s="179"/>
      <c r="G331" s="179"/>
      <c r="H331" s="179"/>
      <c r="I331" s="179"/>
      <c r="J331" s="179">
        <v>51</v>
      </c>
      <c r="K331" s="179"/>
      <c r="L331" s="179"/>
      <c r="M331" s="179"/>
      <c r="N331" s="179"/>
      <c r="O331" s="179"/>
      <c r="P331" s="179"/>
      <c r="Q331" s="179">
        <v>51</v>
      </c>
    </row>
    <row r="332" spans="1:17">
      <c r="A332" t="s">
        <v>152</v>
      </c>
      <c r="B332" s="179"/>
      <c r="C332" s="179"/>
      <c r="D332" s="179">
        <v>64</v>
      </c>
      <c r="E332" s="179"/>
      <c r="F332" s="179"/>
      <c r="G332" s="179">
        <v>1</v>
      </c>
      <c r="H332" s="179"/>
      <c r="I332" s="179"/>
      <c r="J332" s="179"/>
      <c r="K332" s="179">
        <v>77</v>
      </c>
      <c r="L332" s="179">
        <v>59</v>
      </c>
      <c r="M332" s="179"/>
      <c r="N332" s="179">
        <v>66</v>
      </c>
      <c r="O332" s="179"/>
      <c r="P332" s="179"/>
      <c r="Q332" s="179">
        <v>267</v>
      </c>
    </row>
    <row r="333" spans="1:17">
      <c r="A333" t="s">
        <v>82</v>
      </c>
      <c r="B333" s="179"/>
      <c r="C333" s="179"/>
      <c r="D333" s="179"/>
      <c r="E333" s="179"/>
      <c r="F333" s="179">
        <v>71</v>
      </c>
      <c r="G333" s="179"/>
      <c r="H333" s="179"/>
      <c r="I333" s="179"/>
      <c r="J333" s="179"/>
      <c r="K333" s="179"/>
      <c r="L333" s="179"/>
      <c r="M333" s="179"/>
      <c r="N333" s="179"/>
      <c r="O333" s="179"/>
      <c r="P333" s="179"/>
      <c r="Q333" s="179">
        <v>71</v>
      </c>
    </row>
    <row r="334" spans="1:17">
      <c r="A334" t="s">
        <v>301</v>
      </c>
      <c r="B334" s="179"/>
      <c r="C334" s="179">
        <v>2</v>
      </c>
      <c r="D334" s="179"/>
      <c r="E334" s="179"/>
      <c r="F334" s="179"/>
      <c r="G334" s="179"/>
      <c r="H334" s="179">
        <v>1</v>
      </c>
      <c r="I334" s="179">
        <v>64</v>
      </c>
      <c r="J334" s="179"/>
      <c r="K334" s="179"/>
      <c r="L334" s="179"/>
      <c r="M334" s="179"/>
      <c r="N334" s="179"/>
      <c r="O334" s="179"/>
      <c r="P334" s="179"/>
      <c r="Q334" s="179">
        <v>67</v>
      </c>
    </row>
    <row r="335" spans="1:17">
      <c r="A335" t="s">
        <v>177</v>
      </c>
      <c r="B335" s="179">
        <v>55</v>
      </c>
      <c r="C335" s="179"/>
      <c r="D335" s="179"/>
      <c r="E335" s="179"/>
      <c r="F335" s="179"/>
      <c r="G335" s="179"/>
      <c r="H335" s="179"/>
      <c r="I335" s="179"/>
      <c r="J335" s="179"/>
      <c r="K335" s="179"/>
      <c r="L335" s="179"/>
      <c r="M335" s="179"/>
      <c r="N335" s="179"/>
      <c r="O335" s="179"/>
      <c r="P335" s="179"/>
      <c r="Q335" s="179">
        <v>55</v>
      </c>
    </row>
    <row r="336" spans="1:17">
      <c r="A336" t="s">
        <v>194</v>
      </c>
      <c r="B336" s="179"/>
      <c r="C336" s="179"/>
      <c r="D336" s="179"/>
      <c r="E336" s="179">
        <v>77</v>
      </c>
      <c r="F336" s="179"/>
      <c r="G336" s="179"/>
      <c r="H336" s="179"/>
      <c r="I336" s="179"/>
      <c r="J336" s="179"/>
      <c r="K336" s="179"/>
      <c r="L336" s="179"/>
      <c r="M336" s="179"/>
      <c r="N336" s="179"/>
      <c r="O336" s="179"/>
      <c r="P336" s="179"/>
      <c r="Q336" s="179">
        <v>77</v>
      </c>
    </row>
    <row r="337" spans="1:17">
      <c r="A337" t="s">
        <v>3122</v>
      </c>
      <c r="B337" s="179">
        <v>55</v>
      </c>
      <c r="C337" s="179">
        <v>67</v>
      </c>
      <c r="D337" s="179">
        <v>64</v>
      </c>
      <c r="E337" s="179">
        <v>77</v>
      </c>
      <c r="F337" s="179">
        <v>72</v>
      </c>
      <c r="G337" s="179">
        <v>61</v>
      </c>
      <c r="H337" s="179">
        <v>76</v>
      </c>
      <c r="I337" s="179">
        <v>65</v>
      </c>
      <c r="J337" s="179">
        <v>53</v>
      </c>
      <c r="K337" s="179">
        <v>78</v>
      </c>
      <c r="L337" s="179">
        <v>59</v>
      </c>
      <c r="M337" s="179">
        <v>69</v>
      </c>
      <c r="N337" s="179">
        <v>67</v>
      </c>
      <c r="O337" s="179">
        <v>74</v>
      </c>
      <c r="P337" s="179">
        <v>63</v>
      </c>
      <c r="Q337" s="179">
        <v>1000</v>
      </c>
    </row>
    <row r="338" spans="1:17">
      <c r="B338"/>
      <c r="C338"/>
      <c r="D338"/>
      <c r="E338"/>
      <c r="F338"/>
      <c r="G338"/>
      <c r="H338"/>
      <c r="I338"/>
      <c r="J338"/>
      <c r="K338"/>
      <c r="L338"/>
      <c r="M338"/>
    </row>
    <row r="339" spans="1:17">
      <c r="B339"/>
      <c r="C339"/>
      <c r="D339"/>
    </row>
    <row r="341" spans="1:17">
      <c r="C341" s="23" t="s">
        <v>3306</v>
      </c>
    </row>
    <row r="342" spans="1:17">
      <c r="A342" t="s">
        <v>3225</v>
      </c>
      <c r="E342" s="104"/>
    </row>
    <row r="343" spans="1:17">
      <c r="A343" s="51" t="s">
        <v>5</v>
      </c>
      <c r="B343" s="23" t="s">
        <v>3149</v>
      </c>
      <c r="C343" t="s">
        <v>3153</v>
      </c>
      <c r="D343" s="92" t="s">
        <v>3141</v>
      </c>
      <c r="E343" s="23" t="s">
        <v>5</v>
      </c>
      <c r="F343" s="23" t="s">
        <v>3153</v>
      </c>
      <c r="G343" s="23" t="s">
        <v>3182</v>
      </c>
    </row>
    <row r="344" spans="1:17">
      <c r="A344" s="102" t="s">
        <v>152</v>
      </c>
      <c r="B344" s="179">
        <v>267</v>
      </c>
      <c r="C344" s="141">
        <v>165925</v>
      </c>
      <c r="D344" s="93">
        <v>25561272.383052509</v>
      </c>
      <c r="E344" s="23" t="s">
        <v>702</v>
      </c>
      <c r="F344" s="23">
        <f>GETPIVOTDATA("Sum of Order_Quantity",$A$343,"Supplier_Country","Africa Region")</f>
        <v>300</v>
      </c>
      <c r="G344" s="94">
        <f>GETPIVOTDATA("Sum of Ordered_Value in $",$A$343,"Supplier_Country","Africa Region")</f>
        <v>3477.5215099999996</v>
      </c>
      <c r="H344" s="23" t="s">
        <v>3284</v>
      </c>
      <c r="I344" s="23">
        <f>MAX(F344:F355)</f>
        <v>165925</v>
      </c>
      <c r="J344" s="139">
        <f>MAX(G344:G355)</f>
        <v>25561272.383052509</v>
      </c>
    </row>
    <row r="345" spans="1:17">
      <c r="A345" s="102" t="s">
        <v>102</v>
      </c>
      <c r="B345" s="179">
        <v>145</v>
      </c>
      <c r="C345" s="141">
        <v>79550</v>
      </c>
      <c r="D345" s="93">
        <v>16254125.093430003</v>
      </c>
      <c r="E345" s="23" t="s">
        <v>133</v>
      </c>
      <c r="F345" s="23">
        <f>GETPIVOTDATA("Sum of Order_Quantity",$A$343,"Supplier_Country","Egypt")</f>
        <v>32850</v>
      </c>
      <c r="G345" s="94">
        <f>GETPIVOTDATA("Sum of Ordered_Value in $",$A$343,"Supplier_Country","Egypt")</f>
        <v>3358102.8853000002</v>
      </c>
      <c r="H345" s="23" t="s">
        <v>3285</v>
      </c>
      <c r="I345" s="23">
        <f>MIN(F344:F356)</f>
        <v>300</v>
      </c>
      <c r="J345" s="139">
        <f>MIN(G344:G355)</f>
        <v>3477.5215099999996</v>
      </c>
    </row>
    <row r="346" spans="1:17">
      <c r="A346" t="s">
        <v>177</v>
      </c>
      <c r="B346" s="179">
        <v>55</v>
      </c>
      <c r="C346" s="91">
        <v>26875</v>
      </c>
      <c r="D346" s="93">
        <v>13053415.056550004</v>
      </c>
      <c r="E346" s="23" t="s">
        <v>479</v>
      </c>
      <c r="F346" s="23">
        <f>GETPIVOTDATA("Sum of Order_Quantity",$A$343,"Supplier_Country","Ethiopia")</f>
        <v>34025</v>
      </c>
      <c r="G346" s="94">
        <f>GETPIVOTDATA("Sum of Ordered_Value in $",$A$343,"Supplier_Country","Ethiopia")</f>
        <v>1834433.0083749997</v>
      </c>
    </row>
    <row r="347" spans="1:17">
      <c r="A347" t="s">
        <v>169</v>
      </c>
      <c r="B347" s="179">
        <v>51</v>
      </c>
      <c r="C347" s="91">
        <v>23100</v>
      </c>
      <c r="D347" s="93">
        <v>9744921.1633825041</v>
      </c>
      <c r="E347" s="23" t="s">
        <v>316</v>
      </c>
      <c r="F347" s="23">
        <f>GETPIVOTDATA("Sum of Order_Quantity",$A$343,"Supplier_Country","Ghana")</f>
        <v>35750</v>
      </c>
      <c r="G347" s="94">
        <f>GETPIVOTDATA("Sum of Ordered_Value in $",$A$343,"Supplier_Country","Ghana")</f>
        <v>1110816.5084800001</v>
      </c>
      <c r="H347" s="134" t="s">
        <v>3304</v>
      </c>
    </row>
    <row r="348" spans="1:17">
      <c r="A348" t="s">
        <v>194</v>
      </c>
      <c r="B348" s="179">
        <v>77</v>
      </c>
      <c r="C348" s="91">
        <v>41200</v>
      </c>
      <c r="D348" s="93">
        <v>6122900.9380600005</v>
      </c>
      <c r="E348" s="23" t="s">
        <v>258</v>
      </c>
      <c r="F348" s="23">
        <f>GETPIVOTDATA("Sum of Order_Quantity",$A$343,"Supplier_Country","Ivory Coast")</f>
        <v>31725</v>
      </c>
      <c r="G348" s="94">
        <f>GETPIVOTDATA("Sum of Ordered_Value in $",$A$343,"Supplier_Country","Ivory Coast")</f>
        <v>3811498.5393049992</v>
      </c>
    </row>
    <row r="349" spans="1:17">
      <c r="A349" s="102" t="s">
        <v>301</v>
      </c>
      <c r="B349" s="179">
        <v>67</v>
      </c>
      <c r="C349" s="141">
        <v>44425</v>
      </c>
      <c r="D349" s="93">
        <v>3992618.1281949999</v>
      </c>
      <c r="E349" s="23" t="s">
        <v>102</v>
      </c>
      <c r="F349" s="23">
        <f>GETPIVOTDATA("Sum of Order_Quantity",$A$343,"Supplier_Country","Kenya")</f>
        <v>79550</v>
      </c>
      <c r="G349" s="94">
        <f>GETPIVOTDATA("Sum of Ordered_Value in $",$A$343,"Supplier_Country","Kenya")</f>
        <v>16254125.093430003</v>
      </c>
    </row>
    <row r="350" spans="1:17">
      <c r="A350" t="s">
        <v>258</v>
      </c>
      <c r="B350" s="179">
        <v>63</v>
      </c>
      <c r="C350" s="91">
        <v>31725</v>
      </c>
      <c r="D350" s="93">
        <v>3811498.5393049992</v>
      </c>
      <c r="E350" s="23" t="s">
        <v>169</v>
      </c>
      <c r="F350" s="23">
        <f>GETPIVOTDATA("Sum of Order_Quantity",$A$343,"Supplier_Country","Morocco")</f>
        <v>23100</v>
      </c>
      <c r="G350" s="94">
        <f>GETPIVOTDATA("Sum of Ordered_Value in $",$A$343,"Supplier_Country","Morocco")</f>
        <v>9744921.1633825041</v>
      </c>
    </row>
    <row r="351" spans="1:17">
      <c r="A351" t="s">
        <v>133</v>
      </c>
      <c r="B351" s="179">
        <v>60</v>
      </c>
      <c r="C351" s="91">
        <v>32850</v>
      </c>
      <c r="D351" s="93">
        <v>3358102.8853000002</v>
      </c>
      <c r="E351" s="121" t="s">
        <v>152</v>
      </c>
      <c r="F351" s="121">
        <f>GETPIVOTDATA("Sum of Order_Quantity",$A$343,"Supplier_Country","Nigeria")</f>
        <v>165925</v>
      </c>
      <c r="G351" s="140">
        <f>GETPIVOTDATA("Sum of Ordered_Value in $",$A$343,"Supplier_Country","Nigeria")</f>
        <v>25561272.383052509</v>
      </c>
    </row>
    <row r="352" spans="1:17">
      <c r="A352" t="s">
        <v>82</v>
      </c>
      <c r="B352" s="179">
        <v>71</v>
      </c>
      <c r="C352" s="91">
        <v>32650</v>
      </c>
      <c r="D352" s="93">
        <v>2874915.2730149995</v>
      </c>
      <c r="E352" s="23" t="s">
        <v>82</v>
      </c>
      <c r="F352" s="23">
        <f>GETPIVOTDATA("Sum of Order_Quantity",$A$343,"Supplier_Country","Rwanda")</f>
        <v>32650</v>
      </c>
      <c r="G352" s="94">
        <f>GETPIVOTDATA("Sum of Ordered_Value in $",$A$343,"Supplier_Country","Rwanda")</f>
        <v>2874915.2730149995</v>
      </c>
    </row>
    <row r="353" spans="1:9">
      <c r="A353" t="s">
        <v>479</v>
      </c>
      <c r="B353" s="179">
        <v>71</v>
      </c>
      <c r="C353" s="91">
        <v>34025</v>
      </c>
      <c r="D353" s="93">
        <v>1834433.0083749997</v>
      </c>
      <c r="E353" s="23" t="s">
        <v>301</v>
      </c>
      <c r="F353" s="23">
        <f>GETPIVOTDATA("Sum of Order_Quantity",$A$343,"Supplier_Country","South Africa")</f>
        <v>44425</v>
      </c>
      <c r="G353" s="94">
        <f>GETPIVOTDATA("Sum of Ordered_Value in $",$A$343,"Supplier_Country","South Africa")</f>
        <v>3992618.1281949999</v>
      </c>
    </row>
    <row r="354" spans="1:9">
      <c r="A354" t="s">
        <v>316</v>
      </c>
      <c r="B354" s="179">
        <v>70</v>
      </c>
      <c r="C354" s="91">
        <v>35750</v>
      </c>
      <c r="D354" s="93">
        <v>1110816.5084800001</v>
      </c>
      <c r="E354" s="23" t="s">
        <v>177</v>
      </c>
      <c r="F354" s="23">
        <f>GETPIVOTDATA("Sum of Order_Quantity",$A$343,"Supplier_Country","Tanzania")</f>
        <v>26875</v>
      </c>
      <c r="G354" s="94">
        <f>GETPIVOTDATA("Sum of Ordered_Value in $",$A$343,"Supplier_Country","Tanzania")</f>
        <v>13053415.056550004</v>
      </c>
    </row>
    <row r="355" spans="1:9">
      <c r="A355" t="s">
        <v>702</v>
      </c>
      <c r="B355" s="179">
        <v>3</v>
      </c>
      <c r="C355" s="91">
        <v>300</v>
      </c>
      <c r="D355" s="93">
        <v>3477.5215099999996</v>
      </c>
      <c r="E355" s="23" t="s">
        <v>194</v>
      </c>
      <c r="F355" s="23">
        <f>GETPIVOTDATA("Sum of Order_Quantity",$A$343,"Supplier_Country","Uganda")</f>
        <v>41200</v>
      </c>
      <c r="G355" s="94">
        <f>GETPIVOTDATA("Sum of Ordered_Value in $",$A$343,"Supplier_Country","Uganda")</f>
        <v>6122900.9380600005</v>
      </c>
    </row>
    <row r="356" spans="1:9">
      <c r="A356" t="s">
        <v>3122</v>
      </c>
      <c r="B356" s="179">
        <v>1000</v>
      </c>
      <c r="C356" s="91">
        <v>548375</v>
      </c>
      <c r="D356" s="93">
        <v>87722496.498654976</v>
      </c>
    </row>
    <row r="357" spans="1:9">
      <c r="B357"/>
      <c r="C357"/>
      <c r="D357"/>
    </row>
    <row r="358" spans="1:9">
      <c r="B358"/>
      <c r="C358"/>
      <c r="D358"/>
    </row>
    <row r="359" spans="1:9">
      <c r="B359"/>
      <c r="C359"/>
      <c r="D359"/>
    </row>
    <row r="360" spans="1:9">
      <c r="D360" s="23" t="s">
        <v>3305</v>
      </c>
    </row>
    <row r="361" spans="1:9">
      <c r="F361" s="104"/>
    </row>
    <row r="362" spans="1:9">
      <c r="A362" s="11" t="s">
        <v>3</v>
      </c>
      <c r="B362" s="11" t="s">
        <v>4</v>
      </c>
      <c r="C362" s="8" t="s">
        <v>3140</v>
      </c>
      <c r="D362" s="15" t="s">
        <v>3141</v>
      </c>
      <c r="F362" s="11" t="s">
        <v>3</v>
      </c>
      <c r="G362" s="8" t="s">
        <v>3142</v>
      </c>
      <c r="H362" s="21" t="s">
        <v>3141</v>
      </c>
      <c r="I362" s="15" t="s">
        <v>3147</v>
      </c>
    </row>
    <row r="363" spans="1:9">
      <c r="A363" s="8" t="s">
        <v>32</v>
      </c>
      <c r="B363" s="8" t="s">
        <v>3835</v>
      </c>
      <c r="C363" s="161">
        <v>55</v>
      </c>
      <c r="D363" s="18">
        <v>13053415.056550004</v>
      </c>
      <c r="F363" s="8" t="s">
        <v>32</v>
      </c>
      <c r="G363" s="161">
        <v>55</v>
      </c>
      <c r="H363" s="142">
        <v>13053415.056550004</v>
      </c>
      <c r="I363" s="46">
        <v>0.14880350625623312</v>
      </c>
    </row>
    <row r="364" spans="1:9">
      <c r="A364" s="8" t="s">
        <v>162</v>
      </c>
      <c r="B364" s="8" t="s">
        <v>3847</v>
      </c>
      <c r="C364" s="161">
        <v>59</v>
      </c>
      <c r="D364" s="18">
        <v>12175266.2163925</v>
      </c>
      <c r="F364" s="13" t="s">
        <v>162</v>
      </c>
      <c r="G364" s="162">
        <v>59</v>
      </c>
      <c r="H364" s="143">
        <v>12175266.2163925</v>
      </c>
      <c r="I364" s="47">
        <v>0.13879297446327432</v>
      </c>
    </row>
    <row r="365" spans="1:9">
      <c r="A365" s="8" t="s">
        <v>142</v>
      </c>
      <c r="B365" s="8" t="s">
        <v>3843</v>
      </c>
      <c r="C365" s="161">
        <v>53</v>
      </c>
      <c r="D365" s="18">
        <v>9746578.696382504</v>
      </c>
      <c r="F365" s="13" t="s">
        <v>142</v>
      </c>
      <c r="G365" s="162">
        <v>53</v>
      </c>
      <c r="H365" s="143">
        <v>9746578.696382504</v>
      </c>
      <c r="I365" s="47">
        <v>0.11110694617009605</v>
      </c>
    </row>
    <row r="366" spans="1:9">
      <c r="A366" s="8" t="s">
        <v>48</v>
      </c>
      <c r="B366" s="8" t="s">
        <v>3836</v>
      </c>
      <c r="C366" s="161">
        <v>67</v>
      </c>
      <c r="D366" s="18">
        <v>9142387.641830001</v>
      </c>
      <c r="F366" s="13" t="s">
        <v>48</v>
      </c>
      <c r="G366" s="162">
        <v>67</v>
      </c>
      <c r="H366" s="44">
        <v>9142387.641830001</v>
      </c>
      <c r="I366" s="47">
        <v>0.10421941926801151</v>
      </c>
    </row>
    <row r="367" spans="1:9">
      <c r="A367" s="8" t="s">
        <v>60</v>
      </c>
      <c r="B367" s="8" t="s">
        <v>3837</v>
      </c>
      <c r="C367" s="161">
        <v>64</v>
      </c>
      <c r="D367" s="18">
        <v>7462599.8065099996</v>
      </c>
      <c r="F367" s="13" t="s">
        <v>60</v>
      </c>
      <c r="G367" s="162">
        <v>64</v>
      </c>
      <c r="H367" s="44">
        <v>7462599.8065099996</v>
      </c>
      <c r="I367" s="47">
        <v>8.5070536115264536E-2</v>
      </c>
    </row>
    <row r="368" spans="1:9">
      <c r="A368" s="8" t="s">
        <v>100</v>
      </c>
      <c r="B368" s="8" t="s">
        <v>3841</v>
      </c>
      <c r="C368" s="161">
        <v>76</v>
      </c>
      <c r="D368" s="18">
        <v>7157225.0562600009</v>
      </c>
      <c r="F368" s="13" t="s">
        <v>100</v>
      </c>
      <c r="G368" s="162">
        <v>76</v>
      </c>
      <c r="H368" s="44">
        <v>7157225.0562600009</v>
      </c>
      <c r="I368" s="47">
        <v>8.1589390885264373E-2</v>
      </c>
    </row>
    <row r="369" spans="1:9">
      <c r="A369" s="8" t="s">
        <v>69</v>
      </c>
      <c r="B369" s="8" t="s">
        <v>3838</v>
      </c>
      <c r="C369" s="161">
        <v>77</v>
      </c>
      <c r="D369" s="18">
        <v>6122900.9380600005</v>
      </c>
      <c r="F369" s="13" t="s">
        <v>69</v>
      </c>
      <c r="G369" s="162">
        <v>77</v>
      </c>
      <c r="H369" s="44">
        <v>6122900.9380600005</v>
      </c>
      <c r="I369" s="47">
        <v>6.9798525833722452E-2</v>
      </c>
    </row>
    <row r="370" spans="1:9">
      <c r="A370" s="8" t="s">
        <v>118</v>
      </c>
      <c r="B370" s="8" t="s">
        <v>3842</v>
      </c>
      <c r="C370" s="161">
        <v>65</v>
      </c>
      <c r="D370" s="18">
        <v>3939402.9666949995</v>
      </c>
      <c r="F370" s="13" t="s">
        <v>118</v>
      </c>
      <c r="G370" s="162">
        <v>65</v>
      </c>
      <c r="H370" s="44">
        <v>3939402.9666949995</v>
      </c>
      <c r="I370" s="47">
        <v>4.4907556487011273E-2</v>
      </c>
    </row>
    <row r="371" spans="1:9">
      <c r="A371" s="8" t="s">
        <v>256</v>
      </c>
      <c r="B371" s="8" t="s">
        <v>3849</v>
      </c>
      <c r="C371" s="161">
        <v>63</v>
      </c>
      <c r="D371" s="18">
        <v>3811498.5393049992</v>
      </c>
      <c r="F371" s="13" t="s">
        <v>256</v>
      </c>
      <c r="G371" s="162">
        <v>63</v>
      </c>
      <c r="H371" s="44">
        <v>3811498.5393049992</v>
      </c>
      <c r="I371" s="47">
        <v>4.3449499175658289E-2</v>
      </c>
    </row>
    <row r="372" spans="1:9">
      <c r="A372" s="8" t="s">
        <v>90</v>
      </c>
      <c r="B372" s="8" t="s">
        <v>3840</v>
      </c>
      <c r="C372" s="161">
        <v>61</v>
      </c>
      <c r="D372" s="18">
        <v>3360570.1484500002</v>
      </c>
      <c r="F372" s="13" t="s">
        <v>90</v>
      </c>
      <c r="G372" s="162">
        <v>61</v>
      </c>
      <c r="H372" s="44">
        <v>3360570.1484500002</v>
      </c>
      <c r="I372" s="47">
        <v>3.8309102939193304E-2</v>
      </c>
    </row>
    <row r="373" spans="1:9">
      <c r="A373" s="8" t="s">
        <v>151</v>
      </c>
      <c r="B373" s="8" t="s">
        <v>3844</v>
      </c>
      <c r="C373" s="161">
        <v>78</v>
      </c>
      <c r="D373" s="18">
        <v>3191425.3562400015</v>
      </c>
      <c r="F373" s="13" t="s">
        <v>151</v>
      </c>
      <c r="G373" s="162">
        <v>78</v>
      </c>
      <c r="H373" s="44">
        <v>3191425.3562400015</v>
      </c>
      <c r="I373" s="47">
        <v>3.6380922609617394E-2</v>
      </c>
    </row>
    <row r="374" spans="1:9">
      <c r="A374" s="8" t="s">
        <v>80</v>
      </c>
      <c r="B374" s="8" t="s">
        <v>3839</v>
      </c>
      <c r="C374" s="161">
        <v>72</v>
      </c>
      <c r="D374" s="18">
        <v>2883227.9620150002</v>
      </c>
      <c r="F374" s="13" t="s">
        <v>80</v>
      </c>
      <c r="G374" s="162">
        <v>72</v>
      </c>
      <c r="H374" s="44">
        <v>2883227.9620150002</v>
      </c>
      <c r="I374" s="47">
        <v>3.2867600411477182E-2</v>
      </c>
    </row>
    <row r="375" spans="1:9">
      <c r="A375" s="8" t="s">
        <v>215</v>
      </c>
      <c r="B375" s="8" t="s">
        <v>3846</v>
      </c>
      <c r="C375" s="161">
        <v>67</v>
      </c>
      <c r="D375" s="18">
        <v>2795577.3100099997</v>
      </c>
      <c r="F375" s="13" t="s">
        <v>215</v>
      </c>
      <c r="G375" s="162">
        <v>67</v>
      </c>
      <c r="H375" s="44">
        <v>2795577.3100099997</v>
      </c>
      <c r="I375" s="47">
        <v>3.1868419408844134E-2</v>
      </c>
    </row>
    <row r="376" spans="1:9">
      <c r="A376" s="8" t="s">
        <v>235</v>
      </c>
      <c r="B376" s="8" t="s">
        <v>3848</v>
      </c>
      <c r="C376" s="161">
        <v>74</v>
      </c>
      <c r="D376" s="18">
        <v>1843190.0297249998</v>
      </c>
      <c r="F376" s="13" t="s">
        <v>235</v>
      </c>
      <c r="G376" s="162">
        <v>74</v>
      </c>
      <c r="H376" s="44">
        <v>1843190.0297249998</v>
      </c>
      <c r="I376" s="47">
        <v>2.1011600254140735E-2</v>
      </c>
    </row>
    <row r="377" spans="1:9">
      <c r="A377" s="8" t="s">
        <v>209</v>
      </c>
      <c r="B377" s="8" t="s">
        <v>3845</v>
      </c>
      <c r="C377" s="161">
        <v>69</v>
      </c>
      <c r="D377" s="18">
        <v>1037230.77423</v>
      </c>
      <c r="F377" s="13" t="s">
        <v>209</v>
      </c>
      <c r="G377" s="162">
        <v>69</v>
      </c>
      <c r="H377" s="44">
        <v>1037230.77423</v>
      </c>
      <c r="I377" s="47">
        <v>1.182399972219102E-2</v>
      </c>
    </row>
    <row r="378" spans="1:9">
      <c r="A378" s="12" t="s">
        <v>3122</v>
      </c>
      <c r="B378" s="14"/>
      <c r="C378" s="163">
        <v>1000</v>
      </c>
      <c r="D378" s="19">
        <v>87722496.498655036</v>
      </c>
      <c r="F378" s="12" t="s">
        <v>3122</v>
      </c>
      <c r="G378" s="163">
        <v>1000</v>
      </c>
      <c r="H378" s="45">
        <v>87722496.498655036</v>
      </c>
      <c r="I378" s="48">
        <v>1</v>
      </c>
    </row>
    <row r="382" spans="1:9">
      <c r="A382" s="11" t="s">
        <v>5</v>
      </c>
      <c r="B382" s="8" t="s">
        <v>3142</v>
      </c>
      <c r="C382" s="15" t="s">
        <v>3141</v>
      </c>
    </row>
    <row r="383" spans="1:9">
      <c r="A383" s="8" t="s">
        <v>152</v>
      </c>
      <c r="B383" s="161">
        <v>267</v>
      </c>
      <c r="C383" s="18">
        <v>25561272.383052509</v>
      </c>
    </row>
    <row r="384" spans="1:9">
      <c r="A384" s="13" t="s">
        <v>102</v>
      </c>
      <c r="B384" s="162">
        <v>145</v>
      </c>
      <c r="C384" s="54">
        <v>16254125.093430003</v>
      </c>
    </row>
    <row r="385" spans="1:3">
      <c r="A385" s="13" t="s">
        <v>177</v>
      </c>
      <c r="B385" s="162">
        <v>55</v>
      </c>
      <c r="C385" s="54">
        <v>13053415.056550004</v>
      </c>
    </row>
    <row r="386" spans="1:3">
      <c r="A386" s="13" t="s">
        <v>169</v>
      </c>
      <c r="B386" s="162">
        <v>51</v>
      </c>
      <c r="C386" s="54">
        <v>9744921.1633825041</v>
      </c>
    </row>
    <row r="387" spans="1:3">
      <c r="A387" s="13" t="s">
        <v>194</v>
      </c>
      <c r="B387" s="162">
        <v>77</v>
      </c>
      <c r="C387" s="54">
        <v>6122900.9380600005</v>
      </c>
    </row>
    <row r="388" spans="1:3">
      <c r="A388" s="13" t="s">
        <v>301</v>
      </c>
      <c r="B388" s="162">
        <v>67</v>
      </c>
      <c r="C388" s="54">
        <v>3992618.1281949999</v>
      </c>
    </row>
    <row r="389" spans="1:3">
      <c r="A389" s="13" t="s">
        <v>258</v>
      </c>
      <c r="B389" s="162">
        <v>63</v>
      </c>
      <c r="C389" s="54">
        <v>3811498.5393049992</v>
      </c>
    </row>
    <row r="390" spans="1:3">
      <c r="A390" s="13" t="s">
        <v>133</v>
      </c>
      <c r="B390" s="162">
        <v>60</v>
      </c>
      <c r="C390" s="54">
        <v>3358102.8853000002</v>
      </c>
    </row>
    <row r="391" spans="1:3">
      <c r="A391" s="13" t="s">
        <v>82</v>
      </c>
      <c r="B391" s="162">
        <v>71</v>
      </c>
      <c r="C391" s="54">
        <v>2874915.2730149995</v>
      </c>
    </row>
    <row r="392" spans="1:3">
      <c r="A392" s="13" t="s">
        <v>479</v>
      </c>
      <c r="B392" s="162">
        <v>71</v>
      </c>
      <c r="C392" s="54">
        <v>1834433.0083749997</v>
      </c>
    </row>
    <row r="393" spans="1:3">
      <c r="A393" s="13" t="s">
        <v>316</v>
      </c>
      <c r="B393" s="162">
        <v>70</v>
      </c>
      <c r="C393" s="54">
        <v>1110816.5084800001</v>
      </c>
    </row>
    <row r="394" spans="1:3">
      <c r="A394" s="13" t="s">
        <v>702</v>
      </c>
      <c r="B394" s="162">
        <v>3</v>
      </c>
      <c r="C394" s="54">
        <v>3477.5215099999996</v>
      </c>
    </row>
    <row r="395" spans="1:3">
      <c r="A395" s="12" t="s">
        <v>3122</v>
      </c>
      <c r="B395" s="163">
        <v>1000</v>
      </c>
      <c r="C395" s="19">
        <v>87722496.498654976</v>
      </c>
    </row>
    <row r="399" spans="1:3">
      <c r="A399" s="11" t="s">
        <v>6</v>
      </c>
      <c r="B399" s="8" t="s">
        <v>3142</v>
      </c>
      <c r="C399" s="15" t="s">
        <v>3141</v>
      </c>
    </row>
    <row r="400" spans="1:3">
      <c r="A400" s="8" t="s">
        <v>70</v>
      </c>
      <c r="B400" s="161">
        <v>128</v>
      </c>
      <c r="C400" s="18">
        <v>15600424.99639</v>
      </c>
    </row>
    <row r="401" spans="1:13">
      <c r="A401" s="13" t="s">
        <v>34</v>
      </c>
      <c r="B401" s="162">
        <v>107</v>
      </c>
      <c r="C401" s="54">
        <v>14860355.486340009</v>
      </c>
    </row>
    <row r="402" spans="1:13">
      <c r="A402" s="13" t="s">
        <v>120</v>
      </c>
      <c r="B402" s="162">
        <v>103</v>
      </c>
      <c r="C402" s="54">
        <v>12433581.862520004</v>
      </c>
    </row>
    <row r="403" spans="1:13">
      <c r="A403" s="13" t="s">
        <v>241</v>
      </c>
      <c r="B403" s="162">
        <v>109</v>
      </c>
      <c r="C403" s="54">
        <v>9988404.6270350032</v>
      </c>
    </row>
    <row r="404" spans="1:13">
      <c r="A404" s="13" t="s">
        <v>178</v>
      </c>
      <c r="B404" s="162">
        <v>99</v>
      </c>
      <c r="C404" s="54">
        <v>9756592.9437499996</v>
      </c>
    </row>
    <row r="405" spans="1:13">
      <c r="A405" s="13" t="s">
        <v>92</v>
      </c>
      <c r="B405" s="162">
        <v>107</v>
      </c>
      <c r="C405" s="54">
        <v>9407387.2521700058</v>
      </c>
    </row>
    <row r="406" spans="1:13">
      <c r="A406" s="13" t="s">
        <v>61</v>
      </c>
      <c r="B406" s="162">
        <v>108</v>
      </c>
      <c r="C406" s="54">
        <v>6615827.2961125001</v>
      </c>
    </row>
    <row r="407" spans="1:13">
      <c r="A407" s="13" t="s">
        <v>83</v>
      </c>
      <c r="B407" s="162">
        <v>113</v>
      </c>
      <c r="C407" s="54">
        <v>4545694.5508150011</v>
      </c>
    </row>
    <row r="408" spans="1:13">
      <c r="A408" s="13" t="s">
        <v>49</v>
      </c>
      <c r="B408" s="162">
        <v>126</v>
      </c>
      <c r="C408" s="54">
        <v>4514227.4835225027</v>
      </c>
    </row>
    <row r="409" spans="1:13">
      <c r="A409" s="12" t="s">
        <v>3122</v>
      </c>
      <c r="B409" s="163">
        <v>1000</v>
      </c>
      <c r="C409" s="19">
        <v>87722496.498654962</v>
      </c>
    </row>
    <row r="410" spans="1:13">
      <c r="G410" s="23" t="s">
        <v>3194</v>
      </c>
    </row>
    <row r="411" spans="1:13">
      <c r="A411" s="134"/>
      <c r="B411" s="102" t="s">
        <v>3195</v>
      </c>
    </row>
    <row r="412" spans="1:13">
      <c r="A412" s="103"/>
      <c r="D412" s="23" t="s">
        <v>3307</v>
      </c>
    </row>
    <row r="413" spans="1:13">
      <c r="A413" s="11" t="s">
        <v>3</v>
      </c>
      <c r="B413" s="11" t="s">
        <v>4</v>
      </c>
      <c r="C413" s="8" t="s">
        <v>3142</v>
      </c>
      <c r="D413" s="21" t="s">
        <v>3153</v>
      </c>
      <c r="E413" s="21" t="s">
        <v>3143</v>
      </c>
      <c r="F413" s="21" t="s">
        <v>3148</v>
      </c>
      <c r="G413" s="15" t="s">
        <v>3144</v>
      </c>
      <c r="H413" s="121" t="s">
        <v>3197</v>
      </c>
      <c r="J413" s="23" t="s">
        <v>4</v>
      </c>
      <c r="K413" s="98" t="s">
        <v>3196</v>
      </c>
      <c r="L413" s="23" t="s">
        <v>3199</v>
      </c>
      <c r="M413" s="21" t="s">
        <v>3198</v>
      </c>
    </row>
    <row r="414" spans="1:13">
      <c r="A414" s="8" t="s">
        <v>118</v>
      </c>
      <c r="B414" s="8" t="s">
        <v>3842</v>
      </c>
      <c r="C414" s="161">
        <v>65</v>
      </c>
      <c r="D414" s="172">
        <v>43800</v>
      </c>
      <c r="E414" s="172">
        <v>4159</v>
      </c>
      <c r="F414" s="49">
        <v>0.22857928002198405</v>
      </c>
      <c r="G414" s="46">
        <v>1.9275384615384614E-2</v>
      </c>
      <c r="H414" s="98">
        <f t="shared" ref="H414:H428" si="20">E414/D414</f>
        <v>9.4954337899543384E-2</v>
      </c>
      <c r="J414" s="23" t="s">
        <v>119</v>
      </c>
      <c r="K414" s="98">
        <v>1.9275384615384614E-2</v>
      </c>
      <c r="L414" s="98" t="e">
        <f t="shared" ref="L414:L428" si="21">_xlfn.XLOOKUP($J414,$B$414:$B$428,$H$414:$H$428)</f>
        <v>#N/A</v>
      </c>
      <c r="M414" s="98" t="e">
        <f t="shared" ref="M414:M428" si="22">_xlfn.XLOOKUP($J414,$B$414:$B$428,$F$414:$F$428)</f>
        <v>#N/A</v>
      </c>
    </row>
    <row r="415" spans="1:13">
      <c r="A415" s="8" t="s">
        <v>162</v>
      </c>
      <c r="B415" s="8" t="s">
        <v>3847</v>
      </c>
      <c r="C415" s="161">
        <v>59</v>
      </c>
      <c r="D415" s="172">
        <v>45600</v>
      </c>
      <c r="E415" s="172">
        <v>1543</v>
      </c>
      <c r="F415" s="49">
        <v>8.4803517449848861E-2</v>
      </c>
      <c r="G415" s="46">
        <v>1.690847457627119E-2</v>
      </c>
      <c r="H415" s="98">
        <f t="shared" si="20"/>
        <v>3.3837719298245611E-2</v>
      </c>
      <c r="J415" s="23" t="s">
        <v>3082</v>
      </c>
      <c r="K415" s="98">
        <v>1.690847457627119E-2</v>
      </c>
      <c r="L415" s="98" t="e">
        <f t="shared" si="21"/>
        <v>#N/A</v>
      </c>
      <c r="M415" s="98" t="e">
        <f t="shared" si="22"/>
        <v>#N/A</v>
      </c>
    </row>
    <row r="416" spans="1:13">
      <c r="A416" s="8" t="s">
        <v>69</v>
      </c>
      <c r="B416" s="8" t="s">
        <v>3838</v>
      </c>
      <c r="C416" s="161">
        <v>77</v>
      </c>
      <c r="D416" s="172">
        <v>41200</v>
      </c>
      <c r="E416" s="172">
        <v>1284</v>
      </c>
      <c r="F416" s="49">
        <v>7.0568837592745265E-2</v>
      </c>
      <c r="G416" s="46">
        <v>2.9802597402597414E-2</v>
      </c>
      <c r="H416" s="98">
        <f t="shared" si="20"/>
        <v>3.116504854368932E-2</v>
      </c>
      <c r="J416" s="23" t="s">
        <v>111</v>
      </c>
      <c r="K416" s="98">
        <v>2.9802597402597414E-2</v>
      </c>
      <c r="L416" s="98" t="e">
        <f t="shared" si="21"/>
        <v>#N/A</v>
      </c>
      <c r="M416" s="98" t="e">
        <f t="shared" si="22"/>
        <v>#N/A</v>
      </c>
    </row>
    <row r="417" spans="1:13">
      <c r="A417" s="8" t="s">
        <v>32</v>
      </c>
      <c r="B417" s="8" t="s">
        <v>3835</v>
      </c>
      <c r="C417" s="161">
        <v>55</v>
      </c>
      <c r="D417" s="172">
        <v>26875</v>
      </c>
      <c r="E417" s="172">
        <v>1206</v>
      </c>
      <c r="F417" s="49">
        <v>6.6281945589447652E-2</v>
      </c>
      <c r="G417" s="46">
        <v>3.9534545454545461E-2</v>
      </c>
      <c r="H417" s="98">
        <f t="shared" si="20"/>
        <v>4.4874418604651162E-2</v>
      </c>
      <c r="J417" s="23" t="s">
        <v>33</v>
      </c>
      <c r="K417" s="98">
        <v>3.9534545454545461E-2</v>
      </c>
      <c r="L417" s="98" t="e">
        <f t="shared" si="21"/>
        <v>#N/A</v>
      </c>
      <c r="M417" s="98" t="e">
        <f t="shared" si="22"/>
        <v>#N/A</v>
      </c>
    </row>
    <row r="418" spans="1:13">
      <c r="A418" s="8" t="s">
        <v>256</v>
      </c>
      <c r="B418" s="8" t="s">
        <v>3849</v>
      </c>
      <c r="C418" s="161">
        <v>63</v>
      </c>
      <c r="D418" s="172">
        <v>31725</v>
      </c>
      <c r="E418" s="172">
        <v>1164</v>
      </c>
      <c r="F418" s="49">
        <v>6.3973619126133557E-2</v>
      </c>
      <c r="G418" s="46">
        <v>4.0217460317460325E-2</v>
      </c>
      <c r="H418" s="98">
        <f t="shared" si="20"/>
        <v>3.6690307328605204E-2</v>
      </c>
      <c r="J418" s="23" t="s">
        <v>257</v>
      </c>
      <c r="K418" s="98">
        <v>4.0217460317460325E-2</v>
      </c>
      <c r="L418" s="98" t="e">
        <f t="shared" si="21"/>
        <v>#N/A</v>
      </c>
      <c r="M418" s="98" t="e">
        <f t="shared" si="22"/>
        <v>#N/A</v>
      </c>
    </row>
    <row r="419" spans="1:13">
      <c r="A419" s="8" t="s">
        <v>100</v>
      </c>
      <c r="B419" s="8" t="s">
        <v>3841</v>
      </c>
      <c r="C419" s="161">
        <v>76</v>
      </c>
      <c r="D419" s="172">
        <v>38525</v>
      </c>
      <c r="E419" s="172">
        <v>1146</v>
      </c>
      <c r="F419" s="49">
        <v>6.2984336356141798E-2</v>
      </c>
      <c r="G419" s="46">
        <v>2.4989473684210541E-2</v>
      </c>
      <c r="H419" s="98">
        <f t="shared" si="20"/>
        <v>2.9746917585983128E-2</v>
      </c>
      <c r="J419" s="23" t="s">
        <v>101</v>
      </c>
      <c r="K419" s="98">
        <v>2.4989473684210541E-2</v>
      </c>
      <c r="L419" s="98" t="e">
        <f t="shared" si="21"/>
        <v>#N/A</v>
      </c>
      <c r="M419" s="98" t="e">
        <f t="shared" si="22"/>
        <v>#N/A</v>
      </c>
    </row>
    <row r="420" spans="1:13">
      <c r="A420" s="8" t="s">
        <v>235</v>
      </c>
      <c r="B420" s="8" t="s">
        <v>3848</v>
      </c>
      <c r="C420" s="161">
        <v>74</v>
      </c>
      <c r="D420" s="172">
        <v>35875</v>
      </c>
      <c r="E420" s="172">
        <v>1079</v>
      </c>
      <c r="F420" s="49">
        <v>5.9302006045616924E-2</v>
      </c>
      <c r="G420" s="46">
        <v>2.9379729729729739E-2</v>
      </c>
      <c r="H420" s="98">
        <f t="shared" si="20"/>
        <v>3.0076655052264808E-2</v>
      </c>
      <c r="J420" s="23" t="s">
        <v>236</v>
      </c>
      <c r="K420" s="98">
        <v>2.9379729729729739E-2</v>
      </c>
      <c r="L420" s="98" t="e">
        <f t="shared" si="21"/>
        <v>#N/A</v>
      </c>
      <c r="M420" s="98" t="e">
        <f t="shared" si="22"/>
        <v>#N/A</v>
      </c>
    </row>
    <row r="421" spans="1:13">
      <c r="A421" s="8" t="s">
        <v>80</v>
      </c>
      <c r="B421" s="8" t="s">
        <v>3839</v>
      </c>
      <c r="C421" s="161">
        <v>72</v>
      </c>
      <c r="D421" s="172">
        <v>32650</v>
      </c>
      <c r="E421" s="172">
        <v>1030</v>
      </c>
      <c r="F421" s="49">
        <v>5.6608958505083816E-2</v>
      </c>
      <c r="G421" s="46">
        <v>1.6555555555555559E-2</v>
      </c>
      <c r="H421" s="98">
        <f t="shared" si="20"/>
        <v>3.1546707503828486E-2</v>
      </c>
      <c r="J421" s="23" t="s">
        <v>81</v>
      </c>
      <c r="K421" s="98">
        <v>1.6555555555555559E-2</v>
      </c>
      <c r="L421" s="98" t="e">
        <f t="shared" si="21"/>
        <v>#N/A</v>
      </c>
      <c r="M421" s="98" t="e">
        <f t="shared" si="22"/>
        <v>#N/A</v>
      </c>
    </row>
    <row r="422" spans="1:13">
      <c r="A422" s="8" t="s">
        <v>209</v>
      </c>
      <c r="B422" s="8" t="s">
        <v>3845</v>
      </c>
      <c r="C422" s="161">
        <v>69</v>
      </c>
      <c r="D422" s="172">
        <v>33625</v>
      </c>
      <c r="E422" s="172">
        <v>1008</v>
      </c>
      <c r="F422" s="49">
        <v>5.5399835119538332E-2</v>
      </c>
      <c r="G422" s="46">
        <v>2.7650724637681166E-2</v>
      </c>
      <c r="H422" s="98">
        <f t="shared" si="20"/>
        <v>2.9977695167286246E-2</v>
      </c>
      <c r="J422" s="23" t="s">
        <v>210</v>
      </c>
      <c r="K422" s="98">
        <v>2.7650724637681166E-2</v>
      </c>
      <c r="L422" s="98" t="e">
        <f t="shared" si="21"/>
        <v>#N/A</v>
      </c>
      <c r="M422" s="98" t="e">
        <f t="shared" si="22"/>
        <v>#N/A</v>
      </c>
    </row>
    <row r="423" spans="1:13">
      <c r="A423" s="8" t="s">
        <v>90</v>
      </c>
      <c r="B423" s="8" t="s">
        <v>3840</v>
      </c>
      <c r="C423" s="161">
        <v>61</v>
      </c>
      <c r="D423" s="172">
        <v>34275</v>
      </c>
      <c r="E423" s="172">
        <v>993</v>
      </c>
      <c r="F423" s="49">
        <v>5.4575432811211869E-2</v>
      </c>
      <c r="G423" s="46">
        <v>3.3906557377049187E-2</v>
      </c>
      <c r="H423" s="98">
        <f t="shared" si="20"/>
        <v>2.8971553610503284E-2</v>
      </c>
      <c r="J423" s="23" t="s">
        <v>91</v>
      </c>
      <c r="K423" s="98">
        <v>3.3906557377049187E-2</v>
      </c>
      <c r="L423" s="98" t="e">
        <f t="shared" si="21"/>
        <v>#N/A</v>
      </c>
      <c r="M423" s="98" t="e">
        <f t="shared" si="22"/>
        <v>#N/A</v>
      </c>
    </row>
    <row r="424" spans="1:13">
      <c r="A424" s="8" t="s">
        <v>48</v>
      </c>
      <c r="B424" s="8" t="s">
        <v>3836</v>
      </c>
      <c r="C424" s="161">
        <v>67</v>
      </c>
      <c r="D424" s="172">
        <v>39050</v>
      </c>
      <c r="E424" s="172">
        <v>958</v>
      </c>
      <c r="F424" s="49">
        <v>5.2651827425116787E-2</v>
      </c>
      <c r="G424" s="46">
        <v>2.8371641791044781E-2</v>
      </c>
      <c r="H424" s="98">
        <f t="shared" si="20"/>
        <v>2.4532650448143407E-2</v>
      </c>
      <c r="J424" s="23" t="s">
        <v>232</v>
      </c>
      <c r="K424" s="98">
        <v>2.8371641791044781E-2</v>
      </c>
      <c r="L424" s="98" t="e">
        <f t="shared" si="21"/>
        <v>#N/A</v>
      </c>
      <c r="M424" s="98" t="e">
        <f t="shared" si="22"/>
        <v>#N/A</v>
      </c>
    </row>
    <row r="425" spans="1:13">
      <c r="A425" s="8" t="s">
        <v>60</v>
      </c>
      <c r="B425" s="8" t="s">
        <v>3837</v>
      </c>
      <c r="C425" s="161">
        <v>64</v>
      </c>
      <c r="D425" s="172">
        <v>33100</v>
      </c>
      <c r="E425" s="172">
        <v>757</v>
      </c>
      <c r="F425" s="49">
        <v>4.1604836493542179E-2</v>
      </c>
      <c r="G425" s="46">
        <v>2.3195312499999999E-2</v>
      </c>
      <c r="H425" s="98">
        <f t="shared" si="20"/>
        <v>2.2870090634441089E-2</v>
      </c>
      <c r="J425" s="23" t="s">
        <v>466</v>
      </c>
      <c r="K425" s="98">
        <v>2.3195312499999999E-2</v>
      </c>
      <c r="L425" s="98" t="e">
        <f t="shared" si="21"/>
        <v>#N/A</v>
      </c>
      <c r="M425" s="98" t="e">
        <f t="shared" si="22"/>
        <v>#N/A</v>
      </c>
    </row>
    <row r="426" spans="1:13">
      <c r="A426" s="8" t="s">
        <v>215</v>
      </c>
      <c r="B426" s="8" t="s">
        <v>3846</v>
      </c>
      <c r="C426" s="161">
        <v>67</v>
      </c>
      <c r="D426" s="172">
        <v>41975</v>
      </c>
      <c r="E426" s="172">
        <v>741</v>
      </c>
      <c r="F426" s="49">
        <v>4.0725474031327286E-2</v>
      </c>
      <c r="G426" s="46">
        <v>2.2116417910447772E-2</v>
      </c>
      <c r="H426" s="98">
        <f t="shared" si="20"/>
        <v>1.7653365098272783E-2</v>
      </c>
      <c r="J426" s="23" t="s">
        <v>216</v>
      </c>
      <c r="K426" s="98">
        <v>2.2116417910447772E-2</v>
      </c>
      <c r="L426" s="98" t="e">
        <f t="shared" si="21"/>
        <v>#N/A</v>
      </c>
      <c r="M426" s="98" t="e">
        <f t="shared" si="22"/>
        <v>#N/A</v>
      </c>
    </row>
    <row r="427" spans="1:13">
      <c r="A427" s="8" t="s">
        <v>142</v>
      </c>
      <c r="B427" s="8" t="s">
        <v>3843</v>
      </c>
      <c r="C427" s="161">
        <v>53</v>
      </c>
      <c r="D427" s="172">
        <v>23300</v>
      </c>
      <c r="E427" s="172">
        <v>617</v>
      </c>
      <c r="F427" s="49">
        <v>3.391041494916186E-2</v>
      </c>
      <c r="G427" s="46">
        <v>1.8926415094339632E-2</v>
      </c>
      <c r="H427" s="98">
        <f t="shared" si="20"/>
        <v>2.648068669527897E-2</v>
      </c>
      <c r="J427" s="23" t="s">
        <v>143</v>
      </c>
      <c r="K427" s="98">
        <v>1.8926415094339632E-2</v>
      </c>
      <c r="L427" s="98" t="e">
        <f t="shared" si="21"/>
        <v>#N/A</v>
      </c>
      <c r="M427" s="98" t="e">
        <f t="shared" si="22"/>
        <v>#N/A</v>
      </c>
    </row>
    <row r="428" spans="1:13">
      <c r="A428" s="8" t="s">
        <v>151</v>
      </c>
      <c r="B428" s="8" t="s">
        <v>3844</v>
      </c>
      <c r="C428" s="161">
        <v>78</v>
      </c>
      <c r="D428" s="172">
        <v>46800</v>
      </c>
      <c r="E428" s="172">
        <v>510</v>
      </c>
      <c r="F428" s="49">
        <v>2.8029678483099753E-2</v>
      </c>
      <c r="G428" s="46">
        <v>1.1247435897435902E-2</v>
      </c>
      <c r="H428" s="98">
        <f t="shared" si="20"/>
        <v>1.0897435897435897E-2</v>
      </c>
      <c r="J428" s="23" t="s">
        <v>244</v>
      </c>
      <c r="K428" s="98">
        <v>1.1247435897435902E-2</v>
      </c>
      <c r="L428" s="98" t="e">
        <f t="shared" si="21"/>
        <v>#N/A</v>
      </c>
      <c r="M428" s="98" t="e">
        <f t="shared" si="22"/>
        <v>#N/A</v>
      </c>
    </row>
    <row r="429" spans="1:13">
      <c r="A429" s="12" t="s">
        <v>3122</v>
      </c>
      <c r="B429" s="14"/>
      <c r="C429" s="163">
        <v>1000</v>
      </c>
      <c r="D429" s="173">
        <v>548375</v>
      </c>
      <c r="E429" s="173">
        <v>18195</v>
      </c>
      <c r="F429" s="50">
        <v>1</v>
      </c>
      <c r="G429" s="48">
        <v>2.5242499999999949E-2</v>
      </c>
    </row>
    <row r="434" spans="1:9">
      <c r="A434" s="103"/>
      <c r="B434" s="23" t="s">
        <v>3193</v>
      </c>
      <c r="I434" s="121">
        <v>46800</v>
      </c>
    </row>
    <row r="435" spans="1:9">
      <c r="A435" s="11" t="s">
        <v>3</v>
      </c>
      <c r="B435" s="11" t="s">
        <v>4</v>
      </c>
      <c r="C435" s="8" t="s">
        <v>3153</v>
      </c>
      <c r="D435" s="21" t="s">
        <v>3143</v>
      </c>
      <c r="E435" s="21" t="s">
        <v>3142</v>
      </c>
      <c r="F435" s="21" t="s">
        <v>3154</v>
      </c>
      <c r="G435" s="144" t="s">
        <v>3148</v>
      </c>
      <c r="H435"/>
      <c r="I435" s="121">
        <v>45600</v>
      </c>
    </row>
    <row r="436" spans="1:9">
      <c r="A436" s="8" t="s">
        <v>118</v>
      </c>
      <c r="B436" s="8" t="s">
        <v>3842</v>
      </c>
      <c r="C436" s="161">
        <v>43800</v>
      </c>
      <c r="D436" s="172">
        <v>4159</v>
      </c>
      <c r="E436" s="172">
        <v>65</v>
      </c>
      <c r="F436" s="49">
        <v>9.4954337899543384E-2</v>
      </c>
      <c r="G436" s="46">
        <v>0.22857928002198405</v>
      </c>
      <c r="H436"/>
      <c r="I436" s="121">
        <v>43800</v>
      </c>
    </row>
    <row r="437" spans="1:9">
      <c r="A437" s="8" t="s">
        <v>162</v>
      </c>
      <c r="B437" s="8" t="s">
        <v>3847</v>
      </c>
      <c r="C437" s="161">
        <v>45600</v>
      </c>
      <c r="D437" s="172">
        <v>1543</v>
      </c>
      <c r="E437" s="172">
        <v>59</v>
      </c>
      <c r="F437" s="49">
        <v>3.3837719298245611E-2</v>
      </c>
      <c r="G437" s="46">
        <v>8.4803517449848861E-2</v>
      </c>
      <c r="H437"/>
      <c r="I437" s="121">
        <v>41975</v>
      </c>
    </row>
    <row r="438" spans="1:9">
      <c r="A438" s="8" t="s">
        <v>69</v>
      </c>
      <c r="B438" s="8" t="s">
        <v>3838</v>
      </c>
      <c r="C438" s="161">
        <v>41200</v>
      </c>
      <c r="D438" s="172">
        <v>1284</v>
      </c>
      <c r="E438" s="172">
        <v>77</v>
      </c>
      <c r="F438" s="49">
        <v>3.116504854368932E-2</v>
      </c>
      <c r="G438" s="46">
        <v>7.0568837592745265E-2</v>
      </c>
      <c r="H438"/>
      <c r="I438" s="121">
        <v>41200</v>
      </c>
    </row>
    <row r="439" spans="1:9">
      <c r="A439" s="8" t="s">
        <v>32</v>
      </c>
      <c r="B439" s="8" t="s">
        <v>3835</v>
      </c>
      <c r="C439" s="161">
        <v>26875</v>
      </c>
      <c r="D439" s="172">
        <v>1206</v>
      </c>
      <c r="E439" s="172">
        <v>55</v>
      </c>
      <c r="F439" s="49">
        <v>4.4874418604651162E-2</v>
      </c>
      <c r="G439" s="46">
        <v>6.6281945589447652E-2</v>
      </c>
      <c r="H439"/>
      <c r="I439" s="121">
        <v>39050</v>
      </c>
    </row>
    <row r="440" spans="1:9">
      <c r="A440" s="8" t="s">
        <v>256</v>
      </c>
      <c r="B440" s="8" t="s">
        <v>3849</v>
      </c>
      <c r="C440" s="161">
        <v>31725</v>
      </c>
      <c r="D440" s="172">
        <v>1164</v>
      </c>
      <c r="E440" s="172">
        <v>63</v>
      </c>
      <c r="F440" s="49">
        <v>3.6690307328605204E-2</v>
      </c>
      <c r="G440" s="46">
        <v>6.3973619126133557E-2</v>
      </c>
      <c r="H440"/>
      <c r="I440" s="121">
        <v>38525</v>
      </c>
    </row>
    <row r="441" spans="1:9">
      <c r="A441" s="8" t="s">
        <v>100</v>
      </c>
      <c r="B441" s="8" t="s">
        <v>3841</v>
      </c>
      <c r="C441" s="161">
        <v>38525</v>
      </c>
      <c r="D441" s="172">
        <v>1146</v>
      </c>
      <c r="E441" s="172">
        <v>76</v>
      </c>
      <c r="F441" s="49">
        <v>2.9746917585983128E-2</v>
      </c>
      <c r="G441" s="46">
        <v>6.2984336356141798E-2</v>
      </c>
      <c r="H441"/>
      <c r="I441" s="121">
        <v>35875</v>
      </c>
    </row>
    <row r="442" spans="1:9">
      <c r="A442" s="8" t="s">
        <v>235</v>
      </c>
      <c r="B442" s="8" t="s">
        <v>3848</v>
      </c>
      <c r="C442" s="161">
        <v>35875</v>
      </c>
      <c r="D442" s="172">
        <v>1079</v>
      </c>
      <c r="E442" s="172">
        <v>74</v>
      </c>
      <c r="F442" s="49">
        <v>3.0076655052264808E-2</v>
      </c>
      <c r="G442" s="46">
        <v>5.9302006045616924E-2</v>
      </c>
      <c r="H442"/>
      <c r="I442" s="121">
        <v>34275</v>
      </c>
    </row>
    <row r="443" spans="1:9">
      <c r="A443" s="8" t="s">
        <v>80</v>
      </c>
      <c r="B443" s="8" t="s">
        <v>3839</v>
      </c>
      <c r="C443" s="161">
        <v>32650</v>
      </c>
      <c r="D443" s="172">
        <v>1030</v>
      </c>
      <c r="E443" s="172">
        <v>72</v>
      </c>
      <c r="F443" s="49">
        <v>3.1546707503828486E-2</v>
      </c>
      <c r="G443" s="46">
        <v>5.6608958505083816E-2</v>
      </c>
      <c r="H443"/>
      <c r="I443" s="121">
        <v>33625</v>
      </c>
    </row>
    <row r="444" spans="1:9">
      <c r="A444" s="8" t="s">
        <v>209</v>
      </c>
      <c r="B444" s="8" t="s">
        <v>3845</v>
      </c>
      <c r="C444" s="161">
        <v>33625</v>
      </c>
      <c r="D444" s="172">
        <v>1008</v>
      </c>
      <c r="E444" s="172">
        <v>69</v>
      </c>
      <c r="F444" s="49">
        <v>2.9977695167286246E-2</v>
      </c>
      <c r="G444" s="46">
        <v>5.5399835119538332E-2</v>
      </c>
      <c r="H444"/>
      <c r="I444" s="121">
        <v>33100</v>
      </c>
    </row>
    <row r="445" spans="1:9">
      <c r="A445" s="8" t="s">
        <v>90</v>
      </c>
      <c r="B445" s="8" t="s">
        <v>3840</v>
      </c>
      <c r="C445" s="161">
        <v>34275</v>
      </c>
      <c r="D445" s="172">
        <v>993</v>
      </c>
      <c r="E445" s="172">
        <v>61</v>
      </c>
      <c r="F445" s="49">
        <v>2.8971553610503284E-2</v>
      </c>
      <c r="G445" s="46">
        <v>5.4575432811211869E-2</v>
      </c>
      <c r="H445"/>
      <c r="I445" s="121">
        <v>32650</v>
      </c>
    </row>
    <row r="446" spans="1:9">
      <c r="A446" s="8" t="s">
        <v>48</v>
      </c>
      <c r="B446" s="8" t="s">
        <v>3836</v>
      </c>
      <c r="C446" s="161">
        <v>39050</v>
      </c>
      <c r="D446" s="172">
        <v>958</v>
      </c>
      <c r="E446" s="172">
        <v>67</v>
      </c>
      <c r="F446" s="49">
        <v>2.4532650448143407E-2</v>
      </c>
      <c r="G446" s="46">
        <v>5.2651827425116787E-2</v>
      </c>
      <c r="H446"/>
      <c r="I446" s="121">
        <v>31725</v>
      </c>
    </row>
    <row r="447" spans="1:9">
      <c r="A447" s="8" t="s">
        <v>60</v>
      </c>
      <c r="B447" s="8" t="s">
        <v>3837</v>
      </c>
      <c r="C447" s="161">
        <v>33100</v>
      </c>
      <c r="D447" s="172">
        <v>757</v>
      </c>
      <c r="E447" s="172">
        <v>64</v>
      </c>
      <c r="F447" s="49">
        <v>2.2870090634441089E-2</v>
      </c>
      <c r="G447" s="46">
        <v>4.1604836493542179E-2</v>
      </c>
      <c r="H447"/>
      <c r="I447" s="121">
        <v>26875</v>
      </c>
    </row>
    <row r="448" spans="1:9">
      <c r="A448" s="8" t="s">
        <v>215</v>
      </c>
      <c r="B448" s="8" t="s">
        <v>3846</v>
      </c>
      <c r="C448" s="161">
        <v>41975</v>
      </c>
      <c r="D448" s="172">
        <v>741</v>
      </c>
      <c r="E448" s="172">
        <v>67</v>
      </c>
      <c r="F448" s="49">
        <v>1.7653365098272783E-2</v>
      </c>
      <c r="G448" s="46">
        <v>4.0725474031327286E-2</v>
      </c>
      <c r="H448"/>
      <c r="I448" s="121">
        <v>23300</v>
      </c>
    </row>
    <row r="449" spans="1:8">
      <c r="A449" s="8" t="s">
        <v>142</v>
      </c>
      <c r="B449" s="8" t="s">
        <v>3843</v>
      </c>
      <c r="C449" s="161">
        <v>23300</v>
      </c>
      <c r="D449" s="172">
        <v>617</v>
      </c>
      <c r="E449" s="172">
        <v>53</v>
      </c>
      <c r="F449" s="49">
        <v>2.648068669527897E-2</v>
      </c>
      <c r="G449" s="46">
        <v>3.391041494916186E-2</v>
      </c>
      <c r="H449" t="s">
        <v>3308</v>
      </c>
    </row>
    <row r="450" spans="1:8">
      <c r="A450" s="8" t="s">
        <v>151</v>
      </c>
      <c r="B450" s="8" t="s">
        <v>3844</v>
      </c>
      <c r="C450" s="161">
        <v>46800</v>
      </c>
      <c r="D450" s="172">
        <v>510</v>
      </c>
      <c r="E450" s="172">
        <v>78</v>
      </c>
      <c r="F450" s="49">
        <v>1.0897435897435897E-2</v>
      </c>
      <c r="G450" s="46">
        <v>2.8029678483099753E-2</v>
      </c>
      <c r="H450" t="s">
        <v>3309</v>
      </c>
    </row>
    <row r="451" spans="1:8">
      <c r="A451" s="12" t="s">
        <v>3122</v>
      </c>
      <c r="B451" s="14"/>
      <c r="C451" s="163">
        <v>548375</v>
      </c>
      <c r="D451" s="173">
        <v>18195</v>
      </c>
      <c r="E451" s="173">
        <v>1000</v>
      </c>
      <c r="F451" s="50">
        <v>3.3179849555504903E-2</v>
      </c>
      <c r="G451" s="48">
        <v>1</v>
      </c>
      <c r="H451"/>
    </row>
    <row r="455" spans="1:8">
      <c r="B455" s="155" t="s">
        <v>3313</v>
      </c>
    </row>
    <row r="457" spans="1:8">
      <c r="A457" s="103"/>
    </row>
    <row r="458" spans="1:8">
      <c r="A458" s="11" t="s">
        <v>3</v>
      </c>
      <c r="B458" s="11" t="s">
        <v>4</v>
      </c>
      <c r="C458" s="8" t="s">
        <v>3142</v>
      </c>
      <c r="D458" s="21" t="s">
        <v>3145</v>
      </c>
      <c r="E458" s="15" t="s">
        <v>3146</v>
      </c>
    </row>
    <row r="459" spans="1:8">
      <c r="A459" s="8" t="s">
        <v>209</v>
      </c>
      <c r="B459" s="8" t="s">
        <v>3845</v>
      </c>
      <c r="C459" s="161">
        <v>69</v>
      </c>
      <c r="D459" s="172">
        <v>200</v>
      </c>
      <c r="E459" s="16">
        <v>2.9850746268656718</v>
      </c>
    </row>
    <row r="460" spans="1:8">
      <c r="A460" s="8" t="s">
        <v>48</v>
      </c>
      <c r="B460" s="8" t="s">
        <v>3836</v>
      </c>
      <c r="C460" s="161">
        <v>67</v>
      </c>
      <c r="D460" s="172">
        <v>198</v>
      </c>
      <c r="E460" s="16">
        <v>2.955223880597015</v>
      </c>
    </row>
    <row r="461" spans="1:8">
      <c r="A461" s="8" t="s">
        <v>162</v>
      </c>
      <c r="B461" s="8" t="s">
        <v>3847</v>
      </c>
      <c r="C461" s="161">
        <v>59</v>
      </c>
      <c r="D461" s="172">
        <v>166</v>
      </c>
      <c r="E461" s="16">
        <v>2.8620689655172415</v>
      </c>
      <c r="G461" s="23" t="s">
        <v>3155</v>
      </c>
    </row>
    <row r="462" spans="1:8">
      <c r="A462" s="8" t="s">
        <v>118</v>
      </c>
      <c r="B462" s="8" t="s">
        <v>3842</v>
      </c>
      <c r="C462" s="161">
        <v>65</v>
      </c>
      <c r="D462" s="172">
        <v>137</v>
      </c>
      <c r="E462" s="16">
        <v>2.140625</v>
      </c>
    </row>
    <row r="463" spans="1:8">
      <c r="A463" s="8" t="s">
        <v>80</v>
      </c>
      <c r="B463" s="8" t="s">
        <v>3839</v>
      </c>
      <c r="C463" s="161">
        <v>72</v>
      </c>
      <c r="D463" s="172">
        <v>139</v>
      </c>
      <c r="E463" s="16">
        <v>2.0441176470588234</v>
      </c>
    </row>
    <row r="464" spans="1:8">
      <c r="A464" s="8" t="s">
        <v>69</v>
      </c>
      <c r="B464" s="8" t="s">
        <v>3838</v>
      </c>
      <c r="C464" s="161">
        <v>77</v>
      </c>
      <c r="D464" s="172">
        <v>141</v>
      </c>
      <c r="E464" s="16">
        <v>1.9583333333333333</v>
      </c>
    </row>
    <row r="465" spans="1:10">
      <c r="A465" s="8" t="s">
        <v>60</v>
      </c>
      <c r="B465" s="8" t="s">
        <v>3837</v>
      </c>
      <c r="C465" s="161">
        <v>64</v>
      </c>
      <c r="D465" s="172">
        <v>123</v>
      </c>
      <c r="E465" s="16">
        <v>1.9523809523809523</v>
      </c>
    </row>
    <row r="466" spans="1:10">
      <c r="A466" s="8" t="s">
        <v>100</v>
      </c>
      <c r="B466" s="8" t="s">
        <v>3841</v>
      </c>
      <c r="C466" s="161">
        <v>76</v>
      </c>
      <c r="D466" s="172">
        <v>137</v>
      </c>
      <c r="E466" s="16">
        <v>1.8767123287671232</v>
      </c>
    </row>
    <row r="467" spans="1:10">
      <c r="A467" s="8" t="s">
        <v>90</v>
      </c>
      <c r="B467" s="8" t="s">
        <v>3840</v>
      </c>
      <c r="C467" s="161">
        <v>61</v>
      </c>
      <c r="D467" s="172">
        <v>114</v>
      </c>
      <c r="E467" s="16">
        <v>1.8688524590163935</v>
      </c>
    </row>
    <row r="468" spans="1:10">
      <c r="A468" s="8" t="s">
        <v>142</v>
      </c>
      <c r="B468" s="8" t="s">
        <v>3843</v>
      </c>
      <c r="C468" s="161">
        <v>53</v>
      </c>
      <c r="D468" s="172">
        <v>96</v>
      </c>
      <c r="E468" s="16">
        <v>1.8461538461538463</v>
      </c>
    </row>
    <row r="469" spans="1:10">
      <c r="A469" s="8" t="s">
        <v>151</v>
      </c>
      <c r="B469" s="8" t="s">
        <v>3844</v>
      </c>
      <c r="C469" s="161">
        <v>78</v>
      </c>
      <c r="D469" s="172">
        <v>131</v>
      </c>
      <c r="E469" s="16">
        <v>1.8450704225352113</v>
      </c>
    </row>
    <row r="470" spans="1:10">
      <c r="A470" s="8" t="s">
        <v>215</v>
      </c>
      <c r="B470" s="8" t="s">
        <v>3846</v>
      </c>
      <c r="C470" s="161">
        <v>67</v>
      </c>
      <c r="D470" s="172">
        <v>115</v>
      </c>
      <c r="E470" s="16">
        <v>1.7424242424242424</v>
      </c>
    </row>
    <row r="471" spans="1:10">
      <c r="A471" s="8" t="s">
        <v>256</v>
      </c>
      <c r="B471" s="8" t="s">
        <v>3849</v>
      </c>
      <c r="C471" s="161">
        <v>63</v>
      </c>
      <c r="D471" s="172">
        <v>97</v>
      </c>
      <c r="E471" s="16">
        <v>1.6440677966101696</v>
      </c>
    </row>
    <row r="472" spans="1:10">
      <c r="A472" s="8" t="s">
        <v>235</v>
      </c>
      <c r="B472" s="8" t="s">
        <v>3848</v>
      </c>
      <c r="C472" s="161">
        <v>74</v>
      </c>
      <c r="D472" s="172">
        <v>101</v>
      </c>
      <c r="E472" s="16">
        <v>1.4027777777777777</v>
      </c>
    </row>
    <row r="473" spans="1:10">
      <c r="A473" s="8" t="s">
        <v>32</v>
      </c>
      <c r="B473" s="8" t="s">
        <v>3835</v>
      </c>
      <c r="C473" s="161">
        <v>55</v>
      </c>
      <c r="D473" s="172">
        <v>58</v>
      </c>
      <c r="E473" s="16">
        <v>1.1372549019607843</v>
      </c>
    </row>
    <row r="474" spans="1:10">
      <c r="A474" s="12" t="s">
        <v>3122</v>
      </c>
      <c r="B474" s="14"/>
      <c r="C474" s="163">
        <v>1000</v>
      </c>
      <c r="D474" s="173">
        <v>1953</v>
      </c>
      <c r="E474" s="17">
        <v>2.0259336099585061</v>
      </c>
    </row>
    <row r="480" spans="1:10">
      <c r="A480" s="11" t="s">
        <v>3145</v>
      </c>
      <c r="B480" s="9"/>
      <c r="C480" s="11" t="s">
        <v>7</v>
      </c>
      <c r="D480" s="9"/>
      <c r="E480" s="9"/>
      <c r="F480" s="9"/>
      <c r="G480" s="9"/>
      <c r="H480" s="9"/>
      <c r="I480" s="9"/>
      <c r="J480" s="20"/>
    </row>
    <row r="481" spans="1:10">
      <c r="A481" s="11" t="s">
        <v>3</v>
      </c>
      <c r="B481" s="11" t="s">
        <v>4</v>
      </c>
      <c r="C481" s="8" t="s">
        <v>50</v>
      </c>
      <c r="D481" s="21" t="s">
        <v>62</v>
      </c>
      <c r="E481" s="21" t="s">
        <v>35</v>
      </c>
      <c r="F481" s="21" t="s">
        <v>163</v>
      </c>
      <c r="G481" s="21" t="s">
        <v>112</v>
      </c>
      <c r="H481" s="21" t="s">
        <v>153</v>
      </c>
      <c r="I481" s="21" t="s">
        <v>71</v>
      </c>
      <c r="J481" s="53" t="s">
        <v>3122</v>
      </c>
    </row>
    <row r="482" spans="1:10">
      <c r="A482" s="8" t="s">
        <v>162</v>
      </c>
      <c r="B482" s="8" t="s">
        <v>3847</v>
      </c>
      <c r="C482" s="164">
        <v>4</v>
      </c>
      <c r="D482" s="174">
        <v>2</v>
      </c>
      <c r="E482" s="174">
        <v>17</v>
      </c>
      <c r="F482" s="174">
        <v>133</v>
      </c>
      <c r="G482" s="174"/>
      <c r="H482" s="174">
        <v>1</v>
      </c>
      <c r="I482" s="174">
        <v>9</v>
      </c>
      <c r="J482" s="175">
        <v>166</v>
      </c>
    </row>
    <row r="483" spans="1:10">
      <c r="A483" s="8" t="s">
        <v>100</v>
      </c>
      <c r="B483" s="8" t="s">
        <v>3841</v>
      </c>
      <c r="C483" s="164">
        <v>90</v>
      </c>
      <c r="D483" s="174">
        <v>7</v>
      </c>
      <c r="E483" s="174">
        <v>5</v>
      </c>
      <c r="F483" s="174"/>
      <c r="G483" s="174">
        <v>20</v>
      </c>
      <c r="H483" s="174">
        <v>15</v>
      </c>
      <c r="I483" s="174"/>
      <c r="J483" s="175">
        <v>137</v>
      </c>
    </row>
    <row r="484" spans="1:10">
      <c r="A484" s="8" t="s">
        <v>151</v>
      </c>
      <c r="B484" s="8" t="s">
        <v>3844</v>
      </c>
      <c r="C484" s="164">
        <v>1</v>
      </c>
      <c r="D484" s="174">
        <v>20</v>
      </c>
      <c r="E484" s="174">
        <v>-5</v>
      </c>
      <c r="F484" s="174">
        <v>-1</v>
      </c>
      <c r="G484" s="174">
        <v>112</v>
      </c>
      <c r="H484" s="174">
        <v>4</v>
      </c>
      <c r="I484" s="174"/>
      <c r="J484" s="175">
        <v>131</v>
      </c>
    </row>
    <row r="485" spans="1:10">
      <c r="A485" s="8" t="s">
        <v>90</v>
      </c>
      <c r="B485" s="8" t="s">
        <v>3840</v>
      </c>
      <c r="C485" s="164">
        <v>18</v>
      </c>
      <c r="D485" s="174">
        <v>-10</v>
      </c>
      <c r="E485" s="174">
        <v>0</v>
      </c>
      <c r="F485" s="174">
        <v>11</v>
      </c>
      <c r="G485" s="174"/>
      <c r="H485" s="174">
        <v>8</v>
      </c>
      <c r="I485" s="174">
        <v>87</v>
      </c>
      <c r="J485" s="175">
        <v>114</v>
      </c>
    </row>
    <row r="486" spans="1:10">
      <c r="A486" s="8" t="s">
        <v>118</v>
      </c>
      <c r="B486" s="8" t="s">
        <v>3842</v>
      </c>
      <c r="C486" s="164">
        <v>5</v>
      </c>
      <c r="D486" s="174">
        <v>108</v>
      </c>
      <c r="E486" s="174">
        <v>-3</v>
      </c>
      <c r="F486" s="174">
        <v>19</v>
      </c>
      <c r="G486" s="174">
        <v>-10</v>
      </c>
      <c r="H486" s="174">
        <v>18</v>
      </c>
      <c r="I486" s="174"/>
      <c r="J486" s="175">
        <v>137</v>
      </c>
    </row>
    <row r="487" spans="1:10">
      <c r="A487" s="8" t="s">
        <v>209</v>
      </c>
      <c r="B487" s="8" t="s">
        <v>3845</v>
      </c>
      <c r="C487" s="164">
        <v>2</v>
      </c>
      <c r="D487" s="174">
        <v>4</v>
      </c>
      <c r="E487" s="174"/>
      <c r="F487" s="174">
        <v>19</v>
      </c>
      <c r="G487" s="174">
        <v>0</v>
      </c>
      <c r="H487" s="174">
        <v>180</v>
      </c>
      <c r="I487" s="174">
        <v>-5</v>
      </c>
      <c r="J487" s="175">
        <v>200</v>
      </c>
    </row>
    <row r="488" spans="1:10">
      <c r="A488" s="8" t="s">
        <v>32</v>
      </c>
      <c r="B488" s="8" t="s">
        <v>3835</v>
      </c>
      <c r="C488" s="164">
        <v>14</v>
      </c>
      <c r="D488" s="174">
        <v>-6</v>
      </c>
      <c r="E488" s="174">
        <v>50</v>
      </c>
      <c r="F488" s="174"/>
      <c r="G488" s="174">
        <v>7</v>
      </c>
      <c r="H488" s="174">
        <v>2</v>
      </c>
      <c r="I488" s="174">
        <v>-9</v>
      </c>
      <c r="J488" s="175">
        <v>58</v>
      </c>
    </row>
    <row r="489" spans="1:10">
      <c r="A489" s="8" t="s">
        <v>215</v>
      </c>
      <c r="B489" s="8" t="s">
        <v>3846</v>
      </c>
      <c r="C489" s="164">
        <v>2</v>
      </c>
      <c r="D489" s="174">
        <v>10</v>
      </c>
      <c r="E489" s="174">
        <v>7</v>
      </c>
      <c r="F489" s="174">
        <v>10</v>
      </c>
      <c r="G489" s="174">
        <v>70</v>
      </c>
      <c r="H489" s="174">
        <v>-5</v>
      </c>
      <c r="I489" s="174">
        <v>21</v>
      </c>
      <c r="J489" s="175">
        <v>115</v>
      </c>
    </row>
    <row r="490" spans="1:10">
      <c r="A490" s="8" t="s">
        <v>48</v>
      </c>
      <c r="B490" s="8" t="s">
        <v>3836</v>
      </c>
      <c r="C490" s="164">
        <v>160</v>
      </c>
      <c r="D490" s="174">
        <v>5</v>
      </c>
      <c r="E490" s="174"/>
      <c r="F490" s="174">
        <v>13</v>
      </c>
      <c r="G490" s="174">
        <v>7</v>
      </c>
      <c r="H490" s="174">
        <v>-20</v>
      </c>
      <c r="I490" s="174">
        <v>33</v>
      </c>
      <c r="J490" s="175">
        <v>198</v>
      </c>
    </row>
    <row r="491" spans="1:10">
      <c r="A491" s="8" t="s">
        <v>235</v>
      </c>
      <c r="B491" s="8" t="s">
        <v>3848</v>
      </c>
      <c r="C491" s="164">
        <v>2</v>
      </c>
      <c r="D491" s="174">
        <v>6</v>
      </c>
      <c r="E491" s="174">
        <v>1</v>
      </c>
      <c r="F491" s="174">
        <v>-11</v>
      </c>
      <c r="G491" s="174">
        <v>0</v>
      </c>
      <c r="H491" s="174">
        <v>-7</v>
      </c>
      <c r="I491" s="174">
        <v>110</v>
      </c>
      <c r="J491" s="175">
        <v>101</v>
      </c>
    </row>
    <row r="492" spans="1:10">
      <c r="A492" s="8" t="s">
        <v>80</v>
      </c>
      <c r="B492" s="8" t="s">
        <v>3839</v>
      </c>
      <c r="C492" s="164">
        <v>7</v>
      </c>
      <c r="D492" s="174">
        <v>-2</v>
      </c>
      <c r="E492" s="174">
        <v>103</v>
      </c>
      <c r="F492" s="174">
        <v>5</v>
      </c>
      <c r="G492" s="174">
        <v>-2</v>
      </c>
      <c r="H492" s="174">
        <v>24</v>
      </c>
      <c r="I492" s="174">
        <v>4</v>
      </c>
      <c r="J492" s="175">
        <v>139</v>
      </c>
    </row>
    <row r="493" spans="1:10">
      <c r="A493" s="8" t="s">
        <v>256</v>
      </c>
      <c r="B493" s="8" t="s">
        <v>3849</v>
      </c>
      <c r="C493" s="164">
        <v>2</v>
      </c>
      <c r="D493" s="174">
        <v>9</v>
      </c>
      <c r="E493" s="174">
        <v>16</v>
      </c>
      <c r="F493" s="174">
        <v>5</v>
      </c>
      <c r="G493" s="174"/>
      <c r="H493" s="174">
        <v>51</v>
      </c>
      <c r="I493" s="174">
        <v>14</v>
      </c>
      <c r="J493" s="175">
        <v>97</v>
      </c>
    </row>
    <row r="494" spans="1:10">
      <c r="A494" s="8" t="s">
        <v>142</v>
      </c>
      <c r="B494" s="8" t="s">
        <v>3843</v>
      </c>
      <c r="C494" s="164">
        <v>69</v>
      </c>
      <c r="D494" s="174">
        <v>-5</v>
      </c>
      <c r="E494" s="174">
        <v>3</v>
      </c>
      <c r="F494" s="174">
        <v>7</v>
      </c>
      <c r="G494" s="174"/>
      <c r="H494" s="174">
        <v>21</v>
      </c>
      <c r="I494" s="174">
        <v>1</v>
      </c>
      <c r="J494" s="175">
        <v>96</v>
      </c>
    </row>
    <row r="495" spans="1:10">
      <c r="A495" s="8" t="s">
        <v>60</v>
      </c>
      <c r="B495" s="8" t="s">
        <v>3837</v>
      </c>
      <c r="C495" s="164"/>
      <c r="D495" s="174">
        <v>134</v>
      </c>
      <c r="E495" s="174">
        <v>-7</v>
      </c>
      <c r="F495" s="174">
        <v>2</v>
      </c>
      <c r="G495" s="174">
        <v>-4</v>
      </c>
      <c r="H495" s="174">
        <v>-2</v>
      </c>
      <c r="I495" s="174">
        <v>0</v>
      </c>
      <c r="J495" s="175">
        <v>123</v>
      </c>
    </row>
    <row r="496" spans="1:10">
      <c r="A496" s="8" t="s">
        <v>69</v>
      </c>
      <c r="B496" s="8" t="s">
        <v>3838</v>
      </c>
      <c r="C496" s="164">
        <v>-18</v>
      </c>
      <c r="D496" s="174">
        <v>6</v>
      </c>
      <c r="E496" s="174">
        <v>3</v>
      </c>
      <c r="F496" s="174">
        <v>9</v>
      </c>
      <c r="G496" s="174">
        <v>156</v>
      </c>
      <c r="H496" s="174">
        <v>-16</v>
      </c>
      <c r="I496" s="174">
        <v>1</v>
      </c>
      <c r="J496" s="175">
        <v>141</v>
      </c>
    </row>
    <row r="497" spans="1:10">
      <c r="A497" s="12" t="s">
        <v>3122</v>
      </c>
      <c r="B497" s="14"/>
      <c r="C497" s="168">
        <v>358</v>
      </c>
      <c r="D497" s="176">
        <v>288</v>
      </c>
      <c r="E497" s="176">
        <v>190</v>
      </c>
      <c r="F497" s="176">
        <v>221</v>
      </c>
      <c r="G497" s="176">
        <v>356</v>
      </c>
      <c r="H497" s="176">
        <v>274</v>
      </c>
      <c r="I497" s="176">
        <v>266</v>
      </c>
      <c r="J497" s="177">
        <v>1953</v>
      </c>
    </row>
    <row r="501" spans="1:10">
      <c r="A501" s="103"/>
    </row>
    <row r="502" spans="1:10">
      <c r="A502" s="11" t="s">
        <v>3146</v>
      </c>
      <c r="B502" s="9"/>
      <c r="C502" s="11" t="s">
        <v>7</v>
      </c>
      <c r="D502" s="9"/>
      <c r="E502" s="9"/>
      <c r="F502" s="9"/>
      <c r="G502" s="9"/>
      <c r="H502" s="9"/>
      <c r="I502" s="9"/>
      <c r="J502" s="20"/>
    </row>
    <row r="503" spans="1:10">
      <c r="A503" s="11" t="s">
        <v>3</v>
      </c>
      <c r="B503" s="11" t="s">
        <v>4</v>
      </c>
      <c r="C503" s="22" t="s">
        <v>50</v>
      </c>
      <c r="D503" s="25" t="s">
        <v>62</v>
      </c>
      <c r="E503" s="25" t="s">
        <v>35</v>
      </c>
      <c r="F503" s="25" t="s">
        <v>163</v>
      </c>
      <c r="G503" s="25" t="s">
        <v>112</v>
      </c>
      <c r="H503" s="25" t="s">
        <v>153</v>
      </c>
      <c r="I503" s="25" t="s">
        <v>71</v>
      </c>
      <c r="J503" s="26" t="s">
        <v>3122</v>
      </c>
    </row>
    <row r="504" spans="1:10">
      <c r="A504" s="8" t="s">
        <v>162</v>
      </c>
      <c r="B504" s="8" t="s">
        <v>3847</v>
      </c>
      <c r="C504" s="27">
        <v>1</v>
      </c>
      <c r="D504" s="28">
        <v>2</v>
      </c>
      <c r="E504" s="28">
        <v>5.666666666666667</v>
      </c>
      <c r="F504" s="28">
        <v>2.8297872340425534</v>
      </c>
      <c r="G504" s="28"/>
      <c r="H504" s="28">
        <v>1</v>
      </c>
      <c r="I504" s="28">
        <v>4.5</v>
      </c>
      <c r="J504" s="29">
        <v>2.8620689655172415</v>
      </c>
    </row>
    <row r="505" spans="1:10">
      <c r="A505" s="8" t="s">
        <v>100</v>
      </c>
      <c r="B505" s="8" t="s">
        <v>3841</v>
      </c>
      <c r="C505" s="27">
        <v>1.5789473684210527</v>
      </c>
      <c r="D505" s="28">
        <v>3.5</v>
      </c>
      <c r="E505" s="28">
        <v>1.6666666666666667</v>
      </c>
      <c r="F505" s="28"/>
      <c r="G505" s="28">
        <v>2.8571428571428572</v>
      </c>
      <c r="H505" s="28">
        <v>3.75</v>
      </c>
      <c r="I505" s="28"/>
      <c r="J505" s="29">
        <v>1.8767123287671232</v>
      </c>
    </row>
    <row r="506" spans="1:10">
      <c r="A506" s="8" t="s">
        <v>151</v>
      </c>
      <c r="B506" s="8" t="s">
        <v>3844</v>
      </c>
      <c r="C506" s="27">
        <v>1</v>
      </c>
      <c r="D506" s="28">
        <v>10</v>
      </c>
      <c r="E506" s="28">
        <v>-2.5</v>
      </c>
      <c r="F506" s="28">
        <v>-0.5</v>
      </c>
      <c r="G506" s="28">
        <v>1.8360655737704918</v>
      </c>
      <c r="H506" s="28">
        <v>1.3333333333333333</v>
      </c>
      <c r="I506" s="28"/>
      <c r="J506" s="29">
        <v>1.8450704225352113</v>
      </c>
    </row>
    <row r="507" spans="1:10">
      <c r="A507" s="8" t="s">
        <v>90</v>
      </c>
      <c r="B507" s="8" t="s">
        <v>3840</v>
      </c>
      <c r="C507" s="27">
        <v>3</v>
      </c>
      <c r="D507" s="28">
        <v>-3.3333333333333335</v>
      </c>
      <c r="E507" s="28">
        <v>0</v>
      </c>
      <c r="F507" s="28">
        <v>11</v>
      </c>
      <c r="G507" s="28"/>
      <c r="H507" s="28">
        <v>8</v>
      </c>
      <c r="I507" s="28">
        <v>1.8510638297872339</v>
      </c>
      <c r="J507" s="29">
        <v>1.8688524590163935</v>
      </c>
    </row>
    <row r="508" spans="1:10">
      <c r="A508" s="8" t="s">
        <v>118</v>
      </c>
      <c r="B508" s="8" t="s">
        <v>3842</v>
      </c>
      <c r="C508" s="27">
        <v>2.5</v>
      </c>
      <c r="D508" s="28">
        <v>2.204081632653061</v>
      </c>
      <c r="E508" s="28">
        <v>-3</v>
      </c>
      <c r="F508" s="28">
        <v>3.1666666666666665</v>
      </c>
      <c r="G508" s="28">
        <v>-2.5</v>
      </c>
      <c r="H508" s="28">
        <v>9</v>
      </c>
      <c r="I508" s="28"/>
      <c r="J508" s="29">
        <v>2.140625</v>
      </c>
    </row>
    <row r="509" spans="1:10">
      <c r="A509" s="8" t="s">
        <v>209</v>
      </c>
      <c r="B509" s="8" t="s">
        <v>3845</v>
      </c>
      <c r="C509" s="27">
        <v>2</v>
      </c>
      <c r="D509" s="28">
        <v>1.3333333333333333</v>
      </c>
      <c r="E509" s="28"/>
      <c r="F509" s="28">
        <v>9.5</v>
      </c>
      <c r="G509" s="28">
        <v>0</v>
      </c>
      <c r="H509" s="28">
        <v>3.1578947368421053</v>
      </c>
      <c r="I509" s="28">
        <v>-5</v>
      </c>
      <c r="J509" s="29">
        <v>2.9850746268656718</v>
      </c>
    </row>
    <row r="510" spans="1:10">
      <c r="A510" s="8" t="s">
        <v>32</v>
      </c>
      <c r="B510" s="8" t="s">
        <v>3835</v>
      </c>
      <c r="C510" s="27">
        <v>14</v>
      </c>
      <c r="D510" s="28">
        <v>-2</v>
      </c>
      <c r="E510" s="28">
        <v>1.25</v>
      </c>
      <c r="F510" s="28"/>
      <c r="G510" s="28">
        <v>3.5</v>
      </c>
      <c r="H510" s="28">
        <v>0.5</v>
      </c>
      <c r="I510" s="28">
        <v>-9</v>
      </c>
      <c r="J510" s="29">
        <v>1.1372549019607843</v>
      </c>
    </row>
    <row r="511" spans="1:10">
      <c r="A511" s="8" t="s">
        <v>215</v>
      </c>
      <c r="B511" s="8" t="s">
        <v>3846</v>
      </c>
      <c r="C511" s="27">
        <v>1</v>
      </c>
      <c r="D511" s="28">
        <v>10</v>
      </c>
      <c r="E511" s="28">
        <v>2.3333333333333335</v>
      </c>
      <c r="F511" s="28">
        <v>3.3333333333333335</v>
      </c>
      <c r="G511" s="28">
        <v>1.4</v>
      </c>
      <c r="H511" s="28">
        <v>-2.5</v>
      </c>
      <c r="I511" s="28">
        <v>4.2</v>
      </c>
      <c r="J511" s="29">
        <v>1.7424242424242424</v>
      </c>
    </row>
    <row r="512" spans="1:10">
      <c r="A512" s="8" t="s">
        <v>48</v>
      </c>
      <c r="B512" s="8" t="s">
        <v>3836</v>
      </c>
      <c r="C512" s="27">
        <v>3.0188679245283021</v>
      </c>
      <c r="D512" s="28">
        <v>2.5</v>
      </c>
      <c r="E512" s="28"/>
      <c r="F512" s="28">
        <v>4.333333333333333</v>
      </c>
      <c r="G512" s="28">
        <v>1.75</v>
      </c>
      <c r="H512" s="28">
        <v>-6.666666666666667</v>
      </c>
      <c r="I512" s="28">
        <v>16.5</v>
      </c>
      <c r="J512" s="29">
        <v>2.955223880597015</v>
      </c>
    </row>
    <row r="513" spans="1:14">
      <c r="A513" s="8" t="s">
        <v>235</v>
      </c>
      <c r="B513" s="8" t="s">
        <v>3848</v>
      </c>
      <c r="C513" s="27">
        <v>0.5</v>
      </c>
      <c r="D513" s="28">
        <v>1.2</v>
      </c>
      <c r="E513" s="28">
        <v>1</v>
      </c>
      <c r="F513" s="28">
        <v>-11</v>
      </c>
      <c r="G513" s="28">
        <v>0</v>
      </c>
      <c r="H513" s="28">
        <v>-1.75</v>
      </c>
      <c r="I513" s="28">
        <v>2</v>
      </c>
      <c r="J513" s="29">
        <v>1.4027777777777777</v>
      </c>
    </row>
    <row r="514" spans="1:14">
      <c r="A514" s="8" t="s">
        <v>80</v>
      </c>
      <c r="B514" s="8" t="s">
        <v>3839</v>
      </c>
      <c r="C514" s="27">
        <v>3.5</v>
      </c>
      <c r="D514" s="28">
        <v>-1</v>
      </c>
      <c r="E514" s="28">
        <v>1.9807692307692308</v>
      </c>
      <c r="F514" s="28">
        <v>1.6666666666666667</v>
      </c>
      <c r="G514" s="28">
        <v>-1</v>
      </c>
      <c r="H514" s="28">
        <v>4</v>
      </c>
      <c r="I514" s="28">
        <v>4</v>
      </c>
      <c r="J514" s="29">
        <v>2.0441176470588234</v>
      </c>
    </row>
    <row r="515" spans="1:14">
      <c r="A515" s="8" t="s">
        <v>256</v>
      </c>
      <c r="B515" s="8" t="s">
        <v>3849</v>
      </c>
      <c r="C515" s="27">
        <v>1</v>
      </c>
      <c r="D515" s="28">
        <v>2.25</v>
      </c>
      <c r="E515" s="28">
        <v>4</v>
      </c>
      <c r="F515" s="28">
        <v>1.6666666666666667</v>
      </c>
      <c r="G515" s="28"/>
      <c r="H515" s="28">
        <v>1.2142857142857142</v>
      </c>
      <c r="I515" s="28">
        <v>3.5</v>
      </c>
      <c r="J515" s="29">
        <v>1.6440677966101696</v>
      </c>
    </row>
    <row r="516" spans="1:14">
      <c r="A516" s="8" t="s">
        <v>142</v>
      </c>
      <c r="B516" s="8" t="s">
        <v>3843</v>
      </c>
      <c r="C516" s="27">
        <v>1.6428571428571428</v>
      </c>
      <c r="D516" s="28">
        <v>-5</v>
      </c>
      <c r="E516" s="28">
        <v>3</v>
      </c>
      <c r="F516" s="28">
        <v>1.75</v>
      </c>
      <c r="G516" s="28"/>
      <c r="H516" s="28">
        <v>7</v>
      </c>
      <c r="I516" s="28">
        <v>1</v>
      </c>
      <c r="J516" s="29">
        <v>1.8461538461538463</v>
      </c>
    </row>
    <row r="517" spans="1:14">
      <c r="A517" s="8" t="s">
        <v>60</v>
      </c>
      <c r="B517" s="8" t="s">
        <v>3837</v>
      </c>
      <c r="C517" s="27"/>
      <c r="D517" s="28">
        <v>2.8510638297872339</v>
      </c>
      <c r="E517" s="28">
        <v>-1.1666666666666667</v>
      </c>
      <c r="F517" s="28">
        <v>1</v>
      </c>
      <c r="G517" s="28">
        <v>-2</v>
      </c>
      <c r="H517" s="28">
        <v>-0.66666666666666663</v>
      </c>
      <c r="I517" s="28">
        <v>0</v>
      </c>
      <c r="J517" s="29">
        <v>1.9523809523809523</v>
      </c>
    </row>
    <row r="518" spans="1:14">
      <c r="A518" s="8" t="s">
        <v>69</v>
      </c>
      <c r="B518" s="8" t="s">
        <v>3838</v>
      </c>
      <c r="C518" s="27">
        <v>-6</v>
      </c>
      <c r="D518" s="28">
        <v>2</v>
      </c>
      <c r="E518" s="28">
        <v>0.42857142857142855</v>
      </c>
      <c r="F518" s="28">
        <v>4.5</v>
      </c>
      <c r="G518" s="28">
        <v>3.0588235294117645</v>
      </c>
      <c r="H518" s="28">
        <v>-4</v>
      </c>
      <c r="I518" s="28">
        <v>0.5</v>
      </c>
      <c r="J518" s="29">
        <v>1.9583333333333333</v>
      </c>
    </row>
    <row r="519" spans="1:14">
      <c r="A519" s="12" t="s">
        <v>3122</v>
      </c>
      <c r="B519" s="14"/>
      <c r="C519" s="30">
        <v>1.9888888888888889</v>
      </c>
      <c r="D519" s="31">
        <v>2.25</v>
      </c>
      <c r="E519" s="31">
        <v>1.5079365079365079</v>
      </c>
      <c r="F519" s="31">
        <v>2.7974683544303796</v>
      </c>
      <c r="G519" s="31">
        <v>1.8936170212765957</v>
      </c>
      <c r="H519" s="31">
        <v>1.9712230215827338</v>
      </c>
      <c r="I519" s="31">
        <v>2.1451612903225805</v>
      </c>
      <c r="J519" s="32">
        <v>2.0259336099585061</v>
      </c>
    </row>
    <row r="525" spans="1:14">
      <c r="A525" s="11" t="s">
        <v>3138</v>
      </c>
      <c r="B525" s="11" t="s">
        <v>5</v>
      </c>
      <c r="C525" s="9"/>
      <c r="D525" s="9"/>
      <c r="E525" s="9"/>
      <c r="F525" s="9"/>
      <c r="G525" s="9"/>
      <c r="H525" s="9"/>
      <c r="I525" s="9"/>
      <c r="J525" s="9"/>
      <c r="K525" s="9"/>
      <c r="L525" s="9"/>
      <c r="M525" s="9"/>
      <c r="N525" s="20"/>
    </row>
    <row r="526" spans="1:14">
      <c r="A526" s="43" t="s">
        <v>4</v>
      </c>
      <c r="B526" s="37" t="s">
        <v>702</v>
      </c>
      <c r="C526" s="38" t="s">
        <v>133</v>
      </c>
      <c r="D526" s="38" t="s">
        <v>479</v>
      </c>
      <c r="E526" s="38" t="s">
        <v>316</v>
      </c>
      <c r="F526" s="38" t="s">
        <v>258</v>
      </c>
      <c r="G526" s="38" t="s">
        <v>102</v>
      </c>
      <c r="H526" s="38" t="s">
        <v>169</v>
      </c>
      <c r="I526" s="38" t="s">
        <v>152</v>
      </c>
      <c r="J526" s="38" t="s">
        <v>82</v>
      </c>
      <c r="K526" s="38" t="s">
        <v>301</v>
      </c>
      <c r="L526" s="38" t="s">
        <v>177</v>
      </c>
      <c r="M526" s="38" t="s">
        <v>194</v>
      </c>
      <c r="N526" s="39" t="s">
        <v>3122</v>
      </c>
    </row>
    <row r="527" spans="1:14">
      <c r="A527" s="8" t="s">
        <v>3835</v>
      </c>
      <c r="B527" s="164"/>
      <c r="C527" s="174"/>
      <c r="D527" s="174"/>
      <c r="E527" s="174"/>
      <c r="F527" s="174"/>
      <c r="G527" s="174"/>
      <c r="H527" s="174"/>
      <c r="I527" s="174"/>
      <c r="J527" s="174"/>
      <c r="K527" s="174"/>
      <c r="L527" s="174">
        <v>55</v>
      </c>
      <c r="M527" s="174"/>
      <c r="N527" s="175">
        <v>55</v>
      </c>
    </row>
    <row r="528" spans="1:14">
      <c r="A528" s="13" t="s">
        <v>3836</v>
      </c>
      <c r="B528" s="166">
        <v>1</v>
      </c>
      <c r="C528" s="179"/>
      <c r="D528" s="179"/>
      <c r="E528" s="179"/>
      <c r="F528" s="179"/>
      <c r="G528" s="179">
        <v>64</v>
      </c>
      <c r="H528" s="179"/>
      <c r="I528" s="179"/>
      <c r="J528" s="179"/>
      <c r="K528" s="179">
        <v>2</v>
      </c>
      <c r="L528" s="179"/>
      <c r="M528" s="179"/>
      <c r="N528" s="180">
        <v>67</v>
      </c>
    </row>
    <row r="529" spans="1:14">
      <c r="A529" s="13" t="s">
        <v>3837</v>
      </c>
      <c r="B529" s="166"/>
      <c r="C529" s="179"/>
      <c r="D529" s="179"/>
      <c r="E529" s="179"/>
      <c r="F529" s="179"/>
      <c r="G529" s="179"/>
      <c r="H529" s="179"/>
      <c r="I529" s="179">
        <v>64</v>
      </c>
      <c r="J529" s="179"/>
      <c r="K529" s="179"/>
      <c r="L529" s="179"/>
      <c r="M529" s="179"/>
      <c r="N529" s="180">
        <v>64</v>
      </c>
    </row>
    <row r="530" spans="1:14">
      <c r="A530" s="13" t="s">
        <v>3838</v>
      </c>
      <c r="B530" s="166"/>
      <c r="C530" s="179"/>
      <c r="D530" s="179"/>
      <c r="E530" s="179"/>
      <c r="F530" s="179"/>
      <c r="G530" s="179"/>
      <c r="H530" s="179"/>
      <c r="I530" s="179"/>
      <c r="J530" s="179"/>
      <c r="K530" s="179"/>
      <c r="L530" s="179"/>
      <c r="M530" s="179">
        <v>77</v>
      </c>
      <c r="N530" s="180">
        <v>77</v>
      </c>
    </row>
    <row r="531" spans="1:14">
      <c r="A531" s="13" t="s">
        <v>3839</v>
      </c>
      <c r="B531" s="166"/>
      <c r="C531" s="179"/>
      <c r="D531" s="179"/>
      <c r="E531" s="179"/>
      <c r="F531" s="179"/>
      <c r="G531" s="179">
        <v>1</v>
      </c>
      <c r="H531" s="179"/>
      <c r="I531" s="179"/>
      <c r="J531" s="179">
        <v>71</v>
      </c>
      <c r="K531" s="179"/>
      <c r="L531" s="179"/>
      <c r="M531" s="179"/>
      <c r="N531" s="180">
        <v>72</v>
      </c>
    </row>
    <row r="532" spans="1:14">
      <c r="A532" s="13" t="s">
        <v>3840</v>
      </c>
      <c r="B532" s="166"/>
      <c r="C532" s="179">
        <v>59</v>
      </c>
      <c r="D532" s="179"/>
      <c r="E532" s="179"/>
      <c r="F532" s="179"/>
      <c r="G532" s="179">
        <v>1</v>
      </c>
      <c r="H532" s="179"/>
      <c r="I532" s="179">
        <v>1</v>
      </c>
      <c r="J532" s="179"/>
      <c r="K532" s="179"/>
      <c r="L532" s="179"/>
      <c r="M532" s="179"/>
      <c r="N532" s="180">
        <v>61</v>
      </c>
    </row>
    <row r="533" spans="1:14">
      <c r="A533" s="13" t="s">
        <v>3841</v>
      </c>
      <c r="B533" s="166"/>
      <c r="C533" s="179"/>
      <c r="D533" s="179"/>
      <c r="E533" s="179"/>
      <c r="F533" s="179"/>
      <c r="G533" s="179">
        <v>75</v>
      </c>
      <c r="H533" s="179"/>
      <c r="I533" s="179"/>
      <c r="J533" s="179"/>
      <c r="K533" s="179">
        <v>1</v>
      </c>
      <c r="L533" s="179"/>
      <c r="M533" s="179"/>
      <c r="N533" s="180">
        <v>76</v>
      </c>
    </row>
    <row r="534" spans="1:14">
      <c r="A534" s="13" t="s">
        <v>3842</v>
      </c>
      <c r="B534" s="166"/>
      <c r="C534" s="179"/>
      <c r="D534" s="179"/>
      <c r="E534" s="179">
        <v>1</v>
      </c>
      <c r="F534" s="179"/>
      <c r="G534" s="179"/>
      <c r="H534" s="179"/>
      <c r="I534" s="179"/>
      <c r="J534" s="179"/>
      <c r="K534" s="179">
        <v>64</v>
      </c>
      <c r="L534" s="179"/>
      <c r="M534" s="179"/>
      <c r="N534" s="180">
        <v>65</v>
      </c>
    </row>
    <row r="535" spans="1:14">
      <c r="A535" s="13" t="s">
        <v>3843</v>
      </c>
      <c r="B535" s="166">
        <v>1</v>
      </c>
      <c r="C535" s="179"/>
      <c r="D535" s="179"/>
      <c r="E535" s="179"/>
      <c r="F535" s="179"/>
      <c r="G535" s="179">
        <v>1</v>
      </c>
      <c r="H535" s="179">
        <v>51</v>
      </c>
      <c r="I535" s="179"/>
      <c r="J535" s="179"/>
      <c r="K535" s="179"/>
      <c r="L535" s="179"/>
      <c r="M535" s="179"/>
      <c r="N535" s="180">
        <v>53</v>
      </c>
    </row>
    <row r="536" spans="1:14">
      <c r="A536" s="13" t="s">
        <v>3844</v>
      </c>
      <c r="B536" s="166">
        <v>1</v>
      </c>
      <c r="C536" s="179"/>
      <c r="D536" s="179"/>
      <c r="E536" s="179"/>
      <c r="F536" s="179"/>
      <c r="G536" s="179"/>
      <c r="H536" s="179"/>
      <c r="I536" s="179">
        <v>77</v>
      </c>
      <c r="J536" s="179"/>
      <c r="K536" s="179"/>
      <c r="L536" s="179"/>
      <c r="M536" s="179"/>
      <c r="N536" s="180">
        <v>78</v>
      </c>
    </row>
    <row r="537" spans="1:14">
      <c r="A537" s="13" t="s">
        <v>3847</v>
      </c>
      <c r="B537" s="166"/>
      <c r="C537" s="179"/>
      <c r="D537" s="179"/>
      <c r="E537" s="179"/>
      <c r="F537" s="179"/>
      <c r="G537" s="179"/>
      <c r="H537" s="179"/>
      <c r="I537" s="179">
        <v>59</v>
      </c>
      <c r="J537" s="179"/>
      <c r="K537" s="179"/>
      <c r="L537" s="179"/>
      <c r="M537" s="179"/>
      <c r="N537" s="180">
        <v>59</v>
      </c>
    </row>
    <row r="538" spans="1:14">
      <c r="A538" s="13" t="s">
        <v>3845</v>
      </c>
      <c r="B538" s="166"/>
      <c r="C538" s="179">
        <v>1</v>
      </c>
      <c r="D538" s="179"/>
      <c r="E538" s="179">
        <v>68</v>
      </c>
      <c r="F538" s="179"/>
      <c r="G538" s="179"/>
      <c r="H538" s="179"/>
      <c r="I538" s="179"/>
      <c r="J538" s="179"/>
      <c r="K538" s="179"/>
      <c r="L538" s="179"/>
      <c r="M538" s="179"/>
      <c r="N538" s="180">
        <v>69</v>
      </c>
    </row>
    <row r="539" spans="1:14">
      <c r="A539" s="13" t="s">
        <v>3846</v>
      </c>
      <c r="B539" s="166"/>
      <c r="C539" s="179"/>
      <c r="D539" s="179"/>
      <c r="E539" s="179">
        <v>1</v>
      </c>
      <c r="F539" s="179"/>
      <c r="G539" s="179"/>
      <c r="H539" s="179"/>
      <c r="I539" s="179">
        <v>66</v>
      </c>
      <c r="J539" s="179"/>
      <c r="K539" s="179"/>
      <c r="L539" s="179"/>
      <c r="M539" s="179"/>
      <c r="N539" s="180">
        <v>67</v>
      </c>
    </row>
    <row r="540" spans="1:14">
      <c r="A540" s="13" t="s">
        <v>3848</v>
      </c>
      <c r="B540" s="166"/>
      <c r="C540" s="179"/>
      <c r="D540" s="179">
        <v>71</v>
      </c>
      <c r="E540" s="179"/>
      <c r="F540" s="179"/>
      <c r="G540" s="179">
        <v>3</v>
      </c>
      <c r="H540" s="179"/>
      <c r="I540" s="179"/>
      <c r="J540" s="179"/>
      <c r="K540" s="179"/>
      <c r="L540" s="179"/>
      <c r="M540" s="179"/>
      <c r="N540" s="180">
        <v>74</v>
      </c>
    </row>
    <row r="541" spans="1:14">
      <c r="A541" s="13" t="s">
        <v>3849</v>
      </c>
      <c r="B541" s="166"/>
      <c r="C541" s="179"/>
      <c r="D541" s="179"/>
      <c r="E541" s="179"/>
      <c r="F541" s="179">
        <v>63</v>
      </c>
      <c r="G541" s="179"/>
      <c r="H541" s="179"/>
      <c r="I541" s="179"/>
      <c r="J541" s="179"/>
      <c r="K541" s="179"/>
      <c r="L541" s="179"/>
      <c r="M541" s="179"/>
      <c r="N541" s="180">
        <v>63</v>
      </c>
    </row>
    <row r="542" spans="1:14">
      <c r="A542" s="42" t="s">
        <v>3122</v>
      </c>
      <c r="B542" s="170">
        <v>3</v>
      </c>
      <c r="C542" s="181">
        <v>60</v>
      </c>
      <c r="D542" s="181">
        <v>71</v>
      </c>
      <c r="E542" s="181">
        <v>70</v>
      </c>
      <c r="F542" s="181">
        <v>63</v>
      </c>
      <c r="G542" s="181">
        <v>145</v>
      </c>
      <c r="H542" s="181">
        <v>51</v>
      </c>
      <c r="I542" s="181">
        <v>267</v>
      </c>
      <c r="J542" s="181">
        <v>71</v>
      </c>
      <c r="K542" s="181">
        <v>67</v>
      </c>
      <c r="L542" s="181">
        <v>55</v>
      </c>
      <c r="M542" s="181">
        <v>77</v>
      </c>
      <c r="N542" s="182">
        <v>1000</v>
      </c>
    </row>
    <row r="549" spans="1:6">
      <c r="A549" t="s">
        <v>3226</v>
      </c>
      <c r="E549" s="136" t="s">
        <v>3227</v>
      </c>
    </row>
    <row r="551" spans="1:6">
      <c r="A551" s="11" t="s">
        <v>3</v>
      </c>
      <c r="B551" s="11" t="s">
        <v>4</v>
      </c>
      <c r="C551" s="11" t="s">
        <v>7</v>
      </c>
      <c r="D551" s="8" t="s">
        <v>3140</v>
      </c>
      <c r="E551" s="21" t="s">
        <v>3153</v>
      </c>
      <c r="F551" s="15" t="s">
        <v>3141</v>
      </c>
    </row>
    <row r="552" spans="1:6">
      <c r="A552" s="8" t="s">
        <v>162</v>
      </c>
      <c r="B552" s="8" t="s">
        <v>3847</v>
      </c>
      <c r="C552" s="8" t="s">
        <v>50</v>
      </c>
      <c r="D552" s="161">
        <v>4</v>
      </c>
      <c r="E552" s="172">
        <v>3850</v>
      </c>
      <c r="F552" s="33">
        <v>3804940.0041100001</v>
      </c>
    </row>
    <row r="553" spans="1:6">
      <c r="A553" s="10"/>
      <c r="B553" s="10"/>
      <c r="C553" s="13" t="s">
        <v>62</v>
      </c>
      <c r="D553" s="162">
        <v>1</v>
      </c>
      <c r="E553" s="178">
        <v>1000</v>
      </c>
      <c r="F553" s="34">
        <v>10771.289999999999</v>
      </c>
    </row>
    <row r="554" spans="1:6">
      <c r="A554" s="10"/>
      <c r="B554" s="10"/>
      <c r="C554" s="13" t="s">
        <v>35</v>
      </c>
      <c r="D554" s="162">
        <v>4</v>
      </c>
      <c r="E554" s="178">
        <v>1925</v>
      </c>
      <c r="F554" s="34">
        <v>131178.23649999997</v>
      </c>
    </row>
    <row r="555" spans="1:6">
      <c r="A555" s="10"/>
      <c r="B555" s="10"/>
      <c r="C555" s="13" t="s">
        <v>163</v>
      </c>
      <c r="D555" s="162">
        <v>47</v>
      </c>
      <c r="E555" s="178">
        <v>36950</v>
      </c>
      <c r="F555" s="34">
        <v>8220368.796882499</v>
      </c>
    </row>
    <row r="556" spans="1:6">
      <c r="A556" s="10"/>
      <c r="B556" s="10"/>
      <c r="C556" s="13" t="s">
        <v>153</v>
      </c>
      <c r="D556" s="162">
        <v>1</v>
      </c>
      <c r="E556" s="178">
        <v>75</v>
      </c>
      <c r="F556" s="34">
        <v>1371.8595</v>
      </c>
    </row>
    <row r="557" spans="1:6">
      <c r="A557" s="10"/>
      <c r="B557" s="10"/>
      <c r="C557" s="13" t="s">
        <v>71</v>
      </c>
      <c r="D557" s="162">
        <v>2</v>
      </c>
      <c r="E557" s="178">
        <v>1800</v>
      </c>
      <c r="F557" s="34">
        <v>6636.0294000000004</v>
      </c>
    </row>
    <row r="558" spans="1:6">
      <c r="A558" s="10"/>
      <c r="B558" s="8" t="s">
        <v>3850</v>
      </c>
      <c r="C558" s="9"/>
      <c r="D558" s="161">
        <v>59</v>
      </c>
      <c r="E558" s="172">
        <v>45600</v>
      </c>
      <c r="F558" s="33">
        <v>12175266.216392502</v>
      </c>
    </row>
    <row r="559" spans="1:6">
      <c r="A559" s="8" t="s">
        <v>3123</v>
      </c>
      <c r="B559" s="9"/>
      <c r="C559" s="9"/>
      <c r="D559" s="161">
        <v>59</v>
      </c>
      <c r="E559" s="172">
        <v>45600</v>
      </c>
      <c r="F559" s="33">
        <v>12175266.216392502</v>
      </c>
    </row>
    <row r="560" spans="1:6">
      <c r="A560" s="8" t="s">
        <v>100</v>
      </c>
      <c r="B560" s="8" t="s">
        <v>3841</v>
      </c>
      <c r="C560" s="8" t="s">
        <v>50</v>
      </c>
      <c r="D560" s="161">
        <v>59</v>
      </c>
      <c r="E560" s="172">
        <v>27125</v>
      </c>
      <c r="F560" s="33">
        <v>6516372.7143849991</v>
      </c>
    </row>
    <row r="561" spans="1:6">
      <c r="A561" s="10"/>
      <c r="B561" s="10"/>
      <c r="C561" s="13" t="s">
        <v>62</v>
      </c>
      <c r="D561" s="162">
        <v>2</v>
      </c>
      <c r="E561" s="178">
        <v>550</v>
      </c>
      <c r="F561" s="34">
        <v>254.86453499999999</v>
      </c>
    </row>
    <row r="562" spans="1:6">
      <c r="A562" s="10"/>
      <c r="B562" s="10"/>
      <c r="C562" s="13" t="s">
        <v>35</v>
      </c>
      <c r="D562" s="162">
        <v>3</v>
      </c>
      <c r="E562" s="178">
        <v>2650</v>
      </c>
      <c r="F562" s="34">
        <v>49385.801200000002</v>
      </c>
    </row>
    <row r="563" spans="1:6">
      <c r="A563" s="10"/>
      <c r="B563" s="10"/>
      <c r="C563" s="13" t="s">
        <v>112</v>
      </c>
      <c r="D563" s="162">
        <v>8</v>
      </c>
      <c r="E563" s="178">
        <v>6200</v>
      </c>
      <c r="F563" s="34">
        <v>20891.035389999997</v>
      </c>
    </row>
    <row r="564" spans="1:6">
      <c r="A564" s="10"/>
      <c r="B564" s="10"/>
      <c r="C564" s="13" t="s">
        <v>153</v>
      </c>
      <c r="D564" s="162">
        <v>4</v>
      </c>
      <c r="E564" s="178">
        <v>2000</v>
      </c>
      <c r="F564" s="34">
        <v>570320.6407499999</v>
      </c>
    </row>
    <row r="565" spans="1:6">
      <c r="A565" s="10"/>
      <c r="B565" s="8" t="s">
        <v>3851</v>
      </c>
      <c r="C565" s="9"/>
      <c r="D565" s="161">
        <v>76</v>
      </c>
      <c r="E565" s="172">
        <v>38525</v>
      </c>
      <c r="F565" s="33">
        <v>7157225.0562599991</v>
      </c>
    </row>
    <row r="566" spans="1:6">
      <c r="A566" s="8" t="s">
        <v>3124</v>
      </c>
      <c r="B566" s="9"/>
      <c r="C566" s="9"/>
      <c r="D566" s="161">
        <v>76</v>
      </c>
      <c r="E566" s="172">
        <v>38525</v>
      </c>
      <c r="F566" s="33">
        <v>7157225.0562599991</v>
      </c>
    </row>
    <row r="567" spans="1:6">
      <c r="A567" s="8" t="s">
        <v>151</v>
      </c>
      <c r="B567" s="8" t="s">
        <v>3844</v>
      </c>
      <c r="C567" s="8" t="s">
        <v>50</v>
      </c>
      <c r="D567" s="161">
        <v>1</v>
      </c>
      <c r="E567" s="172">
        <v>200</v>
      </c>
      <c r="F567" s="33">
        <v>294.76669999999996</v>
      </c>
    </row>
    <row r="568" spans="1:6">
      <c r="A568" s="10"/>
      <c r="B568" s="10"/>
      <c r="C568" s="13" t="s">
        <v>62</v>
      </c>
      <c r="D568" s="162">
        <v>2</v>
      </c>
      <c r="E568" s="178">
        <v>1050</v>
      </c>
      <c r="F568" s="34">
        <v>736961.86204000004</v>
      </c>
    </row>
    <row r="569" spans="1:6">
      <c r="A569" s="10"/>
      <c r="B569" s="10"/>
      <c r="C569" s="13" t="s">
        <v>35</v>
      </c>
      <c r="D569" s="162">
        <v>2</v>
      </c>
      <c r="E569" s="178">
        <v>1600</v>
      </c>
      <c r="F569" s="34">
        <v>44840.156909999998</v>
      </c>
    </row>
    <row r="570" spans="1:6">
      <c r="A570" s="10"/>
      <c r="B570" s="10"/>
      <c r="C570" s="13" t="s">
        <v>163</v>
      </c>
      <c r="D570" s="162">
        <v>2</v>
      </c>
      <c r="E570" s="178">
        <v>2500</v>
      </c>
      <c r="F570" s="34">
        <v>30042.062400000003</v>
      </c>
    </row>
    <row r="571" spans="1:6">
      <c r="A571" s="10"/>
      <c r="B571" s="10"/>
      <c r="C571" s="13" t="s">
        <v>112</v>
      </c>
      <c r="D571" s="162">
        <v>67</v>
      </c>
      <c r="E571" s="178">
        <v>38300</v>
      </c>
      <c r="F571" s="34">
        <v>2324617.2521000002</v>
      </c>
    </row>
    <row r="572" spans="1:6">
      <c r="A572" s="10"/>
      <c r="B572" s="10"/>
      <c r="C572" s="13" t="s">
        <v>153</v>
      </c>
      <c r="D572" s="162">
        <v>4</v>
      </c>
      <c r="E572" s="178">
        <v>3150</v>
      </c>
      <c r="F572" s="34">
        <v>54669.256090000003</v>
      </c>
    </row>
    <row r="573" spans="1:6">
      <c r="A573" s="10"/>
      <c r="B573" s="8" t="s">
        <v>3852</v>
      </c>
      <c r="C573" s="9"/>
      <c r="D573" s="161">
        <v>78</v>
      </c>
      <c r="E573" s="172">
        <v>46800</v>
      </c>
      <c r="F573" s="33">
        <v>3191425.3562400006</v>
      </c>
    </row>
    <row r="574" spans="1:6">
      <c r="A574" s="8" t="s">
        <v>3125</v>
      </c>
      <c r="B574" s="9"/>
      <c r="C574" s="9"/>
      <c r="D574" s="161">
        <v>78</v>
      </c>
      <c r="E574" s="172">
        <v>46800</v>
      </c>
      <c r="F574" s="33">
        <v>3191425.3562400006</v>
      </c>
    </row>
    <row r="575" spans="1:6">
      <c r="A575" s="8" t="s">
        <v>90</v>
      </c>
      <c r="B575" s="8" t="s">
        <v>3840</v>
      </c>
      <c r="C575" s="8" t="s">
        <v>50</v>
      </c>
      <c r="D575" s="161">
        <v>6</v>
      </c>
      <c r="E575" s="172">
        <v>4400</v>
      </c>
      <c r="F575" s="33">
        <v>507445.40109999996</v>
      </c>
    </row>
    <row r="576" spans="1:6">
      <c r="A576" s="10"/>
      <c r="B576" s="10"/>
      <c r="C576" s="13" t="s">
        <v>62</v>
      </c>
      <c r="D576" s="162">
        <v>3</v>
      </c>
      <c r="E576" s="178">
        <v>1750</v>
      </c>
      <c r="F576" s="34">
        <v>7922.62</v>
      </c>
    </row>
    <row r="577" spans="1:6">
      <c r="A577" s="10"/>
      <c r="B577" s="10"/>
      <c r="C577" s="13" t="s">
        <v>35</v>
      </c>
      <c r="D577" s="162">
        <v>3</v>
      </c>
      <c r="E577" s="178">
        <v>1300</v>
      </c>
      <c r="F577" s="34">
        <v>79480.955999999991</v>
      </c>
    </row>
    <row r="578" spans="1:6">
      <c r="A578" s="10"/>
      <c r="B578" s="10"/>
      <c r="C578" s="13" t="s">
        <v>163</v>
      </c>
      <c r="D578" s="162">
        <v>1</v>
      </c>
      <c r="E578" s="178">
        <v>1500</v>
      </c>
      <c r="F578" s="34">
        <v>20413.98</v>
      </c>
    </row>
    <row r="579" spans="1:6">
      <c r="A579" s="10"/>
      <c r="B579" s="10"/>
      <c r="C579" s="13" t="s">
        <v>153</v>
      </c>
      <c r="D579" s="162">
        <v>1</v>
      </c>
      <c r="E579" s="178">
        <v>200</v>
      </c>
      <c r="F579" s="34">
        <v>277.67199999999997</v>
      </c>
    </row>
    <row r="580" spans="1:6">
      <c r="A580" s="10"/>
      <c r="B580" s="10"/>
      <c r="C580" s="13" t="s">
        <v>71</v>
      </c>
      <c r="D580" s="162">
        <v>47</v>
      </c>
      <c r="E580" s="178">
        <v>25125</v>
      </c>
      <c r="F580" s="34">
        <v>2745029.5193500002</v>
      </c>
    </row>
    <row r="581" spans="1:6">
      <c r="A581" s="10"/>
      <c r="B581" s="8" t="s">
        <v>3853</v>
      </c>
      <c r="C581" s="9"/>
      <c r="D581" s="161">
        <v>61</v>
      </c>
      <c r="E581" s="172">
        <v>34275</v>
      </c>
      <c r="F581" s="33">
        <v>3360570.1484500007</v>
      </c>
    </row>
    <row r="582" spans="1:6">
      <c r="A582" s="8" t="s">
        <v>3126</v>
      </c>
      <c r="B582" s="9"/>
      <c r="C582" s="9"/>
      <c r="D582" s="161">
        <v>61</v>
      </c>
      <c r="E582" s="172">
        <v>34275</v>
      </c>
      <c r="F582" s="33">
        <v>3360570.1484500007</v>
      </c>
    </row>
    <row r="583" spans="1:6">
      <c r="A583" s="8" t="s">
        <v>118</v>
      </c>
      <c r="B583" s="8" t="s">
        <v>3842</v>
      </c>
      <c r="C583" s="8" t="s">
        <v>50</v>
      </c>
      <c r="D583" s="161">
        <v>2</v>
      </c>
      <c r="E583" s="172">
        <v>100</v>
      </c>
      <c r="F583" s="33">
        <v>475.06407999999999</v>
      </c>
    </row>
    <row r="584" spans="1:6">
      <c r="A584" s="10"/>
      <c r="B584" s="10"/>
      <c r="C584" s="13" t="s">
        <v>62</v>
      </c>
      <c r="D584" s="162">
        <v>50</v>
      </c>
      <c r="E584" s="178">
        <v>34500</v>
      </c>
      <c r="F584" s="34">
        <v>3375181.6304549994</v>
      </c>
    </row>
    <row r="585" spans="1:6">
      <c r="A585" s="10"/>
      <c r="B585" s="10"/>
      <c r="C585" s="13" t="s">
        <v>35</v>
      </c>
      <c r="D585" s="162">
        <v>1</v>
      </c>
      <c r="E585" s="178">
        <v>750</v>
      </c>
      <c r="F585" s="34">
        <v>142011.29249999998</v>
      </c>
    </row>
    <row r="586" spans="1:6">
      <c r="A586" s="10"/>
      <c r="B586" s="10"/>
      <c r="C586" s="13" t="s">
        <v>163</v>
      </c>
      <c r="D586" s="162">
        <v>6</v>
      </c>
      <c r="E586" s="178">
        <v>3750</v>
      </c>
      <c r="F586" s="34">
        <v>383952.57332999998</v>
      </c>
    </row>
    <row r="587" spans="1:6">
      <c r="A587" s="10"/>
      <c r="B587" s="10"/>
      <c r="C587" s="13" t="s">
        <v>112</v>
      </c>
      <c r="D587" s="162">
        <v>4</v>
      </c>
      <c r="E587" s="178">
        <v>2650</v>
      </c>
      <c r="F587" s="34">
        <v>15001.24833</v>
      </c>
    </row>
    <row r="588" spans="1:6">
      <c r="A588" s="10"/>
      <c r="B588" s="10"/>
      <c r="C588" s="13" t="s">
        <v>153</v>
      </c>
      <c r="D588" s="162">
        <v>2</v>
      </c>
      <c r="E588" s="178">
        <v>2050</v>
      </c>
      <c r="F588" s="34">
        <v>22781.157999999999</v>
      </c>
    </row>
    <row r="589" spans="1:6">
      <c r="A589" s="10"/>
      <c r="B589" s="8" t="s">
        <v>3854</v>
      </c>
      <c r="C589" s="9"/>
      <c r="D589" s="161">
        <v>65</v>
      </c>
      <c r="E589" s="172">
        <v>43800</v>
      </c>
      <c r="F589" s="33">
        <v>3939402.9666949995</v>
      </c>
    </row>
    <row r="590" spans="1:6">
      <c r="A590" s="8" t="s">
        <v>3127</v>
      </c>
      <c r="B590" s="9"/>
      <c r="C590" s="9"/>
      <c r="D590" s="161">
        <v>65</v>
      </c>
      <c r="E590" s="172">
        <v>43800</v>
      </c>
      <c r="F590" s="33">
        <v>3939402.9666949995</v>
      </c>
    </row>
    <row r="591" spans="1:6">
      <c r="A591" s="8" t="s">
        <v>209</v>
      </c>
      <c r="B591" s="8" t="s">
        <v>3845</v>
      </c>
      <c r="C591" s="8" t="s">
        <v>50</v>
      </c>
      <c r="D591" s="161">
        <v>1</v>
      </c>
      <c r="E591" s="172">
        <v>250</v>
      </c>
      <c r="F591" s="33">
        <v>6216.5149999999994</v>
      </c>
    </row>
    <row r="592" spans="1:6">
      <c r="A592" s="10"/>
      <c r="B592" s="10"/>
      <c r="C592" s="13" t="s">
        <v>62</v>
      </c>
      <c r="D592" s="162">
        <v>3</v>
      </c>
      <c r="E592" s="178">
        <v>525</v>
      </c>
      <c r="F592" s="34">
        <v>10074.209349999999</v>
      </c>
    </row>
    <row r="593" spans="1:6">
      <c r="A593" s="10"/>
      <c r="B593" s="10"/>
      <c r="C593" s="13" t="s">
        <v>35</v>
      </c>
      <c r="D593" s="162">
        <v>1</v>
      </c>
      <c r="E593" s="178">
        <v>75</v>
      </c>
      <c r="F593" s="34">
        <v>1495.1937</v>
      </c>
    </row>
    <row r="594" spans="1:6">
      <c r="A594" s="10"/>
      <c r="B594" s="10"/>
      <c r="C594" s="13" t="s">
        <v>163</v>
      </c>
      <c r="D594" s="162">
        <v>2</v>
      </c>
      <c r="E594" s="178">
        <v>2075</v>
      </c>
      <c r="F594" s="34">
        <v>21868.044999999998</v>
      </c>
    </row>
    <row r="595" spans="1:6">
      <c r="A595" s="10"/>
      <c r="B595" s="10"/>
      <c r="C595" s="13" t="s">
        <v>112</v>
      </c>
      <c r="D595" s="162">
        <v>3</v>
      </c>
      <c r="E595" s="178">
        <v>1675</v>
      </c>
      <c r="F595" s="34">
        <v>66435.675499999998</v>
      </c>
    </row>
    <row r="596" spans="1:6">
      <c r="A596" s="10"/>
      <c r="B596" s="10"/>
      <c r="C596" s="13" t="s">
        <v>153</v>
      </c>
      <c r="D596" s="162">
        <v>58</v>
      </c>
      <c r="E596" s="178">
        <v>28950</v>
      </c>
      <c r="F596" s="34">
        <v>931122.36080999987</v>
      </c>
    </row>
    <row r="597" spans="1:6">
      <c r="A597" s="10"/>
      <c r="B597" s="10"/>
      <c r="C597" s="13" t="s">
        <v>71</v>
      </c>
      <c r="D597" s="162">
        <v>1</v>
      </c>
      <c r="E597" s="178">
        <v>75</v>
      </c>
      <c r="F597" s="34">
        <v>18.77487</v>
      </c>
    </row>
    <row r="598" spans="1:6">
      <c r="A598" s="10"/>
      <c r="B598" s="8" t="s">
        <v>3855</v>
      </c>
      <c r="C598" s="9"/>
      <c r="D598" s="161">
        <v>69</v>
      </c>
      <c r="E598" s="172">
        <v>33625</v>
      </c>
      <c r="F598" s="33">
        <v>1037230.77423</v>
      </c>
    </row>
    <row r="599" spans="1:6">
      <c r="A599" s="8" t="s">
        <v>3128</v>
      </c>
      <c r="B599" s="9"/>
      <c r="C599" s="9"/>
      <c r="D599" s="161">
        <v>69</v>
      </c>
      <c r="E599" s="172">
        <v>33625</v>
      </c>
      <c r="F599" s="33">
        <v>1037230.77423</v>
      </c>
    </row>
    <row r="600" spans="1:6">
      <c r="A600" s="8" t="s">
        <v>32</v>
      </c>
      <c r="B600" s="8" t="s">
        <v>3835</v>
      </c>
      <c r="C600" s="8" t="s">
        <v>50</v>
      </c>
      <c r="D600" s="161">
        <v>2</v>
      </c>
      <c r="E600" s="172">
        <v>950</v>
      </c>
      <c r="F600" s="33">
        <v>1486173.1059999999</v>
      </c>
    </row>
    <row r="601" spans="1:6">
      <c r="A601" s="10"/>
      <c r="B601" s="10"/>
      <c r="C601" s="13" t="s">
        <v>62</v>
      </c>
      <c r="D601" s="162">
        <v>3</v>
      </c>
      <c r="E601" s="178">
        <v>1800</v>
      </c>
      <c r="F601" s="34">
        <v>19402.75675</v>
      </c>
    </row>
    <row r="602" spans="1:6">
      <c r="A602" s="10"/>
      <c r="B602" s="10"/>
      <c r="C602" s="13" t="s">
        <v>35</v>
      </c>
      <c r="D602" s="162">
        <v>43</v>
      </c>
      <c r="E602" s="178">
        <v>21575</v>
      </c>
      <c r="F602" s="34">
        <v>11311774.507250002</v>
      </c>
    </row>
    <row r="603" spans="1:6">
      <c r="A603" s="10"/>
      <c r="B603" s="10"/>
      <c r="C603" s="13" t="s">
        <v>112</v>
      </c>
      <c r="D603" s="162">
        <v>2</v>
      </c>
      <c r="E603" s="178">
        <v>1550</v>
      </c>
      <c r="F603" s="34">
        <v>388.51179999999999</v>
      </c>
    </row>
    <row r="604" spans="1:6">
      <c r="A604" s="10"/>
      <c r="B604" s="10"/>
      <c r="C604" s="13" t="s">
        <v>153</v>
      </c>
      <c r="D604" s="162">
        <v>4</v>
      </c>
      <c r="E604" s="178">
        <v>925</v>
      </c>
      <c r="F604" s="34">
        <v>184591.42474999998</v>
      </c>
    </row>
    <row r="605" spans="1:6">
      <c r="A605" s="10"/>
      <c r="B605" s="10"/>
      <c r="C605" s="13" t="s">
        <v>71</v>
      </c>
      <c r="D605" s="162">
        <v>1</v>
      </c>
      <c r="E605" s="178">
        <v>75</v>
      </c>
      <c r="F605" s="34">
        <v>51084.75</v>
      </c>
    </row>
    <row r="606" spans="1:6">
      <c r="A606" s="10"/>
      <c r="B606" s="8" t="s">
        <v>3856</v>
      </c>
      <c r="C606" s="9"/>
      <c r="D606" s="161">
        <v>55</v>
      </c>
      <c r="E606" s="172">
        <v>26875</v>
      </c>
      <c r="F606" s="33">
        <v>13053415.056550004</v>
      </c>
    </row>
    <row r="607" spans="1:6">
      <c r="A607" s="8" t="s">
        <v>3129</v>
      </c>
      <c r="B607" s="9"/>
      <c r="C607" s="9"/>
      <c r="D607" s="161">
        <v>55</v>
      </c>
      <c r="E607" s="172">
        <v>26875</v>
      </c>
      <c r="F607" s="33">
        <v>13053415.056550004</v>
      </c>
    </row>
    <row r="608" spans="1:6">
      <c r="A608" s="8" t="s">
        <v>215</v>
      </c>
      <c r="B608" s="8" t="s">
        <v>3846</v>
      </c>
      <c r="C608" s="8" t="s">
        <v>50</v>
      </c>
      <c r="D608" s="161">
        <v>2</v>
      </c>
      <c r="E608" s="172">
        <v>1250</v>
      </c>
      <c r="F608" s="33">
        <v>136917.41250000001</v>
      </c>
    </row>
    <row r="609" spans="1:6">
      <c r="A609" s="10"/>
      <c r="B609" s="10"/>
      <c r="C609" s="13" t="s">
        <v>62</v>
      </c>
      <c r="D609" s="162">
        <v>2</v>
      </c>
      <c r="E609" s="178">
        <v>250</v>
      </c>
      <c r="F609" s="34">
        <v>69765.604000000007</v>
      </c>
    </row>
    <row r="610" spans="1:6">
      <c r="A610" s="10"/>
      <c r="B610" s="10"/>
      <c r="C610" s="13" t="s">
        <v>35</v>
      </c>
      <c r="D610" s="162">
        <v>3</v>
      </c>
      <c r="E610" s="178">
        <v>550</v>
      </c>
      <c r="F610" s="34">
        <v>13529.681624999999</v>
      </c>
    </row>
    <row r="611" spans="1:6">
      <c r="A611" s="10"/>
      <c r="B611" s="10"/>
      <c r="C611" s="13" t="s">
        <v>163</v>
      </c>
      <c r="D611" s="162">
        <v>3</v>
      </c>
      <c r="E611" s="178">
        <v>2500</v>
      </c>
      <c r="F611" s="34">
        <v>76064.554000000004</v>
      </c>
    </row>
    <row r="612" spans="1:6">
      <c r="A612" s="10"/>
      <c r="B612" s="10"/>
      <c r="C612" s="13" t="s">
        <v>112</v>
      </c>
      <c r="D612" s="162">
        <v>50</v>
      </c>
      <c r="E612" s="178">
        <v>32625</v>
      </c>
      <c r="F612" s="34">
        <v>2483175.3424349995</v>
      </c>
    </row>
    <row r="613" spans="1:6">
      <c r="A613" s="10"/>
      <c r="B613" s="10"/>
      <c r="C613" s="13" t="s">
        <v>153</v>
      </c>
      <c r="D613" s="162">
        <v>2</v>
      </c>
      <c r="E613" s="178">
        <v>1500</v>
      </c>
      <c r="F613" s="34">
        <v>10113.130000000001</v>
      </c>
    </row>
    <row r="614" spans="1:6">
      <c r="A614" s="10"/>
      <c r="B614" s="10"/>
      <c r="C614" s="13" t="s">
        <v>71</v>
      </c>
      <c r="D614" s="162">
        <v>5</v>
      </c>
      <c r="E614" s="178">
        <v>3300</v>
      </c>
      <c r="F614" s="34">
        <v>6011.5854500000005</v>
      </c>
    </row>
    <row r="615" spans="1:6">
      <c r="A615" s="10"/>
      <c r="B615" s="8" t="s">
        <v>3857</v>
      </c>
      <c r="C615" s="9"/>
      <c r="D615" s="161">
        <v>67</v>
      </c>
      <c r="E615" s="172">
        <v>41975</v>
      </c>
      <c r="F615" s="33">
        <v>2795577.3100099997</v>
      </c>
    </row>
    <row r="616" spans="1:6">
      <c r="A616" s="8" t="s">
        <v>3130</v>
      </c>
      <c r="B616" s="9"/>
      <c r="C616" s="9"/>
      <c r="D616" s="161">
        <v>67</v>
      </c>
      <c r="E616" s="172">
        <v>41975</v>
      </c>
      <c r="F616" s="33">
        <v>2795577.3100099997</v>
      </c>
    </row>
    <row r="617" spans="1:6">
      <c r="A617" s="8" t="s">
        <v>48</v>
      </c>
      <c r="B617" s="8" t="s">
        <v>3836</v>
      </c>
      <c r="C617" s="8" t="s">
        <v>50</v>
      </c>
      <c r="D617" s="161">
        <v>53</v>
      </c>
      <c r="E617" s="172">
        <v>33150</v>
      </c>
      <c r="F617" s="33">
        <v>8710295.1617900003</v>
      </c>
    </row>
    <row r="618" spans="1:6">
      <c r="A618" s="10"/>
      <c r="B618" s="10"/>
      <c r="C618" s="13" t="s">
        <v>62</v>
      </c>
      <c r="D618" s="162">
        <v>2</v>
      </c>
      <c r="E618" s="178">
        <v>1075</v>
      </c>
      <c r="F618" s="34">
        <v>9944.8417499999996</v>
      </c>
    </row>
    <row r="619" spans="1:6">
      <c r="A619" s="10"/>
      <c r="B619" s="10"/>
      <c r="C619" s="13" t="s">
        <v>163</v>
      </c>
      <c r="D619" s="162">
        <v>3</v>
      </c>
      <c r="E619" s="178">
        <v>375</v>
      </c>
      <c r="F619" s="34">
        <v>17584.247499999998</v>
      </c>
    </row>
    <row r="620" spans="1:6">
      <c r="A620" s="10"/>
      <c r="B620" s="10"/>
      <c r="C620" s="13" t="s">
        <v>112</v>
      </c>
      <c r="D620" s="162">
        <v>4</v>
      </c>
      <c r="E620" s="178">
        <v>1825</v>
      </c>
      <c r="F620" s="34">
        <v>19036.075999999997</v>
      </c>
    </row>
    <row r="621" spans="1:6">
      <c r="A621" s="10"/>
      <c r="B621" s="10"/>
      <c r="C621" s="13" t="s">
        <v>153</v>
      </c>
      <c r="D621" s="162">
        <v>3</v>
      </c>
      <c r="E621" s="178">
        <v>550</v>
      </c>
      <c r="F621" s="34">
        <v>981.88103999999998</v>
      </c>
    </row>
    <row r="622" spans="1:6">
      <c r="A622" s="10"/>
      <c r="B622" s="10"/>
      <c r="C622" s="13" t="s">
        <v>71</v>
      </c>
      <c r="D622" s="162">
        <v>2</v>
      </c>
      <c r="E622" s="178">
        <v>2075</v>
      </c>
      <c r="F622" s="34">
        <v>384545.43375000003</v>
      </c>
    </row>
    <row r="623" spans="1:6">
      <c r="A623" s="10"/>
      <c r="B623" s="8" t="s">
        <v>3858</v>
      </c>
      <c r="C623" s="9"/>
      <c r="D623" s="161">
        <v>67</v>
      </c>
      <c r="E623" s="172">
        <v>39050</v>
      </c>
      <c r="F623" s="33">
        <v>9142387.641830001</v>
      </c>
    </row>
    <row r="624" spans="1:6">
      <c r="A624" s="8" t="s">
        <v>3131</v>
      </c>
      <c r="B624" s="9"/>
      <c r="C624" s="9"/>
      <c r="D624" s="161">
        <v>67</v>
      </c>
      <c r="E624" s="172">
        <v>39050</v>
      </c>
      <c r="F624" s="33">
        <v>9142387.641830001</v>
      </c>
    </row>
    <row r="625" spans="1:6">
      <c r="A625" s="8" t="s">
        <v>235</v>
      </c>
      <c r="B625" s="8" t="s">
        <v>3848</v>
      </c>
      <c r="C625" s="8" t="s">
        <v>50</v>
      </c>
      <c r="D625" s="161">
        <v>4</v>
      </c>
      <c r="E625" s="172">
        <v>1350</v>
      </c>
      <c r="F625" s="33">
        <v>174150.32084999999</v>
      </c>
    </row>
    <row r="626" spans="1:6">
      <c r="A626" s="10"/>
      <c r="B626" s="10"/>
      <c r="C626" s="13" t="s">
        <v>62</v>
      </c>
      <c r="D626" s="162">
        <v>5</v>
      </c>
      <c r="E626" s="178">
        <v>1200</v>
      </c>
      <c r="F626" s="34">
        <v>18174.724054999999</v>
      </c>
    </row>
    <row r="627" spans="1:6">
      <c r="A627" s="10"/>
      <c r="B627" s="10"/>
      <c r="C627" s="13" t="s">
        <v>35</v>
      </c>
      <c r="D627" s="162">
        <v>1</v>
      </c>
      <c r="E627" s="178">
        <v>250</v>
      </c>
      <c r="F627" s="34">
        <v>8388.6880000000001</v>
      </c>
    </row>
    <row r="628" spans="1:6">
      <c r="A628" s="10"/>
      <c r="B628" s="10"/>
      <c r="C628" s="13" t="s">
        <v>163</v>
      </c>
      <c r="D628" s="162">
        <v>1</v>
      </c>
      <c r="E628" s="178">
        <v>300</v>
      </c>
      <c r="F628" s="34">
        <v>160713</v>
      </c>
    </row>
    <row r="629" spans="1:6">
      <c r="A629" s="10"/>
      <c r="B629" s="10"/>
      <c r="C629" s="13" t="s">
        <v>112</v>
      </c>
      <c r="D629" s="162">
        <v>2</v>
      </c>
      <c r="E629" s="178">
        <v>3000</v>
      </c>
      <c r="F629" s="34">
        <v>46441.331850000002</v>
      </c>
    </row>
    <row r="630" spans="1:6">
      <c r="A630" s="10"/>
      <c r="B630" s="10"/>
      <c r="C630" s="13" t="s">
        <v>153</v>
      </c>
      <c r="D630" s="162">
        <v>4</v>
      </c>
      <c r="E630" s="178">
        <v>1900</v>
      </c>
      <c r="F630" s="34">
        <v>21194.804947500001</v>
      </c>
    </row>
    <row r="631" spans="1:6">
      <c r="A631" s="10"/>
      <c r="B631" s="10"/>
      <c r="C631" s="13" t="s">
        <v>71</v>
      </c>
      <c r="D631" s="162">
        <v>57</v>
      </c>
      <c r="E631" s="178">
        <v>27875</v>
      </c>
      <c r="F631" s="34">
        <v>1414127.1600224997</v>
      </c>
    </row>
    <row r="632" spans="1:6">
      <c r="A632" s="10"/>
      <c r="B632" s="8" t="s">
        <v>3859</v>
      </c>
      <c r="C632" s="9"/>
      <c r="D632" s="161">
        <v>74</v>
      </c>
      <c r="E632" s="172">
        <v>35875</v>
      </c>
      <c r="F632" s="33">
        <v>1843190.0297249996</v>
      </c>
    </row>
    <row r="633" spans="1:6">
      <c r="A633" s="8" t="s">
        <v>3132</v>
      </c>
      <c r="B633" s="9"/>
      <c r="C633" s="9"/>
      <c r="D633" s="161">
        <v>74</v>
      </c>
      <c r="E633" s="172">
        <v>35875</v>
      </c>
      <c r="F633" s="33">
        <v>1843190.0297249996</v>
      </c>
    </row>
    <row r="634" spans="1:6">
      <c r="A634" s="8" t="s">
        <v>80</v>
      </c>
      <c r="B634" s="8" t="s">
        <v>3839</v>
      </c>
      <c r="C634" s="8" t="s">
        <v>50</v>
      </c>
      <c r="D634" s="161">
        <v>3</v>
      </c>
      <c r="E634" s="172">
        <v>1850</v>
      </c>
      <c r="F634" s="33">
        <v>828.06995999999992</v>
      </c>
    </row>
    <row r="635" spans="1:6">
      <c r="A635" s="10"/>
      <c r="B635" s="10"/>
      <c r="C635" s="13" t="s">
        <v>62</v>
      </c>
      <c r="D635" s="162">
        <v>4</v>
      </c>
      <c r="E635" s="178">
        <v>525</v>
      </c>
      <c r="F635" s="34">
        <v>93034.939500000008</v>
      </c>
    </row>
    <row r="636" spans="1:6">
      <c r="A636" s="10"/>
      <c r="B636" s="10"/>
      <c r="C636" s="13" t="s">
        <v>35</v>
      </c>
      <c r="D636" s="162">
        <v>53</v>
      </c>
      <c r="E636" s="178">
        <v>24175</v>
      </c>
      <c r="F636" s="34">
        <v>2529931.8832599996</v>
      </c>
    </row>
    <row r="637" spans="1:6">
      <c r="A637" s="10"/>
      <c r="B637" s="10"/>
      <c r="C637" s="13" t="s">
        <v>163</v>
      </c>
      <c r="D637" s="162">
        <v>3</v>
      </c>
      <c r="E637" s="178">
        <v>4150</v>
      </c>
      <c r="F637" s="34">
        <v>172503.18159999998</v>
      </c>
    </row>
    <row r="638" spans="1:6">
      <c r="A638" s="10"/>
      <c r="B638" s="10"/>
      <c r="C638" s="13" t="s">
        <v>112</v>
      </c>
      <c r="D638" s="162">
        <v>2</v>
      </c>
      <c r="E638" s="178">
        <v>225</v>
      </c>
      <c r="F638" s="34">
        <v>5194.7827500000003</v>
      </c>
    </row>
    <row r="639" spans="1:6">
      <c r="A639" s="10"/>
      <c r="B639" s="10"/>
      <c r="C639" s="13" t="s">
        <v>153</v>
      </c>
      <c r="D639" s="162">
        <v>6</v>
      </c>
      <c r="E639" s="178">
        <v>1425</v>
      </c>
      <c r="F639" s="34">
        <v>63989.483945</v>
      </c>
    </row>
    <row r="640" spans="1:6">
      <c r="A640" s="10"/>
      <c r="B640" s="10"/>
      <c r="C640" s="13" t="s">
        <v>71</v>
      </c>
      <c r="D640" s="162">
        <v>1</v>
      </c>
      <c r="E640" s="178">
        <v>300</v>
      </c>
      <c r="F640" s="34">
        <v>17745.620999999999</v>
      </c>
    </row>
    <row r="641" spans="1:6">
      <c r="A641" s="10"/>
      <c r="B641" s="8" t="s">
        <v>3860</v>
      </c>
      <c r="C641" s="9"/>
      <c r="D641" s="161">
        <v>72</v>
      </c>
      <c r="E641" s="172">
        <v>32650</v>
      </c>
      <c r="F641" s="33">
        <v>2883227.9620149992</v>
      </c>
    </row>
    <row r="642" spans="1:6">
      <c r="A642" s="8" t="s">
        <v>3133</v>
      </c>
      <c r="B642" s="9"/>
      <c r="C642" s="9"/>
      <c r="D642" s="161">
        <v>72</v>
      </c>
      <c r="E642" s="172">
        <v>32650</v>
      </c>
      <c r="F642" s="33">
        <v>2883227.9620149992</v>
      </c>
    </row>
    <row r="643" spans="1:6">
      <c r="A643" s="8" t="s">
        <v>256</v>
      </c>
      <c r="B643" s="8" t="s">
        <v>3849</v>
      </c>
      <c r="C643" s="8" t="s">
        <v>50</v>
      </c>
      <c r="D643" s="161">
        <v>2</v>
      </c>
      <c r="E643" s="172">
        <v>2000</v>
      </c>
      <c r="F643" s="33">
        <v>6302.3000499999998</v>
      </c>
    </row>
    <row r="644" spans="1:6">
      <c r="A644" s="10"/>
      <c r="B644" s="10"/>
      <c r="C644" s="13" t="s">
        <v>62</v>
      </c>
      <c r="D644" s="162">
        <v>4</v>
      </c>
      <c r="E644" s="178">
        <v>1950</v>
      </c>
      <c r="F644" s="34">
        <v>32863.818599999999</v>
      </c>
    </row>
    <row r="645" spans="1:6">
      <c r="A645" s="10"/>
      <c r="B645" s="10"/>
      <c r="C645" s="13" t="s">
        <v>35</v>
      </c>
      <c r="D645" s="162">
        <v>5</v>
      </c>
      <c r="E645" s="178">
        <v>5550</v>
      </c>
      <c r="F645" s="34">
        <v>208223.24199999997</v>
      </c>
    </row>
    <row r="646" spans="1:6">
      <c r="A646" s="10"/>
      <c r="B646" s="10"/>
      <c r="C646" s="13" t="s">
        <v>163</v>
      </c>
      <c r="D646" s="162">
        <v>3</v>
      </c>
      <c r="E646" s="178">
        <v>1575</v>
      </c>
      <c r="F646" s="34">
        <v>260040.37035000001</v>
      </c>
    </row>
    <row r="647" spans="1:6">
      <c r="A647" s="10"/>
      <c r="B647" s="10"/>
      <c r="C647" s="13" t="s">
        <v>153</v>
      </c>
      <c r="D647" s="162">
        <v>45</v>
      </c>
      <c r="E647" s="178">
        <v>19550</v>
      </c>
      <c r="F647" s="34">
        <v>3189256.0578149995</v>
      </c>
    </row>
    <row r="648" spans="1:6">
      <c r="A648" s="10"/>
      <c r="B648" s="10"/>
      <c r="C648" s="13" t="s">
        <v>71</v>
      </c>
      <c r="D648" s="162">
        <v>4</v>
      </c>
      <c r="E648" s="178">
        <v>1100</v>
      </c>
      <c r="F648" s="34">
        <v>114812.75049000001</v>
      </c>
    </row>
    <row r="649" spans="1:6">
      <c r="A649" s="10"/>
      <c r="B649" s="8" t="s">
        <v>3861</v>
      </c>
      <c r="C649" s="9"/>
      <c r="D649" s="161">
        <v>63</v>
      </c>
      <c r="E649" s="172">
        <v>31725</v>
      </c>
      <c r="F649" s="33">
        <v>3811498.5393049992</v>
      </c>
    </row>
    <row r="650" spans="1:6">
      <c r="A650" s="8" t="s">
        <v>3134</v>
      </c>
      <c r="B650" s="9"/>
      <c r="C650" s="9"/>
      <c r="D650" s="161">
        <v>63</v>
      </c>
      <c r="E650" s="172">
        <v>31725</v>
      </c>
      <c r="F650" s="33">
        <v>3811498.5393049992</v>
      </c>
    </row>
    <row r="651" spans="1:6">
      <c r="A651" s="8" t="s">
        <v>142</v>
      </c>
      <c r="B651" s="8" t="s">
        <v>3843</v>
      </c>
      <c r="C651" s="8" t="s">
        <v>50</v>
      </c>
      <c r="D651" s="161">
        <v>42</v>
      </c>
      <c r="E651" s="172">
        <v>18700</v>
      </c>
      <c r="F651" s="33">
        <v>9301663.398632504</v>
      </c>
    </row>
    <row r="652" spans="1:6">
      <c r="A652" s="10"/>
      <c r="B652" s="10"/>
      <c r="C652" s="13" t="s">
        <v>62</v>
      </c>
      <c r="D652" s="162">
        <v>1</v>
      </c>
      <c r="E652" s="178">
        <v>50</v>
      </c>
      <c r="F652" s="34">
        <v>296.495</v>
      </c>
    </row>
    <row r="653" spans="1:6">
      <c r="A653" s="10"/>
      <c r="B653" s="10"/>
      <c r="C653" s="13" t="s">
        <v>35</v>
      </c>
      <c r="D653" s="162">
        <v>1</v>
      </c>
      <c r="E653" s="178">
        <v>750</v>
      </c>
      <c r="F653" s="34">
        <v>220080</v>
      </c>
    </row>
    <row r="654" spans="1:6">
      <c r="A654" s="10"/>
      <c r="B654" s="10"/>
      <c r="C654" s="13" t="s">
        <v>163</v>
      </c>
      <c r="D654" s="162">
        <v>5</v>
      </c>
      <c r="E654" s="178">
        <v>3100</v>
      </c>
      <c r="F654" s="34">
        <v>106788.01300000001</v>
      </c>
    </row>
    <row r="655" spans="1:6">
      <c r="A655" s="10"/>
      <c r="B655" s="10"/>
      <c r="C655" s="13" t="s">
        <v>153</v>
      </c>
      <c r="D655" s="162">
        <v>3</v>
      </c>
      <c r="E655" s="178">
        <v>400</v>
      </c>
      <c r="F655" s="34">
        <v>8208.7897499999999</v>
      </c>
    </row>
    <row r="656" spans="1:6">
      <c r="A656" s="10"/>
      <c r="B656" s="10"/>
      <c r="C656" s="13" t="s">
        <v>71</v>
      </c>
      <c r="D656" s="162">
        <v>1</v>
      </c>
      <c r="E656" s="178">
        <v>300</v>
      </c>
      <c r="F656" s="34">
        <v>109542</v>
      </c>
    </row>
    <row r="657" spans="1:6">
      <c r="A657" s="10"/>
      <c r="B657" s="8" t="s">
        <v>3862</v>
      </c>
      <c r="C657" s="9"/>
      <c r="D657" s="161">
        <v>53</v>
      </c>
      <c r="E657" s="172">
        <v>23300</v>
      </c>
      <c r="F657" s="33">
        <v>9746578.6963825021</v>
      </c>
    </row>
    <row r="658" spans="1:6">
      <c r="A658" s="8" t="s">
        <v>3135</v>
      </c>
      <c r="B658" s="9"/>
      <c r="C658" s="9"/>
      <c r="D658" s="161">
        <v>53</v>
      </c>
      <c r="E658" s="172">
        <v>23300</v>
      </c>
      <c r="F658" s="33">
        <v>9746578.6963825021</v>
      </c>
    </row>
    <row r="659" spans="1:6">
      <c r="A659" s="8" t="s">
        <v>60</v>
      </c>
      <c r="B659" s="8" t="s">
        <v>3837</v>
      </c>
      <c r="C659" s="8" t="s">
        <v>62</v>
      </c>
      <c r="D659" s="161">
        <v>48</v>
      </c>
      <c r="E659" s="172">
        <v>25850</v>
      </c>
      <c r="F659" s="33">
        <v>2225344.4752600002</v>
      </c>
    </row>
    <row r="660" spans="1:6">
      <c r="A660" s="10"/>
      <c r="B660" s="10"/>
      <c r="C660" s="13" t="s">
        <v>35</v>
      </c>
      <c r="D660" s="162">
        <v>6</v>
      </c>
      <c r="E660" s="178">
        <v>3225</v>
      </c>
      <c r="F660" s="34">
        <v>4895421.3357499996</v>
      </c>
    </row>
    <row r="661" spans="1:6">
      <c r="A661" s="10"/>
      <c r="B661" s="10"/>
      <c r="C661" s="13" t="s">
        <v>163</v>
      </c>
      <c r="D661" s="162">
        <v>2</v>
      </c>
      <c r="E661" s="178">
        <v>575</v>
      </c>
      <c r="F661" s="34">
        <v>6598.8452500000003</v>
      </c>
    </row>
    <row r="662" spans="1:6">
      <c r="A662" s="10"/>
      <c r="B662" s="10"/>
      <c r="C662" s="13" t="s">
        <v>112</v>
      </c>
      <c r="D662" s="162">
        <v>2</v>
      </c>
      <c r="E662" s="178">
        <v>750</v>
      </c>
      <c r="F662" s="34">
        <v>11.754824999999999</v>
      </c>
    </row>
    <row r="663" spans="1:6">
      <c r="A663" s="10"/>
      <c r="B663" s="10"/>
      <c r="C663" s="13" t="s">
        <v>153</v>
      </c>
      <c r="D663" s="162">
        <v>3</v>
      </c>
      <c r="E663" s="178">
        <v>1000</v>
      </c>
      <c r="F663" s="34">
        <v>4627.1484799999998</v>
      </c>
    </row>
    <row r="664" spans="1:6">
      <c r="A664" s="10"/>
      <c r="B664" s="10"/>
      <c r="C664" s="13" t="s">
        <v>71</v>
      </c>
      <c r="D664" s="162">
        <v>3</v>
      </c>
      <c r="E664" s="178">
        <v>1700</v>
      </c>
      <c r="F664" s="34">
        <v>330596.24694500002</v>
      </c>
    </row>
    <row r="665" spans="1:6">
      <c r="A665" s="10"/>
      <c r="B665" s="8" t="s">
        <v>3863</v>
      </c>
      <c r="C665" s="9"/>
      <c r="D665" s="161">
        <v>64</v>
      </c>
      <c r="E665" s="172">
        <v>33100</v>
      </c>
      <c r="F665" s="33">
        <v>7462599.8065099986</v>
      </c>
    </row>
    <row r="666" spans="1:6">
      <c r="A666" s="8" t="s">
        <v>3136</v>
      </c>
      <c r="B666" s="9"/>
      <c r="C666" s="9"/>
      <c r="D666" s="161">
        <v>64</v>
      </c>
      <c r="E666" s="172">
        <v>33100</v>
      </c>
      <c r="F666" s="33">
        <v>7462599.8065099986</v>
      </c>
    </row>
    <row r="667" spans="1:6">
      <c r="A667" s="8" t="s">
        <v>69</v>
      </c>
      <c r="B667" s="8" t="s">
        <v>3838</v>
      </c>
      <c r="C667" s="8" t="s">
        <v>50</v>
      </c>
      <c r="D667" s="161">
        <v>4</v>
      </c>
      <c r="E667" s="172">
        <v>2825</v>
      </c>
      <c r="F667" s="33">
        <v>2150857.6287500001</v>
      </c>
    </row>
    <row r="668" spans="1:6">
      <c r="A668" s="10"/>
      <c r="B668" s="10"/>
      <c r="C668" s="13" t="s">
        <v>62</v>
      </c>
      <c r="D668" s="162">
        <v>3</v>
      </c>
      <c r="E668" s="178">
        <v>1200</v>
      </c>
      <c r="F668" s="34">
        <v>62356.614099999999</v>
      </c>
    </row>
    <row r="669" spans="1:6">
      <c r="A669" s="10"/>
      <c r="B669" s="10"/>
      <c r="C669" s="13" t="s">
        <v>35</v>
      </c>
      <c r="D669" s="162">
        <v>7</v>
      </c>
      <c r="E669" s="178">
        <v>4450</v>
      </c>
      <c r="F669" s="34">
        <v>325470.15794999996</v>
      </c>
    </row>
    <row r="670" spans="1:6">
      <c r="A670" s="10"/>
      <c r="B670" s="10"/>
      <c r="C670" s="13" t="s">
        <v>163</v>
      </c>
      <c r="D670" s="162">
        <v>2</v>
      </c>
      <c r="E670" s="178">
        <v>700</v>
      </c>
      <c r="F670" s="34">
        <v>356928.62599999999</v>
      </c>
    </row>
    <row r="671" spans="1:6">
      <c r="A671" s="10"/>
      <c r="B671" s="10"/>
      <c r="C671" s="13" t="s">
        <v>112</v>
      </c>
      <c r="D671" s="162">
        <v>54</v>
      </c>
      <c r="E671" s="178">
        <v>27700</v>
      </c>
      <c r="F671" s="34">
        <v>2555164.3477300005</v>
      </c>
    </row>
    <row r="672" spans="1:6">
      <c r="A672" s="10"/>
      <c r="B672" s="10"/>
      <c r="C672" s="13" t="s">
        <v>153</v>
      </c>
      <c r="D672" s="162">
        <v>4</v>
      </c>
      <c r="E672" s="178">
        <v>1250</v>
      </c>
      <c r="F672" s="34">
        <v>220129.23963</v>
      </c>
    </row>
    <row r="673" spans="1:6">
      <c r="A673" s="10"/>
      <c r="B673" s="10"/>
      <c r="C673" s="13" t="s">
        <v>71</v>
      </c>
      <c r="D673" s="162">
        <v>3</v>
      </c>
      <c r="E673" s="178">
        <v>3075</v>
      </c>
      <c r="F673" s="34">
        <v>451994.32390000002</v>
      </c>
    </row>
    <row r="674" spans="1:6">
      <c r="A674" s="10"/>
      <c r="B674" s="8" t="s">
        <v>3864</v>
      </c>
      <c r="C674" s="9"/>
      <c r="D674" s="161">
        <v>77</v>
      </c>
      <c r="E674" s="172">
        <v>41200</v>
      </c>
      <c r="F674" s="33">
        <v>6122900.9380599996</v>
      </c>
    </row>
    <row r="675" spans="1:6">
      <c r="A675" s="8" t="s">
        <v>3137</v>
      </c>
      <c r="B675" s="9"/>
      <c r="C675" s="9"/>
      <c r="D675" s="161">
        <v>77</v>
      </c>
      <c r="E675" s="172">
        <v>41200</v>
      </c>
      <c r="F675" s="33">
        <v>6122900.9380599996</v>
      </c>
    </row>
    <row r="676" spans="1:6">
      <c r="A676" s="12" t="s">
        <v>3122</v>
      </c>
      <c r="B676" s="14"/>
      <c r="C676" s="14"/>
      <c r="D676" s="163">
        <v>1000</v>
      </c>
      <c r="E676" s="173">
        <v>548375</v>
      </c>
      <c r="F676" s="35">
        <v>87722496.498655036</v>
      </c>
    </row>
    <row r="684" spans="1:6">
      <c r="A684" t="s">
        <v>3228</v>
      </c>
      <c r="D684" s="136" t="s">
        <v>3229</v>
      </c>
    </row>
    <row r="685" spans="1:6">
      <c r="A685" s="11" t="s">
        <v>3</v>
      </c>
      <c r="B685" s="11" t="s">
        <v>5</v>
      </c>
      <c r="C685" s="11" t="s">
        <v>7</v>
      </c>
      <c r="D685" s="11" t="s">
        <v>4</v>
      </c>
      <c r="E685" s="8" t="s">
        <v>3138</v>
      </c>
      <c r="F685" s="15" t="s">
        <v>3139</v>
      </c>
    </row>
    <row r="686" spans="1:6">
      <c r="A686" s="8" t="s">
        <v>162</v>
      </c>
      <c r="B686" s="8" t="s">
        <v>152</v>
      </c>
      <c r="C686" s="8" t="s">
        <v>50</v>
      </c>
      <c r="D686" s="8" t="s">
        <v>3847</v>
      </c>
      <c r="E686" s="161">
        <v>4</v>
      </c>
      <c r="F686" s="16">
        <v>3.4249999999999998</v>
      </c>
    </row>
    <row r="687" spans="1:6">
      <c r="A687" s="10"/>
      <c r="B687" s="10"/>
      <c r="C687" s="8" t="s">
        <v>62</v>
      </c>
      <c r="D687" s="8" t="s">
        <v>3847</v>
      </c>
      <c r="E687" s="161">
        <v>1</v>
      </c>
      <c r="F687" s="16">
        <v>4.7</v>
      </c>
    </row>
    <row r="688" spans="1:6">
      <c r="A688" s="10"/>
      <c r="B688" s="10"/>
      <c r="C688" s="8" t="s">
        <v>35</v>
      </c>
      <c r="D688" s="8" t="s">
        <v>3847</v>
      </c>
      <c r="E688" s="161">
        <v>4</v>
      </c>
      <c r="F688" s="16">
        <v>2.625</v>
      </c>
    </row>
    <row r="689" spans="1:6">
      <c r="A689" s="10"/>
      <c r="B689" s="10"/>
      <c r="C689" s="8" t="s">
        <v>163</v>
      </c>
      <c r="D689" s="8" t="s">
        <v>3847</v>
      </c>
      <c r="E689" s="161">
        <v>47</v>
      </c>
      <c r="F689" s="16">
        <v>3.0340425531914899</v>
      </c>
    </row>
    <row r="690" spans="1:6">
      <c r="A690" s="10"/>
      <c r="B690" s="10"/>
      <c r="C690" s="8" t="s">
        <v>153</v>
      </c>
      <c r="D690" s="8" t="s">
        <v>3847</v>
      </c>
      <c r="E690" s="161">
        <v>1</v>
      </c>
      <c r="F690" s="16">
        <v>2.4</v>
      </c>
    </row>
    <row r="691" spans="1:6">
      <c r="A691" s="10"/>
      <c r="B691" s="10"/>
      <c r="C691" s="8" t="s">
        <v>71</v>
      </c>
      <c r="D691" s="8" t="s">
        <v>3847</v>
      </c>
      <c r="E691" s="161">
        <v>2</v>
      </c>
      <c r="F691" s="16">
        <v>2.2999999999999998</v>
      </c>
    </row>
    <row r="692" spans="1:6">
      <c r="A692" s="8" t="s">
        <v>100</v>
      </c>
      <c r="B692" s="8" t="s">
        <v>102</v>
      </c>
      <c r="C692" s="8" t="s">
        <v>50</v>
      </c>
      <c r="D692" s="8" t="s">
        <v>3841</v>
      </c>
      <c r="E692" s="161">
        <v>58</v>
      </c>
      <c r="F692" s="16">
        <v>2.8017241379310338</v>
      </c>
    </row>
    <row r="693" spans="1:6">
      <c r="A693" s="10"/>
      <c r="B693" s="10"/>
      <c r="C693" s="8" t="s">
        <v>62</v>
      </c>
      <c r="D693" s="8" t="s">
        <v>3841</v>
      </c>
      <c r="E693" s="161">
        <v>2</v>
      </c>
      <c r="F693" s="16">
        <v>3.3</v>
      </c>
    </row>
    <row r="694" spans="1:6">
      <c r="A694" s="10"/>
      <c r="B694" s="10"/>
      <c r="C694" s="8" t="s">
        <v>35</v>
      </c>
      <c r="D694" s="8" t="s">
        <v>3841</v>
      </c>
      <c r="E694" s="161">
        <v>3</v>
      </c>
      <c r="F694" s="16">
        <v>3.5666666666666664</v>
      </c>
    </row>
    <row r="695" spans="1:6">
      <c r="A695" s="10"/>
      <c r="B695" s="10"/>
      <c r="C695" s="8" t="s">
        <v>112</v>
      </c>
      <c r="D695" s="8" t="s">
        <v>3841</v>
      </c>
      <c r="E695" s="161">
        <v>8</v>
      </c>
      <c r="F695" s="16">
        <v>3.4000000000000004</v>
      </c>
    </row>
    <row r="696" spans="1:6">
      <c r="A696" s="10"/>
      <c r="B696" s="10"/>
      <c r="C696" s="8" t="s">
        <v>153</v>
      </c>
      <c r="D696" s="8" t="s">
        <v>3841</v>
      </c>
      <c r="E696" s="161">
        <v>4</v>
      </c>
      <c r="F696" s="16">
        <v>3.3000000000000003</v>
      </c>
    </row>
    <row r="697" spans="1:6">
      <c r="A697" s="10"/>
      <c r="B697" s="8" t="s">
        <v>301</v>
      </c>
      <c r="C697" s="8" t="s">
        <v>50</v>
      </c>
      <c r="D697" s="8" t="s">
        <v>3841</v>
      </c>
      <c r="E697" s="161">
        <v>1</v>
      </c>
      <c r="F697" s="16">
        <v>4.2</v>
      </c>
    </row>
    <row r="698" spans="1:6">
      <c r="A698" s="8" t="s">
        <v>151</v>
      </c>
      <c r="B698" s="8" t="s">
        <v>702</v>
      </c>
      <c r="C698" s="8" t="s">
        <v>112</v>
      </c>
      <c r="D698" s="8" t="s">
        <v>3844</v>
      </c>
      <c r="E698" s="161">
        <v>1</v>
      </c>
      <c r="F698" s="16">
        <v>4.0999999999999996</v>
      </c>
    </row>
    <row r="699" spans="1:6">
      <c r="A699" s="10"/>
      <c r="B699" s="8" t="s">
        <v>152</v>
      </c>
      <c r="C699" s="8" t="s">
        <v>50</v>
      </c>
      <c r="D699" s="8" t="s">
        <v>3844</v>
      </c>
      <c r="E699" s="161">
        <v>1</v>
      </c>
      <c r="F699" s="16">
        <v>4.9000000000000004</v>
      </c>
    </row>
    <row r="700" spans="1:6">
      <c r="A700" s="10"/>
      <c r="B700" s="10"/>
      <c r="C700" s="8" t="s">
        <v>62</v>
      </c>
      <c r="D700" s="8" t="s">
        <v>3844</v>
      </c>
      <c r="E700" s="161">
        <v>2</v>
      </c>
      <c r="F700" s="16">
        <v>3.3</v>
      </c>
    </row>
    <row r="701" spans="1:6">
      <c r="A701" s="10"/>
      <c r="B701" s="10"/>
      <c r="C701" s="8" t="s">
        <v>35</v>
      </c>
      <c r="D701" s="8" t="s">
        <v>3844</v>
      </c>
      <c r="E701" s="161">
        <v>2</v>
      </c>
      <c r="F701" s="16">
        <v>3.7</v>
      </c>
    </row>
    <row r="702" spans="1:6">
      <c r="A702" s="10"/>
      <c r="B702" s="10"/>
      <c r="C702" s="8" t="s">
        <v>163</v>
      </c>
      <c r="D702" s="8" t="s">
        <v>3844</v>
      </c>
      <c r="E702" s="161">
        <v>2</v>
      </c>
      <c r="F702" s="16">
        <v>2.4500000000000002</v>
      </c>
    </row>
    <row r="703" spans="1:6">
      <c r="A703" s="10"/>
      <c r="B703" s="10"/>
      <c r="C703" s="8" t="s">
        <v>112</v>
      </c>
      <c r="D703" s="8" t="s">
        <v>3844</v>
      </c>
      <c r="E703" s="161">
        <v>66</v>
      </c>
      <c r="F703" s="16">
        <v>3.4166666666666665</v>
      </c>
    </row>
    <row r="704" spans="1:6">
      <c r="A704" s="10"/>
      <c r="B704" s="10"/>
      <c r="C704" s="8" t="s">
        <v>153</v>
      </c>
      <c r="D704" s="8" t="s">
        <v>3844</v>
      </c>
      <c r="E704" s="161">
        <v>4</v>
      </c>
      <c r="F704" s="16">
        <v>3.6749999999999998</v>
      </c>
    </row>
    <row r="705" spans="1:6">
      <c r="A705" s="8" t="s">
        <v>90</v>
      </c>
      <c r="B705" s="8" t="s">
        <v>133</v>
      </c>
      <c r="C705" s="8" t="s">
        <v>50</v>
      </c>
      <c r="D705" s="8" t="s">
        <v>3840</v>
      </c>
      <c r="E705" s="161">
        <v>6</v>
      </c>
      <c r="F705" s="16">
        <v>2.8833333333333333</v>
      </c>
    </row>
    <row r="706" spans="1:6">
      <c r="A706" s="10"/>
      <c r="B706" s="10"/>
      <c r="C706" s="8" t="s">
        <v>62</v>
      </c>
      <c r="D706" s="8" t="s">
        <v>3840</v>
      </c>
      <c r="E706" s="161">
        <v>3</v>
      </c>
      <c r="F706" s="16">
        <v>2.6333333333333333</v>
      </c>
    </row>
    <row r="707" spans="1:6">
      <c r="A707" s="10"/>
      <c r="B707" s="10"/>
      <c r="C707" s="8" t="s">
        <v>35</v>
      </c>
      <c r="D707" s="8" t="s">
        <v>3840</v>
      </c>
      <c r="E707" s="161">
        <v>3</v>
      </c>
      <c r="F707" s="16">
        <v>2.5</v>
      </c>
    </row>
    <row r="708" spans="1:6">
      <c r="A708" s="10"/>
      <c r="B708" s="10"/>
      <c r="C708" s="8" t="s">
        <v>163</v>
      </c>
      <c r="D708" s="8" t="s">
        <v>3840</v>
      </c>
      <c r="E708" s="161">
        <v>1</v>
      </c>
      <c r="F708" s="16">
        <v>3.4</v>
      </c>
    </row>
    <row r="709" spans="1:6">
      <c r="A709" s="10"/>
      <c r="B709" s="10"/>
      <c r="C709" s="8" t="s">
        <v>153</v>
      </c>
      <c r="D709" s="8" t="s">
        <v>3840</v>
      </c>
      <c r="E709" s="161">
        <v>1</v>
      </c>
      <c r="F709" s="16">
        <v>1.9</v>
      </c>
    </row>
    <row r="710" spans="1:6">
      <c r="A710" s="10"/>
      <c r="B710" s="10"/>
      <c r="C710" s="8" t="s">
        <v>71</v>
      </c>
      <c r="D710" s="8" t="s">
        <v>3840</v>
      </c>
      <c r="E710" s="161">
        <v>45</v>
      </c>
      <c r="F710" s="16">
        <v>2.7311111111111113</v>
      </c>
    </row>
    <row r="711" spans="1:6">
      <c r="A711" s="10"/>
      <c r="B711" s="8" t="s">
        <v>102</v>
      </c>
      <c r="C711" s="8" t="s">
        <v>71</v>
      </c>
      <c r="D711" s="8" t="s">
        <v>3840</v>
      </c>
      <c r="E711" s="161">
        <v>1</v>
      </c>
      <c r="F711" s="16">
        <v>1.7</v>
      </c>
    </row>
    <row r="712" spans="1:6">
      <c r="A712" s="10"/>
      <c r="B712" s="8" t="s">
        <v>152</v>
      </c>
      <c r="C712" s="8" t="s">
        <v>71</v>
      </c>
      <c r="D712" s="8" t="s">
        <v>3840</v>
      </c>
      <c r="E712" s="161">
        <v>1</v>
      </c>
      <c r="F712" s="16">
        <v>1.2</v>
      </c>
    </row>
    <row r="713" spans="1:6">
      <c r="A713" s="8" t="s">
        <v>118</v>
      </c>
      <c r="B713" s="8" t="s">
        <v>316</v>
      </c>
      <c r="C713" s="8" t="s">
        <v>62</v>
      </c>
      <c r="D713" s="8" t="s">
        <v>3842</v>
      </c>
      <c r="E713" s="161">
        <v>1</v>
      </c>
      <c r="F713" s="16">
        <v>4.5</v>
      </c>
    </row>
    <row r="714" spans="1:6">
      <c r="A714" s="10"/>
      <c r="B714" s="8" t="s">
        <v>301</v>
      </c>
      <c r="C714" s="8" t="s">
        <v>50</v>
      </c>
      <c r="D714" s="8" t="s">
        <v>3842</v>
      </c>
      <c r="E714" s="161">
        <v>2</v>
      </c>
      <c r="F714" s="16">
        <v>3.45</v>
      </c>
    </row>
    <row r="715" spans="1:6">
      <c r="A715" s="10"/>
      <c r="B715" s="10"/>
      <c r="C715" s="8" t="s">
        <v>62</v>
      </c>
      <c r="D715" s="8" t="s">
        <v>3842</v>
      </c>
      <c r="E715" s="161">
        <v>49</v>
      </c>
      <c r="F715" s="16">
        <v>3.220408163265307</v>
      </c>
    </row>
    <row r="716" spans="1:6">
      <c r="A716" s="10"/>
      <c r="B716" s="10"/>
      <c r="C716" s="8" t="s">
        <v>35</v>
      </c>
      <c r="D716" s="8" t="s">
        <v>3842</v>
      </c>
      <c r="E716" s="161">
        <v>1</v>
      </c>
      <c r="F716" s="16">
        <v>3</v>
      </c>
    </row>
    <row r="717" spans="1:6">
      <c r="A717" s="10"/>
      <c r="B717" s="10"/>
      <c r="C717" s="8" t="s">
        <v>163</v>
      </c>
      <c r="D717" s="8" t="s">
        <v>3842</v>
      </c>
      <c r="E717" s="161">
        <v>6</v>
      </c>
      <c r="F717" s="16">
        <v>3.0999999999999996</v>
      </c>
    </row>
    <row r="718" spans="1:6">
      <c r="A718" s="10"/>
      <c r="B718" s="10"/>
      <c r="C718" s="8" t="s">
        <v>112</v>
      </c>
      <c r="D718" s="8" t="s">
        <v>3842</v>
      </c>
      <c r="E718" s="161">
        <v>4</v>
      </c>
      <c r="F718" s="16">
        <v>3.3</v>
      </c>
    </row>
    <row r="719" spans="1:6">
      <c r="A719" s="10"/>
      <c r="B719" s="10"/>
      <c r="C719" s="8" t="s">
        <v>153</v>
      </c>
      <c r="D719" s="8" t="s">
        <v>3842</v>
      </c>
      <c r="E719" s="161">
        <v>2</v>
      </c>
      <c r="F719" s="16">
        <v>2.5</v>
      </c>
    </row>
    <row r="720" spans="1:6">
      <c r="A720" s="8" t="s">
        <v>209</v>
      </c>
      <c r="B720" s="8" t="s">
        <v>133</v>
      </c>
      <c r="C720" s="8" t="s">
        <v>62</v>
      </c>
      <c r="D720" s="8" t="s">
        <v>3845</v>
      </c>
      <c r="E720" s="161">
        <v>1</v>
      </c>
      <c r="F720" s="16">
        <v>3.8</v>
      </c>
    </row>
    <row r="721" spans="1:6">
      <c r="A721" s="10"/>
      <c r="B721" s="8" t="s">
        <v>316</v>
      </c>
      <c r="C721" s="8" t="s">
        <v>50</v>
      </c>
      <c r="D721" s="8" t="s">
        <v>3845</v>
      </c>
      <c r="E721" s="161">
        <v>1</v>
      </c>
      <c r="F721" s="16">
        <v>2.5</v>
      </c>
    </row>
    <row r="722" spans="1:6">
      <c r="A722" s="10"/>
      <c r="B722" s="10"/>
      <c r="C722" s="8" t="s">
        <v>62</v>
      </c>
      <c r="D722" s="8" t="s">
        <v>3845</v>
      </c>
      <c r="E722" s="161">
        <v>2</v>
      </c>
      <c r="F722" s="16">
        <v>2.1</v>
      </c>
    </row>
    <row r="723" spans="1:6">
      <c r="A723" s="10"/>
      <c r="B723" s="10"/>
      <c r="C723" s="8" t="s">
        <v>35</v>
      </c>
      <c r="D723" s="8" t="s">
        <v>3845</v>
      </c>
      <c r="E723" s="161">
        <v>1</v>
      </c>
      <c r="F723" s="16">
        <v>1.6</v>
      </c>
    </row>
    <row r="724" spans="1:6">
      <c r="A724" s="10"/>
      <c r="B724" s="10"/>
      <c r="C724" s="8" t="s">
        <v>163</v>
      </c>
      <c r="D724" s="8" t="s">
        <v>3845</v>
      </c>
      <c r="E724" s="161">
        <v>2</v>
      </c>
      <c r="F724" s="16">
        <v>1.9000000000000001</v>
      </c>
    </row>
    <row r="725" spans="1:6">
      <c r="A725" s="10"/>
      <c r="B725" s="10"/>
      <c r="C725" s="8" t="s">
        <v>112</v>
      </c>
      <c r="D725" s="8" t="s">
        <v>3845</v>
      </c>
      <c r="E725" s="161">
        <v>3</v>
      </c>
      <c r="F725" s="16">
        <v>2.8666666666666667</v>
      </c>
    </row>
    <row r="726" spans="1:6">
      <c r="A726" s="10"/>
      <c r="B726" s="10"/>
      <c r="C726" s="8" t="s">
        <v>153</v>
      </c>
      <c r="D726" s="8" t="s">
        <v>3845</v>
      </c>
      <c r="E726" s="161">
        <v>58</v>
      </c>
      <c r="F726" s="16">
        <v>2.617241379310344</v>
      </c>
    </row>
    <row r="727" spans="1:6">
      <c r="A727" s="10"/>
      <c r="B727" s="10"/>
      <c r="C727" s="8" t="s">
        <v>71</v>
      </c>
      <c r="D727" s="8" t="s">
        <v>3845</v>
      </c>
      <c r="E727" s="161">
        <v>1</v>
      </c>
      <c r="F727" s="16">
        <v>2.7</v>
      </c>
    </row>
    <row r="728" spans="1:6">
      <c r="A728" s="8" t="s">
        <v>32</v>
      </c>
      <c r="B728" s="8" t="s">
        <v>177</v>
      </c>
      <c r="C728" s="8" t="s">
        <v>50</v>
      </c>
      <c r="D728" s="8" t="s">
        <v>3835</v>
      </c>
      <c r="E728" s="161">
        <v>2</v>
      </c>
      <c r="F728" s="16">
        <v>2.6</v>
      </c>
    </row>
    <row r="729" spans="1:6">
      <c r="A729" s="10"/>
      <c r="B729" s="10"/>
      <c r="C729" s="8" t="s">
        <v>62</v>
      </c>
      <c r="D729" s="8" t="s">
        <v>3835</v>
      </c>
      <c r="E729" s="161">
        <v>3</v>
      </c>
      <c r="F729" s="16">
        <v>3.0666666666666664</v>
      </c>
    </row>
    <row r="730" spans="1:6">
      <c r="A730" s="10"/>
      <c r="B730" s="10"/>
      <c r="C730" s="8" t="s">
        <v>35</v>
      </c>
      <c r="D730" s="8" t="s">
        <v>3835</v>
      </c>
      <c r="E730" s="161">
        <v>43</v>
      </c>
      <c r="F730" s="16">
        <v>2.8976744186046504</v>
      </c>
    </row>
    <row r="731" spans="1:6">
      <c r="A731" s="10"/>
      <c r="B731" s="10"/>
      <c r="C731" s="8" t="s">
        <v>112</v>
      </c>
      <c r="D731" s="8" t="s">
        <v>3835</v>
      </c>
      <c r="E731" s="161">
        <v>2</v>
      </c>
      <c r="F731" s="16">
        <v>2.9</v>
      </c>
    </row>
    <row r="732" spans="1:6">
      <c r="A732" s="10"/>
      <c r="B732" s="10"/>
      <c r="C732" s="8" t="s">
        <v>153</v>
      </c>
      <c r="D732" s="8" t="s">
        <v>3835</v>
      </c>
      <c r="E732" s="161">
        <v>4</v>
      </c>
      <c r="F732" s="16">
        <v>3.3</v>
      </c>
    </row>
    <row r="733" spans="1:6">
      <c r="A733" s="10"/>
      <c r="B733" s="10"/>
      <c r="C733" s="8" t="s">
        <v>71</v>
      </c>
      <c r="D733" s="8" t="s">
        <v>3835</v>
      </c>
      <c r="E733" s="161">
        <v>1</v>
      </c>
      <c r="F733" s="16">
        <v>4.2</v>
      </c>
    </row>
    <row r="734" spans="1:6">
      <c r="A734" s="8" t="s">
        <v>215</v>
      </c>
      <c r="B734" s="8" t="s">
        <v>316</v>
      </c>
      <c r="C734" s="8" t="s">
        <v>112</v>
      </c>
      <c r="D734" s="8" t="s">
        <v>3846</v>
      </c>
      <c r="E734" s="161">
        <v>1</v>
      </c>
      <c r="F734" s="16">
        <v>2.5</v>
      </c>
    </row>
    <row r="735" spans="1:6">
      <c r="A735" s="10"/>
      <c r="B735" s="8" t="s">
        <v>152</v>
      </c>
      <c r="C735" s="8" t="s">
        <v>50</v>
      </c>
      <c r="D735" s="8" t="s">
        <v>3846</v>
      </c>
      <c r="E735" s="161">
        <v>2</v>
      </c>
      <c r="F735" s="16">
        <v>3.45</v>
      </c>
    </row>
    <row r="736" spans="1:6">
      <c r="A736" s="10"/>
      <c r="B736" s="10"/>
      <c r="C736" s="8" t="s">
        <v>62</v>
      </c>
      <c r="D736" s="8" t="s">
        <v>3846</v>
      </c>
      <c r="E736" s="161">
        <v>2</v>
      </c>
      <c r="F736" s="16">
        <v>2.8</v>
      </c>
    </row>
    <row r="737" spans="1:6">
      <c r="A737" s="10"/>
      <c r="B737" s="10"/>
      <c r="C737" s="8" t="s">
        <v>35</v>
      </c>
      <c r="D737" s="8" t="s">
        <v>3846</v>
      </c>
      <c r="E737" s="161">
        <v>3</v>
      </c>
      <c r="F737" s="16">
        <v>3.0333333333333332</v>
      </c>
    </row>
    <row r="738" spans="1:6">
      <c r="A738" s="10"/>
      <c r="B738" s="10"/>
      <c r="C738" s="8" t="s">
        <v>163</v>
      </c>
      <c r="D738" s="8" t="s">
        <v>3846</v>
      </c>
      <c r="E738" s="161">
        <v>3</v>
      </c>
      <c r="F738" s="16">
        <v>3.7000000000000006</v>
      </c>
    </row>
    <row r="739" spans="1:6">
      <c r="A739" s="10"/>
      <c r="B739" s="10"/>
      <c r="C739" s="8" t="s">
        <v>112</v>
      </c>
      <c r="D739" s="8" t="s">
        <v>3846</v>
      </c>
      <c r="E739" s="161">
        <v>49</v>
      </c>
      <c r="F739" s="16">
        <v>2.7081632653061241</v>
      </c>
    </row>
    <row r="740" spans="1:6">
      <c r="A740" s="10"/>
      <c r="B740" s="10"/>
      <c r="C740" s="8" t="s">
        <v>153</v>
      </c>
      <c r="D740" s="8" t="s">
        <v>3846</v>
      </c>
      <c r="E740" s="161">
        <v>2</v>
      </c>
      <c r="F740" s="16">
        <v>4.45</v>
      </c>
    </row>
    <row r="741" spans="1:6">
      <c r="A741" s="10"/>
      <c r="B741" s="10"/>
      <c r="C741" s="8" t="s">
        <v>71</v>
      </c>
      <c r="D741" s="8" t="s">
        <v>3846</v>
      </c>
      <c r="E741" s="161">
        <v>5</v>
      </c>
      <c r="F741" s="16">
        <v>2.7800000000000002</v>
      </c>
    </row>
    <row r="742" spans="1:6">
      <c r="A742" s="8" t="s">
        <v>48</v>
      </c>
      <c r="B742" s="8" t="s">
        <v>702</v>
      </c>
      <c r="C742" s="8" t="s">
        <v>50</v>
      </c>
      <c r="D742" s="8" t="s">
        <v>3836</v>
      </c>
      <c r="E742" s="161">
        <v>1</v>
      </c>
      <c r="F742" s="16">
        <v>2.1</v>
      </c>
    </row>
    <row r="743" spans="1:6">
      <c r="A743" s="10"/>
      <c r="B743" s="8" t="s">
        <v>102</v>
      </c>
      <c r="C743" s="8" t="s">
        <v>50</v>
      </c>
      <c r="D743" s="8" t="s">
        <v>3836</v>
      </c>
      <c r="E743" s="161">
        <v>51</v>
      </c>
      <c r="F743" s="16">
        <v>2.9784313725490192</v>
      </c>
    </row>
    <row r="744" spans="1:6">
      <c r="A744" s="10"/>
      <c r="B744" s="10"/>
      <c r="C744" s="8" t="s">
        <v>62</v>
      </c>
      <c r="D744" s="8" t="s">
        <v>3836</v>
      </c>
      <c r="E744" s="161">
        <v>2</v>
      </c>
      <c r="F744" s="16">
        <v>4.05</v>
      </c>
    </row>
    <row r="745" spans="1:6">
      <c r="A745" s="10"/>
      <c r="B745" s="10"/>
      <c r="C745" s="8" t="s">
        <v>163</v>
      </c>
      <c r="D745" s="8" t="s">
        <v>3836</v>
      </c>
      <c r="E745" s="161">
        <v>2</v>
      </c>
      <c r="F745" s="16">
        <v>3.4</v>
      </c>
    </row>
    <row r="746" spans="1:6">
      <c r="A746" s="10"/>
      <c r="B746" s="10"/>
      <c r="C746" s="8" t="s">
        <v>112</v>
      </c>
      <c r="D746" s="8" t="s">
        <v>3836</v>
      </c>
      <c r="E746" s="161">
        <v>4</v>
      </c>
      <c r="F746" s="16">
        <v>2.2999999999999998</v>
      </c>
    </row>
    <row r="747" spans="1:6">
      <c r="A747" s="10"/>
      <c r="B747" s="10"/>
      <c r="C747" s="8" t="s">
        <v>153</v>
      </c>
      <c r="D747" s="8" t="s">
        <v>3836</v>
      </c>
      <c r="E747" s="161">
        <v>3</v>
      </c>
      <c r="F747" s="16">
        <v>3.0666666666666664</v>
      </c>
    </row>
    <row r="748" spans="1:6">
      <c r="A748" s="10"/>
      <c r="B748" s="10"/>
      <c r="C748" s="8" t="s">
        <v>71</v>
      </c>
      <c r="D748" s="8" t="s">
        <v>3836</v>
      </c>
      <c r="E748" s="161">
        <v>2</v>
      </c>
      <c r="F748" s="16">
        <v>1.85</v>
      </c>
    </row>
    <row r="749" spans="1:6">
      <c r="A749" s="10"/>
      <c r="B749" s="8" t="s">
        <v>301</v>
      </c>
      <c r="C749" s="8" t="s">
        <v>50</v>
      </c>
      <c r="D749" s="8" t="s">
        <v>3836</v>
      </c>
      <c r="E749" s="161">
        <v>1</v>
      </c>
      <c r="F749" s="16">
        <v>1.7</v>
      </c>
    </row>
    <row r="750" spans="1:6">
      <c r="A750" s="10"/>
      <c r="B750" s="10"/>
      <c r="C750" s="8" t="s">
        <v>163</v>
      </c>
      <c r="D750" s="8" t="s">
        <v>3836</v>
      </c>
      <c r="E750" s="161">
        <v>1</v>
      </c>
      <c r="F750" s="16">
        <v>1.1000000000000001</v>
      </c>
    </row>
    <row r="751" spans="1:6">
      <c r="A751" s="8" t="s">
        <v>235</v>
      </c>
      <c r="B751" s="8" t="s">
        <v>479</v>
      </c>
      <c r="C751" s="8" t="s">
        <v>50</v>
      </c>
      <c r="D751" s="8" t="s">
        <v>3848</v>
      </c>
      <c r="E751" s="161">
        <v>3</v>
      </c>
      <c r="F751" s="16">
        <v>4.0333333333333323</v>
      </c>
    </row>
    <row r="752" spans="1:6">
      <c r="A752" s="10"/>
      <c r="B752" s="10"/>
      <c r="C752" s="8" t="s">
        <v>62</v>
      </c>
      <c r="D752" s="8" t="s">
        <v>3848</v>
      </c>
      <c r="E752" s="161">
        <v>5</v>
      </c>
      <c r="F752" s="16">
        <v>3.1</v>
      </c>
    </row>
    <row r="753" spans="1:6">
      <c r="A753" s="10"/>
      <c r="B753" s="10"/>
      <c r="C753" s="8" t="s">
        <v>35</v>
      </c>
      <c r="D753" s="8" t="s">
        <v>3848</v>
      </c>
      <c r="E753" s="161">
        <v>1</v>
      </c>
      <c r="F753" s="16">
        <v>2.2999999999999998</v>
      </c>
    </row>
    <row r="754" spans="1:6">
      <c r="A754" s="10"/>
      <c r="B754" s="10"/>
      <c r="C754" s="8" t="s">
        <v>163</v>
      </c>
      <c r="D754" s="8" t="s">
        <v>3848</v>
      </c>
      <c r="E754" s="161">
        <v>1</v>
      </c>
      <c r="F754" s="16">
        <v>4.8</v>
      </c>
    </row>
    <row r="755" spans="1:6">
      <c r="A755" s="10"/>
      <c r="B755" s="10"/>
      <c r="C755" s="8" t="s">
        <v>112</v>
      </c>
      <c r="D755" s="8" t="s">
        <v>3848</v>
      </c>
      <c r="E755" s="161">
        <v>2</v>
      </c>
      <c r="F755" s="16">
        <v>3.2</v>
      </c>
    </row>
    <row r="756" spans="1:6">
      <c r="A756" s="10"/>
      <c r="B756" s="10"/>
      <c r="C756" s="8" t="s">
        <v>153</v>
      </c>
      <c r="D756" s="8" t="s">
        <v>3848</v>
      </c>
      <c r="E756" s="161">
        <v>4</v>
      </c>
      <c r="F756" s="16">
        <v>3.4</v>
      </c>
    </row>
    <row r="757" spans="1:6">
      <c r="A757" s="10"/>
      <c r="B757" s="10"/>
      <c r="C757" s="8" t="s">
        <v>71</v>
      </c>
      <c r="D757" s="8" t="s">
        <v>3848</v>
      </c>
      <c r="E757" s="161">
        <v>55</v>
      </c>
      <c r="F757" s="16">
        <v>2.9781818181818172</v>
      </c>
    </row>
    <row r="758" spans="1:6">
      <c r="A758" s="10"/>
      <c r="B758" s="8" t="s">
        <v>102</v>
      </c>
      <c r="C758" s="8" t="s">
        <v>50</v>
      </c>
      <c r="D758" s="8" t="s">
        <v>3848</v>
      </c>
      <c r="E758" s="161">
        <v>1</v>
      </c>
      <c r="F758" s="16">
        <v>4</v>
      </c>
    </row>
    <row r="759" spans="1:6">
      <c r="A759" s="10"/>
      <c r="B759" s="10"/>
      <c r="C759" s="8" t="s">
        <v>71</v>
      </c>
      <c r="D759" s="8" t="s">
        <v>3848</v>
      </c>
      <c r="E759" s="161">
        <v>2</v>
      </c>
      <c r="F759" s="16">
        <v>2.6</v>
      </c>
    </row>
    <row r="760" spans="1:6">
      <c r="A760" s="8" t="s">
        <v>80</v>
      </c>
      <c r="B760" s="8" t="s">
        <v>102</v>
      </c>
      <c r="C760" s="8" t="s">
        <v>35</v>
      </c>
      <c r="D760" s="8" t="s">
        <v>3839</v>
      </c>
      <c r="E760" s="161">
        <v>1</v>
      </c>
      <c r="F760" s="16">
        <v>1.9</v>
      </c>
    </row>
    <row r="761" spans="1:6">
      <c r="A761" s="10"/>
      <c r="B761" s="8" t="s">
        <v>82</v>
      </c>
      <c r="C761" s="8" t="s">
        <v>50</v>
      </c>
      <c r="D761" s="8" t="s">
        <v>3839</v>
      </c>
      <c r="E761" s="161">
        <v>3</v>
      </c>
      <c r="F761" s="16">
        <v>2.3333333333333335</v>
      </c>
    </row>
    <row r="762" spans="1:6">
      <c r="A762" s="10"/>
      <c r="B762" s="10"/>
      <c r="C762" s="8" t="s">
        <v>62</v>
      </c>
      <c r="D762" s="8" t="s">
        <v>3839</v>
      </c>
      <c r="E762" s="161">
        <v>4</v>
      </c>
      <c r="F762" s="16">
        <v>2.125</v>
      </c>
    </row>
    <row r="763" spans="1:6">
      <c r="A763" s="10"/>
      <c r="B763" s="10"/>
      <c r="C763" s="8" t="s">
        <v>35</v>
      </c>
      <c r="D763" s="8" t="s">
        <v>3839</v>
      </c>
      <c r="E763" s="161">
        <v>52</v>
      </c>
      <c r="F763" s="16">
        <v>3.0096153846153846</v>
      </c>
    </row>
    <row r="764" spans="1:6">
      <c r="A764" s="10"/>
      <c r="B764" s="10"/>
      <c r="C764" s="8" t="s">
        <v>163</v>
      </c>
      <c r="D764" s="8" t="s">
        <v>3839</v>
      </c>
      <c r="E764" s="161">
        <v>3</v>
      </c>
      <c r="F764" s="16">
        <v>3.7333333333333329</v>
      </c>
    </row>
    <row r="765" spans="1:6">
      <c r="A765" s="10"/>
      <c r="B765" s="10"/>
      <c r="C765" s="8" t="s">
        <v>112</v>
      </c>
      <c r="D765" s="8" t="s">
        <v>3839</v>
      </c>
      <c r="E765" s="161">
        <v>2</v>
      </c>
      <c r="F765" s="16">
        <v>3.6500000000000004</v>
      </c>
    </row>
    <row r="766" spans="1:6">
      <c r="A766" s="10"/>
      <c r="B766" s="10"/>
      <c r="C766" s="8" t="s">
        <v>153</v>
      </c>
      <c r="D766" s="8" t="s">
        <v>3839</v>
      </c>
      <c r="E766" s="161">
        <v>6</v>
      </c>
      <c r="F766" s="16">
        <v>2.4000000000000004</v>
      </c>
    </row>
    <row r="767" spans="1:6">
      <c r="A767" s="10"/>
      <c r="B767" s="10"/>
      <c r="C767" s="8" t="s">
        <v>71</v>
      </c>
      <c r="D767" s="8" t="s">
        <v>3839</v>
      </c>
      <c r="E767" s="161">
        <v>1</v>
      </c>
      <c r="F767" s="16">
        <v>3.9</v>
      </c>
    </row>
    <row r="768" spans="1:6">
      <c r="A768" s="8" t="s">
        <v>256</v>
      </c>
      <c r="B768" s="8" t="s">
        <v>258</v>
      </c>
      <c r="C768" s="8" t="s">
        <v>50</v>
      </c>
      <c r="D768" s="8" t="s">
        <v>3849</v>
      </c>
      <c r="E768" s="161">
        <v>2</v>
      </c>
      <c r="F768" s="16">
        <v>2.0499999999999998</v>
      </c>
    </row>
    <row r="769" spans="1:6">
      <c r="A769" s="10"/>
      <c r="B769" s="10"/>
      <c r="C769" s="8" t="s">
        <v>62</v>
      </c>
      <c r="D769" s="8" t="s">
        <v>3849</v>
      </c>
      <c r="E769" s="161">
        <v>4</v>
      </c>
      <c r="F769" s="16">
        <v>2.4750000000000001</v>
      </c>
    </row>
    <row r="770" spans="1:6">
      <c r="A770" s="10"/>
      <c r="B770" s="10"/>
      <c r="C770" s="8" t="s">
        <v>35</v>
      </c>
      <c r="D770" s="8" t="s">
        <v>3849</v>
      </c>
      <c r="E770" s="161">
        <v>5</v>
      </c>
      <c r="F770" s="16">
        <v>3.3600000000000003</v>
      </c>
    </row>
    <row r="771" spans="1:6">
      <c r="A771" s="10"/>
      <c r="B771" s="10"/>
      <c r="C771" s="8" t="s">
        <v>163</v>
      </c>
      <c r="D771" s="8" t="s">
        <v>3849</v>
      </c>
      <c r="E771" s="161">
        <v>3</v>
      </c>
      <c r="F771" s="16">
        <v>2.5</v>
      </c>
    </row>
    <row r="772" spans="1:6">
      <c r="A772" s="10"/>
      <c r="B772" s="10"/>
      <c r="C772" s="8" t="s">
        <v>153</v>
      </c>
      <c r="D772" s="8" t="s">
        <v>3849</v>
      </c>
      <c r="E772" s="161">
        <v>45</v>
      </c>
      <c r="F772" s="16">
        <v>2.8066666666666658</v>
      </c>
    </row>
    <row r="773" spans="1:6">
      <c r="A773" s="10"/>
      <c r="B773" s="10"/>
      <c r="C773" s="8" t="s">
        <v>71</v>
      </c>
      <c r="D773" s="8" t="s">
        <v>3849</v>
      </c>
      <c r="E773" s="161">
        <v>4</v>
      </c>
      <c r="F773" s="16">
        <v>4.2750000000000004</v>
      </c>
    </row>
    <row r="774" spans="1:6">
      <c r="A774" s="8" t="s">
        <v>142</v>
      </c>
      <c r="B774" s="8" t="s">
        <v>702</v>
      </c>
      <c r="C774" s="8" t="s">
        <v>50</v>
      </c>
      <c r="D774" s="8" t="s">
        <v>3843</v>
      </c>
      <c r="E774" s="161">
        <v>1</v>
      </c>
      <c r="F774" s="16">
        <v>4.3</v>
      </c>
    </row>
    <row r="775" spans="1:6">
      <c r="A775" s="10"/>
      <c r="B775" s="8" t="s">
        <v>102</v>
      </c>
      <c r="C775" s="8" t="s">
        <v>50</v>
      </c>
      <c r="D775" s="8" t="s">
        <v>3843</v>
      </c>
      <c r="E775" s="161">
        <v>1</v>
      </c>
      <c r="F775" s="16">
        <v>4.5</v>
      </c>
    </row>
    <row r="776" spans="1:6">
      <c r="A776" s="10"/>
      <c r="B776" s="8" t="s">
        <v>169</v>
      </c>
      <c r="C776" s="8" t="s">
        <v>50</v>
      </c>
      <c r="D776" s="8" t="s">
        <v>3843</v>
      </c>
      <c r="E776" s="161">
        <v>40</v>
      </c>
      <c r="F776" s="16">
        <v>3.2224999999999988</v>
      </c>
    </row>
    <row r="777" spans="1:6">
      <c r="A777" s="10"/>
      <c r="B777" s="10"/>
      <c r="C777" s="8" t="s">
        <v>62</v>
      </c>
      <c r="D777" s="8" t="s">
        <v>3843</v>
      </c>
      <c r="E777" s="161">
        <v>1</v>
      </c>
      <c r="F777" s="16">
        <v>3.7</v>
      </c>
    </row>
    <row r="778" spans="1:6">
      <c r="A778" s="10"/>
      <c r="B778" s="10"/>
      <c r="C778" s="8" t="s">
        <v>35</v>
      </c>
      <c r="D778" s="8" t="s">
        <v>3843</v>
      </c>
      <c r="E778" s="161">
        <v>1</v>
      </c>
      <c r="F778" s="16">
        <v>4.2</v>
      </c>
    </row>
    <row r="779" spans="1:6">
      <c r="A779" s="10"/>
      <c r="B779" s="10"/>
      <c r="C779" s="8" t="s">
        <v>163</v>
      </c>
      <c r="D779" s="8" t="s">
        <v>3843</v>
      </c>
      <c r="E779" s="161">
        <v>5</v>
      </c>
      <c r="F779" s="16">
        <v>3.7600000000000002</v>
      </c>
    </row>
    <row r="780" spans="1:6">
      <c r="A780" s="10"/>
      <c r="B780" s="10"/>
      <c r="C780" s="8" t="s">
        <v>153</v>
      </c>
      <c r="D780" s="8" t="s">
        <v>3843</v>
      </c>
      <c r="E780" s="161">
        <v>3</v>
      </c>
      <c r="F780" s="16">
        <v>2.7333333333333329</v>
      </c>
    </row>
    <row r="781" spans="1:6">
      <c r="A781" s="10"/>
      <c r="B781" s="10"/>
      <c r="C781" s="8" t="s">
        <v>71</v>
      </c>
      <c r="D781" s="8" t="s">
        <v>3843</v>
      </c>
      <c r="E781" s="161">
        <v>1</v>
      </c>
      <c r="F781" s="16">
        <v>3.1</v>
      </c>
    </row>
    <row r="782" spans="1:6">
      <c r="A782" s="8" t="s">
        <v>60</v>
      </c>
      <c r="B782" s="8" t="s">
        <v>152</v>
      </c>
      <c r="C782" s="8" t="s">
        <v>62</v>
      </c>
      <c r="D782" s="8" t="s">
        <v>3837</v>
      </c>
      <c r="E782" s="161">
        <v>48</v>
      </c>
      <c r="F782" s="16">
        <v>2.8249999999999997</v>
      </c>
    </row>
    <row r="783" spans="1:6">
      <c r="A783" s="10"/>
      <c r="B783" s="10"/>
      <c r="C783" s="8" t="s">
        <v>35</v>
      </c>
      <c r="D783" s="8" t="s">
        <v>3837</v>
      </c>
      <c r="E783" s="161">
        <v>6</v>
      </c>
      <c r="F783" s="16">
        <v>2.1833333333333331</v>
      </c>
    </row>
    <row r="784" spans="1:6">
      <c r="A784" s="10"/>
      <c r="B784" s="10"/>
      <c r="C784" s="8" t="s">
        <v>163</v>
      </c>
      <c r="D784" s="8" t="s">
        <v>3837</v>
      </c>
      <c r="E784" s="161">
        <v>2</v>
      </c>
      <c r="F784" s="16">
        <v>4</v>
      </c>
    </row>
    <row r="785" spans="1:6">
      <c r="A785" s="10"/>
      <c r="B785" s="10"/>
      <c r="C785" s="8" t="s">
        <v>112</v>
      </c>
      <c r="D785" s="8" t="s">
        <v>3837</v>
      </c>
      <c r="E785" s="161">
        <v>2</v>
      </c>
      <c r="F785" s="16">
        <v>2.8</v>
      </c>
    </row>
    <row r="786" spans="1:6">
      <c r="A786" s="10"/>
      <c r="B786" s="10"/>
      <c r="C786" s="8" t="s">
        <v>153</v>
      </c>
      <c r="D786" s="8" t="s">
        <v>3837</v>
      </c>
      <c r="E786" s="161">
        <v>3</v>
      </c>
      <c r="F786" s="16">
        <v>3.1999999999999997</v>
      </c>
    </row>
    <row r="787" spans="1:6">
      <c r="A787" s="10"/>
      <c r="B787" s="10"/>
      <c r="C787" s="8" t="s">
        <v>71</v>
      </c>
      <c r="D787" s="8" t="s">
        <v>3837</v>
      </c>
      <c r="E787" s="161">
        <v>3</v>
      </c>
      <c r="F787" s="16">
        <v>2.9333333333333336</v>
      </c>
    </row>
    <row r="788" spans="1:6">
      <c r="A788" s="8" t="s">
        <v>69</v>
      </c>
      <c r="B788" s="8" t="s">
        <v>194</v>
      </c>
      <c r="C788" s="8" t="s">
        <v>50</v>
      </c>
      <c r="D788" s="8" t="s">
        <v>3838</v>
      </c>
      <c r="E788" s="161">
        <v>4</v>
      </c>
      <c r="F788" s="16">
        <v>3.05</v>
      </c>
    </row>
    <row r="789" spans="1:6">
      <c r="A789" s="10"/>
      <c r="B789" s="10"/>
      <c r="C789" s="8" t="s">
        <v>62</v>
      </c>
      <c r="D789" s="8" t="s">
        <v>3838</v>
      </c>
      <c r="E789" s="161">
        <v>3</v>
      </c>
      <c r="F789" s="16">
        <v>2.5666666666666669</v>
      </c>
    </row>
    <row r="790" spans="1:6">
      <c r="A790" s="10"/>
      <c r="B790" s="10"/>
      <c r="C790" s="8" t="s">
        <v>35</v>
      </c>
      <c r="D790" s="8" t="s">
        <v>3838</v>
      </c>
      <c r="E790" s="161">
        <v>7</v>
      </c>
      <c r="F790" s="16">
        <v>2.6142857142857143</v>
      </c>
    </row>
    <row r="791" spans="1:6">
      <c r="A791" s="10"/>
      <c r="B791" s="10"/>
      <c r="C791" s="8" t="s">
        <v>163</v>
      </c>
      <c r="D791" s="8" t="s">
        <v>3838</v>
      </c>
      <c r="E791" s="161">
        <v>2</v>
      </c>
      <c r="F791" s="16">
        <v>3.6</v>
      </c>
    </row>
    <row r="792" spans="1:6">
      <c r="A792" s="10"/>
      <c r="B792" s="10"/>
      <c r="C792" s="8" t="s">
        <v>112</v>
      </c>
      <c r="D792" s="8" t="s">
        <v>3838</v>
      </c>
      <c r="E792" s="161">
        <v>54</v>
      </c>
      <c r="F792" s="16">
        <v>2.7666666666666666</v>
      </c>
    </row>
    <row r="793" spans="1:6">
      <c r="A793" s="10"/>
      <c r="B793" s="10"/>
      <c r="C793" s="8" t="s">
        <v>153</v>
      </c>
      <c r="D793" s="8" t="s">
        <v>3838</v>
      </c>
      <c r="E793" s="161">
        <v>4</v>
      </c>
      <c r="F793" s="16">
        <v>3.1999999999999997</v>
      </c>
    </row>
    <row r="794" spans="1:6">
      <c r="A794" s="10"/>
      <c r="B794" s="10"/>
      <c r="C794" s="8" t="s">
        <v>71</v>
      </c>
      <c r="D794" s="8" t="s">
        <v>3838</v>
      </c>
      <c r="E794" s="161">
        <v>3</v>
      </c>
      <c r="F794" s="16">
        <v>2.9</v>
      </c>
    </row>
    <row r="795" spans="1:6">
      <c r="A795" s="12" t="s">
        <v>3122</v>
      </c>
      <c r="B795" s="14"/>
      <c r="C795" s="14"/>
      <c r="D795" s="14"/>
      <c r="E795" s="163">
        <v>1000</v>
      </c>
      <c r="F795" s="17">
        <v>2.9622999999999986</v>
      </c>
    </row>
    <row r="799" spans="1:6">
      <c r="A799" s="156" t="s">
        <v>3230</v>
      </c>
      <c r="B799" s="121"/>
    </row>
    <row r="800" spans="1:6">
      <c r="A800" s="103"/>
      <c r="B800" s="23" t="s">
        <v>3231</v>
      </c>
    </row>
    <row r="801" spans="1:13">
      <c r="A801" s="11" t="s">
        <v>3149</v>
      </c>
      <c r="B801" s="11" t="s">
        <v>19</v>
      </c>
      <c r="C801" s="9"/>
      <c r="D801" s="9"/>
      <c r="E801" s="9"/>
      <c r="F801" s="9"/>
      <c r="G801" s="9"/>
      <c r="H801" s="9"/>
      <c r="I801" s="20"/>
      <c r="J801"/>
      <c r="K801"/>
      <c r="L801"/>
      <c r="M801"/>
    </row>
    <row r="802" spans="1:13">
      <c r="A802" s="11" t="s">
        <v>4</v>
      </c>
      <c r="B802" s="22" t="s">
        <v>270</v>
      </c>
      <c r="C802" s="25" t="s">
        <v>87</v>
      </c>
      <c r="D802" s="25" t="s">
        <v>166</v>
      </c>
      <c r="E802" s="25" t="s">
        <v>135</v>
      </c>
      <c r="F802" s="25" t="s">
        <v>205</v>
      </c>
      <c r="G802" s="25" t="s">
        <v>39</v>
      </c>
      <c r="H802" s="25" t="s">
        <v>362</v>
      </c>
      <c r="I802" s="26" t="s">
        <v>3122</v>
      </c>
      <c r="J802"/>
      <c r="K802"/>
      <c r="L802"/>
      <c r="M802"/>
    </row>
    <row r="803" spans="1:13">
      <c r="A803" s="8" t="s">
        <v>3844</v>
      </c>
      <c r="B803" s="164">
        <v>8</v>
      </c>
      <c r="C803" s="174">
        <v>20</v>
      </c>
      <c r="D803" s="174">
        <v>4</v>
      </c>
      <c r="E803" s="174">
        <v>25</v>
      </c>
      <c r="F803" s="174">
        <v>5</v>
      </c>
      <c r="G803" s="174">
        <v>12</v>
      </c>
      <c r="H803" s="174">
        <v>4</v>
      </c>
      <c r="I803" s="175">
        <v>78</v>
      </c>
      <c r="J803"/>
      <c r="K803"/>
      <c r="L803"/>
      <c r="M803"/>
    </row>
    <row r="804" spans="1:13">
      <c r="A804" s="13" t="s">
        <v>3838</v>
      </c>
      <c r="B804" s="166">
        <v>8</v>
      </c>
      <c r="C804" s="179">
        <v>18</v>
      </c>
      <c r="D804" s="179">
        <v>4</v>
      </c>
      <c r="E804" s="179">
        <v>27</v>
      </c>
      <c r="F804" s="179">
        <v>10</v>
      </c>
      <c r="G804" s="179">
        <v>8</v>
      </c>
      <c r="H804" s="179">
        <v>2</v>
      </c>
      <c r="I804" s="180">
        <v>77</v>
      </c>
      <c r="J804"/>
      <c r="K804"/>
      <c r="L804"/>
      <c r="M804"/>
    </row>
    <row r="805" spans="1:13">
      <c r="A805" s="13" t="s">
        <v>3841</v>
      </c>
      <c r="B805" s="166">
        <v>5</v>
      </c>
      <c r="C805" s="179">
        <v>25</v>
      </c>
      <c r="D805" s="179">
        <v>6</v>
      </c>
      <c r="E805" s="179">
        <v>20</v>
      </c>
      <c r="F805" s="179">
        <v>9</v>
      </c>
      <c r="G805" s="179">
        <v>11</v>
      </c>
      <c r="H805" s="179"/>
      <c r="I805" s="180">
        <v>76</v>
      </c>
      <c r="J805"/>
      <c r="K805"/>
      <c r="L805"/>
      <c r="M805"/>
    </row>
    <row r="806" spans="1:13">
      <c r="A806" s="13" t="s">
        <v>3848</v>
      </c>
      <c r="B806" s="166">
        <v>7</v>
      </c>
      <c r="C806" s="179">
        <v>21</v>
      </c>
      <c r="D806" s="179">
        <v>3</v>
      </c>
      <c r="E806" s="179">
        <v>20</v>
      </c>
      <c r="F806" s="179">
        <v>9</v>
      </c>
      <c r="G806" s="179">
        <v>14</v>
      </c>
      <c r="H806" s="179"/>
      <c r="I806" s="180">
        <v>74</v>
      </c>
      <c r="J806"/>
      <c r="K806"/>
      <c r="L806"/>
      <c r="M806"/>
    </row>
    <row r="807" spans="1:13">
      <c r="A807" s="13" t="s">
        <v>3839</v>
      </c>
      <c r="B807" s="166">
        <v>7</v>
      </c>
      <c r="C807" s="179">
        <v>17</v>
      </c>
      <c r="D807" s="179">
        <v>2</v>
      </c>
      <c r="E807" s="179">
        <v>22</v>
      </c>
      <c r="F807" s="179">
        <v>15</v>
      </c>
      <c r="G807" s="179">
        <v>9</v>
      </c>
      <c r="H807" s="179"/>
      <c r="I807" s="180">
        <v>72</v>
      </c>
      <c r="J807"/>
      <c r="K807"/>
      <c r="L807"/>
      <c r="M807"/>
    </row>
    <row r="808" spans="1:13">
      <c r="A808" s="13" t="s">
        <v>3845</v>
      </c>
      <c r="B808" s="166">
        <v>6</v>
      </c>
      <c r="C808" s="179">
        <v>17</v>
      </c>
      <c r="D808" s="179">
        <v>2</v>
      </c>
      <c r="E808" s="179">
        <v>22</v>
      </c>
      <c r="F808" s="179">
        <v>9</v>
      </c>
      <c r="G808" s="179">
        <v>12</v>
      </c>
      <c r="H808" s="179">
        <v>1</v>
      </c>
      <c r="I808" s="180">
        <v>69</v>
      </c>
      <c r="J808"/>
      <c r="K808"/>
      <c r="L808"/>
      <c r="M808"/>
    </row>
    <row r="809" spans="1:13">
      <c r="A809" s="13" t="s">
        <v>3846</v>
      </c>
      <c r="B809" s="166">
        <v>11</v>
      </c>
      <c r="C809" s="179">
        <v>15</v>
      </c>
      <c r="D809" s="179">
        <v>8</v>
      </c>
      <c r="E809" s="179">
        <v>13</v>
      </c>
      <c r="F809" s="179">
        <v>5</v>
      </c>
      <c r="G809" s="179">
        <v>12</v>
      </c>
      <c r="H809" s="179">
        <v>3</v>
      </c>
      <c r="I809" s="180">
        <v>67</v>
      </c>
      <c r="J809"/>
      <c r="K809"/>
      <c r="L809"/>
      <c r="M809"/>
    </row>
    <row r="810" spans="1:13">
      <c r="A810" s="13" t="s">
        <v>3836</v>
      </c>
      <c r="B810" s="166">
        <v>10</v>
      </c>
      <c r="C810" s="179">
        <v>16</v>
      </c>
      <c r="D810" s="179">
        <v>4</v>
      </c>
      <c r="E810" s="179">
        <v>14</v>
      </c>
      <c r="F810" s="179">
        <v>9</v>
      </c>
      <c r="G810" s="179">
        <v>14</v>
      </c>
      <c r="H810" s="179"/>
      <c r="I810" s="180">
        <v>67</v>
      </c>
      <c r="J810"/>
      <c r="K810"/>
      <c r="L810"/>
      <c r="M810"/>
    </row>
    <row r="811" spans="1:13">
      <c r="A811" s="13" t="s">
        <v>3842</v>
      </c>
      <c r="B811" s="166">
        <v>7</v>
      </c>
      <c r="C811" s="179">
        <v>18</v>
      </c>
      <c r="D811" s="179">
        <v>5</v>
      </c>
      <c r="E811" s="179">
        <v>17</v>
      </c>
      <c r="F811" s="179">
        <v>10</v>
      </c>
      <c r="G811" s="179">
        <v>8</v>
      </c>
      <c r="H811" s="179"/>
      <c r="I811" s="180">
        <v>65</v>
      </c>
    </row>
    <row r="812" spans="1:13">
      <c r="A812" s="13" t="s">
        <v>3837</v>
      </c>
      <c r="B812" s="166">
        <v>4</v>
      </c>
      <c r="C812" s="179">
        <v>16</v>
      </c>
      <c r="D812" s="179">
        <v>5</v>
      </c>
      <c r="E812" s="179">
        <v>25</v>
      </c>
      <c r="F812" s="179">
        <v>3</v>
      </c>
      <c r="G812" s="179">
        <v>8</v>
      </c>
      <c r="H812" s="179">
        <v>3</v>
      </c>
      <c r="I812" s="180">
        <v>64</v>
      </c>
    </row>
    <row r="813" spans="1:13">
      <c r="A813" s="13" t="s">
        <v>3849</v>
      </c>
      <c r="B813" s="166">
        <v>8</v>
      </c>
      <c r="C813" s="179">
        <v>19</v>
      </c>
      <c r="D813" s="179">
        <v>4</v>
      </c>
      <c r="E813" s="179">
        <v>14</v>
      </c>
      <c r="F813" s="179">
        <v>11</v>
      </c>
      <c r="G813" s="179">
        <v>7</v>
      </c>
      <c r="H813" s="179"/>
      <c r="I813" s="180">
        <v>63</v>
      </c>
    </row>
    <row r="814" spans="1:13">
      <c r="A814" s="13" t="s">
        <v>3840</v>
      </c>
      <c r="B814" s="166">
        <v>4</v>
      </c>
      <c r="C814" s="179">
        <v>23</v>
      </c>
      <c r="D814" s="179">
        <v>4</v>
      </c>
      <c r="E814" s="179">
        <v>12</v>
      </c>
      <c r="F814" s="179">
        <v>8</v>
      </c>
      <c r="G814" s="179">
        <v>10</v>
      </c>
      <c r="H814" s="179"/>
      <c r="I814" s="180">
        <v>61</v>
      </c>
    </row>
    <row r="815" spans="1:13">
      <c r="A815" s="13" t="s">
        <v>3847</v>
      </c>
      <c r="B815" s="166">
        <v>7</v>
      </c>
      <c r="C815" s="179">
        <v>11</v>
      </c>
      <c r="D815" s="179">
        <v>7</v>
      </c>
      <c r="E815" s="179">
        <v>16</v>
      </c>
      <c r="F815" s="179">
        <v>6</v>
      </c>
      <c r="G815" s="179">
        <v>11</v>
      </c>
      <c r="H815" s="179">
        <v>1</v>
      </c>
      <c r="I815" s="180">
        <v>59</v>
      </c>
    </row>
    <row r="816" spans="1:13">
      <c r="A816" s="13" t="s">
        <v>3835</v>
      </c>
      <c r="B816" s="166">
        <v>5</v>
      </c>
      <c r="C816" s="179">
        <v>22</v>
      </c>
      <c r="D816" s="179">
        <v>3</v>
      </c>
      <c r="E816" s="179">
        <v>14</v>
      </c>
      <c r="F816" s="179">
        <v>5</v>
      </c>
      <c r="G816" s="179">
        <v>6</v>
      </c>
      <c r="H816" s="179"/>
      <c r="I816" s="180">
        <v>55</v>
      </c>
    </row>
    <row r="817" spans="1:13">
      <c r="A817" s="13" t="s">
        <v>3843</v>
      </c>
      <c r="B817" s="166">
        <v>7</v>
      </c>
      <c r="C817" s="179">
        <v>10</v>
      </c>
      <c r="D817" s="179">
        <v>6</v>
      </c>
      <c r="E817" s="179">
        <v>17</v>
      </c>
      <c r="F817" s="179">
        <v>6</v>
      </c>
      <c r="G817" s="179">
        <v>7</v>
      </c>
      <c r="H817" s="179"/>
      <c r="I817" s="180">
        <v>53</v>
      </c>
    </row>
    <row r="818" spans="1:13" s="40" customFormat="1">
      <c r="A818" s="42" t="s">
        <v>3122</v>
      </c>
      <c r="B818" s="170">
        <v>104</v>
      </c>
      <c r="C818" s="181">
        <v>268</v>
      </c>
      <c r="D818" s="181">
        <v>67</v>
      </c>
      <c r="E818" s="181">
        <v>278</v>
      </c>
      <c r="F818" s="181">
        <v>120</v>
      </c>
      <c r="G818" s="181">
        <v>149</v>
      </c>
      <c r="H818" s="181">
        <v>14</v>
      </c>
      <c r="I818" s="182">
        <v>1000</v>
      </c>
      <c r="J818" s="41"/>
      <c r="K818" s="41"/>
      <c r="L818" s="41"/>
      <c r="M818" s="41"/>
    </row>
    <row r="824" spans="1:13">
      <c r="A824" s="103"/>
    </row>
    <row r="825" spans="1:13">
      <c r="A825" s="11" t="s">
        <v>3153</v>
      </c>
      <c r="B825" s="11" t="s">
        <v>19</v>
      </c>
      <c r="C825" s="9"/>
      <c r="D825" s="9"/>
      <c r="E825" s="9"/>
      <c r="F825" s="9"/>
      <c r="G825" s="9"/>
      <c r="H825" s="9"/>
      <c r="I825" s="20"/>
    </row>
    <row r="826" spans="1:13">
      <c r="A826" s="11" t="s">
        <v>4</v>
      </c>
      <c r="B826" s="22" t="s">
        <v>270</v>
      </c>
      <c r="C826" s="25" t="s">
        <v>87</v>
      </c>
      <c r="D826" s="25" t="s">
        <v>166</v>
      </c>
      <c r="E826" s="25" t="s">
        <v>135</v>
      </c>
      <c r="F826" s="25" t="s">
        <v>205</v>
      </c>
      <c r="G826" s="25" t="s">
        <v>39</v>
      </c>
      <c r="H826" s="25" t="s">
        <v>362</v>
      </c>
      <c r="I826" s="26" t="s">
        <v>3122</v>
      </c>
      <c r="J826" s="121" t="s">
        <v>4</v>
      </c>
      <c r="K826" s="121" t="s">
        <v>3209</v>
      </c>
    </row>
    <row r="827" spans="1:13">
      <c r="A827" s="8" t="s">
        <v>3835</v>
      </c>
      <c r="B827" s="164">
        <v>2000</v>
      </c>
      <c r="C827" s="174">
        <v>7750</v>
      </c>
      <c r="D827" s="174">
        <v>925</v>
      </c>
      <c r="E827" s="174">
        <v>10300</v>
      </c>
      <c r="F827" s="174">
        <v>3250</v>
      </c>
      <c r="G827" s="174">
        <v>2650</v>
      </c>
      <c r="H827" s="174"/>
      <c r="I827" s="175">
        <v>26875</v>
      </c>
      <c r="J827" s="121" t="s">
        <v>257</v>
      </c>
      <c r="K827" s="122">
        <f t="shared" ref="K827:K841" si="23">B827/I827</f>
        <v>7.441860465116279E-2</v>
      </c>
      <c r="L827" s="23">
        <f>RANK(K827,K827:K841)</f>
        <v>12</v>
      </c>
    </row>
    <row r="828" spans="1:13">
      <c r="A828" s="13" t="s">
        <v>3836</v>
      </c>
      <c r="B828" s="166">
        <v>7200</v>
      </c>
      <c r="C828" s="179">
        <v>6875</v>
      </c>
      <c r="D828" s="179">
        <v>2500</v>
      </c>
      <c r="E828" s="179">
        <v>6225</v>
      </c>
      <c r="F828" s="179">
        <v>8525</v>
      </c>
      <c r="G828" s="179">
        <v>7725</v>
      </c>
      <c r="H828" s="179"/>
      <c r="I828" s="180">
        <v>39050</v>
      </c>
      <c r="J828" s="121" t="s">
        <v>210</v>
      </c>
      <c r="K828" s="122">
        <f t="shared" si="23"/>
        <v>0.18437900128040974</v>
      </c>
      <c r="L828" s="23">
        <f t="shared" ref="L828:L830" si="24">RANK(K828,K828:K842)</f>
        <v>2</v>
      </c>
    </row>
    <row r="829" spans="1:13">
      <c r="A829" s="13" t="s">
        <v>3837</v>
      </c>
      <c r="B829" s="166">
        <v>3700</v>
      </c>
      <c r="C829" s="179">
        <v>8750</v>
      </c>
      <c r="D829" s="179">
        <v>4500</v>
      </c>
      <c r="E829" s="179">
        <v>11550</v>
      </c>
      <c r="F829" s="179">
        <v>300</v>
      </c>
      <c r="G829" s="179">
        <v>3750</v>
      </c>
      <c r="H829" s="179">
        <v>550</v>
      </c>
      <c r="I829" s="180">
        <v>33100</v>
      </c>
      <c r="J829" s="121" t="s">
        <v>236</v>
      </c>
      <c r="K829" s="122">
        <f t="shared" si="23"/>
        <v>0.11178247734138973</v>
      </c>
      <c r="L829" s="23">
        <f t="shared" si="24"/>
        <v>7</v>
      </c>
    </row>
    <row r="830" spans="1:13">
      <c r="A830" s="13" t="s">
        <v>3838</v>
      </c>
      <c r="B830" s="166">
        <v>5500</v>
      </c>
      <c r="C830" s="179">
        <v>8600</v>
      </c>
      <c r="D830" s="179">
        <v>3575</v>
      </c>
      <c r="E830" s="179">
        <v>8325</v>
      </c>
      <c r="F830" s="179">
        <v>7900</v>
      </c>
      <c r="G830" s="179">
        <v>6225</v>
      </c>
      <c r="H830" s="179">
        <v>1075</v>
      </c>
      <c r="I830" s="180">
        <v>41200</v>
      </c>
      <c r="J830" s="121" t="s">
        <v>119</v>
      </c>
      <c r="K830" s="122">
        <f t="shared" si="23"/>
        <v>0.13349514563106796</v>
      </c>
      <c r="L830" s="23">
        <f t="shared" si="24"/>
        <v>6</v>
      </c>
    </row>
    <row r="831" spans="1:13">
      <c r="A831" s="13" t="s">
        <v>3839</v>
      </c>
      <c r="B831" s="166">
        <v>5075</v>
      </c>
      <c r="C831" s="179">
        <v>9675</v>
      </c>
      <c r="D831" s="179">
        <v>1300</v>
      </c>
      <c r="E831" s="179">
        <v>6125</v>
      </c>
      <c r="F831" s="179">
        <v>8350</v>
      </c>
      <c r="G831" s="179">
        <v>2125</v>
      </c>
      <c r="H831" s="179"/>
      <c r="I831" s="180">
        <v>32650</v>
      </c>
      <c r="J831" s="121" t="s">
        <v>143</v>
      </c>
      <c r="K831" s="122">
        <f t="shared" si="23"/>
        <v>0.1554364471669219</v>
      </c>
      <c r="L831" s="23">
        <f t="shared" ref="L831:L842" si="25">RANK(K831,K831:K894)</f>
        <v>3</v>
      </c>
    </row>
    <row r="832" spans="1:13">
      <c r="A832" s="13" t="s">
        <v>3840</v>
      </c>
      <c r="B832" s="166">
        <v>725</v>
      </c>
      <c r="C832" s="179">
        <v>12025</v>
      </c>
      <c r="D832" s="179">
        <v>1800</v>
      </c>
      <c r="E832" s="179">
        <v>8925</v>
      </c>
      <c r="F832" s="179">
        <v>5075</v>
      </c>
      <c r="G832" s="179">
        <v>5725</v>
      </c>
      <c r="H832" s="179"/>
      <c r="I832" s="180">
        <v>34275</v>
      </c>
      <c r="J832" s="121" t="s">
        <v>33</v>
      </c>
      <c r="K832" s="122">
        <f t="shared" si="23"/>
        <v>2.1152443471918306E-2</v>
      </c>
      <c r="L832" s="23">
        <f t="shared" si="25"/>
        <v>17</v>
      </c>
    </row>
    <row r="833" spans="1:17">
      <c r="A833" s="13" t="s">
        <v>3841</v>
      </c>
      <c r="B833" s="166">
        <v>1400</v>
      </c>
      <c r="C833" s="179">
        <v>15250</v>
      </c>
      <c r="D833" s="179">
        <v>2800</v>
      </c>
      <c r="E833" s="179">
        <v>12050</v>
      </c>
      <c r="F833" s="179">
        <v>3650</v>
      </c>
      <c r="G833" s="179">
        <v>3375</v>
      </c>
      <c r="H833" s="179"/>
      <c r="I833" s="180">
        <v>38525</v>
      </c>
      <c r="J833" s="121" t="s">
        <v>111</v>
      </c>
      <c r="K833" s="122">
        <f t="shared" si="23"/>
        <v>3.6340038935756006E-2</v>
      </c>
      <c r="L833" s="23">
        <f t="shared" si="25"/>
        <v>13</v>
      </c>
    </row>
    <row r="834" spans="1:17">
      <c r="A834" s="13" t="s">
        <v>3842</v>
      </c>
      <c r="B834" s="166">
        <v>3775</v>
      </c>
      <c r="C834" s="179">
        <v>12550</v>
      </c>
      <c r="D834" s="179">
        <v>2600</v>
      </c>
      <c r="E834" s="179">
        <v>10625</v>
      </c>
      <c r="F834" s="179">
        <v>9850</v>
      </c>
      <c r="G834" s="179">
        <v>4400</v>
      </c>
      <c r="H834" s="179"/>
      <c r="I834" s="180">
        <v>43800</v>
      </c>
      <c r="J834" s="121" t="s">
        <v>466</v>
      </c>
      <c r="K834" s="122">
        <f t="shared" si="23"/>
        <v>8.6187214611872148E-2</v>
      </c>
      <c r="L834" s="23">
        <f t="shared" si="25"/>
        <v>8</v>
      </c>
    </row>
    <row r="835" spans="1:17">
      <c r="A835" s="13" t="s">
        <v>3843</v>
      </c>
      <c r="B835" s="166">
        <v>4350</v>
      </c>
      <c r="C835" s="179">
        <v>4650</v>
      </c>
      <c r="D835" s="179">
        <v>5000</v>
      </c>
      <c r="E835" s="179">
        <v>4450</v>
      </c>
      <c r="F835" s="179">
        <v>3350</v>
      </c>
      <c r="G835" s="179">
        <v>1500</v>
      </c>
      <c r="H835" s="179"/>
      <c r="I835" s="180">
        <v>23300</v>
      </c>
      <c r="J835" s="121" t="s">
        <v>101</v>
      </c>
      <c r="K835" s="122">
        <f t="shared" si="23"/>
        <v>0.18669527896995708</v>
      </c>
      <c r="L835" s="23">
        <f t="shared" si="25"/>
        <v>2</v>
      </c>
    </row>
    <row r="836" spans="1:17">
      <c r="A836" s="13" t="s">
        <v>3844</v>
      </c>
      <c r="B836" s="166">
        <v>6425</v>
      </c>
      <c r="C836" s="179">
        <v>12200</v>
      </c>
      <c r="D836" s="179">
        <v>2275</v>
      </c>
      <c r="E836" s="179">
        <v>11625</v>
      </c>
      <c r="F836" s="179">
        <v>3400</v>
      </c>
      <c r="G836" s="179">
        <v>8275</v>
      </c>
      <c r="H836" s="179">
        <v>2600</v>
      </c>
      <c r="I836" s="180">
        <v>46800</v>
      </c>
      <c r="J836" s="121" t="s">
        <v>81</v>
      </c>
      <c r="K836" s="122">
        <f t="shared" si="23"/>
        <v>0.1372863247863248</v>
      </c>
      <c r="L836" s="23">
        <f t="shared" si="25"/>
        <v>3</v>
      </c>
    </row>
    <row r="837" spans="1:17">
      <c r="A837" s="13" t="s">
        <v>3847</v>
      </c>
      <c r="B837" s="166">
        <v>4925</v>
      </c>
      <c r="C837" s="179">
        <v>8425</v>
      </c>
      <c r="D837" s="179">
        <v>5650</v>
      </c>
      <c r="E837" s="179">
        <v>13775</v>
      </c>
      <c r="F837" s="179">
        <v>7100</v>
      </c>
      <c r="G837" s="179">
        <v>5425</v>
      </c>
      <c r="H837" s="179">
        <v>300</v>
      </c>
      <c r="I837" s="180">
        <v>45600</v>
      </c>
      <c r="J837" s="121" t="s">
        <v>216</v>
      </c>
      <c r="K837" s="122">
        <f t="shared" si="23"/>
        <v>0.10800438596491228</v>
      </c>
      <c r="L837" s="23">
        <f t="shared" si="25"/>
        <v>5</v>
      </c>
    </row>
    <row r="838" spans="1:17">
      <c r="A838" s="13" t="s">
        <v>3845</v>
      </c>
      <c r="B838" s="166">
        <v>1525</v>
      </c>
      <c r="C838" s="179">
        <v>8750</v>
      </c>
      <c r="D838" s="179">
        <v>2150</v>
      </c>
      <c r="E838" s="179">
        <v>9125</v>
      </c>
      <c r="F838" s="179">
        <v>4425</v>
      </c>
      <c r="G838" s="179">
        <v>7500</v>
      </c>
      <c r="H838" s="179">
        <v>150</v>
      </c>
      <c r="I838" s="180">
        <v>33625</v>
      </c>
      <c r="J838" s="121" t="s">
        <v>232</v>
      </c>
      <c r="K838" s="122">
        <f t="shared" si="23"/>
        <v>4.5353159851301117E-2</v>
      </c>
      <c r="L838" s="23">
        <f t="shared" si="25"/>
        <v>8</v>
      </c>
    </row>
    <row r="839" spans="1:17">
      <c r="A839" s="13" t="s">
        <v>3846</v>
      </c>
      <c r="B839" s="166">
        <v>6425</v>
      </c>
      <c r="C839" s="179">
        <v>14050</v>
      </c>
      <c r="D839" s="179">
        <v>3350</v>
      </c>
      <c r="E839" s="179">
        <v>5525</v>
      </c>
      <c r="F839" s="179">
        <v>1850</v>
      </c>
      <c r="G839" s="179">
        <v>5275</v>
      </c>
      <c r="H839" s="179">
        <v>5500</v>
      </c>
      <c r="I839" s="180">
        <v>41975</v>
      </c>
      <c r="J839" s="121" t="s">
        <v>91</v>
      </c>
      <c r="K839" s="122">
        <f t="shared" si="23"/>
        <v>0.15306730196545562</v>
      </c>
      <c r="L839" s="23">
        <f t="shared" si="25"/>
        <v>2</v>
      </c>
    </row>
    <row r="840" spans="1:17">
      <c r="A840" s="13" t="s">
        <v>3848</v>
      </c>
      <c r="B840" s="166">
        <v>3950</v>
      </c>
      <c r="C840" s="179">
        <v>9650</v>
      </c>
      <c r="D840" s="179">
        <v>1450</v>
      </c>
      <c r="E840" s="179">
        <v>9875</v>
      </c>
      <c r="F840" s="179">
        <v>4125</v>
      </c>
      <c r="G840" s="179">
        <v>6825</v>
      </c>
      <c r="H840" s="179"/>
      <c r="I840" s="180">
        <v>35875</v>
      </c>
      <c r="J840" s="121" t="s">
        <v>3082</v>
      </c>
      <c r="K840" s="122">
        <f t="shared" si="23"/>
        <v>0.11010452961672473</v>
      </c>
      <c r="L840" s="23">
        <f t="shared" si="25"/>
        <v>3</v>
      </c>
    </row>
    <row r="841" spans="1:17">
      <c r="A841" s="13" t="s">
        <v>3849</v>
      </c>
      <c r="B841" s="166">
        <v>4300</v>
      </c>
      <c r="C841" s="179">
        <v>5275</v>
      </c>
      <c r="D841" s="179">
        <v>4800</v>
      </c>
      <c r="E841" s="179">
        <v>6025</v>
      </c>
      <c r="F841" s="179">
        <v>6250</v>
      </c>
      <c r="G841" s="179">
        <v>5075</v>
      </c>
      <c r="H841" s="179"/>
      <c r="I841" s="180">
        <v>31725</v>
      </c>
      <c r="J841" s="121" t="s">
        <v>244</v>
      </c>
      <c r="K841" s="122">
        <f t="shared" si="23"/>
        <v>0.1355397951142632</v>
      </c>
      <c r="L841" s="23">
        <f t="shared" si="25"/>
        <v>2</v>
      </c>
    </row>
    <row r="842" spans="1:17">
      <c r="A842" s="42" t="s">
        <v>3122</v>
      </c>
      <c r="B842" s="170">
        <v>61275</v>
      </c>
      <c r="C842" s="181">
        <v>144475</v>
      </c>
      <c r="D842" s="181">
        <v>44675</v>
      </c>
      <c r="E842" s="181">
        <v>134525</v>
      </c>
      <c r="F842" s="181">
        <v>77400</v>
      </c>
      <c r="G842" s="181">
        <v>75850</v>
      </c>
      <c r="H842" s="181">
        <v>10175</v>
      </c>
      <c r="I842" s="182">
        <v>548375</v>
      </c>
      <c r="K842" s="105"/>
      <c r="L842" s="23" t="e">
        <f t="shared" si="25"/>
        <v>#N/A</v>
      </c>
    </row>
    <row r="847" spans="1:17">
      <c r="A847" s="103"/>
    </row>
    <row r="848" spans="1:17">
      <c r="A848" s="8"/>
      <c r="B848" s="11" t="s">
        <v>7</v>
      </c>
      <c r="C848" s="123" t="s">
        <v>3210</v>
      </c>
      <c r="D848" s="9"/>
      <c r="E848" s="9"/>
      <c r="F848" s="9"/>
      <c r="G848" s="9"/>
      <c r="H848" s="9"/>
      <c r="I848" s="9"/>
      <c r="J848" s="9"/>
      <c r="K848" s="9"/>
      <c r="L848" s="9"/>
      <c r="M848" s="9"/>
      <c r="N848" s="9"/>
      <c r="O848" s="9"/>
      <c r="P848" s="9"/>
      <c r="Q848" s="20"/>
    </row>
    <row r="849" spans="1:17">
      <c r="A849" s="10"/>
      <c r="B849" s="8" t="s">
        <v>50</v>
      </c>
      <c r="C849" s="9"/>
      <c r="D849" s="8" t="s">
        <v>62</v>
      </c>
      <c r="E849" s="9"/>
      <c r="F849" s="8" t="s">
        <v>35</v>
      </c>
      <c r="G849" s="9"/>
      <c r="H849" s="8" t="s">
        <v>163</v>
      </c>
      <c r="I849" s="9"/>
      <c r="J849" s="8" t="s">
        <v>112</v>
      </c>
      <c r="K849" s="9"/>
      <c r="L849" s="8" t="s">
        <v>153</v>
      </c>
      <c r="M849" s="9"/>
      <c r="N849" s="8" t="s">
        <v>71</v>
      </c>
      <c r="O849" s="9"/>
      <c r="P849" s="22" t="s">
        <v>3211</v>
      </c>
      <c r="Q849" s="26" t="s">
        <v>3212</v>
      </c>
    </row>
    <row r="850" spans="1:17">
      <c r="A850" s="11" t="s">
        <v>19</v>
      </c>
      <c r="B850" s="8" t="s">
        <v>3153</v>
      </c>
      <c r="C850" s="21" t="s">
        <v>3213</v>
      </c>
      <c r="D850" s="8" t="s">
        <v>3153</v>
      </c>
      <c r="E850" s="21" t="s">
        <v>3213</v>
      </c>
      <c r="F850" s="8" t="s">
        <v>3153</v>
      </c>
      <c r="G850" s="21" t="s">
        <v>3213</v>
      </c>
      <c r="H850" s="8" t="s">
        <v>3153</v>
      </c>
      <c r="I850" s="21" t="s">
        <v>3213</v>
      </c>
      <c r="J850" s="8" t="s">
        <v>3153</v>
      </c>
      <c r="K850" s="21" t="s">
        <v>3213</v>
      </c>
      <c r="L850" s="8" t="s">
        <v>3153</v>
      </c>
      <c r="M850" s="21" t="s">
        <v>3213</v>
      </c>
      <c r="N850" s="8" t="s">
        <v>3153</v>
      </c>
      <c r="O850" s="21" t="s">
        <v>3213</v>
      </c>
      <c r="P850" s="125"/>
      <c r="Q850" s="124"/>
    </row>
    <row r="851" spans="1:17">
      <c r="A851" s="22" t="s">
        <v>270</v>
      </c>
      <c r="B851" s="164">
        <v>14375</v>
      </c>
      <c r="C851" s="126">
        <v>2.6213813540004557E-2</v>
      </c>
      <c r="D851" s="164">
        <v>5875</v>
      </c>
      <c r="E851" s="126">
        <v>1.0713471620697515E-2</v>
      </c>
      <c r="F851" s="164">
        <v>11250</v>
      </c>
      <c r="G851" s="126">
        <v>2.0515158422612263E-2</v>
      </c>
      <c r="H851" s="164">
        <v>5300</v>
      </c>
      <c r="I851" s="126">
        <v>9.6649190790973338E-3</v>
      </c>
      <c r="J851" s="164">
        <v>12275</v>
      </c>
      <c r="K851" s="126">
        <v>2.2384317301116938E-2</v>
      </c>
      <c r="L851" s="164">
        <v>6500</v>
      </c>
      <c r="M851" s="126">
        <v>1.1853202644175975E-2</v>
      </c>
      <c r="N851" s="164">
        <v>5700</v>
      </c>
      <c r="O851" s="126">
        <v>1.0394346934123546E-2</v>
      </c>
      <c r="P851" s="164">
        <v>61275</v>
      </c>
      <c r="Q851" s="127">
        <v>0.11173922954182813</v>
      </c>
    </row>
    <row r="852" spans="1:17">
      <c r="A852" s="24" t="s">
        <v>87</v>
      </c>
      <c r="B852" s="166">
        <v>24975</v>
      </c>
      <c r="C852" s="96">
        <v>4.5543651698199225E-2</v>
      </c>
      <c r="D852" s="166">
        <v>20250</v>
      </c>
      <c r="E852" s="96">
        <v>3.6927285160702074E-2</v>
      </c>
      <c r="F852" s="166">
        <v>20675</v>
      </c>
      <c r="G852" s="96">
        <v>3.7702302256667423E-2</v>
      </c>
      <c r="H852" s="166">
        <v>12075</v>
      </c>
      <c r="I852" s="96">
        <v>2.2019603373603831E-2</v>
      </c>
      <c r="J852" s="166">
        <v>33050</v>
      </c>
      <c r="K852" s="96">
        <v>6.0268976521540917E-2</v>
      </c>
      <c r="L852" s="166">
        <v>15075</v>
      </c>
      <c r="M852" s="96">
        <v>2.7490312286300434E-2</v>
      </c>
      <c r="N852" s="166">
        <v>18375</v>
      </c>
      <c r="O852" s="96">
        <v>3.35080920902667E-2</v>
      </c>
      <c r="P852" s="166">
        <v>144475</v>
      </c>
      <c r="Q852" s="128">
        <v>0.26346022338728059</v>
      </c>
    </row>
    <row r="853" spans="1:17">
      <c r="A853" s="24" t="s">
        <v>166</v>
      </c>
      <c r="B853" s="166">
        <v>6150</v>
      </c>
      <c r="C853" s="96">
        <v>1.1214953271028037E-2</v>
      </c>
      <c r="D853" s="166">
        <v>4650</v>
      </c>
      <c r="E853" s="96">
        <v>8.4795988146797348E-3</v>
      </c>
      <c r="F853" s="166">
        <v>2975</v>
      </c>
      <c r="G853" s="96">
        <v>5.4251196717574656E-3</v>
      </c>
      <c r="H853" s="166">
        <v>10050</v>
      </c>
      <c r="I853" s="96">
        <v>1.832687485753362E-2</v>
      </c>
      <c r="J853" s="166">
        <v>8350</v>
      </c>
      <c r="K853" s="96">
        <v>1.5226806473672213E-2</v>
      </c>
      <c r="L853" s="166">
        <v>7950</v>
      </c>
      <c r="M853" s="96">
        <v>1.4497378618645999E-2</v>
      </c>
      <c r="N853" s="166">
        <v>4550</v>
      </c>
      <c r="O853" s="96">
        <v>8.2972418509231829E-3</v>
      </c>
      <c r="P853" s="166">
        <v>44675</v>
      </c>
      <c r="Q853" s="128">
        <v>8.1467973558240259E-2</v>
      </c>
    </row>
    <row r="854" spans="1:17">
      <c r="A854" s="24" t="s">
        <v>135</v>
      </c>
      <c r="B854" s="166">
        <v>21975</v>
      </c>
      <c r="C854" s="96">
        <v>4.0072942785502622E-2</v>
      </c>
      <c r="D854" s="166">
        <v>21125</v>
      </c>
      <c r="E854" s="96">
        <v>3.8522908593571915E-2</v>
      </c>
      <c r="F854" s="166">
        <v>16200</v>
      </c>
      <c r="G854" s="96">
        <v>2.954182812856166E-2</v>
      </c>
      <c r="H854" s="166">
        <v>14525</v>
      </c>
      <c r="I854" s="96">
        <v>2.648734898563939E-2</v>
      </c>
      <c r="J854" s="166">
        <v>27450</v>
      </c>
      <c r="K854" s="96">
        <v>5.0056986551173924E-2</v>
      </c>
      <c r="L854" s="166">
        <v>17150</v>
      </c>
      <c r="M854" s="96">
        <v>3.1274219284248915E-2</v>
      </c>
      <c r="N854" s="166">
        <v>16100</v>
      </c>
      <c r="O854" s="96">
        <v>2.9359471164805105E-2</v>
      </c>
      <c r="P854" s="166">
        <v>134525</v>
      </c>
      <c r="Q854" s="128">
        <v>0.24531570549350354</v>
      </c>
    </row>
    <row r="855" spans="1:17">
      <c r="A855" s="24" t="s">
        <v>205</v>
      </c>
      <c r="B855" s="166">
        <v>15775</v>
      </c>
      <c r="C855" s="96">
        <v>2.8766811032596307E-2</v>
      </c>
      <c r="D855" s="166">
        <v>10300</v>
      </c>
      <c r="E855" s="96">
        <v>1.8782767266925005E-2</v>
      </c>
      <c r="F855" s="166">
        <v>10050</v>
      </c>
      <c r="G855" s="96">
        <v>1.832687485753362E-2</v>
      </c>
      <c r="H855" s="166">
        <v>12700</v>
      </c>
      <c r="I855" s="96">
        <v>2.3159334397082287E-2</v>
      </c>
      <c r="J855" s="166">
        <v>12500</v>
      </c>
      <c r="K855" s="96">
        <v>2.279462046956918E-2</v>
      </c>
      <c r="L855" s="166">
        <v>6075</v>
      </c>
      <c r="M855" s="96">
        <v>1.1078185548210622E-2</v>
      </c>
      <c r="N855" s="166">
        <v>10000</v>
      </c>
      <c r="O855" s="96">
        <v>1.8235696375655346E-2</v>
      </c>
      <c r="P855" s="166">
        <v>77400</v>
      </c>
      <c r="Q855" s="128">
        <v>0.14114428994757236</v>
      </c>
    </row>
    <row r="856" spans="1:17">
      <c r="A856" s="24" t="s">
        <v>39</v>
      </c>
      <c r="B856" s="166">
        <v>14675</v>
      </c>
      <c r="C856" s="96">
        <v>2.676088443127422E-2</v>
      </c>
      <c r="D856" s="166">
        <v>10775</v>
      </c>
      <c r="E856" s="96">
        <v>1.9648962844768636E-2</v>
      </c>
      <c r="F856" s="166">
        <v>7475</v>
      </c>
      <c r="G856" s="96">
        <v>1.363118304080237E-2</v>
      </c>
      <c r="H856" s="166">
        <v>5100</v>
      </c>
      <c r="I856" s="96">
        <v>9.3002051515842267E-3</v>
      </c>
      <c r="J856" s="166">
        <v>13875</v>
      </c>
      <c r="K856" s="96">
        <v>2.5302028721221791E-2</v>
      </c>
      <c r="L856" s="166">
        <v>12025</v>
      </c>
      <c r="M856" s="96">
        <v>2.1928424891725553E-2</v>
      </c>
      <c r="N856" s="166">
        <v>11925</v>
      </c>
      <c r="O856" s="96">
        <v>2.1746067927968998E-2</v>
      </c>
      <c r="P856" s="166">
        <v>75850</v>
      </c>
      <c r="Q856" s="128">
        <v>0.13831775700934579</v>
      </c>
    </row>
    <row r="857" spans="1:17">
      <c r="A857" s="24" t="s">
        <v>362</v>
      </c>
      <c r="B857" s="166">
        <v>75</v>
      </c>
      <c r="C857" s="96">
        <v>1.3676772281741509E-4</v>
      </c>
      <c r="D857" s="166">
        <v>300</v>
      </c>
      <c r="E857" s="96">
        <v>5.4707089126966037E-4</v>
      </c>
      <c r="F857" s="166">
        <v>200</v>
      </c>
      <c r="G857" s="96">
        <v>3.6471392751310692E-4</v>
      </c>
      <c r="H857" s="166">
        <v>300</v>
      </c>
      <c r="I857" s="96">
        <v>5.4707089126966037E-4</v>
      </c>
      <c r="J857" s="166">
        <v>9000</v>
      </c>
      <c r="K857" s="96">
        <v>1.6412126738089811E-2</v>
      </c>
      <c r="L857" s="166">
        <v>150</v>
      </c>
      <c r="M857" s="96">
        <v>2.7353544563483019E-4</v>
      </c>
      <c r="N857" s="166">
        <v>150</v>
      </c>
      <c r="O857" s="96">
        <v>2.7353544563483019E-4</v>
      </c>
      <c r="P857" s="166">
        <v>10175</v>
      </c>
      <c r="Q857" s="128">
        <v>1.8554821062229315E-2</v>
      </c>
    </row>
    <row r="858" spans="1:17">
      <c r="A858" s="42" t="s">
        <v>3122</v>
      </c>
      <c r="B858" s="170">
        <v>98000</v>
      </c>
      <c r="C858" s="129">
        <v>0.17870982448142239</v>
      </c>
      <c r="D858" s="170">
        <v>73275</v>
      </c>
      <c r="E858" s="129">
        <v>0.13362206519261455</v>
      </c>
      <c r="F858" s="170">
        <v>68825</v>
      </c>
      <c r="G858" s="129">
        <v>0.12550718030544791</v>
      </c>
      <c r="H858" s="170">
        <v>60050</v>
      </c>
      <c r="I858" s="129">
        <v>0.10950535673581036</v>
      </c>
      <c r="J858" s="170">
        <v>116500</v>
      </c>
      <c r="K858" s="129">
        <v>0.21244586277638478</v>
      </c>
      <c r="L858" s="170">
        <v>64925</v>
      </c>
      <c r="M858" s="129">
        <v>0.11839525871894233</v>
      </c>
      <c r="N858" s="170">
        <v>66800</v>
      </c>
      <c r="O858" s="129">
        <v>0.12181445178937771</v>
      </c>
      <c r="P858" s="170">
        <v>548375</v>
      </c>
      <c r="Q858" s="130">
        <v>1</v>
      </c>
    </row>
    <row r="864" spans="1:17">
      <c r="A864" s="103"/>
    </row>
    <row r="865" spans="1:17">
      <c r="A865" s="8"/>
      <c r="B865" s="11" t="s">
        <v>3210</v>
      </c>
      <c r="C865" s="123" t="s">
        <v>19</v>
      </c>
      <c r="D865" s="9"/>
      <c r="E865" s="9"/>
      <c r="F865" s="9"/>
      <c r="G865" s="9"/>
      <c r="H865" s="9"/>
      <c r="I865" s="9"/>
      <c r="J865" s="9"/>
      <c r="K865" s="9"/>
      <c r="L865" s="9"/>
      <c r="M865" s="9"/>
      <c r="N865" s="9"/>
      <c r="O865" s="9"/>
      <c r="P865" s="9"/>
      <c r="Q865" s="20"/>
    </row>
    <row r="866" spans="1:17">
      <c r="A866" s="10"/>
      <c r="B866" s="8" t="s">
        <v>3153</v>
      </c>
      <c r="C866" s="9"/>
      <c r="D866" s="9"/>
      <c r="E866" s="9"/>
      <c r="F866" s="9"/>
      <c r="G866" s="9"/>
      <c r="H866" s="9"/>
      <c r="I866" s="8" t="s">
        <v>3213</v>
      </c>
      <c r="J866" s="9"/>
      <c r="K866" s="9"/>
      <c r="L866" s="9"/>
      <c r="M866" s="9"/>
      <c r="N866" s="9"/>
      <c r="O866" s="9"/>
      <c r="P866" s="22" t="s">
        <v>3211</v>
      </c>
      <c r="Q866" s="26" t="s">
        <v>3212</v>
      </c>
    </row>
    <row r="867" spans="1:17">
      <c r="A867" s="11" t="s">
        <v>7</v>
      </c>
      <c r="B867" s="22" t="s">
        <v>270</v>
      </c>
      <c r="C867" s="25" t="s">
        <v>87</v>
      </c>
      <c r="D867" s="25" t="s">
        <v>166</v>
      </c>
      <c r="E867" s="25" t="s">
        <v>135</v>
      </c>
      <c r="F867" s="25" t="s">
        <v>205</v>
      </c>
      <c r="G867" s="25" t="s">
        <v>39</v>
      </c>
      <c r="H867" s="25" t="s">
        <v>362</v>
      </c>
      <c r="I867" s="22" t="s">
        <v>270</v>
      </c>
      <c r="J867" s="25" t="s">
        <v>87</v>
      </c>
      <c r="K867" s="25" t="s">
        <v>166</v>
      </c>
      <c r="L867" s="25" t="s">
        <v>135</v>
      </c>
      <c r="M867" s="25" t="s">
        <v>205</v>
      </c>
      <c r="N867" s="25" t="s">
        <v>39</v>
      </c>
      <c r="O867" s="25" t="s">
        <v>362</v>
      </c>
      <c r="P867" s="125"/>
      <c r="Q867" s="124"/>
    </row>
    <row r="868" spans="1:17">
      <c r="A868" s="8" t="s">
        <v>50</v>
      </c>
      <c r="B868" s="164">
        <v>14375</v>
      </c>
      <c r="C868" s="174">
        <v>24975</v>
      </c>
      <c r="D868" s="174">
        <v>6150</v>
      </c>
      <c r="E868" s="174">
        <v>21975</v>
      </c>
      <c r="F868" s="174">
        <v>15775</v>
      </c>
      <c r="G868" s="174">
        <v>14675</v>
      </c>
      <c r="H868" s="174">
        <v>75</v>
      </c>
      <c r="I868" s="132">
        <v>2.6213813540004557E-2</v>
      </c>
      <c r="J868" s="126">
        <v>4.5543651698199225E-2</v>
      </c>
      <c r="K868" s="126">
        <v>1.1214953271028037E-2</v>
      </c>
      <c r="L868" s="126">
        <v>4.0072942785502622E-2</v>
      </c>
      <c r="M868" s="126">
        <v>2.8766811032596307E-2</v>
      </c>
      <c r="N868" s="126">
        <v>2.676088443127422E-2</v>
      </c>
      <c r="O868" s="126">
        <v>1.3676772281741509E-4</v>
      </c>
      <c r="P868" s="164">
        <v>98000</v>
      </c>
      <c r="Q868" s="127">
        <v>0.17870982448142239</v>
      </c>
    </row>
    <row r="869" spans="1:17">
      <c r="A869" s="13" t="s">
        <v>62</v>
      </c>
      <c r="B869" s="166">
        <v>5875</v>
      </c>
      <c r="C869" s="179">
        <v>20250</v>
      </c>
      <c r="D869" s="179">
        <v>4650</v>
      </c>
      <c r="E869" s="179">
        <v>21125</v>
      </c>
      <c r="F869" s="179">
        <v>10300</v>
      </c>
      <c r="G869" s="179">
        <v>10775</v>
      </c>
      <c r="H869" s="179">
        <v>300</v>
      </c>
      <c r="I869" s="133">
        <v>1.0713471620697515E-2</v>
      </c>
      <c r="J869" s="96">
        <v>3.6927285160702074E-2</v>
      </c>
      <c r="K869" s="96">
        <v>8.4795988146797348E-3</v>
      </c>
      <c r="L869" s="96">
        <v>3.8522908593571915E-2</v>
      </c>
      <c r="M869" s="96">
        <v>1.8782767266925005E-2</v>
      </c>
      <c r="N869" s="96">
        <v>1.9648962844768636E-2</v>
      </c>
      <c r="O869" s="96">
        <v>5.4707089126966037E-4</v>
      </c>
      <c r="P869" s="166">
        <v>73275</v>
      </c>
      <c r="Q869" s="128">
        <v>0.13362206519261455</v>
      </c>
    </row>
    <row r="870" spans="1:17">
      <c r="A870" s="13" t="s">
        <v>35</v>
      </c>
      <c r="B870" s="166">
        <v>11250</v>
      </c>
      <c r="C870" s="179">
        <v>20675</v>
      </c>
      <c r="D870" s="179">
        <v>2975</v>
      </c>
      <c r="E870" s="179">
        <v>16200</v>
      </c>
      <c r="F870" s="179">
        <v>10050</v>
      </c>
      <c r="G870" s="179">
        <v>7475</v>
      </c>
      <c r="H870" s="179">
        <v>200</v>
      </c>
      <c r="I870" s="133">
        <v>2.0515158422612263E-2</v>
      </c>
      <c r="J870" s="96">
        <v>3.7702302256667423E-2</v>
      </c>
      <c r="K870" s="96">
        <v>5.4251196717574656E-3</v>
      </c>
      <c r="L870" s="96">
        <v>2.954182812856166E-2</v>
      </c>
      <c r="M870" s="96">
        <v>1.832687485753362E-2</v>
      </c>
      <c r="N870" s="96">
        <v>1.363118304080237E-2</v>
      </c>
      <c r="O870" s="96">
        <v>3.6471392751310692E-4</v>
      </c>
      <c r="P870" s="166">
        <v>68825</v>
      </c>
      <c r="Q870" s="128">
        <v>0.12550718030544791</v>
      </c>
    </row>
    <row r="871" spans="1:17">
      <c r="A871" s="13" t="s">
        <v>163</v>
      </c>
      <c r="B871" s="166">
        <v>5300</v>
      </c>
      <c r="C871" s="179">
        <v>12075</v>
      </c>
      <c r="D871" s="179">
        <v>10050</v>
      </c>
      <c r="E871" s="179">
        <v>14525</v>
      </c>
      <c r="F871" s="179">
        <v>12700</v>
      </c>
      <c r="G871" s="179">
        <v>5100</v>
      </c>
      <c r="H871" s="179">
        <v>300</v>
      </c>
      <c r="I871" s="133">
        <v>9.6649190790973338E-3</v>
      </c>
      <c r="J871" s="96">
        <v>2.2019603373603831E-2</v>
      </c>
      <c r="K871" s="96">
        <v>1.832687485753362E-2</v>
      </c>
      <c r="L871" s="96">
        <v>2.648734898563939E-2</v>
      </c>
      <c r="M871" s="96">
        <v>2.3159334397082287E-2</v>
      </c>
      <c r="N871" s="96">
        <v>9.3002051515842267E-3</v>
      </c>
      <c r="O871" s="96">
        <v>5.4707089126966037E-4</v>
      </c>
      <c r="P871" s="166">
        <v>60050</v>
      </c>
      <c r="Q871" s="128">
        <v>0.10950535673581036</v>
      </c>
    </row>
    <row r="872" spans="1:17">
      <c r="A872" s="13" t="s">
        <v>112</v>
      </c>
      <c r="B872" s="166">
        <v>12275</v>
      </c>
      <c r="C872" s="179">
        <v>33050</v>
      </c>
      <c r="D872" s="179">
        <v>8350</v>
      </c>
      <c r="E872" s="179">
        <v>27450</v>
      </c>
      <c r="F872" s="179">
        <v>12500</v>
      </c>
      <c r="G872" s="179">
        <v>13875</v>
      </c>
      <c r="H872" s="179">
        <v>9000</v>
      </c>
      <c r="I872" s="133">
        <v>2.2384317301116938E-2</v>
      </c>
      <c r="J872" s="96">
        <v>6.0268976521540917E-2</v>
      </c>
      <c r="K872" s="96">
        <v>1.5226806473672213E-2</v>
      </c>
      <c r="L872" s="96">
        <v>5.0056986551173924E-2</v>
      </c>
      <c r="M872" s="96">
        <v>2.279462046956918E-2</v>
      </c>
      <c r="N872" s="96">
        <v>2.5302028721221791E-2</v>
      </c>
      <c r="O872" s="96">
        <v>1.6412126738089811E-2</v>
      </c>
      <c r="P872" s="166">
        <v>116500</v>
      </c>
      <c r="Q872" s="128">
        <v>0.21244586277638478</v>
      </c>
    </row>
    <row r="873" spans="1:17">
      <c r="A873" s="13" t="s">
        <v>153</v>
      </c>
      <c r="B873" s="166">
        <v>6500</v>
      </c>
      <c r="C873" s="179">
        <v>15075</v>
      </c>
      <c r="D873" s="179">
        <v>7950</v>
      </c>
      <c r="E873" s="179">
        <v>17150</v>
      </c>
      <c r="F873" s="179">
        <v>6075</v>
      </c>
      <c r="G873" s="179">
        <v>12025</v>
      </c>
      <c r="H873" s="179">
        <v>150</v>
      </c>
      <c r="I873" s="133">
        <v>1.1853202644175975E-2</v>
      </c>
      <c r="J873" s="96">
        <v>2.7490312286300434E-2</v>
      </c>
      <c r="K873" s="96">
        <v>1.4497378618645999E-2</v>
      </c>
      <c r="L873" s="96">
        <v>3.1274219284248915E-2</v>
      </c>
      <c r="M873" s="96">
        <v>1.1078185548210622E-2</v>
      </c>
      <c r="N873" s="96">
        <v>2.1928424891725553E-2</v>
      </c>
      <c r="O873" s="96">
        <v>2.7353544563483019E-4</v>
      </c>
      <c r="P873" s="166">
        <v>64925</v>
      </c>
      <c r="Q873" s="128">
        <v>0.11839525871894233</v>
      </c>
    </row>
    <row r="874" spans="1:17">
      <c r="A874" s="13" t="s">
        <v>71</v>
      </c>
      <c r="B874" s="166">
        <v>5700</v>
      </c>
      <c r="C874" s="179">
        <v>18375</v>
      </c>
      <c r="D874" s="179">
        <v>4550</v>
      </c>
      <c r="E874" s="179">
        <v>16100</v>
      </c>
      <c r="F874" s="179">
        <v>10000</v>
      </c>
      <c r="G874" s="179">
        <v>11925</v>
      </c>
      <c r="H874" s="179">
        <v>150</v>
      </c>
      <c r="I874" s="133">
        <v>1.0394346934123546E-2</v>
      </c>
      <c r="J874" s="96">
        <v>3.35080920902667E-2</v>
      </c>
      <c r="K874" s="96">
        <v>8.2972418509231829E-3</v>
      </c>
      <c r="L874" s="96">
        <v>2.9359471164805105E-2</v>
      </c>
      <c r="M874" s="96">
        <v>1.8235696375655346E-2</v>
      </c>
      <c r="N874" s="96">
        <v>2.1746067927968998E-2</v>
      </c>
      <c r="O874" s="96">
        <v>2.7353544563483019E-4</v>
      </c>
      <c r="P874" s="166">
        <v>66800</v>
      </c>
      <c r="Q874" s="128">
        <v>0.12181445178937771</v>
      </c>
    </row>
    <row r="875" spans="1:17">
      <c r="A875" s="42" t="s">
        <v>3122</v>
      </c>
      <c r="B875" s="170">
        <v>61275</v>
      </c>
      <c r="C875" s="181">
        <v>144475</v>
      </c>
      <c r="D875" s="181">
        <v>44675</v>
      </c>
      <c r="E875" s="181">
        <v>134525</v>
      </c>
      <c r="F875" s="181">
        <v>77400</v>
      </c>
      <c r="G875" s="181">
        <v>75850</v>
      </c>
      <c r="H875" s="181">
        <v>10175</v>
      </c>
      <c r="I875" s="131">
        <v>0.11173922954182813</v>
      </c>
      <c r="J875" s="129">
        <v>0.26346022338728059</v>
      </c>
      <c r="K875" s="129">
        <v>8.1467973558240259E-2</v>
      </c>
      <c r="L875" s="129">
        <v>0.24531570549350354</v>
      </c>
      <c r="M875" s="129">
        <v>0.14114428994757236</v>
      </c>
      <c r="N875" s="129">
        <v>0.13831775700934579</v>
      </c>
      <c r="O875" s="129">
        <v>1.8554821062229315E-2</v>
      </c>
      <c r="P875" s="170">
        <v>548375</v>
      </c>
      <c r="Q875" s="130">
        <v>1</v>
      </c>
    </row>
    <row r="880" spans="1:17">
      <c r="A880" t="s">
        <v>7</v>
      </c>
      <c r="B880" s="23" t="s">
        <v>3310</v>
      </c>
      <c r="C880" s="23" t="s">
        <v>166</v>
      </c>
      <c r="D880" s="23" t="s">
        <v>3311</v>
      </c>
    </row>
    <row r="881" spans="1:6">
      <c r="A881" t="s">
        <v>50</v>
      </c>
      <c r="B881" s="23">
        <f>$B868+$C868</f>
        <v>39350</v>
      </c>
      <c r="C881" s="23">
        <f>$D868+$E868+$F868+$G868</f>
        <v>58575</v>
      </c>
      <c r="D881" s="23">
        <f>$H868</f>
        <v>75</v>
      </c>
    </row>
    <row r="882" spans="1:6">
      <c r="A882" t="s">
        <v>62</v>
      </c>
      <c r="B882" s="23">
        <f t="shared" ref="B882:B887" si="26">$B869+$C869</f>
        <v>26125</v>
      </c>
      <c r="C882" s="23">
        <f t="shared" ref="C882:C887" si="27">$D869+$E869+$F869+$G869</f>
        <v>46850</v>
      </c>
      <c r="D882" s="23">
        <f t="shared" ref="D882:D887" si="28">$H869</f>
        <v>300</v>
      </c>
    </row>
    <row r="883" spans="1:6">
      <c r="A883" t="s">
        <v>35</v>
      </c>
      <c r="B883" s="23">
        <f t="shared" si="26"/>
        <v>31925</v>
      </c>
      <c r="C883" s="23">
        <f t="shared" si="27"/>
        <v>36700</v>
      </c>
      <c r="D883" s="23">
        <f t="shared" si="28"/>
        <v>200</v>
      </c>
    </row>
    <row r="884" spans="1:6">
      <c r="A884" t="s">
        <v>163</v>
      </c>
      <c r="B884" s="23">
        <f t="shared" si="26"/>
        <v>17375</v>
      </c>
      <c r="C884" s="23">
        <f t="shared" si="27"/>
        <v>42375</v>
      </c>
      <c r="D884" s="23">
        <f t="shared" si="28"/>
        <v>300</v>
      </c>
    </row>
    <row r="885" spans="1:6">
      <c r="A885" t="s">
        <v>112</v>
      </c>
      <c r="B885" s="23">
        <f t="shared" si="26"/>
        <v>45325</v>
      </c>
      <c r="C885" s="23">
        <f t="shared" si="27"/>
        <v>62175</v>
      </c>
      <c r="D885" s="23">
        <f t="shared" si="28"/>
        <v>9000</v>
      </c>
    </row>
    <row r="886" spans="1:6">
      <c r="A886" t="s">
        <v>153</v>
      </c>
      <c r="B886" s="23">
        <f t="shared" si="26"/>
        <v>21575</v>
      </c>
      <c r="C886" s="23">
        <f t="shared" si="27"/>
        <v>43200</v>
      </c>
      <c r="D886" s="23">
        <f t="shared" si="28"/>
        <v>150</v>
      </c>
    </row>
    <row r="887" spans="1:6">
      <c r="A887" t="s">
        <v>71</v>
      </c>
      <c r="B887" s="23">
        <f t="shared" si="26"/>
        <v>24075</v>
      </c>
      <c r="C887" s="23">
        <f t="shared" si="27"/>
        <v>42575</v>
      </c>
      <c r="D887" s="23">
        <f t="shared" si="28"/>
        <v>150</v>
      </c>
    </row>
    <row r="896" spans="1:6">
      <c r="A896" s="103"/>
      <c r="B896" s="23" t="s">
        <v>3191</v>
      </c>
      <c r="C896" s="23" t="s">
        <v>3192</v>
      </c>
      <c r="F896" s="136" t="s">
        <v>3232</v>
      </c>
    </row>
    <row r="898" spans="1:13">
      <c r="A898" s="11" t="s">
        <v>3149</v>
      </c>
      <c r="B898" s="11" t="s">
        <v>20</v>
      </c>
      <c r="C898" s="9"/>
      <c r="D898" s="9"/>
      <c r="E898" s="9"/>
      <c r="F898" s="9"/>
      <c r="G898" s="9"/>
      <c r="H898" s="20"/>
      <c r="I898"/>
    </row>
    <row r="899" spans="1:13" s="40" customFormat="1">
      <c r="A899" s="36" t="s">
        <v>4</v>
      </c>
      <c r="B899" s="37" t="s">
        <v>40</v>
      </c>
      <c r="C899" s="38" t="s">
        <v>404</v>
      </c>
      <c r="D899" s="38" t="s">
        <v>74</v>
      </c>
      <c r="E899" s="38" t="s">
        <v>366</v>
      </c>
      <c r="F899" s="38" t="s">
        <v>420</v>
      </c>
      <c r="G899" s="38" t="s">
        <v>3088</v>
      </c>
      <c r="H899" s="39" t="s">
        <v>3122</v>
      </c>
      <c r="J899" s="41"/>
      <c r="K899" s="41"/>
      <c r="L899" s="41"/>
      <c r="M899" s="41"/>
    </row>
    <row r="900" spans="1:13">
      <c r="A900" s="8" t="s">
        <v>3835</v>
      </c>
      <c r="B900" s="164">
        <v>31</v>
      </c>
      <c r="C900" s="174">
        <v>1</v>
      </c>
      <c r="D900" s="174">
        <v>13</v>
      </c>
      <c r="E900" s="174">
        <v>1</v>
      </c>
      <c r="F900" s="174">
        <v>8</v>
      </c>
      <c r="G900" s="174">
        <v>1</v>
      </c>
      <c r="H900" s="175">
        <v>55</v>
      </c>
      <c r="I900"/>
    </row>
    <row r="901" spans="1:13">
      <c r="A901" s="13" t="s">
        <v>3836</v>
      </c>
      <c r="B901" s="166">
        <v>45</v>
      </c>
      <c r="C901" s="179">
        <v>1</v>
      </c>
      <c r="D901" s="179">
        <v>10</v>
      </c>
      <c r="E901" s="179">
        <v>2</v>
      </c>
      <c r="F901" s="179">
        <v>7</v>
      </c>
      <c r="G901" s="179">
        <v>2</v>
      </c>
      <c r="H901" s="180">
        <v>67</v>
      </c>
      <c r="I901"/>
    </row>
    <row r="902" spans="1:13">
      <c r="A902" s="13" t="s">
        <v>3837</v>
      </c>
      <c r="B902" s="166">
        <v>52</v>
      </c>
      <c r="C902" s="179"/>
      <c r="D902" s="179">
        <v>4</v>
      </c>
      <c r="E902" s="179">
        <v>3</v>
      </c>
      <c r="F902" s="179">
        <v>4</v>
      </c>
      <c r="G902" s="179">
        <v>1</v>
      </c>
      <c r="H902" s="180">
        <v>64</v>
      </c>
      <c r="I902"/>
    </row>
    <row r="903" spans="1:13">
      <c r="A903" s="13" t="s">
        <v>3838</v>
      </c>
      <c r="B903" s="166">
        <v>52</v>
      </c>
      <c r="C903" s="179">
        <v>1</v>
      </c>
      <c r="D903" s="179">
        <v>9</v>
      </c>
      <c r="E903" s="179">
        <v>8</v>
      </c>
      <c r="F903" s="179">
        <v>6</v>
      </c>
      <c r="G903" s="179">
        <v>1</v>
      </c>
      <c r="H903" s="180">
        <v>77</v>
      </c>
      <c r="I903"/>
    </row>
    <row r="904" spans="1:13">
      <c r="A904" s="13" t="s">
        <v>3839</v>
      </c>
      <c r="B904" s="166">
        <v>64</v>
      </c>
      <c r="C904" s="179">
        <v>2</v>
      </c>
      <c r="D904" s="179">
        <v>2</v>
      </c>
      <c r="E904" s="179">
        <v>3</v>
      </c>
      <c r="F904" s="179"/>
      <c r="G904" s="179">
        <v>1</v>
      </c>
      <c r="H904" s="180">
        <v>72</v>
      </c>
      <c r="I904"/>
    </row>
    <row r="905" spans="1:13">
      <c r="A905" s="13" t="s">
        <v>3840</v>
      </c>
      <c r="B905" s="166">
        <v>32</v>
      </c>
      <c r="C905" s="179">
        <v>1</v>
      </c>
      <c r="D905" s="179">
        <v>18</v>
      </c>
      <c r="E905" s="179">
        <v>3</v>
      </c>
      <c r="F905" s="179">
        <v>6</v>
      </c>
      <c r="G905" s="179">
        <v>1</v>
      </c>
      <c r="H905" s="180">
        <v>61</v>
      </c>
      <c r="I905"/>
    </row>
    <row r="906" spans="1:13">
      <c r="A906" s="13" t="s">
        <v>3841</v>
      </c>
      <c r="B906" s="166">
        <v>58</v>
      </c>
      <c r="C906" s="179">
        <v>2</v>
      </c>
      <c r="D906" s="179">
        <v>4</v>
      </c>
      <c r="E906" s="179">
        <v>3</v>
      </c>
      <c r="F906" s="179">
        <v>7</v>
      </c>
      <c r="G906" s="179">
        <v>2</v>
      </c>
      <c r="H906" s="180">
        <v>76</v>
      </c>
      <c r="I906"/>
    </row>
    <row r="907" spans="1:13">
      <c r="A907" s="13" t="s">
        <v>3842</v>
      </c>
      <c r="B907" s="166">
        <v>58</v>
      </c>
      <c r="C907" s="179">
        <v>3</v>
      </c>
      <c r="D907" s="179">
        <v>1</v>
      </c>
      <c r="E907" s="179">
        <v>3</v>
      </c>
      <c r="F907" s="179"/>
      <c r="G907" s="179"/>
      <c r="H907" s="180">
        <v>65</v>
      </c>
      <c r="I907"/>
    </row>
    <row r="908" spans="1:13">
      <c r="A908" s="13" t="s">
        <v>3843</v>
      </c>
      <c r="B908" s="166">
        <v>49</v>
      </c>
      <c r="C908" s="179"/>
      <c r="D908" s="179">
        <v>1</v>
      </c>
      <c r="E908" s="179"/>
      <c r="F908" s="179">
        <v>2</v>
      </c>
      <c r="G908" s="179">
        <v>1</v>
      </c>
      <c r="H908" s="180">
        <v>53</v>
      </c>
      <c r="I908"/>
    </row>
    <row r="909" spans="1:13">
      <c r="A909" s="13" t="s">
        <v>3844</v>
      </c>
      <c r="B909" s="166">
        <v>73</v>
      </c>
      <c r="C909" s="179">
        <v>1</v>
      </c>
      <c r="D909" s="179">
        <v>1</v>
      </c>
      <c r="E909" s="179"/>
      <c r="F909" s="179">
        <v>1</v>
      </c>
      <c r="G909" s="179">
        <v>2</v>
      </c>
      <c r="H909" s="180">
        <v>78</v>
      </c>
      <c r="I909"/>
    </row>
    <row r="910" spans="1:13">
      <c r="A910" s="13" t="s">
        <v>3847</v>
      </c>
      <c r="B910" s="166">
        <v>54</v>
      </c>
      <c r="C910" s="179"/>
      <c r="D910" s="179">
        <v>2</v>
      </c>
      <c r="E910" s="179">
        <v>1</v>
      </c>
      <c r="F910" s="179"/>
      <c r="G910" s="179">
        <v>2</v>
      </c>
      <c r="H910" s="180">
        <v>59</v>
      </c>
      <c r="I910"/>
    </row>
    <row r="911" spans="1:13">
      <c r="A911" s="13" t="s">
        <v>3845</v>
      </c>
      <c r="B911" s="166">
        <v>50</v>
      </c>
      <c r="C911" s="179">
        <v>2</v>
      </c>
      <c r="D911" s="179">
        <v>11</v>
      </c>
      <c r="E911" s="179">
        <v>3</v>
      </c>
      <c r="F911" s="179">
        <v>2</v>
      </c>
      <c r="G911" s="179">
        <v>1</v>
      </c>
      <c r="H911" s="180">
        <v>69</v>
      </c>
      <c r="I911"/>
    </row>
    <row r="912" spans="1:13">
      <c r="A912" s="13" t="s">
        <v>3846</v>
      </c>
      <c r="B912" s="166">
        <v>55</v>
      </c>
      <c r="C912" s="179"/>
      <c r="D912" s="179">
        <v>3</v>
      </c>
      <c r="E912" s="179">
        <v>6</v>
      </c>
      <c r="F912" s="179">
        <v>2</v>
      </c>
      <c r="G912" s="179">
        <v>1</v>
      </c>
      <c r="H912" s="180">
        <v>67</v>
      </c>
      <c r="I912"/>
    </row>
    <row r="913" spans="1:16">
      <c r="A913" s="13" t="s">
        <v>3848</v>
      </c>
      <c r="B913" s="166">
        <v>49</v>
      </c>
      <c r="C913" s="179">
        <v>3</v>
      </c>
      <c r="D913" s="179">
        <v>12</v>
      </c>
      <c r="E913" s="179">
        <v>3</v>
      </c>
      <c r="F913" s="179">
        <v>3</v>
      </c>
      <c r="G913" s="179">
        <v>4</v>
      </c>
      <c r="H913" s="180">
        <v>74</v>
      </c>
      <c r="I913"/>
    </row>
    <row r="914" spans="1:16">
      <c r="A914" s="13" t="s">
        <v>3849</v>
      </c>
      <c r="B914" s="166">
        <v>31</v>
      </c>
      <c r="C914" s="179">
        <v>2</v>
      </c>
      <c r="D914" s="179">
        <v>15</v>
      </c>
      <c r="E914" s="179">
        <v>11</v>
      </c>
      <c r="F914" s="179">
        <v>3</v>
      </c>
      <c r="G914" s="179">
        <v>1</v>
      </c>
      <c r="H914" s="180">
        <v>63</v>
      </c>
      <c r="I914"/>
    </row>
    <row r="915" spans="1:16" s="40" customFormat="1">
      <c r="A915" s="42" t="s">
        <v>3122</v>
      </c>
      <c r="B915" s="170">
        <v>753</v>
      </c>
      <c r="C915" s="181">
        <v>19</v>
      </c>
      <c r="D915" s="181">
        <v>106</v>
      </c>
      <c r="E915" s="181">
        <v>50</v>
      </c>
      <c r="F915" s="181">
        <v>51</v>
      </c>
      <c r="G915" s="181">
        <v>21</v>
      </c>
      <c r="H915" s="182">
        <v>1000</v>
      </c>
      <c r="J915" s="41"/>
      <c r="K915" s="41"/>
      <c r="L915" s="41"/>
      <c r="M915" s="41"/>
    </row>
    <row r="917" spans="1:16">
      <c r="A917" s="103"/>
      <c r="B917" s="23" t="s">
        <v>3208</v>
      </c>
      <c r="F917" s="136" t="s">
        <v>3233</v>
      </c>
    </row>
    <row r="918" spans="1:16" ht="14.5" thickBot="1">
      <c r="A918" s="11" t="s">
        <v>3153</v>
      </c>
      <c r="B918" s="11" t="s">
        <v>20</v>
      </c>
      <c r="C918" s="9"/>
      <c r="D918" s="9"/>
      <c r="E918" s="9"/>
      <c r="F918" s="9"/>
      <c r="G918" s="9"/>
      <c r="H918" s="20"/>
    </row>
    <row r="919" spans="1:16" ht="14.5" thickBot="1">
      <c r="A919" s="36" t="s">
        <v>4</v>
      </c>
      <c r="B919" s="37" t="s">
        <v>40</v>
      </c>
      <c r="C919" s="38" t="s">
        <v>74</v>
      </c>
      <c r="D919" s="38" t="s">
        <v>366</v>
      </c>
      <c r="E919" s="38" t="s">
        <v>404</v>
      </c>
      <c r="F919" s="38" t="s">
        <v>420</v>
      </c>
      <c r="G919" s="38" t="s">
        <v>3088</v>
      </c>
      <c r="H919" s="39" t="s">
        <v>3122</v>
      </c>
      <c r="J919" s="23" t="s">
        <v>4</v>
      </c>
      <c r="K919" s="23" t="s">
        <v>40</v>
      </c>
      <c r="L919" s="23" t="s">
        <v>3122</v>
      </c>
      <c r="M919" s="23" t="s">
        <v>3206</v>
      </c>
      <c r="O919" s="154" t="s">
        <v>4</v>
      </c>
      <c r="P919" s="120" t="s">
        <v>3207</v>
      </c>
    </row>
    <row r="920" spans="1:16">
      <c r="A920" s="8" t="s">
        <v>3835</v>
      </c>
      <c r="B920" s="145">
        <v>13900</v>
      </c>
      <c r="C920" s="146">
        <v>8300</v>
      </c>
      <c r="D920" s="146">
        <v>750</v>
      </c>
      <c r="E920" s="146">
        <v>75</v>
      </c>
      <c r="F920" s="146">
        <v>3550</v>
      </c>
      <c r="G920" s="146">
        <v>300</v>
      </c>
      <c r="H920" s="147">
        <v>26875</v>
      </c>
      <c r="J920" s="23" t="s">
        <v>244</v>
      </c>
      <c r="K920" s="23">
        <v>36875</v>
      </c>
      <c r="L920" s="23">
        <v>37300</v>
      </c>
      <c r="M920" s="105">
        <f t="shared" ref="M920:M928" si="29">K920/L920</f>
        <v>0.98860589812332444</v>
      </c>
      <c r="O920" s="118" t="s">
        <v>244</v>
      </c>
      <c r="P920" s="106">
        <v>0.98860589812332444</v>
      </c>
    </row>
    <row r="921" spans="1:16">
      <c r="A921" s="13" t="s">
        <v>3836</v>
      </c>
      <c r="B921" s="148">
        <v>26150</v>
      </c>
      <c r="C921" s="149">
        <v>6200</v>
      </c>
      <c r="D921" s="149">
        <v>350</v>
      </c>
      <c r="E921" s="149">
        <v>1500</v>
      </c>
      <c r="F921" s="149">
        <v>2100</v>
      </c>
      <c r="G921" s="149">
        <v>2750</v>
      </c>
      <c r="H921" s="150">
        <v>39050</v>
      </c>
      <c r="J921" s="23" t="s">
        <v>143</v>
      </c>
      <c r="K921" s="23">
        <v>22200</v>
      </c>
      <c r="L921" s="23">
        <v>23100</v>
      </c>
      <c r="M921" s="105">
        <f t="shared" si="29"/>
        <v>0.96103896103896103</v>
      </c>
      <c r="O921" s="118" t="s">
        <v>143</v>
      </c>
      <c r="P921" s="106">
        <v>0.96103896103896103</v>
      </c>
    </row>
    <row r="922" spans="1:16">
      <c r="A922" s="13" t="s">
        <v>3837</v>
      </c>
      <c r="B922" s="148">
        <v>26025</v>
      </c>
      <c r="C922" s="149">
        <v>2150</v>
      </c>
      <c r="D922" s="149">
        <v>1800</v>
      </c>
      <c r="E922" s="149"/>
      <c r="F922" s="149">
        <v>3050</v>
      </c>
      <c r="G922" s="149">
        <v>75</v>
      </c>
      <c r="H922" s="150">
        <v>33100</v>
      </c>
      <c r="J922" s="23" t="s">
        <v>81</v>
      </c>
      <c r="K922" s="23">
        <v>31275</v>
      </c>
      <c r="L922" s="23">
        <v>32550</v>
      </c>
      <c r="M922" s="105">
        <f t="shared" si="29"/>
        <v>0.96082949308755761</v>
      </c>
      <c r="O922" s="118" t="s">
        <v>81</v>
      </c>
      <c r="P922" s="106">
        <v>0.96082949308755761</v>
      </c>
    </row>
    <row r="923" spans="1:16">
      <c r="A923" s="13" t="s">
        <v>3838</v>
      </c>
      <c r="B923" s="148">
        <v>27150</v>
      </c>
      <c r="C923" s="149">
        <v>5200</v>
      </c>
      <c r="D923" s="149">
        <v>3800</v>
      </c>
      <c r="E923" s="149">
        <v>1500</v>
      </c>
      <c r="F923" s="149">
        <v>3400</v>
      </c>
      <c r="G923" s="149">
        <v>150</v>
      </c>
      <c r="H923" s="150">
        <v>41200</v>
      </c>
      <c r="J923" s="23" t="s">
        <v>3082</v>
      </c>
      <c r="K923" s="23">
        <v>40125</v>
      </c>
      <c r="L923" s="23">
        <v>42600</v>
      </c>
      <c r="M923" s="105">
        <f t="shared" si="29"/>
        <v>0.94190140845070425</v>
      </c>
      <c r="O923" s="118" t="s">
        <v>3082</v>
      </c>
      <c r="P923" s="106">
        <v>0.94190140845070425</v>
      </c>
    </row>
    <row r="924" spans="1:16">
      <c r="A924" s="13" t="s">
        <v>3839</v>
      </c>
      <c r="B924" s="148">
        <v>31375</v>
      </c>
      <c r="C924" s="149">
        <v>75</v>
      </c>
      <c r="D924" s="149">
        <v>525</v>
      </c>
      <c r="E924" s="149">
        <v>375</v>
      </c>
      <c r="F924" s="149"/>
      <c r="G924" s="149">
        <v>300</v>
      </c>
      <c r="H924" s="150">
        <v>32650</v>
      </c>
      <c r="J924" s="23" t="s">
        <v>119</v>
      </c>
      <c r="K924" s="23">
        <v>37950</v>
      </c>
      <c r="L924" s="23">
        <v>41300</v>
      </c>
      <c r="M924" s="105">
        <f t="shared" si="29"/>
        <v>0.91888619854721554</v>
      </c>
      <c r="O924" s="118" t="s">
        <v>119</v>
      </c>
      <c r="P924" s="106">
        <v>0.91888619854721554</v>
      </c>
    </row>
    <row r="925" spans="1:16">
      <c r="A925" s="13" t="s">
        <v>3840</v>
      </c>
      <c r="B925" s="148">
        <v>19275</v>
      </c>
      <c r="C925" s="149">
        <v>9925</v>
      </c>
      <c r="D925" s="149">
        <v>1175</v>
      </c>
      <c r="E925" s="149">
        <v>1000</v>
      </c>
      <c r="F925" s="149">
        <v>2900</v>
      </c>
      <c r="G925" s="149">
        <v>0</v>
      </c>
      <c r="H925" s="150">
        <v>34275</v>
      </c>
      <c r="J925" s="23" t="s">
        <v>216</v>
      </c>
      <c r="K925" s="23">
        <v>35725</v>
      </c>
      <c r="L925" s="23">
        <v>39975</v>
      </c>
      <c r="M925" s="105">
        <f t="shared" si="29"/>
        <v>0.89368355222013762</v>
      </c>
      <c r="O925" s="118" t="s">
        <v>216</v>
      </c>
      <c r="P925" s="106">
        <v>0.89368355222013762</v>
      </c>
    </row>
    <row r="926" spans="1:16">
      <c r="A926" s="13" t="s">
        <v>3841</v>
      </c>
      <c r="B926" s="148">
        <v>31775</v>
      </c>
      <c r="C926" s="149">
        <v>900</v>
      </c>
      <c r="D926" s="149">
        <v>800</v>
      </c>
      <c r="E926" s="149">
        <v>1000</v>
      </c>
      <c r="F926" s="149">
        <v>3550</v>
      </c>
      <c r="G926" s="149">
        <v>500</v>
      </c>
      <c r="H926" s="150">
        <v>38525</v>
      </c>
      <c r="J926" s="23" t="s">
        <v>101</v>
      </c>
      <c r="K926" s="23">
        <v>31275</v>
      </c>
      <c r="L926" s="23">
        <v>36025</v>
      </c>
      <c r="M926" s="105">
        <f t="shared" si="29"/>
        <v>0.86814712005551697</v>
      </c>
      <c r="O926" s="118" t="s">
        <v>101</v>
      </c>
      <c r="P926" s="106">
        <v>0.86814712005551697</v>
      </c>
    </row>
    <row r="927" spans="1:16">
      <c r="A927" s="13" t="s">
        <v>3842</v>
      </c>
      <c r="B927" s="148">
        <v>40450</v>
      </c>
      <c r="C927" s="149">
        <v>150</v>
      </c>
      <c r="D927" s="149">
        <v>1500</v>
      </c>
      <c r="E927" s="149">
        <v>1700</v>
      </c>
      <c r="F927" s="149"/>
      <c r="G927" s="149"/>
      <c r="H927" s="150">
        <v>43800</v>
      </c>
      <c r="J927" s="23" t="s">
        <v>466</v>
      </c>
      <c r="K927" s="23">
        <v>24325</v>
      </c>
      <c r="L927" s="23">
        <v>31400</v>
      </c>
      <c r="M927" s="105">
        <f t="shared" si="29"/>
        <v>0.77468152866242035</v>
      </c>
      <c r="O927" s="118" t="s">
        <v>466</v>
      </c>
      <c r="P927" s="106">
        <v>0.77468152866242035</v>
      </c>
    </row>
    <row r="928" spans="1:16">
      <c r="A928" s="13" t="s">
        <v>3843</v>
      </c>
      <c r="B928" s="148">
        <v>22400</v>
      </c>
      <c r="C928" s="149">
        <v>250</v>
      </c>
      <c r="D928" s="149"/>
      <c r="E928" s="149"/>
      <c r="F928" s="149">
        <v>350</v>
      </c>
      <c r="G928" s="149">
        <v>300</v>
      </c>
      <c r="H928" s="150">
        <v>23300</v>
      </c>
      <c r="J928" s="23" t="s">
        <v>3122</v>
      </c>
      <c r="K928" s="23">
        <v>397325</v>
      </c>
      <c r="L928" s="23">
        <v>514525</v>
      </c>
      <c r="M928" s="105">
        <f t="shared" si="29"/>
        <v>0.77221709343569311</v>
      </c>
      <c r="O928" s="118" t="s">
        <v>232</v>
      </c>
      <c r="P928" s="106">
        <v>0.66965428937259919</v>
      </c>
    </row>
    <row r="929" spans="1:16">
      <c r="A929" s="13" t="s">
        <v>3844</v>
      </c>
      <c r="B929" s="148">
        <v>46375</v>
      </c>
      <c r="C929" s="149">
        <v>75</v>
      </c>
      <c r="D929" s="149"/>
      <c r="E929" s="149">
        <v>100</v>
      </c>
      <c r="F929" s="149">
        <v>50</v>
      </c>
      <c r="G929" s="149">
        <v>200</v>
      </c>
      <c r="H929" s="150">
        <v>46800</v>
      </c>
      <c r="J929" s="23" t="s">
        <v>232</v>
      </c>
      <c r="K929" s="23">
        <v>26150</v>
      </c>
      <c r="L929" s="23">
        <v>39050</v>
      </c>
      <c r="M929" s="105">
        <f t="shared" ref="M929:M935" si="30">K929/L929</f>
        <v>0.66965428937259919</v>
      </c>
      <c r="O929" s="118" t="s">
        <v>210</v>
      </c>
      <c r="P929" s="106">
        <v>0.66394052044609664</v>
      </c>
    </row>
    <row r="930" spans="1:16">
      <c r="A930" s="13" t="s">
        <v>3847</v>
      </c>
      <c r="B930" s="148">
        <v>43125</v>
      </c>
      <c r="C930" s="149">
        <v>600</v>
      </c>
      <c r="D930" s="149">
        <v>300</v>
      </c>
      <c r="E930" s="149"/>
      <c r="F930" s="149"/>
      <c r="G930" s="149">
        <v>1575</v>
      </c>
      <c r="H930" s="150">
        <v>45600</v>
      </c>
      <c r="J930" s="23" t="s">
        <v>210</v>
      </c>
      <c r="K930" s="23">
        <v>22325</v>
      </c>
      <c r="L930" s="23">
        <v>33625</v>
      </c>
      <c r="M930" s="105">
        <f t="shared" si="30"/>
        <v>0.66394052044609664</v>
      </c>
      <c r="O930" s="118" t="s">
        <v>236</v>
      </c>
      <c r="P930" s="106">
        <v>0.6630851880276285</v>
      </c>
    </row>
    <row r="931" spans="1:16">
      <c r="A931" s="13" t="s">
        <v>3845</v>
      </c>
      <c r="B931" s="148">
        <v>22325</v>
      </c>
      <c r="C931" s="149">
        <v>7100</v>
      </c>
      <c r="D931" s="149">
        <v>1800</v>
      </c>
      <c r="E931" s="149">
        <v>1650</v>
      </c>
      <c r="F931" s="149">
        <v>500</v>
      </c>
      <c r="G931" s="149">
        <v>250</v>
      </c>
      <c r="H931" s="150">
        <v>33625</v>
      </c>
      <c r="J931" s="23" t="s">
        <v>236</v>
      </c>
      <c r="K931" s="23">
        <v>21600</v>
      </c>
      <c r="L931" s="23">
        <v>32575</v>
      </c>
      <c r="M931" s="105">
        <f t="shared" si="30"/>
        <v>0.6630851880276285</v>
      </c>
      <c r="O931" s="118" t="s">
        <v>111</v>
      </c>
      <c r="P931" s="106">
        <v>0.646095717884131</v>
      </c>
    </row>
    <row r="932" spans="1:16">
      <c r="A932" s="13" t="s">
        <v>3846</v>
      </c>
      <c r="B932" s="148">
        <v>37725</v>
      </c>
      <c r="C932" s="149">
        <v>150</v>
      </c>
      <c r="D932" s="149">
        <v>3750</v>
      </c>
      <c r="E932" s="149"/>
      <c r="F932" s="149">
        <v>150</v>
      </c>
      <c r="G932" s="149">
        <v>200</v>
      </c>
      <c r="H932" s="150">
        <v>41975</v>
      </c>
      <c r="J932" s="23" t="s">
        <v>111</v>
      </c>
      <c r="K932" s="23">
        <v>25650</v>
      </c>
      <c r="L932" s="23">
        <v>39700</v>
      </c>
      <c r="M932" s="105">
        <f t="shared" si="30"/>
        <v>0.646095717884131</v>
      </c>
      <c r="O932" s="118" t="s">
        <v>91</v>
      </c>
      <c r="P932" s="106">
        <v>0.56043956043956045</v>
      </c>
    </row>
    <row r="933" spans="1:16">
      <c r="A933" s="13" t="s">
        <v>3848</v>
      </c>
      <c r="B933" s="148">
        <v>24900</v>
      </c>
      <c r="C933" s="149">
        <v>6050</v>
      </c>
      <c r="D933" s="149">
        <v>2250</v>
      </c>
      <c r="E933" s="149">
        <v>225</v>
      </c>
      <c r="F933" s="149">
        <v>550</v>
      </c>
      <c r="G933" s="149">
        <v>1900</v>
      </c>
      <c r="H933" s="150">
        <v>35875</v>
      </c>
      <c r="J933" s="23" t="s">
        <v>91</v>
      </c>
      <c r="K933" s="23">
        <v>19125</v>
      </c>
      <c r="L933" s="23">
        <v>34125</v>
      </c>
      <c r="M933" s="105">
        <f t="shared" si="30"/>
        <v>0.56043956043956045</v>
      </c>
      <c r="O933" s="118" t="s">
        <v>257</v>
      </c>
      <c r="P933" s="106">
        <v>0.50518754988028736</v>
      </c>
    </row>
    <row r="934" spans="1:16" ht="14.5" thickBot="1">
      <c r="A934" s="13" t="s">
        <v>3849</v>
      </c>
      <c r="B934" s="148">
        <v>15825</v>
      </c>
      <c r="C934" s="149">
        <v>2875</v>
      </c>
      <c r="D934" s="149">
        <v>8200</v>
      </c>
      <c r="E934" s="149">
        <v>2075</v>
      </c>
      <c r="F934" s="149">
        <v>2700</v>
      </c>
      <c r="G934" s="149">
        <v>50</v>
      </c>
      <c r="H934" s="150">
        <v>31725</v>
      </c>
      <c r="J934" s="23" t="s">
        <v>257</v>
      </c>
      <c r="K934" s="23">
        <v>15825</v>
      </c>
      <c r="L934" s="23">
        <v>31325</v>
      </c>
      <c r="M934" s="105">
        <f t="shared" si="30"/>
        <v>0.50518754988028736</v>
      </c>
      <c r="O934" s="119" t="s">
        <v>33</v>
      </c>
      <c r="P934" s="107">
        <v>0.3471698113207547</v>
      </c>
    </row>
    <row r="935" spans="1:16" ht="14.5" thickBot="1">
      <c r="A935" s="42" t="s">
        <v>3122</v>
      </c>
      <c r="B935" s="151">
        <v>428775</v>
      </c>
      <c r="C935" s="152">
        <v>50000</v>
      </c>
      <c r="D935" s="152">
        <v>27000</v>
      </c>
      <c r="E935" s="152">
        <v>11200</v>
      </c>
      <c r="F935" s="152">
        <v>22850</v>
      </c>
      <c r="G935" s="152">
        <v>8550</v>
      </c>
      <c r="H935" s="153">
        <v>548375</v>
      </c>
      <c r="J935" s="23" t="s">
        <v>33</v>
      </c>
      <c r="K935" s="23">
        <v>6900</v>
      </c>
      <c r="L935" s="23">
        <v>19875</v>
      </c>
      <c r="M935" s="105">
        <f t="shared" si="30"/>
        <v>0.3471698113207547</v>
      </c>
      <c r="O935" s="119"/>
      <c r="P935" s="107"/>
    </row>
    <row r="944" spans="1:16">
      <c r="A944" s="102"/>
    </row>
    <row r="946" spans="1:8">
      <c r="A946" s="11" t="s">
        <v>3138</v>
      </c>
      <c r="B946" s="11" t="s">
        <v>21</v>
      </c>
      <c r="C946" s="9"/>
      <c r="D946" s="9"/>
      <c r="E946" s="9"/>
      <c r="F946" s="9"/>
      <c r="G946" s="20"/>
      <c r="H946"/>
    </row>
    <row r="947" spans="1:8">
      <c r="A947" s="43" t="s">
        <v>4</v>
      </c>
      <c r="B947" s="37" t="s">
        <v>105</v>
      </c>
      <c r="C947" s="38" t="s">
        <v>41</v>
      </c>
      <c r="D947" s="38" t="s">
        <v>127</v>
      </c>
      <c r="E947" s="38" t="s">
        <v>146</v>
      </c>
      <c r="F947" s="38" t="s">
        <v>3088</v>
      </c>
      <c r="G947" s="39" t="s">
        <v>3122</v>
      </c>
      <c r="H947"/>
    </row>
    <row r="948" spans="1:8">
      <c r="A948" s="8" t="s">
        <v>3835</v>
      </c>
      <c r="B948" s="164">
        <v>23</v>
      </c>
      <c r="C948" s="174">
        <v>16</v>
      </c>
      <c r="D948" s="174">
        <v>7</v>
      </c>
      <c r="E948" s="174">
        <v>2</v>
      </c>
      <c r="F948" s="174">
        <v>7</v>
      </c>
      <c r="G948" s="175">
        <v>55</v>
      </c>
      <c r="H948"/>
    </row>
    <row r="949" spans="1:8">
      <c r="A949" s="13" t="s">
        <v>3836</v>
      </c>
      <c r="B949" s="166">
        <v>29</v>
      </c>
      <c r="C949" s="179">
        <v>18</v>
      </c>
      <c r="D949" s="179">
        <v>7</v>
      </c>
      <c r="E949" s="179">
        <v>6</v>
      </c>
      <c r="F949" s="179">
        <v>7</v>
      </c>
      <c r="G949" s="180">
        <v>67</v>
      </c>
      <c r="H949"/>
    </row>
    <row r="950" spans="1:8">
      <c r="A950" s="13" t="s">
        <v>3837</v>
      </c>
      <c r="B950" s="166">
        <v>32</v>
      </c>
      <c r="C950" s="179">
        <v>13</v>
      </c>
      <c r="D950" s="179">
        <v>7</v>
      </c>
      <c r="E950" s="179">
        <v>7</v>
      </c>
      <c r="F950" s="179">
        <v>5</v>
      </c>
      <c r="G950" s="180">
        <v>64</v>
      </c>
      <c r="H950"/>
    </row>
    <row r="951" spans="1:8">
      <c r="A951" s="13" t="s">
        <v>3838</v>
      </c>
      <c r="B951" s="166">
        <v>44</v>
      </c>
      <c r="C951" s="179">
        <v>13</v>
      </c>
      <c r="D951" s="179">
        <v>5</v>
      </c>
      <c r="E951" s="179">
        <v>7</v>
      </c>
      <c r="F951" s="179">
        <v>8</v>
      </c>
      <c r="G951" s="180">
        <v>77</v>
      </c>
      <c r="H951"/>
    </row>
    <row r="952" spans="1:8">
      <c r="A952" s="13" t="s">
        <v>3839</v>
      </c>
      <c r="B952" s="166">
        <v>44</v>
      </c>
      <c r="C952" s="179">
        <v>15</v>
      </c>
      <c r="D952" s="179">
        <v>4</v>
      </c>
      <c r="E952" s="179">
        <v>2</v>
      </c>
      <c r="F952" s="179">
        <v>7</v>
      </c>
      <c r="G952" s="180">
        <v>72</v>
      </c>
      <c r="H952"/>
    </row>
    <row r="953" spans="1:8">
      <c r="A953" s="13" t="s">
        <v>3840</v>
      </c>
      <c r="B953" s="166">
        <v>24</v>
      </c>
      <c r="C953" s="179">
        <v>12</v>
      </c>
      <c r="D953" s="179">
        <v>8</v>
      </c>
      <c r="E953" s="179">
        <v>10</v>
      </c>
      <c r="F953" s="179">
        <v>7</v>
      </c>
      <c r="G953" s="180">
        <v>61</v>
      </c>
      <c r="H953"/>
    </row>
    <row r="954" spans="1:8">
      <c r="A954" s="13" t="s">
        <v>3841</v>
      </c>
      <c r="B954" s="166">
        <v>34</v>
      </c>
      <c r="C954" s="179">
        <v>19</v>
      </c>
      <c r="D954" s="179">
        <v>9</v>
      </c>
      <c r="E954" s="179">
        <v>8</v>
      </c>
      <c r="F954" s="179">
        <v>6</v>
      </c>
      <c r="G954" s="180">
        <v>76</v>
      </c>
      <c r="H954"/>
    </row>
    <row r="955" spans="1:8">
      <c r="A955" s="13" t="s">
        <v>3842</v>
      </c>
      <c r="B955" s="166">
        <v>24</v>
      </c>
      <c r="C955" s="179">
        <v>16</v>
      </c>
      <c r="D955" s="179">
        <v>10</v>
      </c>
      <c r="E955" s="179">
        <v>5</v>
      </c>
      <c r="F955" s="179">
        <v>10</v>
      </c>
      <c r="G955" s="180">
        <v>65</v>
      </c>
      <c r="H955"/>
    </row>
    <row r="956" spans="1:8">
      <c r="A956" s="13" t="s">
        <v>3843</v>
      </c>
      <c r="B956" s="166">
        <v>20</v>
      </c>
      <c r="C956" s="179">
        <v>12</v>
      </c>
      <c r="D956" s="179">
        <v>8</v>
      </c>
      <c r="E956" s="179">
        <v>6</v>
      </c>
      <c r="F956" s="179">
        <v>7</v>
      </c>
      <c r="G956" s="180">
        <v>53</v>
      </c>
      <c r="H956"/>
    </row>
    <row r="957" spans="1:8">
      <c r="A957" s="13" t="s">
        <v>3844</v>
      </c>
      <c r="B957" s="166">
        <v>32</v>
      </c>
      <c r="C957" s="179">
        <v>19</v>
      </c>
      <c r="D957" s="179">
        <v>12</v>
      </c>
      <c r="E957" s="179">
        <v>7</v>
      </c>
      <c r="F957" s="179">
        <v>8</v>
      </c>
      <c r="G957" s="180">
        <v>78</v>
      </c>
      <c r="H957"/>
    </row>
    <row r="958" spans="1:8">
      <c r="A958" s="13" t="s">
        <v>3847</v>
      </c>
      <c r="B958" s="166">
        <v>23</v>
      </c>
      <c r="C958" s="179">
        <v>13</v>
      </c>
      <c r="D958" s="179">
        <v>6</v>
      </c>
      <c r="E958" s="179">
        <v>6</v>
      </c>
      <c r="F958" s="179">
        <v>11</v>
      </c>
      <c r="G958" s="180">
        <v>59</v>
      </c>
      <c r="H958"/>
    </row>
    <row r="959" spans="1:8">
      <c r="A959" s="13" t="s">
        <v>3845</v>
      </c>
      <c r="B959" s="166">
        <v>30</v>
      </c>
      <c r="C959" s="179">
        <v>20</v>
      </c>
      <c r="D959" s="179">
        <v>6</v>
      </c>
      <c r="E959" s="179">
        <v>6</v>
      </c>
      <c r="F959" s="179">
        <v>7</v>
      </c>
      <c r="G959" s="180">
        <v>69</v>
      </c>
      <c r="H959"/>
    </row>
    <row r="960" spans="1:8">
      <c r="A960" s="13" t="s">
        <v>3846</v>
      </c>
      <c r="B960" s="166">
        <v>30</v>
      </c>
      <c r="C960" s="179">
        <v>13</v>
      </c>
      <c r="D960" s="179">
        <v>8</v>
      </c>
      <c r="E960" s="179">
        <v>11</v>
      </c>
      <c r="F960" s="179">
        <v>5</v>
      </c>
      <c r="G960" s="180">
        <v>67</v>
      </c>
      <c r="H960"/>
    </row>
    <row r="961" spans="1:8">
      <c r="A961" s="13" t="s">
        <v>3848</v>
      </c>
      <c r="B961" s="166">
        <v>33</v>
      </c>
      <c r="C961" s="179">
        <v>16</v>
      </c>
      <c r="D961" s="179">
        <v>10</v>
      </c>
      <c r="E961" s="179">
        <v>6</v>
      </c>
      <c r="F961" s="179">
        <v>9</v>
      </c>
      <c r="G961" s="180">
        <v>74</v>
      </c>
      <c r="H961"/>
    </row>
    <row r="962" spans="1:8">
      <c r="A962" s="13" t="s">
        <v>3849</v>
      </c>
      <c r="B962" s="166">
        <v>20</v>
      </c>
      <c r="C962" s="179">
        <v>15</v>
      </c>
      <c r="D962" s="179">
        <v>7</v>
      </c>
      <c r="E962" s="179">
        <v>10</v>
      </c>
      <c r="F962" s="179">
        <v>11</v>
      </c>
      <c r="G962" s="180">
        <v>63</v>
      </c>
      <c r="H962"/>
    </row>
    <row r="963" spans="1:8">
      <c r="A963" s="42" t="s">
        <v>3122</v>
      </c>
      <c r="B963" s="170">
        <v>442</v>
      </c>
      <c r="C963" s="181">
        <v>230</v>
      </c>
      <c r="D963" s="181">
        <v>114</v>
      </c>
      <c r="E963" s="181">
        <v>99</v>
      </c>
      <c r="F963" s="181">
        <v>115</v>
      </c>
      <c r="G963" s="182">
        <v>1000</v>
      </c>
      <c r="H963"/>
    </row>
    <row r="970" spans="1:8">
      <c r="A970" s="11" t="s">
        <v>3138</v>
      </c>
      <c r="B970" s="11" t="s">
        <v>22</v>
      </c>
      <c r="C970" s="9"/>
      <c r="D970" s="9"/>
      <c r="E970" s="9"/>
      <c r="F970" s="9"/>
      <c r="G970" s="9"/>
      <c r="H970" s="20"/>
    </row>
    <row r="971" spans="1:8">
      <c r="A971" s="43" t="s">
        <v>4</v>
      </c>
      <c r="B971" s="22" t="s">
        <v>212</v>
      </c>
      <c r="C971" s="25" t="s">
        <v>190</v>
      </c>
      <c r="D971" s="25" t="s">
        <v>66</v>
      </c>
      <c r="E971" s="25" t="s">
        <v>106</v>
      </c>
      <c r="F971" s="25" t="s">
        <v>42</v>
      </c>
      <c r="G971" s="25" t="s">
        <v>3088</v>
      </c>
      <c r="H971" s="39" t="s">
        <v>3122</v>
      </c>
    </row>
    <row r="972" spans="1:8">
      <c r="A972" s="8" t="s">
        <v>3835</v>
      </c>
      <c r="B972" s="164">
        <v>7</v>
      </c>
      <c r="C972" s="174">
        <v>9</v>
      </c>
      <c r="D972" s="174">
        <v>7</v>
      </c>
      <c r="E972" s="174">
        <v>15</v>
      </c>
      <c r="F972" s="174">
        <v>8</v>
      </c>
      <c r="G972" s="174">
        <v>9</v>
      </c>
      <c r="H972" s="175">
        <v>55</v>
      </c>
    </row>
    <row r="973" spans="1:8">
      <c r="A973" s="13" t="s">
        <v>3836</v>
      </c>
      <c r="B973" s="166">
        <v>10</v>
      </c>
      <c r="C973" s="179">
        <v>8</v>
      </c>
      <c r="D973" s="179">
        <v>12</v>
      </c>
      <c r="E973" s="179">
        <v>17</v>
      </c>
      <c r="F973" s="179">
        <v>8</v>
      </c>
      <c r="G973" s="179">
        <v>12</v>
      </c>
      <c r="H973" s="180">
        <v>67</v>
      </c>
    </row>
    <row r="974" spans="1:8">
      <c r="A974" s="13" t="s">
        <v>3837</v>
      </c>
      <c r="B974" s="166">
        <v>8</v>
      </c>
      <c r="C974" s="179">
        <v>11</v>
      </c>
      <c r="D974" s="179">
        <v>8</v>
      </c>
      <c r="E974" s="179">
        <v>20</v>
      </c>
      <c r="F974" s="179">
        <v>9</v>
      </c>
      <c r="G974" s="179">
        <v>8</v>
      </c>
      <c r="H974" s="180">
        <v>64</v>
      </c>
    </row>
    <row r="975" spans="1:8">
      <c r="A975" s="13" t="s">
        <v>3838</v>
      </c>
      <c r="B975" s="166">
        <v>12</v>
      </c>
      <c r="C975" s="179">
        <v>5</v>
      </c>
      <c r="D975" s="179">
        <v>8</v>
      </c>
      <c r="E975" s="179">
        <v>24</v>
      </c>
      <c r="F975" s="179">
        <v>13</v>
      </c>
      <c r="G975" s="179">
        <v>15</v>
      </c>
      <c r="H975" s="180">
        <v>77</v>
      </c>
    </row>
    <row r="976" spans="1:8">
      <c r="A976" s="13" t="s">
        <v>3839</v>
      </c>
      <c r="B976" s="166">
        <v>14</v>
      </c>
      <c r="C976" s="179">
        <v>16</v>
      </c>
      <c r="D976" s="179">
        <v>11</v>
      </c>
      <c r="E976" s="179">
        <v>15</v>
      </c>
      <c r="F976" s="179">
        <v>13</v>
      </c>
      <c r="G976" s="179">
        <v>3</v>
      </c>
      <c r="H976" s="180">
        <v>72</v>
      </c>
    </row>
    <row r="977" spans="1:8">
      <c r="A977" s="13" t="s">
        <v>3840</v>
      </c>
      <c r="B977" s="166">
        <v>11</v>
      </c>
      <c r="C977" s="179">
        <v>11</v>
      </c>
      <c r="D977" s="179">
        <v>11</v>
      </c>
      <c r="E977" s="179">
        <v>15</v>
      </c>
      <c r="F977" s="179">
        <v>8</v>
      </c>
      <c r="G977" s="179">
        <v>5</v>
      </c>
      <c r="H977" s="180">
        <v>61</v>
      </c>
    </row>
    <row r="978" spans="1:8">
      <c r="A978" s="13" t="s">
        <v>3841</v>
      </c>
      <c r="B978" s="166">
        <v>9</v>
      </c>
      <c r="C978" s="179">
        <v>9</v>
      </c>
      <c r="D978" s="179">
        <v>11</v>
      </c>
      <c r="E978" s="179">
        <v>14</v>
      </c>
      <c r="F978" s="179">
        <v>16</v>
      </c>
      <c r="G978" s="179">
        <v>17</v>
      </c>
      <c r="H978" s="180">
        <v>76</v>
      </c>
    </row>
    <row r="979" spans="1:8">
      <c r="A979" s="13" t="s">
        <v>3842</v>
      </c>
      <c r="B979" s="166">
        <v>12</v>
      </c>
      <c r="C979" s="179">
        <v>10</v>
      </c>
      <c r="D979" s="179">
        <v>7</v>
      </c>
      <c r="E979" s="179">
        <v>18</v>
      </c>
      <c r="F979" s="179">
        <v>6</v>
      </c>
      <c r="G979" s="179">
        <v>12</v>
      </c>
      <c r="H979" s="180">
        <v>65</v>
      </c>
    </row>
    <row r="980" spans="1:8">
      <c r="A980" s="13" t="s">
        <v>3843</v>
      </c>
      <c r="B980" s="166">
        <v>9</v>
      </c>
      <c r="C980" s="179">
        <v>8</v>
      </c>
      <c r="D980" s="179">
        <v>3</v>
      </c>
      <c r="E980" s="179">
        <v>18</v>
      </c>
      <c r="F980" s="179">
        <v>6</v>
      </c>
      <c r="G980" s="179">
        <v>9</v>
      </c>
      <c r="H980" s="180">
        <v>53</v>
      </c>
    </row>
    <row r="981" spans="1:8">
      <c r="A981" s="13" t="s">
        <v>3844</v>
      </c>
      <c r="B981" s="166">
        <v>9</v>
      </c>
      <c r="C981" s="179">
        <v>11</v>
      </c>
      <c r="D981" s="179">
        <v>10</v>
      </c>
      <c r="E981" s="179">
        <v>21</v>
      </c>
      <c r="F981" s="179">
        <v>9</v>
      </c>
      <c r="G981" s="179">
        <v>18</v>
      </c>
      <c r="H981" s="180">
        <v>78</v>
      </c>
    </row>
    <row r="982" spans="1:8">
      <c r="A982" s="13" t="s">
        <v>3847</v>
      </c>
      <c r="B982" s="166">
        <v>10</v>
      </c>
      <c r="C982" s="179">
        <v>6</v>
      </c>
      <c r="D982" s="179">
        <v>12</v>
      </c>
      <c r="E982" s="179">
        <v>15</v>
      </c>
      <c r="F982" s="179">
        <v>7</v>
      </c>
      <c r="G982" s="179">
        <v>9</v>
      </c>
      <c r="H982" s="180">
        <v>59</v>
      </c>
    </row>
    <row r="983" spans="1:8">
      <c r="A983" s="13" t="s">
        <v>3845</v>
      </c>
      <c r="B983" s="166">
        <v>10</v>
      </c>
      <c r="C983" s="179">
        <v>11</v>
      </c>
      <c r="D983" s="179">
        <v>14</v>
      </c>
      <c r="E983" s="179">
        <v>21</v>
      </c>
      <c r="F983" s="179">
        <v>12</v>
      </c>
      <c r="G983" s="179">
        <v>1</v>
      </c>
      <c r="H983" s="180">
        <v>69</v>
      </c>
    </row>
    <row r="984" spans="1:8">
      <c r="A984" s="13" t="s">
        <v>3846</v>
      </c>
      <c r="B984" s="166">
        <v>9</v>
      </c>
      <c r="C984" s="179">
        <v>12</v>
      </c>
      <c r="D984" s="179">
        <v>8</v>
      </c>
      <c r="E984" s="179">
        <v>20</v>
      </c>
      <c r="F984" s="179">
        <v>8</v>
      </c>
      <c r="G984" s="179">
        <v>10</v>
      </c>
      <c r="H984" s="180">
        <v>67</v>
      </c>
    </row>
    <row r="985" spans="1:8">
      <c r="A985" s="13" t="s">
        <v>3848</v>
      </c>
      <c r="B985" s="166">
        <v>13</v>
      </c>
      <c r="C985" s="179">
        <v>8</v>
      </c>
      <c r="D985" s="179">
        <v>10</v>
      </c>
      <c r="E985" s="179">
        <v>17</v>
      </c>
      <c r="F985" s="179">
        <v>13</v>
      </c>
      <c r="G985" s="179">
        <v>13</v>
      </c>
      <c r="H985" s="180">
        <v>74</v>
      </c>
    </row>
    <row r="986" spans="1:8">
      <c r="A986" s="13" t="s">
        <v>3849</v>
      </c>
      <c r="B986" s="166">
        <v>6</v>
      </c>
      <c r="C986" s="179">
        <v>14</v>
      </c>
      <c r="D986" s="179">
        <v>5</v>
      </c>
      <c r="E986" s="179">
        <v>26</v>
      </c>
      <c r="F986" s="179">
        <v>5</v>
      </c>
      <c r="G986" s="179">
        <v>7</v>
      </c>
      <c r="H986" s="180">
        <v>63</v>
      </c>
    </row>
    <row r="987" spans="1:8">
      <c r="A987" s="42" t="s">
        <v>3122</v>
      </c>
      <c r="B987" s="170">
        <v>149</v>
      </c>
      <c r="C987" s="181">
        <v>149</v>
      </c>
      <c r="D987" s="181">
        <v>137</v>
      </c>
      <c r="E987" s="181">
        <v>276</v>
      </c>
      <c r="F987" s="181">
        <v>141</v>
      </c>
      <c r="G987" s="181">
        <v>148</v>
      </c>
      <c r="H987" s="182">
        <v>1000</v>
      </c>
    </row>
    <row r="996" spans="1:8">
      <c r="A996" s="11" t="s">
        <v>3138</v>
      </c>
      <c r="B996" s="11" t="s">
        <v>23</v>
      </c>
      <c r="C996" s="9"/>
      <c r="D996" s="9"/>
      <c r="E996" s="9"/>
      <c r="F996" s="9"/>
      <c r="G996" s="9"/>
      <c r="H996" s="20"/>
    </row>
    <row r="997" spans="1:8">
      <c r="A997" s="43" t="s">
        <v>4</v>
      </c>
      <c r="B997" s="8" t="s">
        <v>128</v>
      </c>
      <c r="C997" s="21" t="s">
        <v>107</v>
      </c>
      <c r="D997" s="21" t="s">
        <v>3088</v>
      </c>
      <c r="E997" s="21" t="s">
        <v>54</v>
      </c>
      <c r="F997" s="21" t="s">
        <v>173</v>
      </c>
      <c r="G997" s="21" t="s">
        <v>43</v>
      </c>
      <c r="H997" s="39" t="s">
        <v>3122</v>
      </c>
    </row>
    <row r="998" spans="1:8">
      <c r="A998" s="8" t="s">
        <v>3835</v>
      </c>
      <c r="B998" s="164">
        <v>8</v>
      </c>
      <c r="C998" s="174">
        <v>6</v>
      </c>
      <c r="D998" s="174">
        <v>5</v>
      </c>
      <c r="E998" s="174">
        <v>7</v>
      </c>
      <c r="F998" s="174">
        <v>17</v>
      </c>
      <c r="G998" s="174">
        <v>12</v>
      </c>
      <c r="H998" s="175">
        <v>55</v>
      </c>
    </row>
    <row r="999" spans="1:8">
      <c r="A999" s="13" t="s">
        <v>3836</v>
      </c>
      <c r="B999" s="166">
        <v>10</v>
      </c>
      <c r="C999" s="179">
        <v>10</v>
      </c>
      <c r="D999" s="179">
        <v>7</v>
      </c>
      <c r="E999" s="179">
        <v>11</v>
      </c>
      <c r="F999" s="179">
        <v>14</v>
      </c>
      <c r="G999" s="179">
        <v>15</v>
      </c>
      <c r="H999" s="180">
        <v>67</v>
      </c>
    </row>
    <row r="1000" spans="1:8">
      <c r="A1000" s="13" t="s">
        <v>3837</v>
      </c>
      <c r="B1000" s="166">
        <v>12</v>
      </c>
      <c r="C1000" s="179">
        <v>10</v>
      </c>
      <c r="D1000" s="179">
        <v>12</v>
      </c>
      <c r="E1000" s="179">
        <v>4</v>
      </c>
      <c r="F1000" s="179">
        <v>10</v>
      </c>
      <c r="G1000" s="179">
        <v>16</v>
      </c>
      <c r="H1000" s="180">
        <v>64</v>
      </c>
    </row>
    <row r="1001" spans="1:8">
      <c r="A1001" s="13" t="s">
        <v>3838</v>
      </c>
      <c r="B1001" s="166">
        <v>10</v>
      </c>
      <c r="C1001" s="179">
        <v>11</v>
      </c>
      <c r="D1001" s="179">
        <v>6</v>
      </c>
      <c r="E1001" s="179">
        <v>12</v>
      </c>
      <c r="F1001" s="179">
        <v>17</v>
      </c>
      <c r="G1001" s="179">
        <v>21</v>
      </c>
      <c r="H1001" s="180">
        <v>77</v>
      </c>
    </row>
    <row r="1002" spans="1:8">
      <c r="A1002" s="13" t="s">
        <v>3839</v>
      </c>
      <c r="B1002" s="166">
        <v>9</v>
      </c>
      <c r="C1002" s="179">
        <v>11</v>
      </c>
      <c r="D1002" s="179">
        <v>10</v>
      </c>
      <c r="E1002" s="179">
        <v>11</v>
      </c>
      <c r="F1002" s="179">
        <v>19</v>
      </c>
      <c r="G1002" s="179">
        <v>12</v>
      </c>
      <c r="H1002" s="180">
        <v>72</v>
      </c>
    </row>
    <row r="1003" spans="1:8">
      <c r="A1003" s="13" t="s">
        <v>3840</v>
      </c>
      <c r="B1003" s="166">
        <v>5</v>
      </c>
      <c r="C1003" s="179">
        <v>4</v>
      </c>
      <c r="D1003" s="179">
        <v>13</v>
      </c>
      <c r="E1003" s="179">
        <v>12</v>
      </c>
      <c r="F1003" s="179">
        <v>15</v>
      </c>
      <c r="G1003" s="179">
        <v>12</v>
      </c>
      <c r="H1003" s="180">
        <v>61</v>
      </c>
    </row>
    <row r="1004" spans="1:8">
      <c r="A1004" s="13" t="s">
        <v>3841</v>
      </c>
      <c r="B1004" s="166">
        <v>7</v>
      </c>
      <c r="C1004" s="179">
        <v>14</v>
      </c>
      <c r="D1004" s="179">
        <v>8</v>
      </c>
      <c r="E1004" s="179">
        <v>12</v>
      </c>
      <c r="F1004" s="179">
        <v>12</v>
      </c>
      <c r="G1004" s="179">
        <v>23</v>
      </c>
      <c r="H1004" s="180">
        <v>76</v>
      </c>
    </row>
    <row r="1005" spans="1:8">
      <c r="A1005" s="13" t="s">
        <v>3842</v>
      </c>
      <c r="B1005" s="166">
        <v>7</v>
      </c>
      <c r="C1005" s="179">
        <v>5</v>
      </c>
      <c r="D1005" s="179">
        <v>9</v>
      </c>
      <c r="E1005" s="179">
        <v>7</v>
      </c>
      <c r="F1005" s="179">
        <v>23</v>
      </c>
      <c r="G1005" s="179">
        <v>14</v>
      </c>
      <c r="H1005" s="180">
        <v>65</v>
      </c>
    </row>
    <row r="1006" spans="1:8">
      <c r="A1006" s="13" t="s">
        <v>3843</v>
      </c>
      <c r="B1006" s="166">
        <v>4</v>
      </c>
      <c r="C1006" s="179">
        <v>12</v>
      </c>
      <c r="D1006" s="179">
        <v>9</v>
      </c>
      <c r="E1006" s="179">
        <v>3</v>
      </c>
      <c r="F1006" s="179">
        <v>18</v>
      </c>
      <c r="G1006" s="179">
        <v>7</v>
      </c>
      <c r="H1006" s="180">
        <v>53</v>
      </c>
    </row>
    <row r="1007" spans="1:8">
      <c r="A1007" s="13" t="s">
        <v>3844</v>
      </c>
      <c r="B1007" s="166">
        <v>11</v>
      </c>
      <c r="C1007" s="179">
        <v>13</v>
      </c>
      <c r="D1007" s="179">
        <v>7</v>
      </c>
      <c r="E1007" s="179">
        <v>9</v>
      </c>
      <c r="F1007" s="179">
        <v>16</v>
      </c>
      <c r="G1007" s="179">
        <v>22</v>
      </c>
      <c r="H1007" s="180">
        <v>78</v>
      </c>
    </row>
    <row r="1008" spans="1:8">
      <c r="A1008" s="13" t="s">
        <v>3847</v>
      </c>
      <c r="B1008" s="166">
        <v>7</v>
      </c>
      <c r="C1008" s="179">
        <v>8</v>
      </c>
      <c r="D1008" s="179">
        <v>5</v>
      </c>
      <c r="E1008" s="179">
        <v>9</v>
      </c>
      <c r="F1008" s="179">
        <v>13</v>
      </c>
      <c r="G1008" s="179">
        <v>17</v>
      </c>
      <c r="H1008" s="180">
        <v>59</v>
      </c>
    </row>
    <row r="1009" spans="1:9">
      <c r="A1009" s="13" t="s">
        <v>3845</v>
      </c>
      <c r="B1009" s="166">
        <v>8</v>
      </c>
      <c r="C1009" s="179">
        <v>12</v>
      </c>
      <c r="D1009" s="179">
        <v>10</v>
      </c>
      <c r="E1009" s="179">
        <v>10</v>
      </c>
      <c r="F1009" s="179">
        <v>16</v>
      </c>
      <c r="G1009" s="179">
        <v>13</v>
      </c>
      <c r="H1009" s="180">
        <v>69</v>
      </c>
    </row>
    <row r="1010" spans="1:9">
      <c r="A1010" s="13" t="s">
        <v>3846</v>
      </c>
      <c r="B1010" s="166">
        <v>15</v>
      </c>
      <c r="C1010" s="179">
        <v>8</v>
      </c>
      <c r="D1010" s="179">
        <v>10</v>
      </c>
      <c r="E1010" s="179">
        <v>6</v>
      </c>
      <c r="F1010" s="179">
        <v>13</v>
      </c>
      <c r="G1010" s="179">
        <v>15</v>
      </c>
      <c r="H1010" s="180">
        <v>67</v>
      </c>
    </row>
    <row r="1011" spans="1:9">
      <c r="A1011" s="13" t="s">
        <v>3848</v>
      </c>
      <c r="B1011" s="166">
        <v>8</v>
      </c>
      <c r="C1011" s="179">
        <v>8</v>
      </c>
      <c r="D1011" s="179">
        <v>10</v>
      </c>
      <c r="E1011" s="179">
        <v>11</v>
      </c>
      <c r="F1011" s="179">
        <v>16</v>
      </c>
      <c r="G1011" s="179">
        <v>21</v>
      </c>
      <c r="H1011" s="180">
        <v>74</v>
      </c>
    </row>
    <row r="1012" spans="1:9">
      <c r="A1012" s="13" t="s">
        <v>3849</v>
      </c>
      <c r="B1012" s="166">
        <v>9</v>
      </c>
      <c r="C1012" s="179">
        <v>9</v>
      </c>
      <c r="D1012" s="179">
        <v>5</v>
      </c>
      <c r="E1012" s="179">
        <v>9</v>
      </c>
      <c r="F1012" s="179">
        <v>16</v>
      </c>
      <c r="G1012" s="179">
        <v>15</v>
      </c>
      <c r="H1012" s="180">
        <v>63</v>
      </c>
    </row>
    <row r="1013" spans="1:9">
      <c r="A1013" s="42" t="s">
        <v>3122</v>
      </c>
      <c r="B1013" s="170">
        <v>130</v>
      </c>
      <c r="C1013" s="181">
        <v>141</v>
      </c>
      <c r="D1013" s="181">
        <v>126</v>
      </c>
      <c r="E1013" s="181">
        <v>133</v>
      </c>
      <c r="F1013" s="181">
        <v>235</v>
      </c>
      <c r="G1013" s="181">
        <v>235</v>
      </c>
      <c r="H1013" s="182">
        <v>1000</v>
      </c>
    </row>
    <row r="1018" spans="1:9">
      <c r="A1018" s="102" t="s">
        <v>3205</v>
      </c>
    </row>
    <row r="1020" spans="1:9">
      <c r="A1020" s="11" t="s">
        <v>3138</v>
      </c>
      <c r="B1020" s="11" t="s">
        <v>24</v>
      </c>
      <c r="C1020" s="9"/>
      <c r="D1020" s="9"/>
      <c r="E1020" s="9"/>
      <c r="F1020" s="9"/>
      <c r="G1020" s="9"/>
      <c r="H1020" s="9"/>
      <c r="I1020" s="20"/>
    </row>
    <row r="1021" spans="1:9">
      <c r="A1021" s="43" t="s">
        <v>4</v>
      </c>
      <c r="B1021" s="8" t="s">
        <v>88</v>
      </c>
      <c r="C1021" s="21" t="s">
        <v>129</v>
      </c>
      <c r="D1021" s="21" t="s">
        <v>206</v>
      </c>
      <c r="E1021" s="21" t="s">
        <v>55</v>
      </c>
      <c r="F1021" s="21" t="s">
        <v>174</v>
      </c>
      <c r="G1021" s="21" t="s">
        <v>136</v>
      </c>
      <c r="H1021" s="21" t="s">
        <v>3112</v>
      </c>
      <c r="I1021" s="39" t="s">
        <v>3122</v>
      </c>
    </row>
    <row r="1022" spans="1:9">
      <c r="A1022" s="8" t="s">
        <v>3835</v>
      </c>
      <c r="B1022" s="164">
        <v>6</v>
      </c>
      <c r="C1022" s="174">
        <v>18</v>
      </c>
      <c r="D1022" s="174">
        <v>3</v>
      </c>
      <c r="E1022" s="174">
        <v>3</v>
      </c>
      <c r="F1022" s="174">
        <v>7</v>
      </c>
      <c r="G1022" s="174">
        <v>4</v>
      </c>
      <c r="H1022" s="174">
        <v>14</v>
      </c>
      <c r="I1022" s="175">
        <v>55</v>
      </c>
    </row>
    <row r="1023" spans="1:9">
      <c r="A1023" s="13" t="s">
        <v>3836</v>
      </c>
      <c r="B1023" s="166">
        <v>13</v>
      </c>
      <c r="C1023" s="179">
        <v>11</v>
      </c>
      <c r="D1023" s="179">
        <v>4</v>
      </c>
      <c r="E1023" s="179">
        <v>10</v>
      </c>
      <c r="F1023" s="179">
        <v>6</v>
      </c>
      <c r="G1023" s="179">
        <v>11</v>
      </c>
      <c r="H1023" s="179">
        <v>12</v>
      </c>
      <c r="I1023" s="180">
        <v>67</v>
      </c>
    </row>
    <row r="1024" spans="1:9">
      <c r="A1024" s="13" t="s">
        <v>3837</v>
      </c>
      <c r="B1024" s="166">
        <v>11</v>
      </c>
      <c r="C1024" s="179">
        <v>4</v>
      </c>
      <c r="D1024" s="179">
        <v>9</v>
      </c>
      <c r="E1024" s="179">
        <v>4</v>
      </c>
      <c r="F1024" s="179">
        <v>9</v>
      </c>
      <c r="G1024" s="179">
        <v>6</v>
      </c>
      <c r="H1024" s="179">
        <v>21</v>
      </c>
      <c r="I1024" s="180">
        <v>64</v>
      </c>
    </row>
    <row r="1025" spans="1:9">
      <c r="A1025" s="13" t="s">
        <v>3838</v>
      </c>
      <c r="B1025" s="166">
        <v>13</v>
      </c>
      <c r="C1025" s="179">
        <v>10</v>
      </c>
      <c r="D1025" s="179">
        <v>7</v>
      </c>
      <c r="E1025" s="179">
        <v>7</v>
      </c>
      <c r="F1025" s="179">
        <v>10</v>
      </c>
      <c r="G1025" s="179">
        <v>6</v>
      </c>
      <c r="H1025" s="179">
        <v>24</v>
      </c>
      <c r="I1025" s="180">
        <v>77</v>
      </c>
    </row>
    <row r="1026" spans="1:9">
      <c r="A1026" s="13" t="s">
        <v>3839</v>
      </c>
      <c r="B1026" s="166">
        <v>13</v>
      </c>
      <c r="C1026" s="179">
        <v>6</v>
      </c>
      <c r="D1026" s="179">
        <v>8</v>
      </c>
      <c r="E1026" s="179">
        <v>4</v>
      </c>
      <c r="F1026" s="179">
        <v>5</v>
      </c>
      <c r="G1026" s="179">
        <v>11</v>
      </c>
      <c r="H1026" s="179">
        <v>25</v>
      </c>
      <c r="I1026" s="180">
        <v>72</v>
      </c>
    </row>
    <row r="1027" spans="1:9">
      <c r="A1027" s="13" t="s">
        <v>3840</v>
      </c>
      <c r="B1027" s="166">
        <v>10</v>
      </c>
      <c r="C1027" s="179">
        <v>7</v>
      </c>
      <c r="D1027" s="179">
        <v>9</v>
      </c>
      <c r="E1027" s="179">
        <v>5</v>
      </c>
      <c r="F1027" s="179">
        <v>4</v>
      </c>
      <c r="G1027" s="179">
        <v>14</v>
      </c>
      <c r="H1027" s="179">
        <v>12</v>
      </c>
      <c r="I1027" s="180">
        <v>61</v>
      </c>
    </row>
    <row r="1028" spans="1:9">
      <c r="A1028" s="13" t="s">
        <v>3841</v>
      </c>
      <c r="B1028" s="166">
        <v>7</v>
      </c>
      <c r="C1028" s="179">
        <v>9</v>
      </c>
      <c r="D1028" s="179">
        <v>11</v>
      </c>
      <c r="E1028" s="179">
        <v>13</v>
      </c>
      <c r="F1028" s="179">
        <v>9</v>
      </c>
      <c r="G1028" s="179">
        <v>10</v>
      </c>
      <c r="H1028" s="179">
        <v>17</v>
      </c>
      <c r="I1028" s="180">
        <v>76</v>
      </c>
    </row>
    <row r="1029" spans="1:9">
      <c r="A1029" s="13" t="s">
        <v>3842</v>
      </c>
      <c r="B1029" s="166">
        <v>5</v>
      </c>
      <c r="C1029" s="179">
        <v>5</v>
      </c>
      <c r="D1029" s="179">
        <v>12</v>
      </c>
      <c r="E1029" s="179">
        <v>7</v>
      </c>
      <c r="F1029" s="179">
        <v>7</v>
      </c>
      <c r="G1029" s="179">
        <v>12</v>
      </c>
      <c r="H1029" s="179">
        <v>17</v>
      </c>
      <c r="I1029" s="180">
        <v>65</v>
      </c>
    </row>
    <row r="1030" spans="1:9">
      <c r="A1030" s="13" t="s">
        <v>3843</v>
      </c>
      <c r="B1030" s="166">
        <v>3</v>
      </c>
      <c r="C1030" s="179">
        <v>6</v>
      </c>
      <c r="D1030" s="179">
        <v>6</v>
      </c>
      <c r="E1030" s="179">
        <v>4</v>
      </c>
      <c r="F1030" s="179">
        <v>14</v>
      </c>
      <c r="G1030" s="179">
        <v>6</v>
      </c>
      <c r="H1030" s="179">
        <v>14</v>
      </c>
      <c r="I1030" s="180">
        <v>53</v>
      </c>
    </row>
    <row r="1031" spans="1:9">
      <c r="A1031" s="13" t="s">
        <v>3844</v>
      </c>
      <c r="B1031" s="166">
        <v>11</v>
      </c>
      <c r="C1031" s="179">
        <v>18</v>
      </c>
      <c r="D1031" s="179">
        <v>7</v>
      </c>
      <c r="E1031" s="179">
        <v>9</v>
      </c>
      <c r="F1031" s="179">
        <v>9</v>
      </c>
      <c r="G1031" s="179">
        <v>12</v>
      </c>
      <c r="H1031" s="179">
        <v>12</v>
      </c>
      <c r="I1031" s="180">
        <v>78</v>
      </c>
    </row>
    <row r="1032" spans="1:9">
      <c r="A1032" s="13" t="s">
        <v>3847</v>
      </c>
      <c r="B1032" s="166">
        <v>9</v>
      </c>
      <c r="C1032" s="179">
        <v>9</v>
      </c>
      <c r="D1032" s="179">
        <v>11</v>
      </c>
      <c r="E1032" s="179">
        <v>2</v>
      </c>
      <c r="F1032" s="179">
        <v>5</v>
      </c>
      <c r="G1032" s="179">
        <v>6</v>
      </c>
      <c r="H1032" s="179">
        <v>17</v>
      </c>
      <c r="I1032" s="180">
        <v>59</v>
      </c>
    </row>
    <row r="1033" spans="1:9">
      <c r="A1033" s="13" t="s">
        <v>3845</v>
      </c>
      <c r="B1033" s="166">
        <v>9</v>
      </c>
      <c r="C1033" s="179">
        <v>17</v>
      </c>
      <c r="D1033" s="179">
        <v>10</v>
      </c>
      <c r="E1033" s="179">
        <v>6</v>
      </c>
      <c r="F1033" s="179">
        <v>11</v>
      </c>
      <c r="G1033" s="179">
        <v>5</v>
      </c>
      <c r="H1033" s="179">
        <v>11</v>
      </c>
      <c r="I1033" s="180">
        <v>69</v>
      </c>
    </row>
    <row r="1034" spans="1:9">
      <c r="A1034" s="13" t="s">
        <v>3846</v>
      </c>
      <c r="B1034" s="166">
        <v>12</v>
      </c>
      <c r="C1034" s="179">
        <v>7</v>
      </c>
      <c r="D1034" s="179">
        <v>4</v>
      </c>
      <c r="E1034" s="179">
        <v>8</v>
      </c>
      <c r="F1034" s="179">
        <v>9</v>
      </c>
      <c r="G1034" s="179">
        <v>11</v>
      </c>
      <c r="H1034" s="179">
        <v>16</v>
      </c>
      <c r="I1034" s="180">
        <v>67</v>
      </c>
    </row>
    <row r="1035" spans="1:9">
      <c r="A1035" s="13" t="s">
        <v>3848</v>
      </c>
      <c r="B1035" s="166">
        <v>8</v>
      </c>
      <c r="C1035" s="179">
        <v>7</v>
      </c>
      <c r="D1035" s="179">
        <v>9</v>
      </c>
      <c r="E1035" s="179">
        <v>8</v>
      </c>
      <c r="F1035" s="179">
        <v>7</v>
      </c>
      <c r="G1035" s="179">
        <v>11</v>
      </c>
      <c r="H1035" s="179">
        <v>24</v>
      </c>
      <c r="I1035" s="180">
        <v>74</v>
      </c>
    </row>
    <row r="1036" spans="1:9">
      <c r="A1036" s="13" t="s">
        <v>3849</v>
      </c>
      <c r="B1036" s="166">
        <v>6</v>
      </c>
      <c r="C1036" s="179">
        <v>8</v>
      </c>
      <c r="D1036" s="179">
        <v>10</v>
      </c>
      <c r="E1036" s="179">
        <v>7</v>
      </c>
      <c r="F1036" s="179">
        <v>8</v>
      </c>
      <c r="G1036" s="179">
        <v>8</v>
      </c>
      <c r="H1036" s="179">
        <v>16</v>
      </c>
      <c r="I1036" s="180">
        <v>63</v>
      </c>
    </row>
    <row r="1037" spans="1:9">
      <c r="A1037" s="42" t="s">
        <v>3122</v>
      </c>
      <c r="B1037" s="170">
        <v>136</v>
      </c>
      <c r="C1037" s="181">
        <v>142</v>
      </c>
      <c r="D1037" s="181">
        <v>120</v>
      </c>
      <c r="E1037" s="181">
        <v>97</v>
      </c>
      <c r="F1037" s="181">
        <v>120</v>
      </c>
      <c r="G1037" s="181">
        <v>133</v>
      </c>
      <c r="H1037" s="181">
        <v>252</v>
      </c>
      <c r="I1037" s="182">
        <v>1000</v>
      </c>
    </row>
    <row r="1044" spans="1:9">
      <c r="A1044" s="11" t="s">
        <v>3138</v>
      </c>
      <c r="B1044" s="11" t="s">
        <v>25</v>
      </c>
      <c r="C1044" s="9"/>
      <c r="D1044" s="9"/>
      <c r="E1044" s="9"/>
      <c r="F1044" s="9"/>
      <c r="G1044" s="9"/>
      <c r="H1044" s="20"/>
      <c r="I1044"/>
    </row>
    <row r="1045" spans="1:9">
      <c r="A1045" s="43" t="s">
        <v>4</v>
      </c>
      <c r="B1045" s="37" t="s">
        <v>137</v>
      </c>
      <c r="C1045" s="38" t="s">
        <v>191</v>
      </c>
      <c r="D1045" s="38" t="s">
        <v>44</v>
      </c>
      <c r="E1045" s="38" t="s">
        <v>56</v>
      </c>
      <c r="F1045" s="38" t="s">
        <v>95</v>
      </c>
      <c r="G1045" s="38" t="s">
        <v>138</v>
      </c>
      <c r="H1045" s="39" t="s">
        <v>3122</v>
      </c>
      <c r="I1045"/>
    </row>
    <row r="1046" spans="1:9">
      <c r="A1046" s="8" t="s">
        <v>3835</v>
      </c>
      <c r="B1046" s="164">
        <v>11</v>
      </c>
      <c r="C1046" s="174">
        <v>9</v>
      </c>
      <c r="D1046" s="174">
        <v>8</v>
      </c>
      <c r="E1046" s="174">
        <v>4</v>
      </c>
      <c r="F1046" s="174">
        <v>12</v>
      </c>
      <c r="G1046" s="174">
        <v>11</v>
      </c>
      <c r="H1046" s="175">
        <v>55</v>
      </c>
      <c r="I1046"/>
    </row>
    <row r="1047" spans="1:9">
      <c r="A1047" s="13" t="s">
        <v>3836</v>
      </c>
      <c r="B1047" s="166">
        <v>7</v>
      </c>
      <c r="C1047" s="179">
        <v>8</v>
      </c>
      <c r="D1047" s="179">
        <v>10</v>
      </c>
      <c r="E1047" s="179">
        <v>10</v>
      </c>
      <c r="F1047" s="179">
        <v>24</v>
      </c>
      <c r="G1047" s="179">
        <v>8</v>
      </c>
      <c r="H1047" s="180">
        <v>67</v>
      </c>
      <c r="I1047"/>
    </row>
    <row r="1048" spans="1:9">
      <c r="A1048" s="13" t="s">
        <v>3837</v>
      </c>
      <c r="B1048" s="166">
        <v>9</v>
      </c>
      <c r="C1048" s="179">
        <v>8</v>
      </c>
      <c r="D1048" s="179">
        <v>8</v>
      </c>
      <c r="E1048" s="179">
        <v>8</v>
      </c>
      <c r="F1048" s="179">
        <v>19</v>
      </c>
      <c r="G1048" s="179">
        <v>12</v>
      </c>
      <c r="H1048" s="180">
        <v>64</v>
      </c>
      <c r="I1048"/>
    </row>
    <row r="1049" spans="1:9">
      <c r="A1049" s="13" t="s">
        <v>3838</v>
      </c>
      <c r="B1049" s="166">
        <v>10</v>
      </c>
      <c r="C1049" s="179">
        <v>10</v>
      </c>
      <c r="D1049" s="179">
        <v>11</v>
      </c>
      <c r="E1049" s="179">
        <v>7</v>
      </c>
      <c r="F1049" s="179">
        <v>31</v>
      </c>
      <c r="G1049" s="179">
        <v>8</v>
      </c>
      <c r="H1049" s="180">
        <v>77</v>
      </c>
      <c r="I1049"/>
    </row>
    <row r="1050" spans="1:9">
      <c r="A1050" s="13" t="s">
        <v>3839</v>
      </c>
      <c r="B1050" s="166">
        <v>8</v>
      </c>
      <c r="C1050" s="179">
        <v>10</v>
      </c>
      <c r="D1050" s="179">
        <v>11</v>
      </c>
      <c r="E1050" s="179">
        <v>14</v>
      </c>
      <c r="F1050" s="179">
        <v>19</v>
      </c>
      <c r="G1050" s="179">
        <v>10</v>
      </c>
      <c r="H1050" s="180">
        <v>72</v>
      </c>
      <c r="I1050"/>
    </row>
    <row r="1051" spans="1:9">
      <c r="A1051" s="13" t="s">
        <v>3840</v>
      </c>
      <c r="B1051" s="166">
        <v>12</v>
      </c>
      <c r="C1051" s="179">
        <v>7</v>
      </c>
      <c r="D1051" s="179">
        <v>7</v>
      </c>
      <c r="E1051" s="179">
        <v>7</v>
      </c>
      <c r="F1051" s="179">
        <v>20</v>
      </c>
      <c r="G1051" s="179">
        <v>8</v>
      </c>
      <c r="H1051" s="180">
        <v>61</v>
      </c>
      <c r="I1051"/>
    </row>
    <row r="1052" spans="1:9">
      <c r="A1052" s="13" t="s">
        <v>3841</v>
      </c>
      <c r="B1052" s="166">
        <v>11</v>
      </c>
      <c r="C1052" s="179">
        <v>9</v>
      </c>
      <c r="D1052" s="179">
        <v>7</v>
      </c>
      <c r="E1052" s="179">
        <v>9</v>
      </c>
      <c r="F1052" s="179">
        <v>24</v>
      </c>
      <c r="G1052" s="179">
        <v>16</v>
      </c>
      <c r="H1052" s="180">
        <v>76</v>
      </c>
      <c r="I1052"/>
    </row>
    <row r="1053" spans="1:9">
      <c r="A1053" s="13" t="s">
        <v>3842</v>
      </c>
      <c r="B1053" s="166">
        <v>13</v>
      </c>
      <c r="C1053" s="179">
        <v>13</v>
      </c>
      <c r="D1053" s="179">
        <v>8</v>
      </c>
      <c r="E1053" s="179">
        <v>11</v>
      </c>
      <c r="F1053" s="179">
        <v>13</v>
      </c>
      <c r="G1053" s="179">
        <v>7</v>
      </c>
      <c r="H1053" s="180">
        <v>65</v>
      </c>
      <c r="I1053"/>
    </row>
    <row r="1054" spans="1:9">
      <c r="A1054" s="13" t="s">
        <v>3843</v>
      </c>
      <c r="B1054" s="166">
        <v>12</v>
      </c>
      <c r="C1054" s="179">
        <v>5</v>
      </c>
      <c r="D1054" s="179">
        <v>5</v>
      </c>
      <c r="E1054" s="179">
        <v>8</v>
      </c>
      <c r="F1054" s="179">
        <v>19</v>
      </c>
      <c r="G1054" s="179">
        <v>4</v>
      </c>
      <c r="H1054" s="180">
        <v>53</v>
      </c>
      <c r="I1054"/>
    </row>
    <row r="1055" spans="1:9">
      <c r="A1055" s="13" t="s">
        <v>3844</v>
      </c>
      <c r="B1055" s="166">
        <v>12</v>
      </c>
      <c r="C1055" s="179">
        <v>13</v>
      </c>
      <c r="D1055" s="179">
        <v>12</v>
      </c>
      <c r="E1055" s="179">
        <v>6</v>
      </c>
      <c r="F1055" s="179">
        <v>22</v>
      </c>
      <c r="G1055" s="179">
        <v>13</v>
      </c>
      <c r="H1055" s="180">
        <v>78</v>
      </c>
      <c r="I1055"/>
    </row>
    <row r="1056" spans="1:9">
      <c r="A1056" s="13" t="s">
        <v>3847</v>
      </c>
      <c r="B1056" s="166">
        <v>4</v>
      </c>
      <c r="C1056" s="179">
        <v>10</v>
      </c>
      <c r="D1056" s="179">
        <v>9</v>
      </c>
      <c r="E1056" s="179">
        <v>10</v>
      </c>
      <c r="F1056" s="179">
        <v>16</v>
      </c>
      <c r="G1056" s="179">
        <v>10</v>
      </c>
      <c r="H1056" s="180">
        <v>59</v>
      </c>
      <c r="I1056"/>
    </row>
    <row r="1057" spans="1:9">
      <c r="A1057" s="13" t="s">
        <v>3845</v>
      </c>
      <c r="B1057" s="166">
        <v>9</v>
      </c>
      <c r="C1057" s="179">
        <v>11</v>
      </c>
      <c r="D1057" s="179">
        <v>9</v>
      </c>
      <c r="E1057" s="179">
        <v>9</v>
      </c>
      <c r="F1057" s="179">
        <v>19</v>
      </c>
      <c r="G1057" s="179">
        <v>12</v>
      </c>
      <c r="H1057" s="180">
        <v>69</v>
      </c>
      <c r="I1057"/>
    </row>
    <row r="1058" spans="1:9">
      <c r="A1058" s="13" t="s">
        <v>3846</v>
      </c>
      <c r="B1058" s="166">
        <v>9</v>
      </c>
      <c r="C1058" s="179">
        <v>14</v>
      </c>
      <c r="D1058" s="179">
        <v>10</v>
      </c>
      <c r="E1058" s="179">
        <v>13</v>
      </c>
      <c r="F1058" s="179">
        <v>12</v>
      </c>
      <c r="G1058" s="179">
        <v>9</v>
      </c>
      <c r="H1058" s="180">
        <v>67</v>
      </c>
      <c r="I1058"/>
    </row>
    <row r="1059" spans="1:9">
      <c r="A1059" s="13" t="s">
        <v>3848</v>
      </c>
      <c r="B1059" s="166">
        <v>7</v>
      </c>
      <c r="C1059" s="179">
        <v>7</v>
      </c>
      <c r="D1059" s="179">
        <v>10</v>
      </c>
      <c r="E1059" s="179">
        <v>11</v>
      </c>
      <c r="F1059" s="179">
        <v>28</v>
      </c>
      <c r="G1059" s="179">
        <v>11</v>
      </c>
      <c r="H1059" s="180">
        <v>74</v>
      </c>
      <c r="I1059"/>
    </row>
    <row r="1060" spans="1:9">
      <c r="A1060" s="13" t="s">
        <v>3849</v>
      </c>
      <c r="B1060" s="166">
        <v>5</v>
      </c>
      <c r="C1060" s="179">
        <v>10</v>
      </c>
      <c r="D1060" s="179">
        <v>9</v>
      </c>
      <c r="E1060" s="179">
        <v>7</v>
      </c>
      <c r="F1060" s="179">
        <v>17</v>
      </c>
      <c r="G1060" s="179">
        <v>15</v>
      </c>
      <c r="H1060" s="180">
        <v>63</v>
      </c>
      <c r="I1060"/>
    </row>
    <row r="1061" spans="1:9">
      <c r="A1061" s="42" t="s">
        <v>3122</v>
      </c>
      <c r="B1061" s="170">
        <v>139</v>
      </c>
      <c r="C1061" s="181">
        <v>144</v>
      </c>
      <c r="D1061" s="181">
        <v>134</v>
      </c>
      <c r="E1061" s="181">
        <v>134</v>
      </c>
      <c r="F1061" s="181">
        <v>295</v>
      </c>
      <c r="G1061" s="181">
        <v>154</v>
      </c>
      <c r="H1061" s="182">
        <v>1000</v>
      </c>
      <c r="I1061"/>
    </row>
    <row r="1067" spans="1:9">
      <c r="A1067" s="102"/>
    </row>
    <row r="1068" spans="1:9">
      <c r="A1068" s="11" t="s">
        <v>3138</v>
      </c>
      <c r="B1068" s="11" t="s">
        <v>26</v>
      </c>
      <c r="C1068" s="9"/>
      <c r="D1068" s="9"/>
      <c r="E1068" s="9"/>
      <c r="F1068" s="9"/>
      <c r="G1068" s="9"/>
      <c r="H1068" s="20"/>
    </row>
    <row r="1069" spans="1:9">
      <c r="A1069" s="43" t="s">
        <v>4</v>
      </c>
      <c r="B1069" s="37" t="s">
        <v>75</v>
      </c>
      <c r="C1069" s="38" t="s">
        <v>283</v>
      </c>
      <c r="D1069" s="38" t="s">
        <v>373</v>
      </c>
      <c r="E1069" s="38" t="s">
        <v>96</v>
      </c>
      <c r="F1069" s="38" t="s">
        <v>138</v>
      </c>
      <c r="G1069" s="38" t="s">
        <v>183</v>
      </c>
      <c r="H1069" s="39" t="s">
        <v>3122</v>
      </c>
    </row>
    <row r="1070" spans="1:9">
      <c r="A1070" s="8" t="s">
        <v>3835</v>
      </c>
      <c r="B1070" s="164">
        <v>6</v>
      </c>
      <c r="C1070" s="174">
        <v>5</v>
      </c>
      <c r="D1070" s="174">
        <v>3</v>
      </c>
      <c r="E1070" s="174">
        <v>4</v>
      </c>
      <c r="F1070" s="174">
        <v>33</v>
      </c>
      <c r="G1070" s="174">
        <v>4</v>
      </c>
      <c r="H1070" s="175">
        <v>55</v>
      </c>
    </row>
    <row r="1071" spans="1:9">
      <c r="A1071" s="13" t="s">
        <v>3836</v>
      </c>
      <c r="B1071" s="166">
        <v>2</v>
      </c>
      <c r="C1071" s="179">
        <v>6</v>
      </c>
      <c r="D1071" s="179">
        <v>4</v>
      </c>
      <c r="E1071" s="179">
        <v>3</v>
      </c>
      <c r="F1071" s="179">
        <v>48</v>
      </c>
      <c r="G1071" s="179">
        <v>4</v>
      </c>
      <c r="H1071" s="180">
        <v>67</v>
      </c>
    </row>
    <row r="1072" spans="1:9">
      <c r="A1072" s="13" t="s">
        <v>3837</v>
      </c>
      <c r="B1072" s="166"/>
      <c r="C1072" s="179">
        <v>5</v>
      </c>
      <c r="D1072" s="179">
        <v>5</v>
      </c>
      <c r="E1072" s="179">
        <v>1</v>
      </c>
      <c r="F1072" s="179">
        <v>53</v>
      </c>
      <c r="G1072" s="179"/>
      <c r="H1072" s="180">
        <v>64</v>
      </c>
    </row>
    <row r="1073" spans="1:8">
      <c r="A1073" s="13" t="s">
        <v>3838</v>
      </c>
      <c r="B1073" s="166">
        <v>6</v>
      </c>
      <c r="C1073" s="179">
        <v>3</v>
      </c>
      <c r="D1073" s="179">
        <v>3</v>
      </c>
      <c r="E1073" s="179">
        <v>5</v>
      </c>
      <c r="F1073" s="179">
        <v>54</v>
      </c>
      <c r="G1073" s="179">
        <v>6</v>
      </c>
      <c r="H1073" s="180">
        <v>77</v>
      </c>
    </row>
    <row r="1074" spans="1:8">
      <c r="A1074" s="13" t="s">
        <v>3839</v>
      </c>
      <c r="B1074" s="166">
        <v>2</v>
      </c>
      <c r="C1074" s="179"/>
      <c r="D1074" s="179">
        <v>2</v>
      </c>
      <c r="E1074" s="179">
        <v>1</v>
      </c>
      <c r="F1074" s="179">
        <v>67</v>
      </c>
      <c r="G1074" s="179"/>
      <c r="H1074" s="180">
        <v>72</v>
      </c>
    </row>
    <row r="1075" spans="1:8">
      <c r="A1075" s="13" t="s">
        <v>3840</v>
      </c>
      <c r="B1075" s="166">
        <v>3</v>
      </c>
      <c r="C1075" s="179">
        <v>6</v>
      </c>
      <c r="D1075" s="179">
        <v>5</v>
      </c>
      <c r="E1075" s="179">
        <v>4</v>
      </c>
      <c r="F1075" s="179">
        <v>34</v>
      </c>
      <c r="G1075" s="179">
        <v>9</v>
      </c>
      <c r="H1075" s="180">
        <v>61</v>
      </c>
    </row>
    <row r="1076" spans="1:8">
      <c r="A1076" s="13" t="s">
        <v>3841</v>
      </c>
      <c r="B1076" s="166">
        <v>1</v>
      </c>
      <c r="C1076" s="179"/>
      <c r="D1076" s="179">
        <v>5</v>
      </c>
      <c r="E1076" s="179">
        <v>2</v>
      </c>
      <c r="F1076" s="179">
        <v>62</v>
      </c>
      <c r="G1076" s="179">
        <v>6</v>
      </c>
      <c r="H1076" s="180">
        <v>76</v>
      </c>
    </row>
    <row r="1077" spans="1:8">
      <c r="A1077" s="13" t="s">
        <v>3842</v>
      </c>
      <c r="B1077" s="166">
        <v>1</v>
      </c>
      <c r="C1077" s="179">
        <v>2</v>
      </c>
      <c r="D1077" s="179"/>
      <c r="E1077" s="179">
        <v>1</v>
      </c>
      <c r="F1077" s="179">
        <v>61</v>
      </c>
      <c r="G1077" s="179"/>
      <c r="H1077" s="180">
        <v>65</v>
      </c>
    </row>
    <row r="1078" spans="1:8">
      <c r="A1078" s="13" t="s">
        <v>3843</v>
      </c>
      <c r="B1078" s="166"/>
      <c r="C1078" s="179"/>
      <c r="D1078" s="179">
        <v>2</v>
      </c>
      <c r="E1078" s="179"/>
      <c r="F1078" s="179">
        <v>50</v>
      </c>
      <c r="G1078" s="179">
        <v>1</v>
      </c>
      <c r="H1078" s="180">
        <v>53</v>
      </c>
    </row>
    <row r="1079" spans="1:8">
      <c r="A1079" s="13" t="s">
        <v>3844</v>
      </c>
      <c r="B1079" s="166"/>
      <c r="C1079" s="179"/>
      <c r="D1079" s="179"/>
      <c r="E1079" s="179">
        <v>2</v>
      </c>
      <c r="F1079" s="179">
        <v>76</v>
      </c>
      <c r="G1079" s="179"/>
      <c r="H1079" s="180">
        <v>78</v>
      </c>
    </row>
    <row r="1080" spans="1:8">
      <c r="A1080" s="13" t="s">
        <v>3847</v>
      </c>
      <c r="B1080" s="166">
        <v>1</v>
      </c>
      <c r="C1080" s="179"/>
      <c r="D1080" s="179"/>
      <c r="E1080" s="179">
        <v>1</v>
      </c>
      <c r="F1080" s="179">
        <v>56</v>
      </c>
      <c r="G1080" s="179">
        <v>1</v>
      </c>
      <c r="H1080" s="180">
        <v>59</v>
      </c>
    </row>
    <row r="1081" spans="1:8">
      <c r="A1081" s="13" t="s">
        <v>3845</v>
      </c>
      <c r="B1081" s="166">
        <v>2</v>
      </c>
      <c r="C1081" s="179">
        <v>6</v>
      </c>
      <c r="D1081" s="179">
        <v>2</v>
      </c>
      <c r="E1081" s="179">
        <v>3</v>
      </c>
      <c r="F1081" s="179">
        <v>53</v>
      </c>
      <c r="G1081" s="179">
        <v>3</v>
      </c>
      <c r="H1081" s="180">
        <v>69</v>
      </c>
    </row>
    <row r="1082" spans="1:8">
      <c r="A1082" s="13" t="s">
        <v>3846</v>
      </c>
      <c r="B1082" s="166">
        <v>1</v>
      </c>
      <c r="C1082" s="179">
        <v>2</v>
      </c>
      <c r="D1082" s="179">
        <v>3</v>
      </c>
      <c r="E1082" s="179">
        <v>4</v>
      </c>
      <c r="F1082" s="179">
        <v>56</v>
      </c>
      <c r="G1082" s="179">
        <v>1</v>
      </c>
      <c r="H1082" s="180">
        <v>67</v>
      </c>
    </row>
    <row r="1083" spans="1:8">
      <c r="A1083" s="13" t="s">
        <v>3848</v>
      </c>
      <c r="B1083" s="166">
        <v>5</v>
      </c>
      <c r="C1083" s="179">
        <v>4</v>
      </c>
      <c r="D1083" s="179">
        <v>3</v>
      </c>
      <c r="E1083" s="179">
        <v>3</v>
      </c>
      <c r="F1083" s="179">
        <v>56</v>
      </c>
      <c r="G1083" s="179">
        <v>3</v>
      </c>
      <c r="H1083" s="180">
        <v>74</v>
      </c>
    </row>
    <row r="1084" spans="1:8">
      <c r="A1084" s="13" t="s">
        <v>3849</v>
      </c>
      <c r="B1084" s="166">
        <v>6</v>
      </c>
      <c r="C1084" s="179">
        <v>6</v>
      </c>
      <c r="D1084" s="179">
        <v>6</v>
      </c>
      <c r="E1084" s="179">
        <v>8</v>
      </c>
      <c r="F1084" s="179">
        <v>34</v>
      </c>
      <c r="G1084" s="179">
        <v>3</v>
      </c>
      <c r="H1084" s="180">
        <v>63</v>
      </c>
    </row>
    <row r="1085" spans="1:8">
      <c r="A1085" s="42" t="s">
        <v>3122</v>
      </c>
      <c r="B1085" s="170">
        <v>36</v>
      </c>
      <c r="C1085" s="181">
        <v>45</v>
      </c>
      <c r="D1085" s="181">
        <v>43</v>
      </c>
      <c r="E1085" s="181">
        <v>42</v>
      </c>
      <c r="F1085" s="181">
        <v>793</v>
      </c>
      <c r="G1085" s="181">
        <v>41</v>
      </c>
      <c r="H1085" s="182">
        <v>1000</v>
      </c>
    </row>
    <row r="1091" spans="1:9">
      <c r="A1091" s="11" t="s">
        <v>3138</v>
      </c>
      <c r="B1091" s="11" t="s">
        <v>28</v>
      </c>
      <c r="C1091" s="9"/>
      <c r="D1091" s="9"/>
      <c r="E1091" s="9"/>
      <c r="F1091" s="9"/>
      <c r="G1091" s="9"/>
      <c r="H1091" s="9"/>
      <c r="I1091" s="20"/>
    </row>
    <row r="1092" spans="1:9">
      <c r="A1092" s="43" t="s">
        <v>4</v>
      </c>
      <c r="B1092" s="37" t="s">
        <v>115</v>
      </c>
      <c r="C1092" s="38" t="s">
        <v>76</v>
      </c>
      <c r="D1092" s="38" t="s">
        <v>108</v>
      </c>
      <c r="E1092" s="38" t="s">
        <v>57</v>
      </c>
      <c r="F1092" s="38" t="s">
        <v>139</v>
      </c>
      <c r="G1092" s="38" t="s">
        <v>45</v>
      </c>
      <c r="H1092" s="38" t="s">
        <v>184</v>
      </c>
      <c r="I1092" s="39" t="s">
        <v>3122</v>
      </c>
    </row>
    <row r="1093" spans="1:9">
      <c r="A1093" s="8" t="s">
        <v>3835</v>
      </c>
      <c r="B1093" s="164">
        <v>6</v>
      </c>
      <c r="C1093" s="174">
        <v>10</v>
      </c>
      <c r="D1093" s="174">
        <v>7</v>
      </c>
      <c r="E1093" s="174">
        <v>14</v>
      </c>
      <c r="F1093" s="174">
        <v>5</v>
      </c>
      <c r="G1093" s="174">
        <v>5</v>
      </c>
      <c r="H1093" s="174">
        <v>8</v>
      </c>
      <c r="I1093" s="175">
        <v>55</v>
      </c>
    </row>
    <row r="1094" spans="1:9">
      <c r="A1094" s="13" t="s">
        <v>3836</v>
      </c>
      <c r="B1094" s="166">
        <v>12</v>
      </c>
      <c r="C1094" s="179">
        <v>10</v>
      </c>
      <c r="D1094" s="179">
        <v>6</v>
      </c>
      <c r="E1094" s="179">
        <v>9</v>
      </c>
      <c r="F1094" s="179">
        <v>14</v>
      </c>
      <c r="G1094" s="179">
        <v>7</v>
      </c>
      <c r="H1094" s="179">
        <v>9</v>
      </c>
      <c r="I1094" s="180">
        <v>67</v>
      </c>
    </row>
    <row r="1095" spans="1:9">
      <c r="A1095" s="13" t="s">
        <v>3837</v>
      </c>
      <c r="B1095" s="166">
        <v>13</v>
      </c>
      <c r="C1095" s="179">
        <v>11</v>
      </c>
      <c r="D1095" s="179">
        <v>8</v>
      </c>
      <c r="E1095" s="179">
        <v>3</v>
      </c>
      <c r="F1095" s="179">
        <v>8</v>
      </c>
      <c r="G1095" s="179">
        <v>10</v>
      </c>
      <c r="H1095" s="179">
        <v>11</v>
      </c>
      <c r="I1095" s="180">
        <v>64</v>
      </c>
    </row>
    <row r="1096" spans="1:9">
      <c r="A1096" s="13" t="s">
        <v>3838</v>
      </c>
      <c r="B1096" s="166">
        <v>21</v>
      </c>
      <c r="C1096" s="179">
        <v>9</v>
      </c>
      <c r="D1096" s="179">
        <v>8</v>
      </c>
      <c r="E1096" s="179">
        <v>9</v>
      </c>
      <c r="F1096" s="179">
        <v>9</v>
      </c>
      <c r="G1096" s="179">
        <v>14</v>
      </c>
      <c r="H1096" s="179">
        <v>7</v>
      </c>
      <c r="I1096" s="180">
        <v>77</v>
      </c>
    </row>
    <row r="1097" spans="1:9">
      <c r="A1097" s="13" t="s">
        <v>3839</v>
      </c>
      <c r="B1097" s="166">
        <v>10</v>
      </c>
      <c r="C1097" s="179">
        <v>12</v>
      </c>
      <c r="D1097" s="179">
        <v>6</v>
      </c>
      <c r="E1097" s="179">
        <v>15</v>
      </c>
      <c r="F1097" s="179">
        <v>12</v>
      </c>
      <c r="G1097" s="179">
        <v>14</v>
      </c>
      <c r="H1097" s="179">
        <v>3</v>
      </c>
      <c r="I1097" s="180">
        <v>72</v>
      </c>
    </row>
    <row r="1098" spans="1:9">
      <c r="A1098" s="13" t="s">
        <v>3840</v>
      </c>
      <c r="B1098" s="166">
        <v>4</v>
      </c>
      <c r="C1098" s="179">
        <v>10</v>
      </c>
      <c r="D1098" s="179">
        <v>11</v>
      </c>
      <c r="E1098" s="179">
        <v>8</v>
      </c>
      <c r="F1098" s="179">
        <v>12</v>
      </c>
      <c r="G1098" s="179">
        <v>8</v>
      </c>
      <c r="H1098" s="179">
        <v>8</v>
      </c>
      <c r="I1098" s="180">
        <v>61</v>
      </c>
    </row>
    <row r="1099" spans="1:9">
      <c r="A1099" s="13" t="s">
        <v>3841</v>
      </c>
      <c r="B1099" s="166">
        <v>10</v>
      </c>
      <c r="C1099" s="179">
        <v>13</v>
      </c>
      <c r="D1099" s="179">
        <v>12</v>
      </c>
      <c r="E1099" s="179">
        <v>11</v>
      </c>
      <c r="F1099" s="179">
        <v>7</v>
      </c>
      <c r="G1099" s="179">
        <v>12</v>
      </c>
      <c r="H1099" s="179">
        <v>11</v>
      </c>
      <c r="I1099" s="180">
        <v>76</v>
      </c>
    </row>
    <row r="1100" spans="1:9">
      <c r="A1100" s="13" t="s">
        <v>3842</v>
      </c>
      <c r="B1100" s="166">
        <v>12</v>
      </c>
      <c r="C1100" s="179">
        <v>10</v>
      </c>
      <c r="D1100" s="179">
        <v>10</v>
      </c>
      <c r="E1100" s="179">
        <v>5</v>
      </c>
      <c r="F1100" s="179">
        <v>11</v>
      </c>
      <c r="G1100" s="179">
        <v>10</v>
      </c>
      <c r="H1100" s="179">
        <v>7</v>
      </c>
      <c r="I1100" s="180">
        <v>65</v>
      </c>
    </row>
    <row r="1101" spans="1:9">
      <c r="A1101" s="13" t="s">
        <v>3843</v>
      </c>
      <c r="B1101" s="166">
        <v>9</v>
      </c>
      <c r="C1101" s="179">
        <v>5</v>
      </c>
      <c r="D1101" s="179">
        <v>12</v>
      </c>
      <c r="E1101" s="179">
        <v>4</v>
      </c>
      <c r="F1101" s="179">
        <v>8</v>
      </c>
      <c r="G1101" s="179">
        <v>9</v>
      </c>
      <c r="H1101" s="179">
        <v>6</v>
      </c>
      <c r="I1101" s="180">
        <v>53</v>
      </c>
    </row>
    <row r="1102" spans="1:9">
      <c r="A1102" s="13" t="s">
        <v>3844</v>
      </c>
      <c r="B1102" s="166">
        <v>11</v>
      </c>
      <c r="C1102" s="179">
        <v>13</v>
      </c>
      <c r="D1102" s="179">
        <v>11</v>
      </c>
      <c r="E1102" s="179">
        <v>9</v>
      </c>
      <c r="F1102" s="179">
        <v>12</v>
      </c>
      <c r="G1102" s="179">
        <v>14</v>
      </c>
      <c r="H1102" s="179">
        <v>8</v>
      </c>
      <c r="I1102" s="180">
        <v>78</v>
      </c>
    </row>
    <row r="1103" spans="1:9">
      <c r="A1103" s="13" t="s">
        <v>3847</v>
      </c>
      <c r="B1103" s="166">
        <v>7</v>
      </c>
      <c r="C1103" s="179">
        <v>11</v>
      </c>
      <c r="D1103" s="179">
        <v>3</v>
      </c>
      <c r="E1103" s="179">
        <v>6</v>
      </c>
      <c r="F1103" s="179">
        <v>11</v>
      </c>
      <c r="G1103" s="179">
        <v>11</v>
      </c>
      <c r="H1103" s="179">
        <v>10</v>
      </c>
      <c r="I1103" s="180">
        <v>59</v>
      </c>
    </row>
    <row r="1104" spans="1:9">
      <c r="A1104" s="13" t="s">
        <v>3845</v>
      </c>
      <c r="B1104" s="166">
        <v>12</v>
      </c>
      <c r="C1104" s="179">
        <v>15</v>
      </c>
      <c r="D1104" s="179">
        <v>6</v>
      </c>
      <c r="E1104" s="179">
        <v>13</v>
      </c>
      <c r="F1104" s="179">
        <v>5</v>
      </c>
      <c r="G1104" s="179">
        <v>7</v>
      </c>
      <c r="H1104" s="179">
        <v>11</v>
      </c>
      <c r="I1104" s="180">
        <v>69</v>
      </c>
    </row>
    <row r="1105" spans="1:18">
      <c r="A1105" s="13" t="s">
        <v>3846</v>
      </c>
      <c r="B1105" s="166">
        <v>8</v>
      </c>
      <c r="C1105" s="179">
        <v>11</v>
      </c>
      <c r="D1105" s="179">
        <v>6</v>
      </c>
      <c r="E1105" s="179">
        <v>8</v>
      </c>
      <c r="F1105" s="179">
        <v>12</v>
      </c>
      <c r="G1105" s="179">
        <v>15</v>
      </c>
      <c r="H1105" s="179">
        <v>7</v>
      </c>
      <c r="I1105" s="180">
        <v>67</v>
      </c>
    </row>
    <row r="1106" spans="1:18">
      <c r="A1106" s="13" t="s">
        <v>3848</v>
      </c>
      <c r="B1106" s="166">
        <v>10</v>
      </c>
      <c r="C1106" s="179">
        <v>10</v>
      </c>
      <c r="D1106" s="179">
        <v>12</v>
      </c>
      <c r="E1106" s="179">
        <v>6</v>
      </c>
      <c r="F1106" s="179">
        <v>9</v>
      </c>
      <c r="G1106" s="179">
        <v>16</v>
      </c>
      <c r="H1106" s="179">
        <v>11</v>
      </c>
      <c r="I1106" s="180">
        <v>74</v>
      </c>
    </row>
    <row r="1107" spans="1:18">
      <c r="A1107" s="13" t="s">
        <v>3849</v>
      </c>
      <c r="B1107" s="166">
        <v>12</v>
      </c>
      <c r="C1107" s="179">
        <v>11</v>
      </c>
      <c r="D1107" s="179">
        <v>8</v>
      </c>
      <c r="E1107" s="179">
        <v>9</v>
      </c>
      <c r="F1107" s="179">
        <v>6</v>
      </c>
      <c r="G1107" s="179">
        <v>6</v>
      </c>
      <c r="H1107" s="179">
        <v>11</v>
      </c>
      <c r="I1107" s="180">
        <v>63</v>
      </c>
    </row>
    <row r="1108" spans="1:18">
      <c r="A1108" s="42" t="s">
        <v>3122</v>
      </c>
      <c r="B1108" s="170">
        <v>157</v>
      </c>
      <c r="C1108" s="181">
        <v>161</v>
      </c>
      <c r="D1108" s="181">
        <v>126</v>
      </c>
      <c r="E1108" s="181">
        <v>129</v>
      </c>
      <c r="F1108" s="181">
        <v>141</v>
      </c>
      <c r="G1108" s="181">
        <v>158</v>
      </c>
      <c r="H1108" s="181">
        <v>128</v>
      </c>
      <c r="I1108" s="182">
        <v>1000</v>
      </c>
    </row>
    <row r="1112" spans="1:18">
      <c r="A1112" s="102"/>
      <c r="B1112" s="136" t="s">
        <v>3234</v>
      </c>
    </row>
    <row r="1113" spans="1:18">
      <c r="A1113" s="11" t="s">
        <v>3138</v>
      </c>
      <c r="B1113" s="11" t="s">
        <v>29</v>
      </c>
      <c r="C1113" s="9"/>
      <c r="D1113" s="9"/>
      <c r="E1113" s="9"/>
      <c r="F1113" s="9"/>
      <c r="G1113" s="9"/>
      <c r="H1113" s="9"/>
      <c r="I1113" s="9"/>
      <c r="J1113" s="9"/>
      <c r="K1113" s="9"/>
      <c r="L1113" s="9"/>
      <c r="M1113" s="9"/>
      <c r="N1113" s="9"/>
      <c r="O1113" s="9"/>
      <c r="P1113" s="9"/>
      <c r="Q1113" s="9"/>
      <c r="R1113" s="20"/>
    </row>
    <row r="1114" spans="1:18">
      <c r="A1114" s="43" t="s">
        <v>4</v>
      </c>
      <c r="B1114" s="22" t="s">
        <v>130</v>
      </c>
      <c r="C1114" s="25" t="s">
        <v>46</v>
      </c>
      <c r="D1114" s="25" t="s">
        <v>148</v>
      </c>
      <c r="E1114" s="25" t="s">
        <v>77</v>
      </c>
      <c r="F1114" s="25" t="s">
        <v>185</v>
      </c>
      <c r="G1114" s="25" t="s">
        <v>619</v>
      </c>
      <c r="H1114" s="25" t="s">
        <v>1308</v>
      </c>
      <c r="I1114" s="25" t="s">
        <v>386</v>
      </c>
      <c r="J1114" s="25" t="s">
        <v>196</v>
      </c>
      <c r="K1114" s="25" t="s">
        <v>394</v>
      </c>
      <c r="L1114" s="25" t="s">
        <v>1416</v>
      </c>
      <c r="M1114" s="25" t="s">
        <v>1758</v>
      </c>
      <c r="N1114" s="25" t="s">
        <v>1614</v>
      </c>
      <c r="O1114" s="25" t="s">
        <v>138</v>
      </c>
      <c r="P1114" s="25" t="s">
        <v>97</v>
      </c>
      <c r="Q1114" s="25" t="s">
        <v>284</v>
      </c>
      <c r="R1114" s="39" t="s">
        <v>3122</v>
      </c>
    </row>
    <row r="1115" spans="1:18">
      <c r="A1115" s="8" t="s">
        <v>3835</v>
      </c>
      <c r="B1115" s="164">
        <v>5</v>
      </c>
      <c r="C1115" s="174">
        <v>12</v>
      </c>
      <c r="D1115" s="174">
        <v>4</v>
      </c>
      <c r="E1115" s="174">
        <v>7</v>
      </c>
      <c r="F1115" s="174">
        <v>3</v>
      </c>
      <c r="G1115" s="174"/>
      <c r="H1115" s="174"/>
      <c r="I1115" s="174">
        <v>1</v>
      </c>
      <c r="J1115" s="174"/>
      <c r="K1115" s="174"/>
      <c r="L1115" s="174">
        <v>1</v>
      </c>
      <c r="M1115" s="174">
        <v>1</v>
      </c>
      <c r="N1115" s="174"/>
      <c r="O1115" s="174">
        <v>11</v>
      </c>
      <c r="P1115" s="174">
        <v>7</v>
      </c>
      <c r="Q1115" s="174">
        <v>3</v>
      </c>
      <c r="R1115" s="175">
        <v>55</v>
      </c>
    </row>
    <row r="1116" spans="1:18">
      <c r="A1116" s="13" t="s">
        <v>3836</v>
      </c>
      <c r="B1116" s="166">
        <v>5</v>
      </c>
      <c r="C1116" s="179">
        <v>21</v>
      </c>
      <c r="D1116" s="179">
        <v>7</v>
      </c>
      <c r="E1116" s="179">
        <v>7</v>
      </c>
      <c r="F1116" s="179">
        <v>5</v>
      </c>
      <c r="G1116" s="179">
        <v>1</v>
      </c>
      <c r="H1116" s="179"/>
      <c r="I1116" s="179">
        <v>1</v>
      </c>
      <c r="J1116" s="179"/>
      <c r="K1116" s="179"/>
      <c r="L1116" s="179"/>
      <c r="M1116" s="179">
        <v>1</v>
      </c>
      <c r="N1116" s="179">
        <v>1</v>
      </c>
      <c r="O1116" s="179">
        <v>13</v>
      </c>
      <c r="P1116" s="179">
        <v>3</v>
      </c>
      <c r="Q1116" s="179">
        <v>2</v>
      </c>
      <c r="R1116" s="180">
        <v>67</v>
      </c>
    </row>
    <row r="1117" spans="1:18">
      <c r="A1117" s="13" t="s">
        <v>3837</v>
      </c>
      <c r="B1117" s="166">
        <v>3</v>
      </c>
      <c r="C1117" s="179">
        <v>23</v>
      </c>
      <c r="D1117" s="179">
        <v>13</v>
      </c>
      <c r="E1117" s="179">
        <v>4</v>
      </c>
      <c r="F1117" s="179">
        <v>1</v>
      </c>
      <c r="G1117" s="179"/>
      <c r="H1117" s="179"/>
      <c r="I1117" s="179"/>
      <c r="J1117" s="179"/>
      <c r="K1117" s="179"/>
      <c r="L1117" s="179"/>
      <c r="M1117" s="179"/>
      <c r="N1117" s="179"/>
      <c r="O1117" s="179">
        <v>14</v>
      </c>
      <c r="P1117" s="179">
        <v>4</v>
      </c>
      <c r="Q1117" s="179">
        <v>2</v>
      </c>
      <c r="R1117" s="180">
        <v>64</v>
      </c>
    </row>
    <row r="1118" spans="1:18">
      <c r="A1118" s="13" t="s">
        <v>3838</v>
      </c>
      <c r="B1118" s="166">
        <v>3</v>
      </c>
      <c r="C1118" s="179">
        <v>24</v>
      </c>
      <c r="D1118" s="179">
        <v>10</v>
      </c>
      <c r="E1118" s="179">
        <v>7</v>
      </c>
      <c r="F1118" s="179">
        <v>4</v>
      </c>
      <c r="G1118" s="179"/>
      <c r="H1118" s="179"/>
      <c r="I1118" s="179">
        <v>3</v>
      </c>
      <c r="J1118" s="179">
        <v>1</v>
      </c>
      <c r="K1118" s="179"/>
      <c r="L1118" s="179"/>
      <c r="M1118" s="179"/>
      <c r="N1118" s="179"/>
      <c r="O1118" s="179">
        <v>13</v>
      </c>
      <c r="P1118" s="179">
        <v>10</v>
      </c>
      <c r="Q1118" s="179">
        <v>2</v>
      </c>
      <c r="R1118" s="180">
        <v>77</v>
      </c>
    </row>
    <row r="1119" spans="1:18">
      <c r="A1119" s="13" t="s">
        <v>3839</v>
      </c>
      <c r="B1119" s="166">
        <v>5</v>
      </c>
      <c r="C1119" s="179">
        <v>36</v>
      </c>
      <c r="D1119" s="179">
        <v>7</v>
      </c>
      <c r="E1119" s="179">
        <v>3</v>
      </c>
      <c r="F1119" s="179">
        <v>1</v>
      </c>
      <c r="G1119" s="179">
        <v>1</v>
      </c>
      <c r="H1119" s="179"/>
      <c r="I1119" s="179">
        <v>1</v>
      </c>
      <c r="J1119" s="179"/>
      <c r="K1119" s="179"/>
      <c r="L1119" s="179"/>
      <c r="M1119" s="179"/>
      <c r="N1119" s="179"/>
      <c r="O1119" s="179">
        <v>17</v>
      </c>
      <c r="P1119" s="179">
        <v>1</v>
      </c>
      <c r="Q1119" s="179"/>
      <c r="R1119" s="180">
        <v>72</v>
      </c>
    </row>
    <row r="1120" spans="1:18">
      <c r="A1120" s="13" t="s">
        <v>3840</v>
      </c>
      <c r="B1120" s="166">
        <v>5</v>
      </c>
      <c r="C1120" s="179">
        <v>11</v>
      </c>
      <c r="D1120" s="179">
        <v>9</v>
      </c>
      <c r="E1120" s="179">
        <v>6</v>
      </c>
      <c r="F1120" s="179">
        <v>7</v>
      </c>
      <c r="G1120" s="179"/>
      <c r="H1120" s="179"/>
      <c r="I1120" s="179"/>
      <c r="J1120" s="179"/>
      <c r="K1120" s="179">
        <v>1</v>
      </c>
      <c r="L1120" s="179"/>
      <c r="M1120" s="179">
        <v>1</v>
      </c>
      <c r="N1120" s="179"/>
      <c r="O1120" s="179">
        <v>9</v>
      </c>
      <c r="P1120" s="179">
        <v>8</v>
      </c>
      <c r="Q1120" s="179">
        <v>4</v>
      </c>
      <c r="R1120" s="180">
        <v>61</v>
      </c>
    </row>
    <row r="1121" spans="1:18">
      <c r="A1121" s="13" t="s">
        <v>3841</v>
      </c>
      <c r="B1121" s="166">
        <v>10</v>
      </c>
      <c r="C1121" s="179">
        <v>26</v>
      </c>
      <c r="D1121" s="179">
        <v>10</v>
      </c>
      <c r="E1121" s="179">
        <v>8</v>
      </c>
      <c r="F1121" s="179">
        <v>2</v>
      </c>
      <c r="G1121" s="179"/>
      <c r="H1121" s="179"/>
      <c r="I1121" s="179"/>
      <c r="J1121" s="179"/>
      <c r="K1121" s="179"/>
      <c r="L1121" s="179"/>
      <c r="M1121" s="179"/>
      <c r="N1121" s="179"/>
      <c r="O1121" s="179">
        <v>16</v>
      </c>
      <c r="P1121" s="179">
        <v>3</v>
      </c>
      <c r="Q1121" s="179">
        <v>1</v>
      </c>
      <c r="R1121" s="180">
        <v>76</v>
      </c>
    </row>
    <row r="1122" spans="1:18">
      <c r="A1122" s="13" t="s">
        <v>3842</v>
      </c>
      <c r="B1122" s="166">
        <v>12</v>
      </c>
      <c r="C1122" s="179">
        <v>25</v>
      </c>
      <c r="D1122" s="179">
        <v>10</v>
      </c>
      <c r="E1122" s="179">
        <v>2</v>
      </c>
      <c r="F1122" s="179">
        <v>2</v>
      </c>
      <c r="G1122" s="179">
        <v>1</v>
      </c>
      <c r="H1122" s="179"/>
      <c r="I1122" s="179"/>
      <c r="J1122" s="179">
        <v>1</v>
      </c>
      <c r="K1122" s="179"/>
      <c r="L1122" s="179"/>
      <c r="M1122" s="179"/>
      <c r="N1122" s="179"/>
      <c r="O1122" s="179">
        <v>12</v>
      </c>
      <c r="P1122" s="179"/>
      <c r="Q1122" s="179"/>
      <c r="R1122" s="180">
        <v>65</v>
      </c>
    </row>
    <row r="1123" spans="1:18">
      <c r="A1123" s="13" t="s">
        <v>3843</v>
      </c>
      <c r="B1123" s="166">
        <v>7</v>
      </c>
      <c r="C1123" s="179">
        <v>20</v>
      </c>
      <c r="D1123" s="179">
        <v>11</v>
      </c>
      <c r="E1123" s="179">
        <v>1</v>
      </c>
      <c r="F1123" s="179">
        <v>2</v>
      </c>
      <c r="G1123" s="179">
        <v>1</v>
      </c>
      <c r="H1123" s="179">
        <v>1</v>
      </c>
      <c r="I1123" s="179">
        <v>2</v>
      </c>
      <c r="J1123" s="179"/>
      <c r="K1123" s="179"/>
      <c r="L1123" s="179"/>
      <c r="M1123" s="179"/>
      <c r="N1123" s="179"/>
      <c r="O1123" s="179">
        <v>8</v>
      </c>
      <c r="P1123" s="179"/>
      <c r="Q1123" s="179"/>
      <c r="R1123" s="180">
        <v>53</v>
      </c>
    </row>
    <row r="1124" spans="1:18">
      <c r="A1124" s="13" t="s">
        <v>3844</v>
      </c>
      <c r="B1124" s="166">
        <v>14</v>
      </c>
      <c r="C1124" s="179">
        <v>31</v>
      </c>
      <c r="D1124" s="179">
        <v>12</v>
      </c>
      <c r="E1124" s="179"/>
      <c r="F1124" s="179"/>
      <c r="G1124" s="179">
        <v>1</v>
      </c>
      <c r="H1124" s="179"/>
      <c r="I1124" s="179">
        <v>1</v>
      </c>
      <c r="J1124" s="179">
        <v>1</v>
      </c>
      <c r="K1124" s="179">
        <v>1</v>
      </c>
      <c r="L1124" s="179"/>
      <c r="M1124" s="179"/>
      <c r="N1124" s="179"/>
      <c r="O1124" s="179">
        <v>16</v>
      </c>
      <c r="P1124" s="179">
        <v>1</v>
      </c>
      <c r="Q1124" s="179"/>
      <c r="R1124" s="180">
        <v>78</v>
      </c>
    </row>
    <row r="1125" spans="1:18">
      <c r="A1125" s="13" t="s">
        <v>3847</v>
      </c>
      <c r="B1125" s="166">
        <v>8</v>
      </c>
      <c r="C1125" s="179">
        <v>24</v>
      </c>
      <c r="D1125" s="179">
        <v>13</v>
      </c>
      <c r="E1125" s="179">
        <v>1</v>
      </c>
      <c r="F1125" s="179">
        <v>2</v>
      </c>
      <c r="G1125" s="179">
        <v>1</v>
      </c>
      <c r="H1125" s="179"/>
      <c r="I1125" s="179"/>
      <c r="J1125" s="179"/>
      <c r="K1125" s="179"/>
      <c r="L1125" s="179"/>
      <c r="M1125" s="179"/>
      <c r="N1125" s="179"/>
      <c r="O1125" s="179">
        <v>10</v>
      </c>
      <c r="P1125" s="179"/>
      <c r="Q1125" s="179"/>
      <c r="R1125" s="180">
        <v>59</v>
      </c>
    </row>
    <row r="1126" spans="1:18">
      <c r="A1126" s="13" t="s">
        <v>3845</v>
      </c>
      <c r="B1126" s="166">
        <v>7</v>
      </c>
      <c r="C1126" s="179">
        <v>25</v>
      </c>
      <c r="D1126" s="179">
        <v>9</v>
      </c>
      <c r="E1126" s="179">
        <v>9</v>
      </c>
      <c r="F1126" s="179">
        <v>2</v>
      </c>
      <c r="G1126" s="179"/>
      <c r="H1126" s="179"/>
      <c r="I1126" s="179"/>
      <c r="J1126" s="179"/>
      <c r="K1126" s="179"/>
      <c r="L1126" s="179"/>
      <c r="M1126" s="179"/>
      <c r="N1126" s="179"/>
      <c r="O1126" s="179">
        <v>12</v>
      </c>
      <c r="P1126" s="179">
        <v>4</v>
      </c>
      <c r="Q1126" s="179">
        <v>1</v>
      </c>
      <c r="R1126" s="180">
        <v>69</v>
      </c>
    </row>
    <row r="1127" spans="1:18">
      <c r="A1127" s="13" t="s">
        <v>3846</v>
      </c>
      <c r="B1127" s="166">
        <v>11</v>
      </c>
      <c r="C1127" s="179">
        <v>22</v>
      </c>
      <c r="D1127" s="179">
        <v>9</v>
      </c>
      <c r="E1127" s="179">
        <v>5</v>
      </c>
      <c r="F1127" s="179">
        <v>2</v>
      </c>
      <c r="G1127" s="179"/>
      <c r="H1127" s="179"/>
      <c r="I1127" s="179"/>
      <c r="J1127" s="179"/>
      <c r="K1127" s="179"/>
      <c r="L1127" s="179"/>
      <c r="M1127" s="179"/>
      <c r="N1127" s="179"/>
      <c r="O1127" s="179">
        <v>14</v>
      </c>
      <c r="P1127" s="179">
        <v>2</v>
      </c>
      <c r="Q1127" s="179">
        <v>2</v>
      </c>
      <c r="R1127" s="180">
        <v>67</v>
      </c>
    </row>
    <row r="1128" spans="1:18">
      <c r="A1128" s="13" t="s">
        <v>3848</v>
      </c>
      <c r="B1128" s="166">
        <v>7</v>
      </c>
      <c r="C1128" s="179">
        <v>21</v>
      </c>
      <c r="D1128" s="179">
        <v>11</v>
      </c>
      <c r="E1128" s="179">
        <v>10</v>
      </c>
      <c r="F1128" s="179">
        <v>3</v>
      </c>
      <c r="G1128" s="179">
        <v>1</v>
      </c>
      <c r="H1128" s="179">
        <v>1</v>
      </c>
      <c r="I1128" s="179"/>
      <c r="J1128" s="179"/>
      <c r="K1128" s="179"/>
      <c r="L1128" s="179">
        <v>1</v>
      </c>
      <c r="M1128" s="179"/>
      <c r="N1128" s="179"/>
      <c r="O1128" s="179">
        <v>15</v>
      </c>
      <c r="P1128" s="179">
        <v>2</v>
      </c>
      <c r="Q1128" s="179">
        <v>2</v>
      </c>
      <c r="R1128" s="180">
        <v>74</v>
      </c>
    </row>
    <row r="1129" spans="1:18">
      <c r="A1129" s="13" t="s">
        <v>3849</v>
      </c>
      <c r="B1129" s="166">
        <v>6</v>
      </c>
      <c r="C1129" s="179">
        <v>11</v>
      </c>
      <c r="D1129" s="179">
        <v>7</v>
      </c>
      <c r="E1129" s="179">
        <v>8</v>
      </c>
      <c r="F1129" s="179">
        <v>10</v>
      </c>
      <c r="G1129" s="179">
        <v>1</v>
      </c>
      <c r="H1129" s="179"/>
      <c r="I1129" s="179"/>
      <c r="J1129" s="179"/>
      <c r="K1129" s="179"/>
      <c r="L1129" s="179"/>
      <c r="M1129" s="179"/>
      <c r="N1129" s="179"/>
      <c r="O1129" s="179">
        <v>9</v>
      </c>
      <c r="P1129" s="179">
        <v>6</v>
      </c>
      <c r="Q1129" s="179">
        <v>5</v>
      </c>
      <c r="R1129" s="180">
        <v>63</v>
      </c>
    </row>
    <row r="1130" spans="1:18">
      <c r="A1130" s="42" t="s">
        <v>3122</v>
      </c>
      <c r="B1130" s="170">
        <v>108</v>
      </c>
      <c r="C1130" s="181">
        <v>332</v>
      </c>
      <c r="D1130" s="181">
        <v>142</v>
      </c>
      <c r="E1130" s="181">
        <v>78</v>
      </c>
      <c r="F1130" s="181">
        <v>46</v>
      </c>
      <c r="G1130" s="181">
        <v>8</v>
      </c>
      <c r="H1130" s="181">
        <v>2</v>
      </c>
      <c r="I1130" s="181">
        <v>9</v>
      </c>
      <c r="J1130" s="181">
        <v>3</v>
      </c>
      <c r="K1130" s="181">
        <v>2</v>
      </c>
      <c r="L1130" s="181">
        <v>2</v>
      </c>
      <c r="M1130" s="181">
        <v>3</v>
      </c>
      <c r="N1130" s="181">
        <v>1</v>
      </c>
      <c r="O1130" s="181">
        <v>189</v>
      </c>
      <c r="P1130" s="181">
        <v>51</v>
      </c>
      <c r="Q1130" s="181">
        <v>24</v>
      </c>
      <c r="R1130" s="182">
        <v>1000</v>
      </c>
    </row>
    <row r="1137" spans="1:13">
      <c r="A1137" s="11" t="s">
        <v>29</v>
      </c>
      <c r="B1137" s="39" t="s">
        <v>3138</v>
      </c>
      <c r="C1137"/>
      <c r="D1137"/>
      <c r="E1137"/>
      <c r="F1137"/>
      <c r="G1137"/>
      <c r="H1137"/>
      <c r="I1137"/>
      <c r="J1137"/>
      <c r="K1137"/>
      <c r="L1137"/>
      <c r="M1137"/>
    </row>
    <row r="1138" spans="1:13">
      <c r="A1138" s="22" t="s">
        <v>46</v>
      </c>
      <c r="B1138" s="175">
        <v>332</v>
      </c>
      <c r="C1138"/>
      <c r="D1138"/>
      <c r="E1138"/>
      <c r="F1138"/>
      <c r="G1138"/>
      <c r="H1138"/>
      <c r="I1138"/>
      <c r="J1138"/>
      <c r="K1138"/>
      <c r="L1138"/>
      <c r="M1138"/>
    </row>
    <row r="1139" spans="1:13">
      <c r="A1139" s="24" t="s">
        <v>138</v>
      </c>
      <c r="B1139" s="180">
        <v>189</v>
      </c>
      <c r="C1139"/>
      <c r="D1139"/>
      <c r="E1139"/>
      <c r="F1139"/>
      <c r="G1139"/>
      <c r="H1139"/>
      <c r="I1139"/>
      <c r="J1139"/>
      <c r="K1139"/>
      <c r="L1139"/>
      <c r="M1139"/>
    </row>
    <row r="1140" spans="1:13">
      <c r="A1140" s="24" t="s">
        <v>148</v>
      </c>
      <c r="B1140" s="180">
        <v>142</v>
      </c>
      <c r="C1140"/>
      <c r="D1140"/>
      <c r="E1140"/>
      <c r="F1140"/>
      <c r="G1140"/>
      <c r="H1140"/>
      <c r="I1140"/>
      <c r="J1140"/>
      <c r="K1140"/>
      <c r="L1140"/>
      <c r="M1140"/>
    </row>
    <row r="1141" spans="1:13">
      <c r="A1141" s="24" t="s">
        <v>130</v>
      </c>
      <c r="B1141" s="180">
        <v>108</v>
      </c>
      <c r="C1141"/>
      <c r="D1141"/>
      <c r="E1141"/>
      <c r="F1141"/>
      <c r="G1141"/>
      <c r="H1141"/>
      <c r="I1141"/>
      <c r="J1141"/>
      <c r="K1141"/>
      <c r="L1141"/>
      <c r="M1141"/>
    </row>
    <row r="1142" spans="1:13">
      <c r="A1142" s="24" t="s">
        <v>77</v>
      </c>
      <c r="B1142" s="180">
        <v>78</v>
      </c>
      <c r="C1142"/>
      <c r="D1142"/>
      <c r="E1142"/>
      <c r="F1142"/>
      <c r="G1142"/>
      <c r="H1142"/>
      <c r="I1142"/>
      <c r="J1142"/>
      <c r="K1142"/>
      <c r="L1142"/>
      <c r="M1142"/>
    </row>
    <row r="1143" spans="1:13">
      <c r="A1143" s="24" t="s">
        <v>97</v>
      </c>
      <c r="B1143" s="180">
        <v>51</v>
      </c>
      <c r="C1143"/>
      <c r="D1143"/>
      <c r="E1143"/>
      <c r="F1143"/>
      <c r="G1143"/>
      <c r="H1143"/>
      <c r="I1143"/>
      <c r="J1143"/>
      <c r="K1143"/>
      <c r="L1143"/>
      <c r="M1143"/>
    </row>
    <row r="1144" spans="1:13">
      <c r="A1144" s="24" t="s">
        <v>185</v>
      </c>
      <c r="B1144" s="180">
        <v>46</v>
      </c>
      <c r="C1144"/>
      <c r="D1144"/>
      <c r="E1144"/>
      <c r="F1144"/>
      <c r="G1144"/>
      <c r="H1144"/>
      <c r="I1144"/>
      <c r="J1144"/>
      <c r="K1144"/>
      <c r="L1144"/>
      <c r="M1144"/>
    </row>
    <row r="1145" spans="1:13">
      <c r="A1145" s="24" t="s">
        <v>284</v>
      </c>
      <c r="B1145" s="180">
        <v>24</v>
      </c>
      <c r="C1145"/>
      <c r="D1145"/>
      <c r="E1145"/>
      <c r="F1145"/>
      <c r="G1145"/>
      <c r="H1145"/>
      <c r="I1145"/>
      <c r="J1145"/>
      <c r="K1145"/>
      <c r="L1145"/>
      <c r="M1145"/>
    </row>
    <row r="1146" spans="1:13">
      <c r="A1146" s="24" t="s">
        <v>386</v>
      </c>
      <c r="B1146" s="180">
        <v>9</v>
      </c>
      <c r="C1146"/>
      <c r="D1146"/>
      <c r="E1146"/>
      <c r="F1146"/>
      <c r="G1146"/>
      <c r="H1146"/>
      <c r="I1146"/>
      <c r="J1146"/>
      <c r="K1146"/>
      <c r="L1146"/>
      <c r="M1146"/>
    </row>
    <row r="1147" spans="1:13">
      <c r="A1147" s="24" t="s">
        <v>619</v>
      </c>
      <c r="B1147" s="180">
        <v>8</v>
      </c>
      <c r="C1147"/>
      <c r="D1147"/>
      <c r="E1147"/>
      <c r="F1147"/>
      <c r="G1147"/>
      <c r="H1147"/>
      <c r="I1147"/>
      <c r="J1147"/>
      <c r="K1147"/>
      <c r="L1147"/>
      <c r="M1147"/>
    </row>
    <row r="1148" spans="1:13">
      <c r="A1148" s="24" t="s">
        <v>196</v>
      </c>
      <c r="B1148" s="180">
        <v>3</v>
      </c>
      <c r="C1148"/>
      <c r="D1148"/>
      <c r="E1148"/>
      <c r="F1148"/>
      <c r="G1148"/>
      <c r="H1148"/>
      <c r="I1148"/>
      <c r="J1148"/>
      <c r="K1148"/>
      <c r="L1148"/>
      <c r="M1148"/>
    </row>
    <row r="1149" spans="1:13">
      <c r="A1149" s="24" t="s">
        <v>1758</v>
      </c>
      <c r="B1149" s="180">
        <v>3</v>
      </c>
      <c r="C1149"/>
      <c r="D1149"/>
      <c r="E1149"/>
      <c r="F1149"/>
      <c r="G1149"/>
      <c r="H1149"/>
      <c r="I1149"/>
      <c r="J1149"/>
      <c r="K1149"/>
      <c r="L1149"/>
      <c r="M1149"/>
    </row>
    <row r="1150" spans="1:13">
      <c r="A1150" s="24" t="s">
        <v>394</v>
      </c>
      <c r="B1150" s="180">
        <v>2</v>
      </c>
      <c r="C1150"/>
      <c r="D1150"/>
      <c r="E1150"/>
      <c r="F1150"/>
      <c r="G1150"/>
      <c r="H1150"/>
      <c r="I1150"/>
      <c r="J1150"/>
      <c r="K1150"/>
      <c r="L1150"/>
      <c r="M1150"/>
    </row>
    <row r="1151" spans="1:13">
      <c r="A1151" s="24" t="s">
        <v>1416</v>
      </c>
      <c r="B1151" s="180">
        <v>2</v>
      </c>
      <c r="C1151"/>
      <c r="D1151"/>
      <c r="E1151"/>
      <c r="F1151"/>
      <c r="G1151"/>
      <c r="H1151"/>
      <c r="I1151"/>
      <c r="J1151"/>
      <c r="K1151"/>
      <c r="L1151"/>
      <c r="M1151"/>
    </row>
    <row r="1152" spans="1:13">
      <c r="A1152" s="24" t="s">
        <v>1308</v>
      </c>
      <c r="B1152" s="180">
        <v>2</v>
      </c>
      <c r="C1152"/>
      <c r="D1152"/>
      <c r="E1152"/>
      <c r="F1152"/>
      <c r="G1152"/>
      <c r="H1152"/>
      <c r="I1152"/>
      <c r="J1152"/>
      <c r="K1152"/>
      <c r="L1152"/>
      <c r="M1152"/>
    </row>
    <row r="1153" spans="1:18">
      <c r="A1153" s="24" t="s">
        <v>1614</v>
      </c>
      <c r="B1153" s="180">
        <v>1</v>
      </c>
      <c r="C1153"/>
      <c r="D1153"/>
      <c r="E1153"/>
      <c r="F1153"/>
      <c r="G1153"/>
      <c r="H1153"/>
      <c r="I1153"/>
      <c r="J1153"/>
      <c r="K1153"/>
      <c r="L1153"/>
      <c r="M1153"/>
    </row>
    <row r="1154" spans="1:18">
      <c r="A1154" s="42" t="s">
        <v>3122</v>
      </c>
      <c r="B1154" s="182">
        <v>1000</v>
      </c>
      <c r="C1154"/>
      <c r="D1154"/>
      <c r="E1154"/>
      <c r="F1154"/>
      <c r="G1154"/>
      <c r="H1154"/>
      <c r="I1154"/>
      <c r="J1154"/>
      <c r="K1154"/>
      <c r="L1154"/>
      <c r="M1154"/>
    </row>
    <row r="1159" spans="1:18">
      <c r="A1159" s="11" t="s">
        <v>3158</v>
      </c>
      <c r="B1159" s="9"/>
      <c r="C1159" s="43" t="s">
        <v>4</v>
      </c>
      <c r="D1159" s="9"/>
      <c r="E1159" s="9"/>
      <c r="F1159" s="9"/>
      <c r="G1159" s="9"/>
      <c r="H1159" s="9"/>
      <c r="I1159" s="9"/>
      <c r="J1159" s="9"/>
      <c r="K1159" s="9"/>
      <c r="L1159" s="9"/>
      <c r="M1159" s="9"/>
      <c r="N1159" s="9"/>
      <c r="O1159" s="9"/>
      <c r="P1159" s="9"/>
      <c r="Q1159" s="9"/>
      <c r="R1159" s="20"/>
    </row>
    <row r="1160" spans="1:18">
      <c r="A1160" s="11" t="s">
        <v>3218</v>
      </c>
      <c r="B1160" s="11" t="s">
        <v>2</v>
      </c>
      <c r="C1160" s="8" t="s">
        <v>3835</v>
      </c>
      <c r="D1160" s="21" t="s">
        <v>3836</v>
      </c>
      <c r="E1160" s="21" t="s">
        <v>3837</v>
      </c>
      <c r="F1160" s="21" t="s">
        <v>3838</v>
      </c>
      <c r="G1160" s="21" t="s">
        <v>3839</v>
      </c>
      <c r="H1160" s="21" t="s">
        <v>3840</v>
      </c>
      <c r="I1160" s="21" t="s">
        <v>3841</v>
      </c>
      <c r="J1160" s="21" t="s">
        <v>3842</v>
      </c>
      <c r="K1160" s="21" t="s">
        <v>3843</v>
      </c>
      <c r="L1160" s="21" t="s">
        <v>3844</v>
      </c>
      <c r="M1160" s="21" t="s">
        <v>3847</v>
      </c>
      <c r="N1160" s="21" t="s">
        <v>3845</v>
      </c>
      <c r="O1160" s="21" t="s">
        <v>3846</v>
      </c>
      <c r="P1160" s="21" t="s">
        <v>3848</v>
      </c>
      <c r="Q1160" s="21" t="s">
        <v>3849</v>
      </c>
      <c r="R1160" s="39" t="s">
        <v>3122</v>
      </c>
    </row>
    <row r="1161" spans="1:18">
      <c r="A1161" s="8" t="s">
        <v>3866</v>
      </c>
      <c r="B1161" s="60">
        <v>46025</v>
      </c>
      <c r="C1161" s="164"/>
      <c r="D1161" s="174"/>
      <c r="E1161" s="174"/>
      <c r="F1161" s="174"/>
      <c r="G1161" s="174"/>
      <c r="H1161" s="174"/>
      <c r="I1161" s="174"/>
      <c r="J1161" s="174"/>
      <c r="K1161" s="174"/>
      <c r="L1161" s="174">
        <v>0</v>
      </c>
      <c r="M1161" s="174"/>
      <c r="N1161" s="174"/>
      <c r="O1161" s="174"/>
      <c r="P1161" s="174"/>
      <c r="Q1161" s="174"/>
      <c r="R1161" s="175">
        <v>0</v>
      </c>
    </row>
    <row r="1162" spans="1:18">
      <c r="A1162" s="10"/>
      <c r="B1162" s="58">
        <v>46027</v>
      </c>
      <c r="C1162" s="166"/>
      <c r="D1162" s="179"/>
      <c r="E1162" s="179"/>
      <c r="F1162" s="179"/>
      <c r="G1162" s="179"/>
      <c r="H1162" s="179"/>
      <c r="I1162" s="179"/>
      <c r="J1162" s="179"/>
      <c r="K1162" s="179"/>
      <c r="L1162" s="179"/>
      <c r="M1162" s="179">
        <v>3</v>
      </c>
      <c r="N1162" s="179"/>
      <c r="O1162" s="179"/>
      <c r="P1162" s="179"/>
      <c r="Q1162" s="179"/>
      <c r="R1162" s="180">
        <v>3</v>
      </c>
    </row>
    <row r="1163" spans="1:18">
      <c r="A1163" s="10"/>
      <c r="B1163" s="58">
        <v>46029</v>
      </c>
      <c r="C1163" s="166"/>
      <c r="D1163" s="179"/>
      <c r="E1163" s="179"/>
      <c r="F1163" s="179"/>
      <c r="G1163" s="179"/>
      <c r="H1163" s="179"/>
      <c r="I1163" s="179"/>
      <c r="J1163" s="179"/>
      <c r="K1163" s="179"/>
      <c r="L1163" s="179"/>
      <c r="M1163" s="179"/>
      <c r="N1163" s="179"/>
      <c r="O1163" s="179">
        <v>0</v>
      </c>
      <c r="P1163" s="179"/>
      <c r="Q1163" s="179"/>
      <c r="R1163" s="180">
        <v>0</v>
      </c>
    </row>
    <row r="1164" spans="1:18">
      <c r="A1164" s="10"/>
      <c r="B1164" s="58">
        <v>46030</v>
      </c>
      <c r="C1164" s="166"/>
      <c r="D1164" s="179"/>
      <c r="E1164" s="179"/>
      <c r="F1164" s="179"/>
      <c r="G1164" s="179">
        <v>5</v>
      </c>
      <c r="H1164" s="179"/>
      <c r="I1164" s="179"/>
      <c r="J1164" s="179"/>
      <c r="K1164" s="179"/>
      <c r="L1164" s="179"/>
      <c r="M1164" s="179"/>
      <c r="N1164" s="179"/>
      <c r="O1164" s="179"/>
      <c r="P1164" s="179"/>
      <c r="Q1164" s="179"/>
      <c r="R1164" s="180">
        <v>5</v>
      </c>
    </row>
    <row r="1165" spans="1:18">
      <c r="A1165" s="10"/>
      <c r="B1165" s="58">
        <v>46031</v>
      </c>
      <c r="C1165" s="166"/>
      <c r="D1165" s="179"/>
      <c r="E1165" s="179">
        <v>5</v>
      </c>
      <c r="F1165" s="179"/>
      <c r="G1165" s="179">
        <v>8</v>
      </c>
      <c r="H1165" s="179"/>
      <c r="I1165" s="179"/>
      <c r="J1165" s="179"/>
      <c r="K1165" s="179"/>
      <c r="L1165" s="179">
        <v>0</v>
      </c>
      <c r="M1165" s="179"/>
      <c r="N1165" s="179"/>
      <c r="O1165" s="179"/>
      <c r="P1165" s="179"/>
      <c r="Q1165" s="179"/>
      <c r="R1165" s="180">
        <v>13</v>
      </c>
    </row>
    <row r="1166" spans="1:18">
      <c r="A1166" s="10"/>
      <c r="B1166" s="58">
        <v>46035</v>
      </c>
      <c r="C1166" s="166"/>
      <c r="D1166" s="179"/>
      <c r="E1166" s="179"/>
      <c r="F1166" s="179"/>
      <c r="G1166" s="179"/>
      <c r="H1166" s="179"/>
      <c r="I1166" s="179">
        <v>11</v>
      </c>
      <c r="J1166" s="179"/>
      <c r="K1166" s="179"/>
      <c r="L1166" s="179"/>
      <c r="M1166" s="179"/>
      <c r="N1166" s="179"/>
      <c r="O1166" s="179"/>
      <c r="P1166" s="179"/>
      <c r="Q1166" s="179"/>
      <c r="R1166" s="180">
        <v>11</v>
      </c>
    </row>
    <row r="1167" spans="1:18">
      <c r="A1167" s="10"/>
      <c r="B1167" s="58">
        <v>46036</v>
      </c>
      <c r="C1167" s="166"/>
      <c r="D1167" s="179"/>
      <c r="E1167" s="179">
        <v>12</v>
      </c>
      <c r="F1167" s="179">
        <v>8</v>
      </c>
      <c r="G1167" s="179"/>
      <c r="H1167" s="179"/>
      <c r="I1167" s="179"/>
      <c r="J1167" s="179"/>
      <c r="K1167" s="179"/>
      <c r="L1167" s="179"/>
      <c r="M1167" s="179"/>
      <c r="N1167" s="179"/>
      <c r="O1167" s="179"/>
      <c r="P1167" s="179"/>
      <c r="Q1167" s="179"/>
      <c r="R1167" s="180">
        <v>20</v>
      </c>
    </row>
    <row r="1168" spans="1:18">
      <c r="A1168" s="10"/>
      <c r="B1168" s="58">
        <v>46037</v>
      </c>
      <c r="C1168" s="166"/>
      <c r="D1168" s="179"/>
      <c r="E1168" s="179"/>
      <c r="F1168" s="179"/>
      <c r="G1168" s="179"/>
      <c r="H1168" s="179"/>
      <c r="I1168" s="179"/>
      <c r="J1168" s="179"/>
      <c r="K1168" s="179"/>
      <c r="L1168" s="179">
        <v>6</v>
      </c>
      <c r="M1168" s="179"/>
      <c r="N1168" s="179"/>
      <c r="O1168" s="179"/>
      <c r="P1168" s="179">
        <v>8</v>
      </c>
      <c r="Q1168" s="179"/>
      <c r="R1168" s="180">
        <v>14</v>
      </c>
    </row>
    <row r="1169" spans="1:18">
      <c r="A1169" s="10"/>
      <c r="B1169" s="58">
        <v>46038</v>
      </c>
      <c r="C1169" s="166"/>
      <c r="D1169" s="179"/>
      <c r="E1169" s="179"/>
      <c r="F1169" s="179"/>
      <c r="G1169" s="179"/>
      <c r="H1169" s="179"/>
      <c r="I1169" s="179"/>
      <c r="J1169" s="179"/>
      <c r="K1169" s="179"/>
      <c r="L1169" s="179"/>
      <c r="M1169" s="179">
        <v>9</v>
      </c>
      <c r="N1169" s="179"/>
      <c r="O1169" s="179"/>
      <c r="P1169" s="179"/>
      <c r="Q1169" s="179"/>
      <c r="R1169" s="180">
        <v>9</v>
      </c>
    </row>
    <row r="1170" spans="1:18">
      <c r="A1170" s="10"/>
      <c r="B1170" s="58">
        <v>46039</v>
      </c>
      <c r="C1170" s="166"/>
      <c r="D1170" s="179"/>
      <c r="E1170" s="179">
        <v>16</v>
      </c>
      <c r="F1170" s="179"/>
      <c r="G1170" s="179">
        <v>9</v>
      </c>
      <c r="H1170" s="179"/>
      <c r="I1170" s="179"/>
      <c r="J1170" s="179"/>
      <c r="K1170" s="179">
        <v>16</v>
      </c>
      <c r="L1170" s="179"/>
      <c r="M1170" s="179"/>
      <c r="N1170" s="179"/>
      <c r="O1170" s="179">
        <v>9</v>
      </c>
      <c r="P1170" s="179"/>
      <c r="Q1170" s="179"/>
      <c r="R1170" s="180">
        <v>50</v>
      </c>
    </row>
    <row r="1171" spans="1:18">
      <c r="A1171" s="10"/>
      <c r="B1171" s="58">
        <v>46040</v>
      </c>
      <c r="C1171" s="166"/>
      <c r="D1171" s="179">
        <v>9</v>
      </c>
      <c r="E1171" s="179"/>
      <c r="F1171" s="179"/>
      <c r="G1171" s="179">
        <v>16</v>
      </c>
      <c r="H1171" s="179"/>
      <c r="I1171" s="179"/>
      <c r="J1171" s="179"/>
      <c r="K1171" s="179"/>
      <c r="L1171" s="179">
        <v>0</v>
      </c>
      <c r="M1171" s="179"/>
      <c r="N1171" s="179"/>
      <c r="O1171" s="179">
        <v>6</v>
      </c>
      <c r="P1171" s="179">
        <v>14</v>
      </c>
      <c r="Q1171" s="179"/>
      <c r="R1171" s="180">
        <v>45</v>
      </c>
    </row>
    <row r="1172" spans="1:18">
      <c r="A1172" s="10"/>
      <c r="B1172" s="58">
        <v>46041</v>
      </c>
      <c r="C1172" s="166"/>
      <c r="D1172" s="179"/>
      <c r="E1172" s="179">
        <v>10</v>
      </c>
      <c r="F1172" s="179">
        <v>16</v>
      </c>
      <c r="G1172" s="179"/>
      <c r="H1172" s="179"/>
      <c r="I1172" s="179"/>
      <c r="J1172" s="179"/>
      <c r="K1172" s="179"/>
      <c r="L1172" s="179">
        <v>-2</v>
      </c>
      <c r="M1172" s="179"/>
      <c r="N1172" s="179"/>
      <c r="O1172" s="179">
        <v>14</v>
      </c>
      <c r="P1172" s="179"/>
      <c r="Q1172" s="179"/>
      <c r="R1172" s="180">
        <v>38</v>
      </c>
    </row>
    <row r="1173" spans="1:18">
      <c r="A1173" s="10"/>
      <c r="B1173" s="58">
        <v>46042</v>
      </c>
      <c r="C1173" s="166"/>
      <c r="D1173" s="179"/>
      <c r="E1173" s="179">
        <v>3</v>
      </c>
      <c r="F1173" s="179"/>
      <c r="G1173" s="179"/>
      <c r="H1173" s="179"/>
      <c r="I1173" s="179"/>
      <c r="J1173" s="179">
        <v>19</v>
      </c>
      <c r="K1173" s="179"/>
      <c r="L1173" s="179"/>
      <c r="M1173" s="179">
        <v>10</v>
      </c>
      <c r="N1173" s="179"/>
      <c r="O1173" s="179">
        <v>3</v>
      </c>
      <c r="P1173" s="179">
        <v>19</v>
      </c>
      <c r="Q1173" s="179"/>
      <c r="R1173" s="180">
        <v>54</v>
      </c>
    </row>
    <row r="1174" spans="1:18">
      <c r="A1174" s="10"/>
      <c r="B1174" s="58">
        <v>46043</v>
      </c>
      <c r="C1174" s="166"/>
      <c r="D1174" s="179"/>
      <c r="E1174" s="179"/>
      <c r="F1174" s="179">
        <v>10</v>
      </c>
      <c r="G1174" s="179">
        <v>16</v>
      </c>
      <c r="H1174" s="179"/>
      <c r="I1174" s="179"/>
      <c r="J1174" s="179"/>
      <c r="K1174" s="179"/>
      <c r="L1174" s="179"/>
      <c r="M1174" s="179"/>
      <c r="N1174" s="179"/>
      <c r="O1174" s="179"/>
      <c r="P1174" s="179"/>
      <c r="Q1174" s="179">
        <v>20</v>
      </c>
      <c r="R1174" s="180">
        <v>46</v>
      </c>
    </row>
    <row r="1175" spans="1:18">
      <c r="A1175" s="10"/>
      <c r="B1175" s="58">
        <v>46044</v>
      </c>
      <c r="C1175" s="166"/>
      <c r="D1175" s="179"/>
      <c r="E1175" s="179"/>
      <c r="F1175" s="179"/>
      <c r="G1175" s="179">
        <v>8</v>
      </c>
      <c r="H1175" s="179"/>
      <c r="I1175" s="179"/>
      <c r="J1175" s="179"/>
      <c r="K1175" s="179"/>
      <c r="L1175" s="179"/>
      <c r="M1175" s="179"/>
      <c r="N1175" s="179"/>
      <c r="O1175" s="179"/>
      <c r="P1175" s="179"/>
      <c r="Q1175" s="179"/>
      <c r="R1175" s="180">
        <v>8</v>
      </c>
    </row>
    <row r="1176" spans="1:18">
      <c r="A1176" s="10"/>
      <c r="B1176" s="58">
        <v>46045</v>
      </c>
      <c r="C1176" s="166"/>
      <c r="D1176" s="179"/>
      <c r="E1176" s="179"/>
      <c r="F1176" s="179"/>
      <c r="G1176" s="179"/>
      <c r="H1176" s="179"/>
      <c r="I1176" s="179"/>
      <c r="J1176" s="179"/>
      <c r="K1176" s="179">
        <v>19</v>
      </c>
      <c r="L1176" s="179"/>
      <c r="M1176" s="179"/>
      <c r="N1176" s="179">
        <v>3</v>
      </c>
      <c r="O1176" s="179">
        <v>13</v>
      </c>
      <c r="P1176" s="179"/>
      <c r="Q1176" s="179"/>
      <c r="R1176" s="180">
        <v>35</v>
      </c>
    </row>
    <row r="1177" spans="1:18">
      <c r="A1177" s="10"/>
      <c r="B1177" s="58">
        <v>46046</v>
      </c>
      <c r="C1177" s="166"/>
      <c r="D1177" s="179">
        <v>13</v>
      </c>
      <c r="E1177" s="179"/>
      <c r="F1177" s="179"/>
      <c r="G1177" s="179">
        <v>17</v>
      </c>
      <c r="H1177" s="179">
        <v>21</v>
      </c>
      <c r="I1177" s="179">
        <v>20</v>
      </c>
      <c r="J1177" s="179"/>
      <c r="K1177" s="179"/>
      <c r="L1177" s="179"/>
      <c r="M1177" s="179">
        <v>23</v>
      </c>
      <c r="N1177" s="179"/>
      <c r="O1177" s="179">
        <v>10</v>
      </c>
      <c r="P1177" s="179"/>
      <c r="Q1177" s="179">
        <v>17</v>
      </c>
      <c r="R1177" s="180">
        <v>121</v>
      </c>
    </row>
    <row r="1178" spans="1:18">
      <c r="A1178" s="10"/>
      <c r="B1178" s="58">
        <v>46047</v>
      </c>
      <c r="C1178" s="166"/>
      <c r="D1178" s="179"/>
      <c r="E1178" s="179"/>
      <c r="F1178" s="179"/>
      <c r="G1178" s="179">
        <v>28</v>
      </c>
      <c r="H1178" s="179"/>
      <c r="I1178" s="179"/>
      <c r="J1178" s="179">
        <v>16</v>
      </c>
      <c r="K1178" s="179"/>
      <c r="L1178" s="179">
        <v>2</v>
      </c>
      <c r="M1178" s="179"/>
      <c r="N1178" s="179"/>
      <c r="O1178" s="179"/>
      <c r="P1178" s="179">
        <v>14</v>
      </c>
      <c r="Q1178" s="179"/>
      <c r="R1178" s="180">
        <v>60</v>
      </c>
    </row>
    <row r="1179" spans="1:18">
      <c r="A1179" s="10"/>
      <c r="B1179" s="58">
        <v>46048</v>
      </c>
      <c r="C1179" s="166"/>
      <c r="D1179" s="179">
        <v>-5</v>
      </c>
      <c r="E1179" s="179"/>
      <c r="F1179" s="179"/>
      <c r="G1179" s="179"/>
      <c r="H1179" s="179">
        <v>17</v>
      </c>
      <c r="I1179" s="179"/>
      <c r="J1179" s="179"/>
      <c r="K1179" s="179"/>
      <c r="L1179" s="179"/>
      <c r="M1179" s="179">
        <v>17</v>
      </c>
      <c r="N1179" s="179"/>
      <c r="O1179" s="179"/>
      <c r="P1179" s="179"/>
      <c r="Q1179" s="179">
        <v>30</v>
      </c>
      <c r="R1179" s="180">
        <v>59</v>
      </c>
    </row>
    <row r="1180" spans="1:18">
      <c r="A1180" s="10"/>
      <c r="B1180" s="58">
        <v>46049</v>
      </c>
      <c r="C1180" s="166"/>
      <c r="D1180" s="179"/>
      <c r="E1180" s="179">
        <v>0</v>
      </c>
      <c r="F1180" s="179"/>
      <c r="G1180" s="179">
        <v>11</v>
      </c>
      <c r="H1180" s="179"/>
      <c r="I1180" s="179"/>
      <c r="J1180" s="179"/>
      <c r="K1180" s="179">
        <v>47</v>
      </c>
      <c r="L1180" s="179"/>
      <c r="M1180" s="179"/>
      <c r="N1180" s="179">
        <v>13</v>
      </c>
      <c r="O1180" s="179"/>
      <c r="P1180" s="179"/>
      <c r="Q1180" s="179"/>
      <c r="R1180" s="180">
        <v>71</v>
      </c>
    </row>
    <row r="1181" spans="1:18">
      <c r="A1181" s="10"/>
      <c r="B1181" s="58">
        <v>46050</v>
      </c>
      <c r="C1181" s="166"/>
      <c r="D1181" s="179">
        <v>9</v>
      </c>
      <c r="E1181" s="179">
        <v>14</v>
      </c>
      <c r="F1181" s="179">
        <v>9</v>
      </c>
      <c r="G1181" s="179">
        <v>17</v>
      </c>
      <c r="H1181" s="179">
        <v>24</v>
      </c>
      <c r="I1181" s="179"/>
      <c r="J1181" s="179"/>
      <c r="K1181" s="179"/>
      <c r="L1181" s="179"/>
      <c r="M1181" s="179"/>
      <c r="N1181" s="179"/>
      <c r="O1181" s="179"/>
      <c r="P1181" s="179"/>
      <c r="Q1181" s="179">
        <v>20</v>
      </c>
      <c r="R1181" s="180">
        <v>93</v>
      </c>
    </row>
    <row r="1182" spans="1:18">
      <c r="A1182" s="10"/>
      <c r="B1182" s="58">
        <v>46051</v>
      </c>
      <c r="C1182" s="166"/>
      <c r="D1182" s="179"/>
      <c r="E1182" s="179"/>
      <c r="F1182" s="179">
        <v>10</v>
      </c>
      <c r="G1182" s="179"/>
      <c r="H1182" s="179"/>
      <c r="I1182" s="179">
        <v>16</v>
      </c>
      <c r="J1182" s="179"/>
      <c r="K1182" s="179">
        <v>16</v>
      </c>
      <c r="L1182" s="179">
        <v>12</v>
      </c>
      <c r="M1182" s="179"/>
      <c r="N1182" s="179"/>
      <c r="O1182" s="179">
        <v>17</v>
      </c>
      <c r="P1182" s="179">
        <v>37</v>
      </c>
      <c r="Q1182" s="179"/>
      <c r="R1182" s="180">
        <v>108</v>
      </c>
    </row>
    <row r="1183" spans="1:18">
      <c r="A1183" s="10"/>
      <c r="B1183" s="58">
        <v>46052</v>
      </c>
      <c r="C1183" s="166">
        <v>19</v>
      </c>
      <c r="D1183" s="179"/>
      <c r="E1183" s="179"/>
      <c r="F1183" s="179"/>
      <c r="G1183" s="179"/>
      <c r="H1183" s="179">
        <v>2</v>
      </c>
      <c r="I1183" s="179">
        <v>33</v>
      </c>
      <c r="J1183" s="179"/>
      <c r="K1183" s="179"/>
      <c r="L1183" s="179"/>
      <c r="M1183" s="179"/>
      <c r="N1183" s="179">
        <v>9</v>
      </c>
      <c r="O1183" s="179"/>
      <c r="P1183" s="179">
        <v>14</v>
      </c>
      <c r="Q1183" s="179"/>
      <c r="R1183" s="180">
        <v>77</v>
      </c>
    </row>
    <row r="1184" spans="1:18">
      <c r="A1184" s="10"/>
      <c r="B1184" s="58">
        <v>46053</v>
      </c>
      <c r="C1184" s="166"/>
      <c r="D1184" s="179">
        <v>40</v>
      </c>
      <c r="E1184" s="179">
        <v>15</v>
      </c>
      <c r="F1184" s="179"/>
      <c r="G1184" s="179"/>
      <c r="H1184" s="179"/>
      <c r="I1184" s="179"/>
      <c r="J1184" s="179"/>
      <c r="K1184" s="179"/>
      <c r="L1184" s="179"/>
      <c r="M1184" s="179">
        <v>-1</v>
      </c>
      <c r="N1184" s="179">
        <v>14</v>
      </c>
      <c r="O1184" s="179"/>
      <c r="P1184" s="179"/>
      <c r="Q1184" s="179"/>
      <c r="R1184" s="180">
        <v>68</v>
      </c>
    </row>
    <row r="1185" spans="1:18">
      <c r="A1185" s="8" t="s">
        <v>3867</v>
      </c>
      <c r="B1185" s="60">
        <v>46054</v>
      </c>
      <c r="C1185" s="164"/>
      <c r="D1185" s="174">
        <v>-5</v>
      </c>
      <c r="E1185" s="174"/>
      <c r="F1185" s="174">
        <v>15</v>
      </c>
      <c r="G1185" s="174"/>
      <c r="H1185" s="174"/>
      <c r="I1185" s="174"/>
      <c r="J1185" s="174"/>
      <c r="K1185" s="174"/>
      <c r="L1185" s="174">
        <v>-5</v>
      </c>
      <c r="M1185" s="174"/>
      <c r="N1185" s="174">
        <v>10</v>
      </c>
      <c r="O1185" s="174"/>
      <c r="P1185" s="174"/>
      <c r="Q1185" s="174"/>
      <c r="R1185" s="175">
        <v>15</v>
      </c>
    </row>
    <row r="1186" spans="1:18">
      <c r="A1186" s="10"/>
      <c r="B1186" s="58">
        <v>46055</v>
      </c>
      <c r="C1186" s="166"/>
      <c r="D1186" s="179">
        <v>21</v>
      </c>
      <c r="E1186" s="179"/>
      <c r="F1186" s="179"/>
      <c r="G1186" s="179"/>
      <c r="H1186" s="179"/>
      <c r="I1186" s="179"/>
      <c r="J1186" s="179"/>
      <c r="K1186" s="179"/>
      <c r="L1186" s="179"/>
      <c r="M1186" s="179"/>
      <c r="N1186" s="179">
        <v>22</v>
      </c>
      <c r="O1186" s="179">
        <v>2</v>
      </c>
      <c r="P1186" s="179"/>
      <c r="Q1186" s="179"/>
      <c r="R1186" s="180">
        <v>45</v>
      </c>
    </row>
    <row r="1187" spans="1:18">
      <c r="A1187" s="10"/>
      <c r="B1187" s="58">
        <v>46056</v>
      </c>
      <c r="C1187" s="166">
        <v>14</v>
      </c>
      <c r="D1187" s="179"/>
      <c r="E1187" s="179"/>
      <c r="F1187" s="179">
        <v>10</v>
      </c>
      <c r="G1187" s="179">
        <v>11</v>
      </c>
      <c r="H1187" s="179"/>
      <c r="I1187" s="179"/>
      <c r="J1187" s="179">
        <v>20</v>
      </c>
      <c r="K1187" s="179"/>
      <c r="L1187" s="179"/>
      <c r="M1187" s="179"/>
      <c r="N1187" s="179"/>
      <c r="O1187" s="179"/>
      <c r="P1187" s="179"/>
      <c r="Q1187" s="179"/>
      <c r="R1187" s="180">
        <v>55</v>
      </c>
    </row>
    <row r="1188" spans="1:18">
      <c r="A1188" s="10"/>
      <c r="B1188" s="58">
        <v>46057</v>
      </c>
      <c r="C1188" s="166"/>
      <c r="D1188" s="179"/>
      <c r="E1188" s="179"/>
      <c r="F1188" s="179"/>
      <c r="G1188" s="179"/>
      <c r="H1188" s="179">
        <v>23</v>
      </c>
      <c r="I1188" s="179">
        <v>35</v>
      </c>
      <c r="J1188" s="179">
        <v>24</v>
      </c>
      <c r="K1188" s="179"/>
      <c r="L1188" s="179"/>
      <c r="M1188" s="179"/>
      <c r="N1188" s="179">
        <v>11</v>
      </c>
      <c r="O1188" s="179"/>
      <c r="P1188" s="179"/>
      <c r="Q1188" s="179"/>
      <c r="R1188" s="180">
        <v>93</v>
      </c>
    </row>
    <row r="1189" spans="1:18">
      <c r="A1189" s="10"/>
      <c r="B1189" s="58">
        <v>46058</v>
      </c>
      <c r="C1189" s="166"/>
      <c r="D1189" s="179">
        <v>13</v>
      </c>
      <c r="E1189" s="179"/>
      <c r="F1189" s="179"/>
      <c r="G1189" s="179">
        <v>19</v>
      </c>
      <c r="H1189" s="179">
        <v>17</v>
      </c>
      <c r="I1189" s="179"/>
      <c r="J1189" s="179"/>
      <c r="K1189" s="179"/>
      <c r="L1189" s="179"/>
      <c r="M1189" s="179"/>
      <c r="N1189" s="179"/>
      <c r="O1189" s="179"/>
      <c r="P1189" s="179"/>
      <c r="Q1189" s="179">
        <v>9</v>
      </c>
      <c r="R1189" s="180">
        <v>58</v>
      </c>
    </row>
    <row r="1190" spans="1:18">
      <c r="A1190" s="10"/>
      <c r="B1190" s="58">
        <v>46059</v>
      </c>
      <c r="C1190" s="166"/>
      <c r="D1190" s="179">
        <v>22</v>
      </c>
      <c r="E1190" s="179">
        <v>0</v>
      </c>
      <c r="F1190" s="179"/>
      <c r="G1190" s="179"/>
      <c r="H1190" s="179"/>
      <c r="I1190" s="179">
        <v>24</v>
      </c>
      <c r="J1190" s="179">
        <v>22</v>
      </c>
      <c r="K1190" s="179">
        <v>23</v>
      </c>
      <c r="L1190" s="179"/>
      <c r="M1190" s="179"/>
      <c r="N1190" s="179"/>
      <c r="O1190" s="179"/>
      <c r="P1190" s="179"/>
      <c r="Q1190" s="179"/>
      <c r="R1190" s="180">
        <v>91</v>
      </c>
    </row>
    <row r="1191" spans="1:18">
      <c r="A1191" s="10"/>
      <c r="B1191" s="58">
        <v>46060</v>
      </c>
      <c r="C1191" s="166"/>
      <c r="D1191" s="179"/>
      <c r="E1191" s="179"/>
      <c r="F1191" s="179"/>
      <c r="G1191" s="179"/>
      <c r="H1191" s="179">
        <v>7</v>
      </c>
      <c r="I1191" s="179"/>
      <c r="J1191" s="179"/>
      <c r="K1191" s="179"/>
      <c r="L1191" s="179"/>
      <c r="M1191" s="179">
        <v>-5</v>
      </c>
      <c r="N1191" s="179">
        <v>14</v>
      </c>
      <c r="O1191" s="179"/>
      <c r="P1191" s="179"/>
      <c r="Q1191" s="179"/>
      <c r="R1191" s="180">
        <v>16</v>
      </c>
    </row>
    <row r="1192" spans="1:18">
      <c r="A1192" s="10"/>
      <c r="B1192" s="58">
        <v>46061</v>
      </c>
      <c r="C1192" s="166"/>
      <c r="D1192" s="179"/>
      <c r="E1192" s="179"/>
      <c r="F1192" s="179"/>
      <c r="G1192" s="179"/>
      <c r="H1192" s="179"/>
      <c r="I1192" s="179"/>
      <c r="J1192" s="179"/>
      <c r="K1192" s="179"/>
      <c r="L1192" s="179">
        <v>12</v>
      </c>
      <c r="M1192" s="179"/>
      <c r="N1192" s="179"/>
      <c r="O1192" s="179">
        <v>10</v>
      </c>
      <c r="P1192" s="179"/>
      <c r="Q1192" s="179"/>
      <c r="R1192" s="180">
        <v>22</v>
      </c>
    </row>
    <row r="1193" spans="1:18">
      <c r="A1193" s="10"/>
      <c r="B1193" s="58">
        <v>46062</v>
      </c>
      <c r="C1193" s="166"/>
      <c r="D1193" s="179">
        <v>20</v>
      </c>
      <c r="E1193" s="179">
        <v>16</v>
      </c>
      <c r="F1193" s="179">
        <v>14</v>
      </c>
      <c r="G1193" s="179"/>
      <c r="H1193" s="179"/>
      <c r="I1193" s="179"/>
      <c r="J1193" s="179"/>
      <c r="K1193" s="179"/>
      <c r="L1193" s="179"/>
      <c r="M1193" s="179"/>
      <c r="N1193" s="179"/>
      <c r="O1193" s="179"/>
      <c r="P1193" s="179"/>
      <c r="Q1193" s="179">
        <v>7</v>
      </c>
      <c r="R1193" s="180">
        <v>57</v>
      </c>
    </row>
    <row r="1194" spans="1:18">
      <c r="A1194" s="10"/>
      <c r="B1194" s="58">
        <v>46063</v>
      </c>
      <c r="C1194" s="166"/>
      <c r="D1194" s="179">
        <v>29</v>
      </c>
      <c r="E1194" s="179"/>
      <c r="F1194" s="179">
        <v>15</v>
      </c>
      <c r="G1194" s="179"/>
      <c r="H1194" s="179"/>
      <c r="I1194" s="179"/>
      <c r="J1194" s="179"/>
      <c r="K1194" s="179"/>
      <c r="L1194" s="179"/>
      <c r="M1194" s="179">
        <v>12</v>
      </c>
      <c r="N1194" s="179">
        <v>4</v>
      </c>
      <c r="O1194" s="179"/>
      <c r="P1194" s="179"/>
      <c r="Q1194" s="179">
        <v>24</v>
      </c>
      <c r="R1194" s="180">
        <v>84</v>
      </c>
    </row>
    <row r="1195" spans="1:18">
      <c r="A1195" s="10"/>
      <c r="B1195" s="58">
        <v>46064</v>
      </c>
      <c r="C1195" s="166">
        <v>26</v>
      </c>
      <c r="D1195" s="179"/>
      <c r="E1195" s="179"/>
      <c r="F1195" s="179"/>
      <c r="G1195" s="179">
        <v>6</v>
      </c>
      <c r="H1195" s="179">
        <v>0</v>
      </c>
      <c r="I1195" s="179"/>
      <c r="J1195" s="179">
        <v>23</v>
      </c>
      <c r="K1195" s="179"/>
      <c r="L1195" s="179"/>
      <c r="M1195" s="179"/>
      <c r="N1195" s="179">
        <v>4</v>
      </c>
      <c r="O1195" s="179">
        <v>16</v>
      </c>
      <c r="P1195" s="179"/>
      <c r="Q1195" s="179">
        <v>0</v>
      </c>
      <c r="R1195" s="180">
        <v>75</v>
      </c>
    </row>
    <row r="1196" spans="1:18">
      <c r="A1196" s="10"/>
      <c r="B1196" s="58">
        <v>46065</v>
      </c>
      <c r="C1196" s="166"/>
      <c r="D1196" s="179">
        <v>10</v>
      </c>
      <c r="E1196" s="179"/>
      <c r="F1196" s="179"/>
      <c r="G1196" s="179">
        <v>5</v>
      </c>
      <c r="H1196" s="179">
        <v>12</v>
      </c>
      <c r="I1196" s="179"/>
      <c r="J1196" s="179">
        <v>28</v>
      </c>
      <c r="K1196" s="179"/>
      <c r="L1196" s="179">
        <v>7</v>
      </c>
      <c r="M1196" s="179">
        <v>11</v>
      </c>
      <c r="N1196" s="179">
        <v>12</v>
      </c>
      <c r="O1196" s="179"/>
      <c r="P1196" s="179"/>
      <c r="Q1196" s="179"/>
      <c r="R1196" s="180">
        <v>85</v>
      </c>
    </row>
    <row r="1197" spans="1:18">
      <c r="A1197" s="10"/>
      <c r="B1197" s="58">
        <v>46066</v>
      </c>
      <c r="C1197" s="166"/>
      <c r="D1197" s="179"/>
      <c r="E1197" s="179"/>
      <c r="F1197" s="179"/>
      <c r="G1197" s="179"/>
      <c r="H1197" s="179"/>
      <c r="I1197" s="179"/>
      <c r="J1197" s="179"/>
      <c r="K1197" s="179"/>
      <c r="L1197" s="179">
        <v>10</v>
      </c>
      <c r="M1197" s="179">
        <v>9</v>
      </c>
      <c r="N1197" s="179"/>
      <c r="O1197" s="179"/>
      <c r="P1197" s="179">
        <v>17</v>
      </c>
      <c r="Q1197" s="179">
        <v>41</v>
      </c>
      <c r="R1197" s="180">
        <v>77</v>
      </c>
    </row>
    <row r="1198" spans="1:18">
      <c r="A1198" s="10"/>
      <c r="B1198" s="58">
        <v>46067</v>
      </c>
      <c r="C1198" s="166">
        <v>20</v>
      </c>
      <c r="D1198" s="179"/>
      <c r="E1198" s="179">
        <v>20</v>
      </c>
      <c r="F1198" s="179"/>
      <c r="G1198" s="179"/>
      <c r="H1198" s="179"/>
      <c r="I1198" s="179">
        <v>11</v>
      </c>
      <c r="J1198" s="179"/>
      <c r="K1198" s="179"/>
      <c r="L1198" s="179"/>
      <c r="M1198" s="179"/>
      <c r="N1198" s="179"/>
      <c r="O1198" s="179"/>
      <c r="P1198" s="179">
        <v>45</v>
      </c>
      <c r="Q1198" s="179">
        <v>14</v>
      </c>
      <c r="R1198" s="180">
        <v>110</v>
      </c>
    </row>
    <row r="1199" spans="1:18">
      <c r="A1199" s="10"/>
      <c r="B1199" s="58">
        <v>46068</v>
      </c>
      <c r="C1199" s="166"/>
      <c r="D1199" s="179">
        <v>19</v>
      </c>
      <c r="E1199" s="179"/>
      <c r="F1199" s="179"/>
      <c r="G1199" s="179"/>
      <c r="H1199" s="179"/>
      <c r="I1199" s="179">
        <v>8</v>
      </c>
      <c r="J1199" s="179"/>
      <c r="K1199" s="179">
        <v>13</v>
      </c>
      <c r="L1199" s="179"/>
      <c r="M1199" s="179"/>
      <c r="N1199" s="179">
        <v>8</v>
      </c>
      <c r="O1199" s="179"/>
      <c r="P1199" s="179">
        <v>17</v>
      </c>
      <c r="Q1199" s="179"/>
      <c r="R1199" s="180">
        <v>65</v>
      </c>
    </row>
    <row r="1200" spans="1:18">
      <c r="A1200" s="10"/>
      <c r="B1200" s="58">
        <v>46069</v>
      </c>
      <c r="C1200" s="166"/>
      <c r="D1200" s="179">
        <v>33</v>
      </c>
      <c r="E1200" s="179">
        <v>13</v>
      </c>
      <c r="F1200" s="179"/>
      <c r="G1200" s="179"/>
      <c r="H1200" s="179"/>
      <c r="I1200" s="179">
        <v>0</v>
      </c>
      <c r="J1200" s="179"/>
      <c r="K1200" s="179"/>
      <c r="L1200" s="179"/>
      <c r="M1200" s="179"/>
      <c r="N1200" s="179"/>
      <c r="O1200" s="179">
        <v>2</v>
      </c>
      <c r="P1200" s="179"/>
      <c r="Q1200" s="179"/>
      <c r="R1200" s="180">
        <v>48</v>
      </c>
    </row>
    <row r="1201" spans="1:18">
      <c r="A1201" s="10"/>
      <c r="B1201" s="58">
        <v>46070</v>
      </c>
      <c r="C1201" s="166"/>
      <c r="D1201" s="179">
        <v>13</v>
      </c>
      <c r="E1201" s="179">
        <v>0</v>
      </c>
      <c r="F1201" s="179"/>
      <c r="G1201" s="179">
        <v>14</v>
      </c>
      <c r="H1201" s="179"/>
      <c r="I1201" s="179"/>
      <c r="J1201" s="179"/>
      <c r="K1201" s="179">
        <v>18</v>
      </c>
      <c r="L1201" s="179"/>
      <c r="M1201" s="179"/>
      <c r="N1201" s="179"/>
      <c r="O1201" s="179"/>
      <c r="P1201" s="179">
        <v>23</v>
      </c>
      <c r="Q1201" s="179"/>
      <c r="R1201" s="180">
        <v>68</v>
      </c>
    </row>
    <row r="1202" spans="1:18">
      <c r="A1202" s="10"/>
      <c r="B1202" s="58">
        <v>46071</v>
      </c>
      <c r="C1202" s="166">
        <v>26</v>
      </c>
      <c r="D1202" s="179"/>
      <c r="E1202" s="179">
        <v>20</v>
      </c>
      <c r="F1202" s="179"/>
      <c r="G1202" s="179">
        <v>14</v>
      </c>
      <c r="H1202" s="179"/>
      <c r="I1202" s="179"/>
      <c r="J1202" s="179"/>
      <c r="K1202" s="179"/>
      <c r="L1202" s="179"/>
      <c r="M1202" s="179"/>
      <c r="N1202" s="179"/>
      <c r="O1202" s="179">
        <v>21</v>
      </c>
      <c r="P1202" s="179">
        <v>38</v>
      </c>
      <c r="Q1202" s="179"/>
      <c r="R1202" s="180">
        <v>119</v>
      </c>
    </row>
    <row r="1203" spans="1:18">
      <c r="A1203" s="10"/>
      <c r="B1203" s="58">
        <v>46072</v>
      </c>
      <c r="C1203" s="166"/>
      <c r="D1203" s="179"/>
      <c r="E1203" s="179"/>
      <c r="F1203" s="179">
        <v>22</v>
      </c>
      <c r="G1203" s="179"/>
      <c r="H1203" s="179"/>
      <c r="I1203" s="179">
        <v>37</v>
      </c>
      <c r="J1203" s="179"/>
      <c r="K1203" s="179"/>
      <c r="L1203" s="179">
        <v>9</v>
      </c>
      <c r="M1203" s="179"/>
      <c r="N1203" s="179"/>
      <c r="O1203" s="179"/>
      <c r="P1203" s="179"/>
      <c r="Q1203" s="179"/>
      <c r="R1203" s="180">
        <v>68</v>
      </c>
    </row>
    <row r="1204" spans="1:18">
      <c r="A1204" s="10"/>
      <c r="B1204" s="58">
        <v>46073</v>
      </c>
      <c r="C1204" s="166">
        <v>0</v>
      </c>
      <c r="D1204" s="179">
        <v>22</v>
      </c>
      <c r="E1204" s="179">
        <v>0</v>
      </c>
      <c r="F1204" s="179"/>
      <c r="G1204" s="179">
        <v>24</v>
      </c>
      <c r="H1204" s="179"/>
      <c r="I1204" s="179"/>
      <c r="J1204" s="179">
        <v>24</v>
      </c>
      <c r="K1204" s="179"/>
      <c r="L1204" s="179"/>
      <c r="M1204" s="179"/>
      <c r="N1204" s="179"/>
      <c r="O1204" s="179"/>
      <c r="P1204" s="179">
        <v>21</v>
      </c>
      <c r="Q1204" s="179"/>
      <c r="R1204" s="180">
        <v>91</v>
      </c>
    </row>
    <row r="1205" spans="1:18">
      <c r="A1205" s="10"/>
      <c r="B1205" s="58">
        <v>46074</v>
      </c>
      <c r="C1205" s="166">
        <v>26</v>
      </c>
      <c r="D1205" s="179">
        <v>22</v>
      </c>
      <c r="E1205" s="179"/>
      <c r="F1205" s="179">
        <v>17</v>
      </c>
      <c r="G1205" s="179"/>
      <c r="H1205" s="179"/>
      <c r="I1205" s="179">
        <v>15</v>
      </c>
      <c r="J1205" s="179"/>
      <c r="K1205" s="179"/>
      <c r="L1205" s="179">
        <v>18</v>
      </c>
      <c r="M1205" s="179"/>
      <c r="N1205" s="179"/>
      <c r="O1205" s="179"/>
      <c r="P1205" s="179"/>
      <c r="Q1205" s="179"/>
      <c r="R1205" s="180">
        <v>98</v>
      </c>
    </row>
    <row r="1206" spans="1:18">
      <c r="A1206" s="10"/>
      <c r="B1206" s="58">
        <v>46075</v>
      </c>
      <c r="C1206" s="166"/>
      <c r="D1206" s="179"/>
      <c r="E1206" s="179">
        <v>14</v>
      </c>
      <c r="F1206" s="179">
        <v>28</v>
      </c>
      <c r="G1206" s="179">
        <v>15</v>
      </c>
      <c r="H1206" s="179"/>
      <c r="I1206" s="179"/>
      <c r="J1206" s="179">
        <v>16</v>
      </c>
      <c r="K1206" s="179"/>
      <c r="L1206" s="179">
        <v>9</v>
      </c>
      <c r="M1206" s="179"/>
      <c r="N1206" s="179"/>
      <c r="O1206" s="179">
        <v>8</v>
      </c>
      <c r="P1206" s="179"/>
      <c r="Q1206" s="179"/>
      <c r="R1206" s="180">
        <v>90</v>
      </c>
    </row>
    <row r="1207" spans="1:18">
      <c r="A1207" s="10"/>
      <c r="B1207" s="58">
        <v>46076</v>
      </c>
      <c r="C1207" s="166">
        <v>-5</v>
      </c>
      <c r="D1207" s="179"/>
      <c r="E1207" s="179">
        <v>17</v>
      </c>
      <c r="F1207" s="179">
        <v>10</v>
      </c>
      <c r="G1207" s="179">
        <v>18</v>
      </c>
      <c r="H1207" s="179"/>
      <c r="I1207" s="179"/>
      <c r="J1207" s="179"/>
      <c r="K1207" s="179"/>
      <c r="L1207" s="179"/>
      <c r="M1207" s="179"/>
      <c r="N1207" s="179"/>
      <c r="O1207" s="179"/>
      <c r="P1207" s="179">
        <v>11</v>
      </c>
      <c r="Q1207" s="179"/>
      <c r="R1207" s="180">
        <v>51</v>
      </c>
    </row>
    <row r="1208" spans="1:18">
      <c r="A1208" s="10"/>
      <c r="B1208" s="58">
        <v>46077</v>
      </c>
      <c r="C1208" s="166"/>
      <c r="D1208" s="179">
        <v>12</v>
      </c>
      <c r="E1208" s="179"/>
      <c r="F1208" s="179">
        <v>23</v>
      </c>
      <c r="G1208" s="179">
        <v>13</v>
      </c>
      <c r="H1208" s="179">
        <v>16</v>
      </c>
      <c r="I1208" s="179"/>
      <c r="J1208" s="179"/>
      <c r="K1208" s="179">
        <v>13</v>
      </c>
      <c r="L1208" s="179"/>
      <c r="M1208" s="179"/>
      <c r="N1208" s="179">
        <v>4</v>
      </c>
      <c r="O1208" s="179"/>
      <c r="P1208" s="179">
        <v>30</v>
      </c>
      <c r="Q1208" s="179">
        <v>21</v>
      </c>
      <c r="R1208" s="180">
        <v>132</v>
      </c>
    </row>
    <row r="1209" spans="1:18">
      <c r="A1209" s="10"/>
      <c r="B1209" s="58">
        <v>46078</v>
      </c>
      <c r="C1209" s="166"/>
      <c r="D1209" s="179">
        <v>0</v>
      </c>
      <c r="E1209" s="179"/>
      <c r="F1209" s="179"/>
      <c r="G1209" s="179"/>
      <c r="H1209" s="179"/>
      <c r="I1209" s="179"/>
      <c r="J1209" s="179">
        <v>21</v>
      </c>
      <c r="K1209" s="179"/>
      <c r="L1209" s="179"/>
      <c r="M1209" s="179"/>
      <c r="N1209" s="179">
        <v>22</v>
      </c>
      <c r="O1209" s="179"/>
      <c r="P1209" s="179">
        <v>49</v>
      </c>
      <c r="Q1209" s="179">
        <v>21</v>
      </c>
      <c r="R1209" s="180">
        <v>113</v>
      </c>
    </row>
    <row r="1210" spans="1:18">
      <c r="A1210" s="10"/>
      <c r="B1210" s="58">
        <v>46079</v>
      </c>
      <c r="C1210" s="166"/>
      <c r="D1210" s="179"/>
      <c r="E1210" s="179"/>
      <c r="F1210" s="179">
        <v>14</v>
      </c>
      <c r="G1210" s="179">
        <v>14</v>
      </c>
      <c r="H1210" s="179"/>
      <c r="I1210" s="179"/>
      <c r="J1210" s="179">
        <v>32</v>
      </c>
      <c r="K1210" s="179"/>
      <c r="L1210" s="179"/>
      <c r="M1210" s="179"/>
      <c r="N1210" s="179"/>
      <c r="O1210" s="179"/>
      <c r="P1210" s="179"/>
      <c r="Q1210" s="179"/>
      <c r="R1210" s="180">
        <v>60</v>
      </c>
    </row>
    <row r="1211" spans="1:18">
      <c r="A1211" s="10"/>
      <c r="B1211" s="58">
        <v>46080</v>
      </c>
      <c r="C1211" s="166"/>
      <c r="D1211" s="179"/>
      <c r="E1211" s="179"/>
      <c r="F1211" s="179"/>
      <c r="G1211" s="179">
        <v>17</v>
      </c>
      <c r="H1211" s="179"/>
      <c r="I1211" s="179">
        <v>11</v>
      </c>
      <c r="J1211" s="179"/>
      <c r="K1211" s="179"/>
      <c r="L1211" s="179">
        <v>6</v>
      </c>
      <c r="M1211" s="179"/>
      <c r="N1211" s="179">
        <v>22</v>
      </c>
      <c r="O1211" s="179"/>
      <c r="P1211" s="179"/>
      <c r="Q1211" s="179"/>
      <c r="R1211" s="180">
        <v>56</v>
      </c>
    </row>
    <row r="1212" spans="1:18">
      <c r="A1212" s="10"/>
      <c r="B1212" s="58">
        <v>46081</v>
      </c>
      <c r="C1212" s="166"/>
      <c r="D1212" s="179"/>
      <c r="E1212" s="179"/>
      <c r="F1212" s="179"/>
      <c r="G1212" s="179">
        <v>46</v>
      </c>
      <c r="H1212" s="179"/>
      <c r="I1212" s="179"/>
      <c r="J1212" s="179">
        <v>15</v>
      </c>
      <c r="K1212" s="179">
        <v>16</v>
      </c>
      <c r="L1212" s="179">
        <v>9</v>
      </c>
      <c r="M1212" s="179">
        <v>10</v>
      </c>
      <c r="N1212" s="179"/>
      <c r="O1212" s="179"/>
      <c r="P1212" s="179"/>
      <c r="Q1212" s="179"/>
      <c r="R1212" s="180">
        <v>96</v>
      </c>
    </row>
    <row r="1213" spans="1:18">
      <c r="A1213" s="8" t="s">
        <v>3868</v>
      </c>
      <c r="B1213" s="60">
        <v>46082</v>
      </c>
      <c r="C1213" s="164"/>
      <c r="D1213" s="174">
        <v>32</v>
      </c>
      <c r="E1213" s="174"/>
      <c r="F1213" s="174"/>
      <c r="G1213" s="174"/>
      <c r="H1213" s="174">
        <v>31</v>
      </c>
      <c r="I1213" s="174"/>
      <c r="J1213" s="174"/>
      <c r="K1213" s="174"/>
      <c r="L1213" s="174">
        <v>0</v>
      </c>
      <c r="M1213" s="174"/>
      <c r="N1213" s="174">
        <v>27</v>
      </c>
      <c r="O1213" s="174"/>
      <c r="P1213" s="174"/>
      <c r="Q1213" s="174">
        <v>22</v>
      </c>
      <c r="R1213" s="175">
        <v>112</v>
      </c>
    </row>
    <row r="1214" spans="1:18">
      <c r="A1214" s="10"/>
      <c r="B1214" s="58">
        <v>46083</v>
      </c>
      <c r="C1214" s="166"/>
      <c r="D1214" s="179"/>
      <c r="E1214" s="179"/>
      <c r="F1214" s="179">
        <v>11</v>
      </c>
      <c r="G1214" s="179"/>
      <c r="H1214" s="179">
        <v>47</v>
      </c>
      <c r="I1214" s="179"/>
      <c r="J1214" s="179"/>
      <c r="K1214" s="179"/>
      <c r="L1214" s="179">
        <v>22</v>
      </c>
      <c r="M1214" s="179"/>
      <c r="N1214" s="179">
        <v>18</v>
      </c>
      <c r="O1214" s="179">
        <v>9</v>
      </c>
      <c r="P1214" s="179"/>
      <c r="Q1214" s="179">
        <v>24</v>
      </c>
      <c r="R1214" s="180">
        <v>131</v>
      </c>
    </row>
    <row r="1215" spans="1:18">
      <c r="A1215" s="10"/>
      <c r="B1215" s="58">
        <v>46084</v>
      </c>
      <c r="C1215" s="166"/>
      <c r="D1215" s="179"/>
      <c r="E1215" s="179"/>
      <c r="F1215" s="179">
        <v>18</v>
      </c>
      <c r="G1215" s="179"/>
      <c r="H1215" s="179"/>
      <c r="I1215" s="179"/>
      <c r="J1215" s="179"/>
      <c r="K1215" s="179"/>
      <c r="L1215" s="179"/>
      <c r="M1215" s="179"/>
      <c r="N1215" s="179"/>
      <c r="O1215" s="179"/>
      <c r="P1215" s="179"/>
      <c r="Q1215" s="179"/>
      <c r="R1215" s="180">
        <v>18</v>
      </c>
    </row>
    <row r="1216" spans="1:18">
      <c r="A1216" s="10"/>
      <c r="B1216" s="58">
        <v>46085</v>
      </c>
      <c r="C1216" s="166">
        <v>0</v>
      </c>
      <c r="D1216" s="179"/>
      <c r="E1216" s="179"/>
      <c r="F1216" s="179"/>
      <c r="G1216" s="179"/>
      <c r="H1216" s="179"/>
      <c r="I1216" s="179"/>
      <c r="J1216" s="179">
        <v>57</v>
      </c>
      <c r="K1216" s="179">
        <v>15</v>
      </c>
      <c r="L1216" s="179"/>
      <c r="M1216" s="179"/>
      <c r="N1216" s="179">
        <v>19</v>
      </c>
      <c r="O1216" s="179"/>
      <c r="P1216" s="179">
        <v>16</v>
      </c>
      <c r="Q1216" s="179"/>
      <c r="R1216" s="180">
        <v>107</v>
      </c>
    </row>
    <row r="1217" spans="1:18">
      <c r="A1217" s="10"/>
      <c r="B1217" s="58">
        <v>46086</v>
      </c>
      <c r="C1217" s="166">
        <v>0</v>
      </c>
      <c r="D1217" s="179">
        <v>13</v>
      </c>
      <c r="E1217" s="179">
        <v>8</v>
      </c>
      <c r="F1217" s="179">
        <v>13</v>
      </c>
      <c r="G1217" s="179"/>
      <c r="H1217" s="179"/>
      <c r="I1217" s="179"/>
      <c r="J1217" s="179"/>
      <c r="K1217" s="179">
        <v>30</v>
      </c>
      <c r="L1217" s="179"/>
      <c r="M1217" s="179"/>
      <c r="N1217" s="179">
        <v>-2</v>
      </c>
      <c r="O1217" s="179"/>
      <c r="P1217" s="179"/>
      <c r="Q1217" s="179">
        <v>36</v>
      </c>
      <c r="R1217" s="180">
        <v>98</v>
      </c>
    </row>
    <row r="1218" spans="1:18">
      <c r="A1218" s="10"/>
      <c r="B1218" s="58">
        <v>46087</v>
      </c>
      <c r="C1218" s="166"/>
      <c r="D1218" s="179"/>
      <c r="E1218" s="179"/>
      <c r="F1218" s="179"/>
      <c r="G1218" s="179"/>
      <c r="H1218" s="179"/>
      <c r="I1218" s="179">
        <v>17</v>
      </c>
      <c r="J1218" s="179"/>
      <c r="K1218" s="179"/>
      <c r="L1218" s="179"/>
      <c r="M1218" s="179"/>
      <c r="N1218" s="179"/>
      <c r="O1218" s="179">
        <v>15</v>
      </c>
      <c r="P1218" s="179">
        <v>14</v>
      </c>
      <c r="Q1218" s="179">
        <v>12</v>
      </c>
      <c r="R1218" s="180">
        <v>58</v>
      </c>
    </row>
    <row r="1219" spans="1:18">
      <c r="A1219" s="10"/>
      <c r="B1219" s="58">
        <v>46088</v>
      </c>
      <c r="C1219" s="166"/>
      <c r="D1219" s="179"/>
      <c r="E1219" s="179">
        <v>13</v>
      </c>
      <c r="F1219" s="179"/>
      <c r="G1219" s="179"/>
      <c r="H1219" s="179"/>
      <c r="I1219" s="179"/>
      <c r="J1219" s="179"/>
      <c r="K1219" s="179"/>
      <c r="L1219" s="179"/>
      <c r="M1219" s="179"/>
      <c r="N1219" s="179"/>
      <c r="O1219" s="179"/>
      <c r="P1219" s="179"/>
      <c r="Q1219" s="179"/>
      <c r="R1219" s="180">
        <v>13</v>
      </c>
    </row>
    <row r="1220" spans="1:18">
      <c r="A1220" s="10"/>
      <c r="B1220" s="58">
        <v>46089</v>
      </c>
      <c r="C1220" s="166"/>
      <c r="D1220" s="179"/>
      <c r="E1220" s="179"/>
      <c r="F1220" s="179"/>
      <c r="G1220" s="179">
        <v>23</v>
      </c>
      <c r="H1220" s="179"/>
      <c r="I1220" s="179">
        <v>14</v>
      </c>
      <c r="J1220" s="179"/>
      <c r="K1220" s="179"/>
      <c r="L1220" s="179"/>
      <c r="M1220" s="179"/>
      <c r="N1220" s="179"/>
      <c r="O1220" s="179">
        <v>11</v>
      </c>
      <c r="P1220" s="179"/>
      <c r="Q1220" s="179"/>
      <c r="R1220" s="180">
        <v>48</v>
      </c>
    </row>
    <row r="1221" spans="1:18">
      <c r="A1221" s="10"/>
      <c r="B1221" s="58">
        <v>46090</v>
      </c>
      <c r="C1221" s="166"/>
      <c r="D1221" s="179"/>
      <c r="E1221" s="179">
        <v>0</v>
      </c>
      <c r="F1221" s="179"/>
      <c r="G1221" s="179"/>
      <c r="H1221" s="179"/>
      <c r="I1221" s="179">
        <v>13</v>
      </c>
      <c r="J1221" s="179"/>
      <c r="K1221" s="179"/>
      <c r="L1221" s="179"/>
      <c r="M1221" s="179">
        <v>15</v>
      </c>
      <c r="N1221" s="179"/>
      <c r="O1221" s="179"/>
      <c r="P1221" s="179">
        <v>15</v>
      </c>
      <c r="Q1221" s="179"/>
      <c r="R1221" s="180">
        <v>43</v>
      </c>
    </row>
    <row r="1222" spans="1:18">
      <c r="A1222" s="10"/>
      <c r="B1222" s="58">
        <v>46091</v>
      </c>
      <c r="C1222" s="166"/>
      <c r="D1222" s="179"/>
      <c r="E1222" s="179">
        <v>15</v>
      </c>
      <c r="F1222" s="179"/>
      <c r="G1222" s="179">
        <v>19</v>
      </c>
      <c r="H1222" s="179"/>
      <c r="I1222" s="179"/>
      <c r="J1222" s="179"/>
      <c r="K1222" s="179">
        <v>27</v>
      </c>
      <c r="L1222" s="179">
        <v>8</v>
      </c>
      <c r="M1222" s="179"/>
      <c r="N1222" s="179"/>
      <c r="O1222" s="179">
        <v>11</v>
      </c>
      <c r="P1222" s="179"/>
      <c r="Q1222" s="179">
        <v>25</v>
      </c>
      <c r="R1222" s="180">
        <v>105</v>
      </c>
    </row>
    <row r="1223" spans="1:18">
      <c r="A1223" s="10"/>
      <c r="B1223" s="58">
        <v>46092</v>
      </c>
      <c r="C1223" s="166"/>
      <c r="D1223" s="179">
        <v>22</v>
      </c>
      <c r="E1223" s="179"/>
      <c r="F1223" s="179">
        <v>13</v>
      </c>
      <c r="G1223" s="179"/>
      <c r="H1223" s="179"/>
      <c r="I1223" s="179"/>
      <c r="J1223" s="179">
        <v>0</v>
      </c>
      <c r="K1223" s="179">
        <v>24</v>
      </c>
      <c r="L1223" s="179"/>
      <c r="M1223" s="179"/>
      <c r="N1223" s="179"/>
      <c r="O1223" s="179">
        <v>9</v>
      </c>
      <c r="P1223" s="179">
        <v>22</v>
      </c>
      <c r="Q1223" s="179"/>
      <c r="R1223" s="180">
        <v>90</v>
      </c>
    </row>
    <row r="1224" spans="1:18">
      <c r="A1224" s="10"/>
      <c r="B1224" s="58">
        <v>46093</v>
      </c>
      <c r="C1224" s="166"/>
      <c r="D1224" s="179"/>
      <c r="E1224" s="179">
        <v>29</v>
      </c>
      <c r="F1224" s="179"/>
      <c r="G1224" s="179"/>
      <c r="H1224" s="179">
        <v>23</v>
      </c>
      <c r="I1224" s="179"/>
      <c r="J1224" s="179"/>
      <c r="K1224" s="179"/>
      <c r="L1224" s="179"/>
      <c r="M1224" s="179"/>
      <c r="N1224" s="179"/>
      <c r="O1224" s="179">
        <v>4</v>
      </c>
      <c r="P1224" s="179"/>
      <c r="Q1224" s="179"/>
      <c r="R1224" s="180">
        <v>56</v>
      </c>
    </row>
    <row r="1225" spans="1:18">
      <c r="A1225" s="10"/>
      <c r="B1225" s="58">
        <v>46094</v>
      </c>
      <c r="C1225" s="166"/>
      <c r="D1225" s="179"/>
      <c r="E1225" s="179"/>
      <c r="F1225" s="179"/>
      <c r="G1225" s="179">
        <v>20</v>
      </c>
      <c r="H1225" s="179"/>
      <c r="I1225" s="179">
        <v>17</v>
      </c>
      <c r="J1225" s="179"/>
      <c r="K1225" s="179"/>
      <c r="L1225" s="179">
        <v>4</v>
      </c>
      <c r="M1225" s="179">
        <v>1</v>
      </c>
      <c r="N1225" s="179"/>
      <c r="O1225" s="179"/>
      <c r="P1225" s="179"/>
      <c r="Q1225" s="179">
        <v>20</v>
      </c>
      <c r="R1225" s="180">
        <v>62</v>
      </c>
    </row>
    <row r="1226" spans="1:18">
      <c r="A1226" s="10"/>
      <c r="B1226" s="58">
        <v>46095</v>
      </c>
      <c r="C1226" s="166"/>
      <c r="D1226" s="179">
        <v>27</v>
      </c>
      <c r="E1226" s="179"/>
      <c r="F1226" s="179"/>
      <c r="G1226" s="179"/>
      <c r="H1226" s="179"/>
      <c r="I1226" s="179">
        <v>20</v>
      </c>
      <c r="J1226" s="179"/>
      <c r="K1226" s="179"/>
      <c r="L1226" s="179"/>
      <c r="M1226" s="179"/>
      <c r="N1226" s="179"/>
      <c r="O1226" s="179">
        <v>-1</v>
      </c>
      <c r="P1226" s="179"/>
      <c r="Q1226" s="179"/>
      <c r="R1226" s="180">
        <v>46</v>
      </c>
    </row>
    <row r="1227" spans="1:18">
      <c r="A1227" s="10"/>
      <c r="B1227" s="58">
        <v>46096</v>
      </c>
      <c r="C1227" s="166"/>
      <c r="D1227" s="179"/>
      <c r="E1227" s="179"/>
      <c r="F1227" s="179"/>
      <c r="G1227" s="179"/>
      <c r="H1227" s="179"/>
      <c r="I1227" s="179"/>
      <c r="J1227" s="179">
        <v>25</v>
      </c>
      <c r="K1227" s="179"/>
      <c r="L1227" s="179">
        <v>2</v>
      </c>
      <c r="M1227" s="179">
        <v>18</v>
      </c>
      <c r="N1227" s="179"/>
      <c r="O1227" s="179"/>
      <c r="P1227" s="179"/>
      <c r="Q1227" s="179"/>
      <c r="R1227" s="180">
        <v>45</v>
      </c>
    </row>
    <row r="1228" spans="1:18">
      <c r="A1228" s="10"/>
      <c r="B1228" s="58">
        <v>46097</v>
      </c>
      <c r="C1228" s="166">
        <v>34</v>
      </c>
      <c r="D1228" s="179"/>
      <c r="E1228" s="179"/>
      <c r="F1228" s="179"/>
      <c r="G1228" s="179"/>
      <c r="H1228" s="179">
        <v>23</v>
      </c>
      <c r="I1228" s="179"/>
      <c r="J1228" s="179">
        <v>29</v>
      </c>
      <c r="K1228" s="179"/>
      <c r="L1228" s="179">
        <v>-3</v>
      </c>
      <c r="M1228" s="179"/>
      <c r="N1228" s="179"/>
      <c r="O1228" s="179"/>
      <c r="P1228" s="179"/>
      <c r="Q1228" s="179">
        <v>20</v>
      </c>
      <c r="R1228" s="180">
        <v>103</v>
      </c>
    </row>
    <row r="1229" spans="1:18">
      <c r="A1229" s="10"/>
      <c r="B1229" s="58">
        <v>46098</v>
      </c>
      <c r="C1229" s="166"/>
      <c r="D1229" s="179"/>
      <c r="E1229" s="179"/>
      <c r="F1229" s="179">
        <v>1</v>
      </c>
      <c r="G1229" s="179">
        <v>12</v>
      </c>
      <c r="H1229" s="179"/>
      <c r="I1229" s="179"/>
      <c r="J1229" s="179">
        <v>21</v>
      </c>
      <c r="K1229" s="179">
        <v>9</v>
      </c>
      <c r="L1229" s="179"/>
      <c r="M1229" s="179">
        <v>11</v>
      </c>
      <c r="N1229" s="179"/>
      <c r="O1229" s="179"/>
      <c r="P1229" s="179"/>
      <c r="Q1229" s="179"/>
      <c r="R1229" s="180">
        <v>54</v>
      </c>
    </row>
    <row r="1230" spans="1:18">
      <c r="A1230" s="10"/>
      <c r="B1230" s="58">
        <v>46099</v>
      </c>
      <c r="C1230" s="166">
        <v>17</v>
      </c>
      <c r="D1230" s="179"/>
      <c r="E1230" s="179"/>
      <c r="F1230" s="179">
        <v>4</v>
      </c>
      <c r="G1230" s="179">
        <v>14</v>
      </c>
      <c r="H1230" s="179">
        <v>23</v>
      </c>
      <c r="I1230" s="179"/>
      <c r="J1230" s="179"/>
      <c r="K1230" s="179"/>
      <c r="L1230" s="179"/>
      <c r="M1230" s="179"/>
      <c r="N1230" s="179"/>
      <c r="O1230" s="179">
        <v>7</v>
      </c>
      <c r="P1230" s="179"/>
      <c r="Q1230" s="179"/>
      <c r="R1230" s="180">
        <v>65</v>
      </c>
    </row>
    <row r="1231" spans="1:18">
      <c r="A1231" s="10"/>
      <c r="B1231" s="58">
        <v>46100</v>
      </c>
      <c r="C1231" s="166">
        <v>26</v>
      </c>
      <c r="D1231" s="179"/>
      <c r="E1231" s="179">
        <v>13</v>
      </c>
      <c r="F1231" s="179">
        <v>9</v>
      </c>
      <c r="G1231" s="179"/>
      <c r="H1231" s="179">
        <v>13</v>
      </c>
      <c r="I1231" s="179">
        <v>6</v>
      </c>
      <c r="J1231" s="179"/>
      <c r="K1231" s="179">
        <v>30</v>
      </c>
      <c r="L1231" s="179"/>
      <c r="M1231" s="179"/>
      <c r="N1231" s="179"/>
      <c r="O1231" s="179"/>
      <c r="P1231" s="179">
        <v>8</v>
      </c>
      <c r="Q1231" s="179"/>
      <c r="R1231" s="180">
        <v>105</v>
      </c>
    </row>
    <row r="1232" spans="1:18">
      <c r="A1232" s="10"/>
      <c r="B1232" s="58">
        <v>46101</v>
      </c>
      <c r="C1232" s="166"/>
      <c r="D1232" s="179"/>
      <c r="E1232" s="179"/>
      <c r="F1232" s="179"/>
      <c r="G1232" s="179"/>
      <c r="H1232" s="179"/>
      <c r="I1232" s="179"/>
      <c r="J1232" s="179"/>
      <c r="K1232" s="179"/>
      <c r="L1232" s="179"/>
      <c r="M1232" s="179"/>
      <c r="N1232" s="179"/>
      <c r="O1232" s="179"/>
      <c r="P1232" s="179">
        <v>18</v>
      </c>
      <c r="Q1232" s="179"/>
      <c r="R1232" s="180">
        <v>18</v>
      </c>
    </row>
    <row r="1233" spans="1:18">
      <c r="A1233" s="10"/>
      <c r="B1233" s="58">
        <v>46102</v>
      </c>
      <c r="C1233" s="166">
        <v>19</v>
      </c>
      <c r="D1233" s="179"/>
      <c r="E1233" s="179"/>
      <c r="F1233" s="179">
        <v>0</v>
      </c>
      <c r="G1233" s="179">
        <v>22</v>
      </c>
      <c r="H1233" s="179">
        <v>35</v>
      </c>
      <c r="I1233" s="179">
        <v>13</v>
      </c>
      <c r="J1233" s="179"/>
      <c r="K1233" s="179"/>
      <c r="L1233" s="179"/>
      <c r="M1233" s="179"/>
      <c r="N1233" s="179">
        <v>18</v>
      </c>
      <c r="O1233" s="179">
        <v>11</v>
      </c>
      <c r="P1233" s="179"/>
      <c r="Q1233" s="179"/>
      <c r="R1233" s="180">
        <v>118</v>
      </c>
    </row>
    <row r="1234" spans="1:18">
      <c r="A1234" s="10"/>
      <c r="B1234" s="58">
        <v>46103</v>
      </c>
      <c r="C1234" s="166"/>
      <c r="D1234" s="179"/>
      <c r="E1234" s="179"/>
      <c r="F1234" s="179"/>
      <c r="G1234" s="179"/>
      <c r="H1234" s="179"/>
      <c r="I1234" s="179"/>
      <c r="J1234" s="179"/>
      <c r="K1234" s="179">
        <v>4</v>
      </c>
      <c r="L1234" s="179">
        <v>19</v>
      </c>
      <c r="M1234" s="179"/>
      <c r="N1234" s="179"/>
      <c r="O1234" s="179"/>
      <c r="P1234" s="179"/>
      <c r="Q1234" s="179"/>
      <c r="R1234" s="180">
        <v>23</v>
      </c>
    </row>
    <row r="1235" spans="1:18">
      <c r="A1235" s="10"/>
      <c r="B1235" s="58">
        <v>46104</v>
      </c>
      <c r="C1235" s="166"/>
      <c r="D1235" s="179"/>
      <c r="E1235" s="179"/>
      <c r="F1235" s="179"/>
      <c r="G1235" s="179">
        <v>21</v>
      </c>
      <c r="H1235" s="179"/>
      <c r="I1235" s="179"/>
      <c r="J1235" s="179"/>
      <c r="K1235" s="179">
        <v>21</v>
      </c>
      <c r="L1235" s="179"/>
      <c r="M1235" s="179"/>
      <c r="N1235" s="179">
        <v>22</v>
      </c>
      <c r="O1235" s="179"/>
      <c r="P1235" s="179">
        <v>27</v>
      </c>
      <c r="Q1235" s="179">
        <v>14</v>
      </c>
      <c r="R1235" s="180">
        <v>105</v>
      </c>
    </row>
    <row r="1236" spans="1:18">
      <c r="A1236" s="10"/>
      <c r="B1236" s="58">
        <v>46105</v>
      </c>
      <c r="C1236" s="166"/>
      <c r="D1236" s="179"/>
      <c r="E1236" s="179"/>
      <c r="F1236" s="179"/>
      <c r="G1236" s="179"/>
      <c r="H1236" s="179"/>
      <c r="I1236" s="179"/>
      <c r="J1236" s="179"/>
      <c r="K1236" s="179"/>
      <c r="L1236" s="179"/>
      <c r="M1236" s="179">
        <v>15</v>
      </c>
      <c r="N1236" s="179"/>
      <c r="O1236" s="179"/>
      <c r="P1236" s="179">
        <v>21</v>
      </c>
      <c r="Q1236" s="179">
        <v>15</v>
      </c>
      <c r="R1236" s="180">
        <v>51</v>
      </c>
    </row>
    <row r="1237" spans="1:18">
      <c r="A1237" s="10"/>
      <c r="B1237" s="58">
        <v>46106</v>
      </c>
      <c r="C1237" s="166"/>
      <c r="D1237" s="179"/>
      <c r="E1237" s="179"/>
      <c r="F1237" s="179"/>
      <c r="G1237" s="179">
        <v>22</v>
      </c>
      <c r="H1237" s="179"/>
      <c r="I1237" s="179">
        <v>17</v>
      </c>
      <c r="J1237" s="179"/>
      <c r="K1237" s="179"/>
      <c r="L1237" s="179"/>
      <c r="M1237" s="179"/>
      <c r="N1237" s="179"/>
      <c r="O1237" s="179"/>
      <c r="P1237" s="179">
        <v>-5</v>
      </c>
      <c r="Q1237" s="179"/>
      <c r="R1237" s="180">
        <v>34</v>
      </c>
    </row>
    <row r="1238" spans="1:18">
      <c r="A1238" s="10"/>
      <c r="B1238" s="58">
        <v>46107</v>
      </c>
      <c r="C1238" s="166"/>
      <c r="D1238" s="179"/>
      <c r="E1238" s="179"/>
      <c r="F1238" s="179">
        <v>13</v>
      </c>
      <c r="G1238" s="179"/>
      <c r="H1238" s="179"/>
      <c r="I1238" s="179">
        <v>12</v>
      </c>
      <c r="J1238" s="179"/>
      <c r="K1238" s="179"/>
      <c r="L1238" s="179"/>
      <c r="M1238" s="179"/>
      <c r="N1238" s="179"/>
      <c r="O1238" s="179">
        <v>-5</v>
      </c>
      <c r="P1238" s="179"/>
      <c r="Q1238" s="179">
        <v>18</v>
      </c>
      <c r="R1238" s="180">
        <v>38</v>
      </c>
    </row>
    <row r="1239" spans="1:18">
      <c r="A1239" s="10"/>
      <c r="B1239" s="58">
        <v>46108</v>
      </c>
      <c r="C1239" s="166"/>
      <c r="D1239" s="179"/>
      <c r="E1239" s="179">
        <v>5</v>
      </c>
      <c r="F1239" s="179"/>
      <c r="G1239" s="179"/>
      <c r="H1239" s="179">
        <v>16</v>
      </c>
      <c r="I1239" s="179"/>
      <c r="J1239" s="179">
        <v>23</v>
      </c>
      <c r="K1239" s="179">
        <v>17</v>
      </c>
      <c r="L1239" s="179">
        <v>0</v>
      </c>
      <c r="M1239" s="179">
        <v>8</v>
      </c>
      <c r="N1239" s="179">
        <v>18</v>
      </c>
      <c r="O1239" s="179"/>
      <c r="P1239" s="179">
        <v>14</v>
      </c>
      <c r="Q1239" s="179">
        <v>11</v>
      </c>
      <c r="R1239" s="180">
        <v>112</v>
      </c>
    </row>
    <row r="1240" spans="1:18">
      <c r="A1240" s="10"/>
      <c r="B1240" s="58">
        <v>46109</v>
      </c>
      <c r="C1240" s="166"/>
      <c r="D1240" s="179">
        <v>25</v>
      </c>
      <c r="E1240" s="179"/>
      <c r="F1240" s="179">
        <v>10</v>
      </c>
      <c r="G1240" s="179"/>
      <c r="H1240" s="179">
        <v>26</v>
      </c>
      <c r="I1240" s="179"/>
      <c r="J1240" s="179"/>
      <c r="K1240" s="179"/>
      <c r="L1240" s="179"/>
      <c r="M1240" s="179">
        <v>16</v>
      </c>
      <c r="N1240" s="179">
        <v>29</v>
      </c>
      <c r="O1240" s="179"/>
      <c r="P1240" s="179"/>
      <c r="Q1240" s="179"/>
      <c r="R1240" s="180">
        <v>106</v>
      </c>
    </row>
    <row r="1241" spans="1:18">
      <c r="A1241" s="10"/>
      <c r="B1241" s="58">
        <v>46110</v>
      </c>
      <c r="C1241" s="166"/>
      <c r="D1241" s="179"/>
      <c r="E1241" s="179"/>
      <c r="F1241" s="179">
        <v>49</v>
      </c>
      <c r="G1241" s="179"/>
      <c r="H1241" s="179"/>
      <c r="I1241" s="179">
        <v>23</v>
      </c>
      <c r="J1241" s="179"/>
      <c r="K1241" s="179"/>
      <c r="L1241" s="179">
        <v>0</v>
      </c>
      <c r="M1241" s="179"/>
      <c r="N1241" s="179"/>
      <c r="O1241" s="179">
        <v>6</v>
      </c>
      <c r="P1241" s="179"/>
      <c r="Q1241" s="179"/>
      <c r="R1241" s="180">
        <v>78</v>
      </c>
    </row>
    <row r="1242" spans="1:18">
      <c r="A1242" s="10"/>
      <c r="B1242" s="58">
        <v>46111</v>
      </c>
      <c r="C1242" s="166">
        <v>0</v>
      </c>
      <c r="D1242" s="179">
        <v>10</v>
      </c>
      <c r="E1242" s="179"/>
      <c r="F1242" s="179"/>
      <c r="G1242" s="179"/>
      <c r="H1242" s="179"/>
      <c r="I1242" s="179"/>
      <c r="J1242" s="179"/>
      <c r="K1242" s="179"/>
      <c r="L1242" s="179"/>
      <c r="M1242" s="179"/>
      <c r="N1242" s="179"/>
      <c r="O1242" s="179">
        <v>10</v>
      </c>
      <c r="P1242" s="179">
        <v>40</v>
      </c>
      <c r="Q1242" s="179">
        <v>23</v>
      </c>
      <c r="R1242" s="180">
        <v>83</v>
      </c>
    </row>
    <row r="1243" spans="1:18">
      <c r="A1243" s="10"/>
      <c r="B1243" s="58">
        <v>46112</v>
      </c>
      <c r="C1243" s="166"/>
      <c r="D1243" s="179"/>
      <c r="E1243" s="179">
        <v>5</v>
      </c>
      <c r="F1243" s="179">
        <v>27</v>
      </c>
      <c r="G1243" s="179">
        <v>19</v>
      </c>
      <c r="H1243" s="179">
        <v>39</v>
      </c>
      <c r="I1243" s="179"/>
      <c r="J1243" s="179"/>
      <c r="K1243" s="179"/>
      <c r="L1243" s="179">
        <v>12</v>
      </c>
      <c r="M1243" s="179"/>
      <c r="N1243" s="179"/>
      <c r="O1243" s="179"/>
      <c r="P1243" s="179"/>
      <c r="Q1243" s="179"/>
      <c r="R1243" s="180">
        <v>102</v>
      </c>
    </row>
    <row r="1244" spans="1:18">
      <c r="A1244" s="8" t="s">
        <v>3869</v>
      </c>
      <c r="B1244" s="60">
        <v>46113</v>
      </c>
      <c r="C1244" s="164">
        <v>24</v>
      </c>
      <c r="D1244" s="174">
        <v>20</v>
      </c>
      <c r="E1244" s="174">
        <v>14</v>
      </c>
      <c r="F1244" s="174">
        <v>10</v>
      </c>
      <c r="G1244" s="174">
        <v>17</v>
      </c>
      <c r="H1244" s="174">
        <v>16</v>
      </c>
      <c r="I1244" s="174">
        <v>14</v>
      </c>
      <c r="J1244" s="174">
        <v>35</v>
      </c>
      <c r="K1244" s="174"/>
      <c r="L1244" s="174">
        <v>3</v>
      </c>
      <c r="M1244" s="174"/>
      <c r="N1244" s="174"/>
      <c r="O1244" s="174"/>
      <c r="P1244" s="174"/>
      <c r="Q1244" s="174"/>
      <c r="R1244" s="175">
        <v>153</v>
      </c>
    </row>
    <row r="1245" spans="1:18">
      <c r="A1245" s="10"/>
      <c r="B1245" s="58">
        <v>46114</v>
      </c>
      <c r="C1245" s="166"/>
      <c r="D1245" s="179">
        <v>11</v>
      </c>
      <c r="E1245" s="179">
        <v>9</v>
      </c>
      <c r="F1245" s="179">
        <v>9</v>
      </c>
      <c r="G1245" s="179"/>
      <c r="H1245" s="179">
        <v>20</v>
      </c>
      <c r="I1245" s="179">
        <v>16</v>
      </c>
      <c r="J1245" s="179">
        <v>18</v>
      </c>
      <c r="K1245" s="179"/>
      <c r="L1245" s="179"/>
      <c r="M1245" s="179">
        <v>-5</v>
      </c>
      <c r="N1245" s="179"/>
      <c r="O1245" s="179">
        <v>-1</v>
      </c>
      <c r="P1245" s="179"/>
      <c r="Q1245" s="179">
        <v>51</v>
      </c>
      <c r="R1245" s="180">
        <v>128</v>
      </c>
    </row>
    <row r="1246" spans="1:18">
      <c r="A1246" s="10"/>
      <c r="B1246" s="58">
        <v>46115</v>
      </c>
      <c r="C1246" s="166"/>
      <c r="D1246" s="179"/>
      <c r="E1246" s="179"/>
      <c r="F1246" s="179"/>
      <c r="G1246" s="179"/>
      <c r="H1246" s="179"/>
      <c r="I1246" s="179">
        <v>17</v>
      </c>
      <c r="J1246" s="179"/>
      <c r="K1246" s="179">
        <v>24</v>
      </c>
      <c r="L1246" s="179">
        <v>8</v>
      </c>
      <c r="M1246" s="179">
        <v>4</v>
      </c>
      <c r="N1246" s="179">
        <v>9</v>
      </c>
      <c r="O1246" s="179"/>
      <c r="P1246" s="179"/>
      <c r="Q1246" s="179"/>
      <c r="R1246" s="180">
        <v>62</v>
      </c>
    </row>
    <row r="1247" spans="1:18">
      <c r="A1247" s="10"/>
      <c r="B1247" s="58">
        <v>46116</v>
      </c>
      <c r="C1247" s="166">
        <v>58</v>
      </c>
      <c r="D1247" s="179"/>
      <c r="E1247" s="179"/>
      <c r="F1247" s="179"/>
      <c r="G1247" s="179"/>
      <c r="H1247" s="179">
        <v>31</v>
      </c>
      <c r="I1247" s="179"/>
      <c r="J1247" s="179"/>
      <c r="K1247" s="179">
        <v>22</v>
      </c>
      <c r="L1247" s="179">
        <v>22</v>
      </c>
      <c r="M1247" s="179"/>
      <c r="N1247" s="179"/>
      <c r="O1247" s="179"/>
      <c r="P1247" s="179"/>
      <c r="Q1247" s="179"/>
      <c r="R1247" s="180">
        <v>133</v>
      </c>
    </row>
    <row r="1248" spans="1:18">
      <c r="A1248" s="10"/>
      <c r="B1248" s="58">
        <v>46117</v>
      </c>
      <c r="C1248" s="166"/>
      <c r="D1248" s="179">
        <v>20</v>
      </c>
      <c r="E1248" s="179"/>
      <c r="F1248" s="179"/>
      <c r="G1248" s="179"/>
      <c r="H1248" s="179">
        <v>28</v>
      </c>
      <c r="I1248" s="179"/>
      <c r="J1248" s="179"/>
      <c r="K1248" s="179"/>
      <c r="L1248" s="179"/>
      <c r="M1248" s="179">
        <v>-1</v>
      </c>
      <c r="N1248" s="179"/>
      <c r="O1248" s="179"/>
      <c r="P1248" s="179">
        <v>13</v>
      </c>
      <c r="Q1248" s="179"/>
      <c r="R1248" s="180">
        <v>60</v>
      </c>
    </row>
    <row r="1249" spans="1:18">
      <c r="A1249" s="10"/>
      <c r="B1249" s="58">
        <v>46118</v>
      </c>
      <c r="C1249" s="166">
        <v>52</v>
      </c>
      <c r="D1249" s="179">
        <v>15</v>
      </c>
      <c r="E1249" s="179">
        <v>4</v>
      </c>
      <c r="F1249" s="179"/>
      <c r="G1249" s="179">
        <v>17</v>
      </c>
      <c r="H1249" s="179"/>
      <c r="I1249" s="179"/>
      <c r="J1249" s="179">
        <v>30</v>
      </c>
      <c r="K1249" s="179"/>
      <c r="L1249" s="179">
        <v>12</v>
      </c>
      <c r="M1249" s="179"/>
      <c r="N1249" s="179"/>
      <c r="O1249" s="179">
        <v>12</v>
      </c>
      <c r="P1249" s="179"/>
      <c r="Q1249" s="179"/>
      <c r="R1249" s="180">
        <v>142</v>
      </c>
    </row>
    <row r="1250" spans="1:18">
      <c r="A1250" s="10"/>
      <c r="B1250" s="58">
        <v>46119</v>
      </c>
      <c r="C1250" s="166"/>
      <c r="D1250" s="179"/>
      <c r="E1250" s="179"/>
      <c r="F1250" s="179">
        <v>21</v>
      </c>
      <c r="G1250" s="179"/>
      <c r="H1250" s="179">
        <v>10</v>
      </c>
      <c r="I1250" s="179"/>
      <c r="J1250" s="179">
        <v>25</v>
      </c>
      <c r="K1250" s="179"/>
      <c r="L1250" s="179"/>
      <c r="M1250" s="179"/>
      <c r="N1250" s="179"/>
      <c r="O1250" s="179"/>
      <c r="P1250" s="179"/>
      <c r="Q1250" s="179">
        <v>44</v>
      </c>
      <c r="R1250" s="180">
        <v>100</v>
      </c>
    </row>
    <row r="1251" spans="1:18">
      <c r="A1251" s="10"/>
      <c r="B1251" s="58">
        <v>46120</v>
      </c>
      <c r="C1251" s="166"/>
      <c r="D1251" s="179"/>
      <c r="E1251" s="179"/>
      <c r="F1251" s="179"/>
      <c r="G1251" s="179">
        <v>26</v>
      </c>
      <c r="H1251" s="179"/>
      <c r="I1251" s="179"/>
      <c r="J1251" s="179"/>
      <c r="K1251" s="179"/>
      <c r="L1251" s="179"/>
      <c r="M1251" s="179"/>
      <c r="N1251" s="179">
        <v>0</v>
      </c>
      <c r="O1251" s="179"/>
      <c r="P1251" s="179">
        <v>20</v>
      </c>
      <c r="Q1251" s="179">
        <v>17</v>
      </c>
      <c r="R1251" s="180">
        <v>63</v>
      </c>
    </row>
    <row r="1252" spans="1:18">
      <c r="A1252" s="10"/>
      <c r="B1252" s="58">
        <v>46121</v>
      </c>
      <c r="C1252" s="166"/>
      <c r="D1252" s="179"/>
      <c r="E1252" s="179"/>
      <c r="F1252" s="179">
        <v>15</v>
      </c>
      <c r="G1252" s="179"/>
      <c r="H1252" s="179"/>
      <c r="I1252" s="179"/>
      <c r="J1252" s="179"/>
      <c r="K1252" s="179"/>
      <c r="L1252" s="179">
        <v>8</v>
      </c>
      <c r="M1252" s="179"/>
      <c r="N1252" s="179">
        <v>5</v>
      </c>
      <c r="O1252" s="179"/>
      <c r="P1252" s="179"/>
      <c r="Q1252" s="179"/>
      <c r="R1252" s="180">
        <v>28</v>
      </c>
    </row>
    <row r="1253" spans="1:18">
      <c r="A1253" s="10"/>
      <c r="B1253" s="58">
        <v>46122</v>
      </c>
      <c r="C1253" s="166"/>
      <c r="D1253" s="179"/>
      <c r="E1253" s="179"/>
      <c r="F1253" s="179"/>
      <c r="G1253" s="179"/>
      <c r="H1253" s="179"/>
      <c r="I1253" s="179">
        <v>15</v>
      </c>
      <c r="J1253" s="179"/>
      <c r="K1253" s="179"/>
      <c r="L1253" s="179"/>
      <c r="M1253" s="179"/>
      <c r="N1253" s="179"/>
      <c r="O1253" s="179"/>
      <c r="P1253" s="179">
        <v>17</v>
      </c>
      <c r="Q1253" s="179"/>
      <c r="R1253" s="180">
        <v>32</v>
      </c>
    </row>
    <row r="1254" spans="1:18">
      <c r="A1254" s="10"/>
      <c r="B1254" s="58">
        <v>46123</v>
      </c>
      <c r="C1254" s="166"/>
      <c r="D1254" s="179"/>
      <c r="E1254" s="179"/>
      <c r="F1254" s="179"/>
      <c r="G1254" s="179">
        <v>10</v>
      </c>
      <c r="H1254" s="179"/>
      <c r="I1254" s="179"/>
      <c r="J1254" s="179">
        <v>30</v>
      </c>
      <c r="K1254" s="179"/>
      <c r="L1254" s="179">
        <v>10</v>
      </c>
      <c r="M1254" s="179">
        <v>2</v>
      </c>
      <c r="N1254" s="179">
        <v>21</v>
      </c>
      <c r="O1254" s="179"/>
      <c r="P1254" s="179">
        <v>21</v>
      </c>
      <c r="Q1254" s="179"/>
      <c r="R1254" s="180">
        <v>94</v>
      </c>
    </row>
    <row r="1255" spans="1:18">
      <c r="A1255" s="10"/>
      <c r="B1255" s="58">
        <v>46124</v>
      </c>
      <c r="C1255" s="166">
        <v>32</v>
      </c>
      <c r="D1255" s="179"/>
      <c r="E1255" s="179">
        <v>19</v>
      </c>
      <c r="F1255" s="179"/>
      <c r="G1255" s="179">
        <v>-5</v>
      </c>
      <c r="H1255" s="179"/>
      <c r="I1255" s="179"/>
      <c r="J1255" s="179"/>
      <c r="K1255" s="179">
        <v>0</v>
      </c>
      <c r="L1255" s="179"/>
      <c r="M1255" s="179"/>
      <c r="N1255" s="179"/>
      <c r="O1255" s="179"/>
      <c r="P1255" s="179"/>
      <c r="Q1255" s="179"/>
      <c r="R1255" s="180">
        <v>46</v>
      </c>
    </row>
    <row r="1256" spans="1:18">
      <c r="A1256" s="10"/>
      <c r="B1256" s="58">
        <v>46125</v>
      </c>
      <c r="C1256" s="166"/>
      <c r="D1256" s="179"/>
      <c r="E1256" s="179">
        <v>14</v>
      </c>
      <c r="F1256" s="179">
        <v>12</v>
      </c>
      <c r="G1256" s="179"/>
      <c r="H1256" s="179"/>
      <c r="I1256" s="179"/>
      <c r="J1256" s="179">
        <v>22</v>
      </c>
      <c r="K1256" s="179"/>
      <c r="L1256" s="179"/>
      <c r="M1256" s="179">
        <v>9</v>
      </c>
      <c r="N1256" s="179"/>
      <c r="O1256" s="179"/>
      <c r="P1256" s="179"/>
      <c r="Q1256" s="179">
        <v>15</v>
      </c>
      <c r="R1256" s="180">
        <v>72</v>
      </c>
    </row>
    <row r="1257" spans="1:18">
      <c r="A1257" s="10"/>
      <c r="B1257" s="58">
        <v>46126</v>
      </c>
      <c r="C1257" s="166">
        <v>28</v>
      </c>
      <c r="D1257" s="179">
        <v>16</v>
      </c>
      <c r="E1257" s="179">
        <v>10</v>
      </c>
      <c r="F1257" s="179">
        <v>27</v>
      </c>
      <c r="G1257" s="179"/>
      <c r="H1257" s="179"/>
      <c r="I1257" s="179"/>
      <c r="J1257" s="179"/>
      <c r="K1257" s="179">
        <v>27</v>
      </c>
      <c r="L1257" s="179">
        <v>9</v>
      </c>
      <c r="M1257" s="179"/>
      <c r="N1257" s="179"/>
      <c r="O1257" s="179">
        <v>-3</v>
      </c>
      <c r="P1257" s="179"/>
      <c r="Q1257" s="179">
        <v>19</v>
      </c>
      <c r="R1257" s="180">
        <v>133</v>
      </c>
    </row>
    <row r="1258" spans="1:18">
      <c r="A1258" s="10"/>
      <c r="B1258" s="58">
        <v>46127</v>
      </c>
      <c r="C1258" s="166"/>
      <c r="D1258" s="179"/>
      <c r="E1258" s="179"/>
      <c r="F1258" s="179"/>
      <c r="G1258" s="179"/>
      <c r="H1258" s="179"/>
      <c r="I1258" s="179">
        <v>7</v>
      </c>
      <c r="J1258" s="179">
        <v>24</v>
      </c>
      <c r="K1258" s="179"/>
      <c r="L1258" s="179"/>
      <c r="M1258" s="179"/>
      <c r="N1258" s="179">
        <v>-5</v>
      </c>
      <c r="O1258" s="179">
        <v>14</v>
      </c>
      <c r="P1258" s="179">
        <v>22</v>
      </c>
      <c r="Q1258" s="179"/>
      <c r="R1258" s="180">
        <v>62</v>
      </c>
    </row>
    <row r="1259" spans="1:18">
      <c r="A1259" s="10"/>
      <c r="B1259" s="58">
        <v>46128</v>
      </c>
      <c r="C1259" s="166"/>
      <c r="D1259" s="179"/>
      <c r="E1259" s="179"/>
      <c r="F1259" s="179"/>
      <c r="G1259" s="179">
        <v>11</v>
      </c>
      <c r="H1259" s="179"/>
      <c r="I1259" s="179">
        <v>25</v>
      </c>
      <c r="J1259" s="179">
        <v>18</v>
      </c>
      <c r="K1259" s="179">
        <v>12</v>
      </c>
      <c r="L1259" s="179"/>
      <c r="M1259" s="179"/>
      <c r="N1259" s="179"/>
      <c r="O1259" s="179">
        <v>26</v>
      </c>
      <c r="P1259" s="179"/>
      <c r="Q1259" s="179">
        <v>61</v>
      </c>
      <c r="R1259" s="180">
        <v>153</v>
      </c>
    </row>
    <row r="1260" spans="1:18">
      <c r="A1260" s="10"/>
      <c r="B1260" s="58">
        <v>46129</v>
      </c>
      <c r="C1260" s="166"/>
      <c r="D1260" s="179"/>
      <c r="E1260" s="179"/>
      <c r="F1260" s="179"/>
      <c r="G1260" s="179">
        <v>11</v>
      </c>
      <c r="H1260" s="179"/>
      <c r="I1260" s="179"/>
      <c r="J1260" s="179"/>
      <c r="K1260" s="179"/>
      <c r="L1260" s="179"/>
      <c r="M1260" s="179">
        <v>9</v>
      </c>
      <c r="N1260" s="179">
        <v>11</v>
      </c>
      <c r="O1260" s="179">
        <v>20</v>
      </c>
      <c r="P1260" s="179"/>
      <c r="Q1260" s="179"/>
      <c r="R1260" s="180">
        <v>51</v>
      </c>
    </row>
    <row r="1261" spans="1:18">
      <c r="A1261" s="10"/>
      <c r="B1261" s="58">
        <v>46130</v>
      </c>
      <c r="C1261" s="166"/>
      <c r="D1261" s="179"/>
      <c r="E1261" s="179"/>
      <c r="F1261" s="179"/>
      <c r="G1261" s="179"/>
      <c r="H1261" s="179">
        <v>20</v>
      </c>
      <c r="I1261" s="179"/>
      <c r="J1261" s="179"/>
      <c r="K1261" s="179"/>
      <c r="L1261" s="179"/>
      <c r="M1261" s="179"/>
      <c r="N1261" s="179"/>
      <c r="O1261" s="179">
        <v>12</v>
      </c>
      <c r="P1261" s="179"/>
      <c r="Q1261" s="179"/>
      <c r="R1261" s="180">
        <v>32</v>
      </c>
    </row>
    <row r="1262" spans="1:18">
      <c r="A1262" s="10"/>
      <c r="B1262" s="58">
        <v>46131</v>
      </c>
      <c r="C1262" s="166">
        <v>26</v>
      </c>
      <c r="D1262" s="179"/>
      <c r="E1262" s="179"/>
      <c r="F1262" s="179">
        <v>8</v>
      </c>
      <c r="G1262" s="179"/>
      <c r="H1262" s="179">
        <v>21</v>
      </c>
      <c r="I1262" s="179">
        <v>16</v>
      </c>
      <c r="J1262" s="179"/>
      <c r="K1262" s="179">
        <v>15</v>
      </c>
      <c r="L1262" s="179"/>
      <c r="M1262" s="179"/>
      <c r="N1262" s="179"/>
      <c r="O1262" s="179"/>
      <c r="P1262" s="179">
        <v>18</v>
      </c>
      <c r="Q1262" s="179"/>
      <c r="R1262" s="180">
        <v>104</v>
      </c>
    </row>
    <row r="1263" spans="1:18">
      <c r="A1263" s="10"/>
      <c r="B1263" s="58">
        <v>46132</v>
      </c>
      <c r="C1263" s="166"/>
      <c r="D1263" s="179"/>
      <c r="E1263" s="179">
        <v>17</v>
      </c>
      <c r="F1263" s="179">
        <v>7</v>
      </c>
      <c r="G1263" s="179"/>
      <c r="H1263" s="179"/>
      <c r="I1263" s="179">
        <v>13</v>
      </c>
      <c r="J1263" s="179">
        <v>28</v>
      </c>
      <c r="K1263" s="179"/>
      <c r="L1263" s="179">
        <v>6</v>
      </c>
      <c r="M1263" s="179"/>
      <c r="N1263" s="179">
        <v>6</v>
      </c>
      <c r="O1263" s="179"/>
      <c r="P1263" s="179"/>
      <c r="Q1263" s="179"/>
      <c r="R1263" s="180">
        <v>77</v>
      </c>
    </row>
    <row r="1264" spans="1:18">
      <c r="A1264" s="10"/>
      <c r="B1264" s="58">
        <v>46133</v>
      </c>
      <c r="C1264" s="166">
        <v>18</v>
      </c>
      <c r="D1264" s="179"/>
      <c r="E1264" s="179"/>
      <c r="F1264" s="179"/>
      <c r="G1264" s="179"/>
      <c r="H1264" s="179">
        <v>17</v>
      </c>
      <c r="I1264" s="179"/>
      <c r="J1264" s="179"/>
      <c r="K1264" s="179">
        <v>18</v>
      </c>
      <c r="L1264" s="179"/>
      <c r="M1264" s="179">
        <v>19</v>
      </c>
      <c r="N1264" s="179">
        <v>8</v>
      </c>
      <c r="O1264" s="179">
        <v>29</v>
      </c>
      <c r="P1264" s="179"/>
      <c r="Q1264" s="179"/>
      <c r="R1264" s="180">
        <v>109</v>
      </c>
    </row>
    <row r="1265" spans="1:18">
      <c r="A1265" s="10"/>
      <c r="B1265" s="58">
        <v>46134</v>
      </c>
      <c r="C1265" s="166"/>
      <c r="D1265" s="179"/>
      <c r="E1265" s="179"/>
      <c r="F1265" s="179"/>
      <c r="G1265" s="179"/>
      <c r="H1265" s="179"/>
      <c r="I1265" s="179">
        <v>22</v>
      </c>
      <c r="J1265" s="179"/>
      <c r="K1265" s="179"/>
      <c r="L1265" s="179">
        <v>0</v>
      </c>
      <c r="M1265" s="179"/>
      <c r="N1265" s="179">
        <v>18</v>
      </c>
      <c r="O1265" s="179"/>
      <c r="P1265" s="179"/>
      <c r="Q1265" s="179"/>
      <c r="R1265" s="180">
        <v>40</v>
      </c>
    </row>
    <row r="1266" spans="1:18">
      <c r="A1266" s="10"/>
      <c r="B1266" s="58">
        <v>46135</v>
      </c>
      <c r="C1266" s="166">
        <v>18</v>
      </c>
      <c r="D1266" s="179"/>
      <c r="E1266" s="179">
        <v>5</v>
      </c>
      <c r="F1266" s="179"/>
      <c r="G1266" s="179">
        <v>20</v>
      </c>
      <c r="H1266" s="179">
        <v>15</v>
      </c>
      <c r="I1266" s="179"/>
      <c r="J1266" s="179"/>
      <c r="K1266" s="179"/>
      <c r="L1266" s="179"/>
      <c r="M1266" s="179">
        <v>15</v>
      </c>
      <c r="N1266" s="179"/>
      <c r="O1266" s="179"/>
      <c r="P1266" s="179">
        <v>20</v>
      </c>
      <c r="Q1266" s="179">
        <v>38</v>
      </c>
      <c r="R1266" s="180">
        <v>131</v>
      </c>
    </row>
    <row r="1267" spans="1:18">
      <c r="A1267" s="10"/>
      <c r="B1267" s="58">
        <v>46136</v>
      </c>
      <c r="C1267" s="166">
        <v>20</v>
      </c>
      <c r="D1267" s="179">
        <v>17</v>
      </c>
      <c r="E1267" s="179"/>
      <c r="F1267" s="179">
        <v>13</v>
      </c>
      <c r="G1267" s="179"/>
      <c r="H1267" s="179"/>
      <c r="I1267" s="179"/>
      <c r="J1267" s="179">
        <v>20</v>
      </c>
      <c r="K1267" s="179"/>
      <c r="L1267" s="179"/>
      <c r="M1267" s="179"/>
      <c r="N1267" s="179">
        <v>11</v>
      </c>
      <c r="O1267" s="179">
        <v>12</v>
      </c>
      <c r="P1267" s="179"/>
      <c r="Q1267" s="179"/>
      <c r="R1267" s="180">
        <v>93</v>
      </c>
    </row>
    <row r="1268" spans="1:18">
      <c r="A1268" s="10"/>
      <c r="B1268" s="58">
        <v>46137</v>
      </c>
      <c r="C1268" s="166"/>
      <c r="D1268" s="179"/>
      <c r="E1268" s="179"/>
      <c r="F1268" s="179"/>
      <c r="G1268" s="179"/>
      <c r="H1268" s="179"/>
      <c r="I1268" s="179">
        <v>26</v>
      </c>
      <c r="J1268" s="179">
        <v>0</v>
      </c>
      <c r="K1268" s="179"/>
      <c r="L1268" s="179"/>
      <c r="M1268" s="179"/>
      <c r="N1268" s="179"/>
      <c r="O1268" s="179"/>
      <c r="P1268" s="179">
        <v>19</v>
      </c>
      <c r="Q1268" s="179"/>
      <c r="R1268" s="180">
        <v>45</v>
      </c>
    </row>
    <row r="1269" spans="1:18">
      <c r="A1269" s="10"/>
      <c r="B1269" s="58">
        <v>46138</v>
      </c>
      <c r="C1269" s="166"/>
      <c r="D1269" s="179"/>
      <c r="E1269" s="179"/>
      <c r="F1269" s="179"/>
      <c r="G1269" s="179"/>
      <c r="H1269" s="179"/>
      <c r="I1269" s="179"/>
      <c r="J1269" s="179">
        <v>56</v>
      </c>
      <c r="K1269" s="179"/>
      <c r="L1269" s="179"/>
      <c r="M1269" s="179">
        <v>15</v>
      </c>
      <c r="N1269" s="179">
        <v>15</v>
      </c>
      <c r="O1269" s="179"/>
      <c r="P1269" s="179"/>
      <c r="Q1269" s="179">
        <v>15</v>
      </c>
      <c r="R1269" s="180">
        <v>101</v>
      </c>
    </row>
    <row r="1270" spans="1:18">
      <c r="A1270" s="10"/>
      <c r="B1270" s="58">
        <v>46139</v>
      </c>
      <c r="C1270" s="166"/>
      <c r="D1270" s="179"/>
      <c r="E1270" s="179"/>
      <c r="F1270" s="179"/>
      <c r="G1270" s="179"/>
      <c r="H1270" s="179"/>
      <c r="I1270" s="179">
        <v>22</v>
      </c>
      <c r="J1270" s="179">
        <v>21</v>
      </c>
      <c r="K1270" s="179"/>
      <c r="L1270" s="179">
        <v>0</v>
      </c>
      <c r="M1270" s="179"/>
      <c r="N1270" s="179">
        <v>14</v>
      </c>
      <c r="O1270" s="179">
        <v>13</v>
      </c>
      <c r="P1270" s="179">
        <v>14</v>
      </c>
      <c r="Q1270" s="179"/>
      <c r="R1270" s="180">
        <v>84</v>
      </c>
    </row>
    <row r="1271" spans="1:18">
      <c r="A1271" s="10"/>
      <c r="B1271" s="58">
        <v>46140</v>
      </c>
      <c r="C1271" s="166"/>
      <c r="D1271" s="179"/>
      <c r="E1271" s="179">
        <v>10</v>
      </c>
      <c r="F1271" s="179"/>
      <c r="G1271" s="179"/>
      <c r="H1271" s="179">
        <v>26</v>
      </c>
      <c r="I1271" s="179"/>
      <c r="J1271" s="179"/>
      <c r="K1271" s="179"/>
      <c r="L1271" s="179">
        <v>9</v>
      </c>
      <c r="M1271" s="179"/>
      <c r="N1271" s="179">
        <v>8</v>
      </c>
      <c r="O1271" s="179"/>
      <c r="P1271" s="179"/>
      <c r="Q1271" s="179"/>
      <c r="R1271" s="180">
        <v>53</v>
      </c>
    </row>
    <row r="1272" spans="1:18">
      <c r="A1272" s="10"/>
      <c r="B1272" s="58">
        <v>46141</v>
      </c>
      <c r="C1272" s="166">
        <v>15</v>
      </c>
      <c r="D1272" s="179">
        <v>27</v>
      </c>
      <c r="E1272" s="179">
        <v>-2</v>
      </c>
      <c r="F1272" s="179">
        <v>14</v>
      </c>
      <c r="G1272" s="179"/>
      <c r="H1272" s="179"/>
      <c r="I1272" s="179"/>
      <c r="J1272" s="179"/>
      <c r="K1272" s="179"/>
      <c r="L1272" s="179"/>
      <c r="M1272" s="179"/>
      <c r="N1272" s="179"/>
      <c r="O1272" s="179"/>
      <c r="P1272" s="179">
        <v>13</v>
      </c>
      <c r="Q1272" s="179"/>
      <c r="R1272" s="180">
        <v>67</v>
      </c>
    </row>
    <row r="1273" spans="1:18">
      <c r="A1273" s="10"/>
      <c r="B1273" s="58">
        <v>46142</v>
      </c>
      <c r="C1273" s="166"/>
      <c r="D1273" s="179">
        <v>10</v>
      </c>
      <c r="E1273" s="179"/>
      <c r="F1273" s="179"/>
      <c r="G1273" s="179"/>
      <c r="H1273" s="179"/>
      <c r="I1273" s="179">
        <v>45</v>
      </c>
      <c r="J1273" s="179"/>
      <c r="K1273" s="179"/>
      <c r="L1273" s="179"/>
      <c r="M1273" s="179">
        <v>18</v>
      </c>
      <c r="N1273" s="179"/>
      <c r="O1273" s="179"/>
      <c r="P1273" s="179">
        <v>18</v>
      </c>
      <c r="Q1273" s="179"/>
      <c r="R1273" s="180">
        <v>91</v>
      </c>
    </row>
    <row r="1274" spans="1:18">
      <c r="A1274" s="8" t="s">
        <v>3159</v>
      </c>
      <c r="B1274" s="60">
        <v>46143</v>
      </c>
      <c r="C1274" s="164"/>
      <c r="D1274" s="174"/>
      <c r="E1274" s="174"/>
      <c r="F1274" s="174"/>
      <c r="G1274" s="174">
        <v>20</v>
      </c>
      <c r="H1274" s="174"/>
      <c r="I1274" s="174"/>
      <c r="J1274" s="174">
        <v>14</v>
      </c>
      <c r="K1274" s="174">
        <v>24</v>
      </c>
      <c r="L1274" s="174">
        <v>9</v>
      </c>
      <c r="M1274" s="174">
        <v>11</v>
      </c>
      <c r="N1274" s="174"/>
      <c r="O1274" s="174"/>
      <c r="P1274" s="174"/>
      <c r="Q1274" s="174"/>
      <c r="R1274" s="175">
        <v>78</v>
      </c>
    </row>
    <row r="1275" spans="1:18">
      <c r="A1275" s="10"/>
      <c r="B1275" s="58">
        <v>46144</v>
      </c>
      <c r="C1275" s="166"/>
      <c r="D1275" s="179">
        <v>29</v>
      </c>
      <c r="E1275" s="179">
        <v>18</v>
      </c>
      <c r="F1275" s="179"/>
      <c r="G1275" s="179"/>
      <c r="H1275" s="179">
        <v>0</v>
      </c>
      <c r="I1275" s="179">
        <v>8</v>
      </c>
      <c r="J1275" s="179"/>
      <c r="K1275" s="179"/>
      <c r="L1275" s="179"/>
      <c r="M1275" s="179"/>
      <c r="N1275" s="179">
        <v>15</v>
      </c>
      <c r="O1275" s="179"/>
      <c r="P1275" s="179">
        <v>14</v>
      </c>
      <c r="Q1275" s="179"/>
      <c r="R1275" s="180">
        <v>84</v>
      </c>
    </row>
    <row r="1276" spans="1:18">
      <c r="A1276" s="10"/>
      <c r="B1276" s="58">
        <v>46145</v>
      </c>
      <c r="C1276" s="166"/>
      <c r="D1276" s="179"/>
      <c r="E1276" s="179">
        <v>13</v>
      </c>
      <c r="F1276" s="179">
        <v>9</v>
      </c>
      <c r="G1276" s="179"/>
      <c r="H1276" s="179"/>
      <c r="I1276" s="179"/>
      <c r="J1276" s="179"/>
      <c r="K1276" s="179"/>
      <c r="L1276" s="179"/>
      <c r="M1276" s="179">
        <v>22</v>
      </c>
      <c r="N1276" s="179">
        <v>4</v>
      </c>
      <c r="O1276" s="179">
        <v>32</v>
      </c>
      <c r="P1276" s="179">
        <v>41</v>
      </c>
      <c r="Q1276" s="179">
        <v>22</v>
      </c>
      <c r="R1276" s="180">
        <v>143</v>
      </c>
    </row>
    <row r="1277" spans="1:18">
      <c r="A1277" s="10"/>
      <c r="B1277" s="58">
        <v>46146</v>
      </c>
      <c r="C1277" s="166">
        <v>21</v>
      </c>
      <c r="D1277" s="179"/>
      <c r="E1277" s="179"/>
      <c r="F1277" s="179"/>
      <c r="G1277" s="179"/>
      <c r="H1277" s="179"/>
      <c r="I1277" s="179"/>
      <c r="J1277" s="179">
        <v>20</v>
      </c>
      <c r="K1277" s="179"/>
      <c r="L1277" s="179"/>
      <c r="M1277" s="179"/>
      <c r="N1277" s="179"/>
      <c r="O1277" s="179"/>
      <c r="P1277" s="179"/>
      <c r="Q1277" s="179"/>
      <c r="R1277" s="180">
        <v>41</v>
      </c>
    </row>
    <row r="1278" spans="1:18">
      <c r="A1278" s="10"/>
      <c r="B1278" s="58">
        <v>46147</v>
      </c>
      <c r="C1278" s="166"/>
      <c r="D1278" s="179"/>
      <c r="E1278" s="179"/>
      <c r="F1278" s="179">
        <v>-5</v>
      </c>
      <c r="G1278" s="179"/>
      <c r="H1278" s="179"/>
      <c r="I1278" s="179"/>
      <c r="J1278" s="179"/>
      <c r="K1278" s="179"/>
      <c r="L1278" s="179">
        <v>7</v>
      </c>
      <c r="M1278" s="179">
        <v>9</v>
      </c>
      <c r="N1278" s="179"/>
      <c r="O1278" s="179">
        <v>3</v>
      </c>
      <c r="P1278" s="179"/>
      <c r="Q1278" s="179"/>
      <c r="R1278" s="180">
        <v>14</v>
      </c>
    </row>
    <row r="1279" spans="1:18">
      <c r="A1279" s="10"/>
      <c r="B1279" s="58">
        <v>46148</v>
      </c>
      <c r="C1279" s="166">
        <v>16</v>
      </c>
      <c r="D1279" s="179">
        <v>6</v>
      </c>
      <c r="E1279" s="179">
        <v>21</v>
      </c>
      <c r="F1279" s="179"/>
      <c r="G1279" s="179">
        <v>14</v>
      </c>
      <c r="H1279" s="179">
        <v>12</v>
      </c>
      <c r="I1279" s="179"/>
      <c r="J1279" s="179">
        <v>21</v>
      </c>
      <c r="K1279" s="179"/>
      <c r="L1279" s="179"/>
      <c r="M1279" s="179"/>
      <c r="N1279" s="179">
        <v>5</v>
      </c>
      <c r="O1279" s="179"/>
      <c r="P1279" s="179">
        <v>12</v>
      </c>
      <c r="Q1279" s="179"/>
      <c r="R1279" s="180">
        <v>107</v>
      </c>
    </row>
    <row r="1280" spans="1:18">
      <c r="A1280" s="10"/>
      <c r="B1280" s="58">
        <v>46149</v>
      </c>
      <c r="C1280" s="166"/>
      <c r="D1280" s="179"/>
      <c r="E1280" s="179"/>
      <c r="F1280" s="179">
        <v>12</v>
      </c>
      <c r="G1280" s="179">
        <v>15</v>
      </c>
      <c r="H1280" s="179"/>
      <c r="I1280" s="179">
        <v>16</v>
      </c>
      <c r="J1280" s="179">
        <v>42</v>
      </c>
      <c r="K1280" s="179"/>
      <c r="L1280" s="179"/>
      <c r="M1280" s="179"/>
      <c r="N1280" s="179"/>
      <c r="O1280" s="179">
        <v>15</v>
      </c>
      <c r="P1280" s="179"/>
      <c r="Q1280" s="179"/>
      <c r="R1280" s="180">
        <v>100</v>
      </c>
    </row>
    <row r="1281" spans="1:18">
      <c r="A1281" s="10"/>
      <c r="B1281" s="58">
        <v>46150</v>
      </c>
      <c r="C1281" s="166"/>
      <c r="D1281" s="179"/>
      <c r="E1281" s="179"/>
      <c r="F1281" s="179"/>
      <c r="G1281" s="179">
        <v>13</v>
      </c>
      <c r="H1281" s="179"/>
      <c r="I1281" s="179"/>
      <c r="J1281" s="179"/>
      <c r="K1281" s="179"/>
      <c r="L1281" s="179"/>
      <c r="M1281" s="179"/>
      <c r="N1281" s="179">
        <v>16</v>
      </c>
      <c r="O1281" s="179"/>
      <c r="P1281" s="179"/>
      <c r="Q1281" s="179"/>
      <c r="R1281" s="180">
        <v>29</v>
      </c>
    </row>
    <row r="1282" spans="1:18">
      <c r="A1282" s="10"/>
      <c r="B1282" s="58">
        <v>46151</v>
      </c>
      <c r="C1282" s="166"/>
      <c r="D1282" s="179">
        <v>22</v>
      </c>
      <c r="E1282" s="179"/>
      <c r="F1282" s="179"/>
      <c r="G1282" s="179"/>
      <c r="H1282" s="179">
        <v>21</v>
      </c>
      <c r="I1282" s="179">
        <v>21</v>
      </c>
      <c r="J1282" s="179"/>
      <c r="K1282" s="179">
        <v>21</v>
      </c>
      <c r="L1282" s="179"/>
      <c r="M1282" s="179"/>
      <c r="N1282" s="179"/>
      <c r="O1282" s="179">
        <v>0</v>
      </c>
      <c r="P1282" s="179">
        <v>12</v>
      </c>
      <c r="Q1282" s="179">
        <v>14</v>
      </c>
      <c r="R1282" s="180">
        <v>111</v>
      </c>
    </row>
    <row r="1283" spans="1:18">
      <c r="A1283" s="10"/>
      <c r="B1283" s="58">
        <v>46152</v>
      </c>
      <c r="C1283" s="166"/>
      <c r="D1283" s="179"/>
      <c r="E1283" s="179"/>
      <c r="F1283" s="179"/>
      <c r="G1283" s="179"/>
      <c r="H1283" s="179"/>
      <c r="I1283" s="179"/>
      <c r="J1283" s="179"/>
      <c r="K1283" s="179"/>
      <c r="L1283" s="179">
        <v>12</v>
      </c>
      <c r="M1283" s="179">
        <v>6</v>
      </c>
      <c r="N1283" s="179">
        <v>26</v>
      </c>
      <c r="O1283" s="179"/>
      <c r="P1283" s="179"/>
      <c r="Q1283" s="179"/>
      <c r="R1283" s="180">
        <v>44</v>
      </c>
    </row>
    <row r="1284" spans="1:18">
      <c r="A1284" s="10"/>
      <c r="B1284" s="58">
        <v>46153</v>
      </c>
      <c r="C1284" s="166">
        <v>48</v>
      </c>
      <c r="D1284" s="179">
        <v>17</v>
      </c>
      <c r="E1284" s="179">
        <v>8</v>
      </c>
      <c r="F1284" s="179"/>
      <c r="G1284" s="179"/>
      <c r="H1284" s="179">
        <v>13</v>
      </c>
      <c r="I1284" s="179"/>
      <c r="J1284" s="179"/>
      <c r="K1284" s="179">
        <v>22</v>
      </c>
      <c r="L1284" s="179"/>
      <c r="M1284" s="179"/>
      <c r="N1284" s="179"/>
      <c r="O1284" s="179">
        <v>4</v>
      </c>
      <c r="P1284" s="179"/>
      <c r="Q1284" s="179"/>
      <c r="R1284" s="180">
        <v>112</v>
      </c>
    </row>
    <row r="1285" spans="1:18">
      <c r="A1285" s="10"/>
      <c r="B1285" s="58">
        <v>46154</v>
      </c>
      <c r="C1285" s="166"/>
      <c r="D1285" s="179"/>
      <c r="E1285" s="179"/>
      <c r="F1285" s="179">
        <v>0</v>
      </c>
      <c r="G1285" s="179"/>
      <c r="H1285" s="179"/>
      <c r="I1285" s="179"/>
      <c r="J1285" s="179"/>
      <c r="K1285" s="179"/>
      <c r="L1285" s="179"/>
      <c r="M1285" s="179">
        <v>10</v>
      </c>
      <c r="N1285" s="179">
        <v>13</v>
      </c>
      <c r="O1285" s="179"/>
      <c r="P1285" s="179">
        <v>25</v>
      </c>
      <c r="Q1285" s="179"/>
      <c r="R1285" s="180">
        <v>48</v>
      </c>
    </row>
    <row r="1286" spans="1:18">
      <c r="A1286" s="10"/>
      <c r="B1286" s="58">
        <v>46155</v>
      </c>
      <c r="C1286" s="166"/>
      <c r="D1286" s="179">
        <v>28</v>
      </c>
      <c r="E1286" s="179">
        <v>10</v>
      </c>
      <c r="F1286" s="179"/>
      <c r="G1286" s="179"/>
      <c r="H1286" s="179"/>
      <c r="I1286" s="179"/>
      <c r="J1286" s="179"/>
      <c r="K1286" s="179">
        <v>0</v>
      </c>
      <c r="L1286" s="179"/>
      <c r="M1286" s="179">
        <v>27</v>
      </c>
      <c r="N1286" s="179"/>
      <c r="O1286" s="179"/>
      <c r="P1286" s="179"/>
      <c r="Q1286" s="179"/>
      <c r="R1286" s="180">
        <v>65</v>
      </c>
    </row>
    <row r="1287" spans="1:18">
      <c r="A1287" s="10"/>
      <c r="B1287" s="58">
        <v>46156</v>
      </c>
      <c r="C1287" s="166">
        <v>28</v>
      </c>
      <c r="D1287" s="179"/>
      <c r="E1287" s="179"/>
      <c r="F1287" s="179"/>
      <c r="G1287" s="179">
        <v>16</v>
      </c>
      <c r="H1287" s="179"/>
      <c r="I1287" s="179">
        <v>7</v>
      </c>
      <c r="J1287" s="179"/>
      <c r="K1287" s="179">
        <v>19</v>
      </c>
      <c r="L1287" s="179"/>
      <c r="M1287" s="179"/>
      <c r="N1287" s="179">
        <v>10</v>
      </c>
      <c r="O1287" s="179"/>
      <c r="P1287" s="179"/>
      <c r="Q1287" s="179"/>
      <c r="R1287" s="180">
        <v>80</v>
      </c>
    </row>
    <row r="1288" spans="1:18">
      <c r="A1288" s="10"/>
      <c r="B1288" s="58">
        <v>46157</v>
      </c>
      <c r="C1288" s="166"/>
      <c r="D1288" s="179">
        <v>14</v>
      </c>
      <c r="E1288" s="179"/>
      <c r="F1288" s="179"/>
      <c r="G1288" s="179"/>
      <c r="H1288" s="179"/>
      <c r="I1288" s="179">
        <v>19</v>
      </c>
      <c r="J1288" s="179">
        <v>21</v>
      </c>
      <c r="K1288" s="179">
        <v>24</v>
      </c>
      <c r="L1288" s="179">
        <v>4</v>
      </c>
      <c r="M1288" s="179"/>
      <c r="N1288" s="179">
        <v>15</v>
      </c>
      <c r="O1288" s="179"/>
      <c r="P1288" s="179"/>
      <c r="Q1288" s="179"/>
      <c r="R1288" s="180">
        <v>97</v>
      </c>
    </row>
    <row r="1289" spans="1:18">
      <c r="A1289" s="10"/>
      <c r="B1289" s="58">
        <v>46158</v>
      </c>
      <c r="C1289" s="166"/>
      <c r="D1289" s="179"/>
      <c r="E1289" s="179">
        <v>0</v>
      </c>
      <c r="F1289" s="179">
        <v>5</v>
      </c>
      <c r="G1289" s="179">
        <v>23</v>
      </c>
      <c r="H1289" s="179"/>
      <c r="I1289" s="179">
        <v>14</v>
      </c>
      <c r="J1289" s="179"/>
      <c r="K1289" s="179"/>
      <c r="L1289" s="179"/>
      <c r="M1289" s="179"/>
      <c r="N1289" s="179">
        <v>8</v>
      </c>
      <c r="O1289" s="179"/>
      <c r="P1289" s="179"/>
      <c r="Q1289" s="179"/>
      <c r="R1289" s="180">
        <v>50</v>
      </c>
    </row>
    <row r="1290" spans="1:18">
      <c r="A1290" s="10"/>
      <c r="B1290" s="58">
        <v>46159</v>
      </c>
      <c r="C1290" s="166"/>
      <c r="D1290" s="179"/>
      <c r="E1290" s="179"/>
      <c r="F1290" s="179"/>
      <c r="G1290" s="179"/>
      <c r="H1290" s="179"/>
      <c r="I1290" s="179"/>
      <c r="J1290" s="179">
        <v>22</v>
      </c>
      <c r="K1290" s="179">
        <v>16</v>
      </c>
      <c r="L1290" s="179">
        <v>11</v>
      </c>
      <c r="M1290" s="179">
        <v>14</v>
      </c>
      <c r="N1290" s="179"/>
      <c r="O1290" s="179"/>
      <c r="P1290" s="179"/>
      <c r="Q1290" s="179"/>
      <c r="R1290" s="180">
        <v>63</v>
      </c>
    </row>
    <row r="1291" spans="1:18">
      <c r="A1291" s="10"/>
      <c r="B1291" s="58">
        <v>46160</v>
      </c>
      <c r="C1291" s="166"/>
      <c r="D1291" s="179"/>
      <c r="E1291" s="179">
        <v>14</v>
      </c>
      <c r="F1291" s="179">
        <v>9</v>
      </c>
      <c r="G1291" s="179"/>
      <c r="H1291" s="179">
        <v>11</v>
      </c>
      <c r="I1291" s="179"/>
      <c r="J1291" s="179"/>
      <c r="K1291" s="179"/>
      <c r="L1291" s="179"/>
      <c r="M1291" s="179">
        <v>29</v>
      </c>
      <c r="N1291" s="179"/>
      <c r="O1291" s="179"/>
      <c r="P1291" s="179">
        <v>14</v>
      </c>
      <c r="Q1291" s="179">
        <v>22</v>
      </c>
      <c r="R1291" s="180">
        <v>99</v>
      </c>
    </row>
    <row r="1292" spans="1:18">
      <c r="A1292" s="10"/>
      <c r="B1292" s="58">
        <v>46161</v>
      </c>
      <c r="C1292" s="166"/>
      <c r="D1292" s="179"/>
      <c r="E1292" s="179"/>
      <c r="F1292" s="179"/>
      <c r="G1292" s="179">
        <v>16</v>
      </c>
      <c r="H1292" s="179">
        <v>23</v>
      </c>
      <c r="I1292" s="179">
        <v>0</v>
      </c>
      <c r="J1292" s="179">
        <v>20</v>
      </c>
      <c r="K1292" s="179"/>
      <c r="L1292" s="179"/>
      <c r="M1292" s="179"/>
      <c r="N1292" s="179"/>
      <c r="O1292" s="179">
        <v>25</v>
      </c>
      <c r="P1292" s="179"/>
      <c r="Q1292" s="179"/>
      <c r="R1292" s="180">
        <v>84</v>
      </c>
    </row>
    <row r="1293" spans="1:18">
      <c r="A1293" s="10"/>
      <c r="B1293" s="58">
        <v>46162</v>
      </c>
      <c r="C1293" s="166"/>
      <c r="D1293" s="179"/>
      <c r="E1293" s="179"/>
      <c r="F1293" s="179"/>
      <c r="G1293" s="179"/>
      <c r="H1293" s="179">
        <v>30</v>
      </c>
      <c r="I1293" s="179">
        <v>17</v>
      </c>
      <c r="J1293" s="179"/>
      <c r="K1293" s="179"/>
      <c r="L1293" s="179">
        <v>16</v>
      </c>
      <c r="M1293" s="179"/>
      <c r="N1293" s="179">
        <v>29</v>
      </c>
      <c r="O1293" s="179"/>
      <c r="P1293" s="179">
        <v>16</v>
      </c>
      <c r="Q1293" s="179"/>
      <c r="R1293" s="180">
        <v>108</v>
      </c>
    </row>
    <row r="1294" spans="1:18">
      <c r="A1294" s="10"/>
      <c r="B1294" s="58">
        <v>46163</v>
      </c>
      <c r="C1294" s="166"/>
      <c r="D1294" s="179"/>
      <c r="E1294" s="179"/>
      <c r="F1294" s="179">
        <v>4</v>
      </c>
      <c r="G1294" s="179"/>
      <c r="H1294" s="179"/>
      <c r="I1294" s="179"/>
      <c r="J1294" s="179">
        <v>22</v>
      </c>
      <c r="K1294" s="179"/>
      <c r="L1294" s="179"/>
      <c r="M1294" s="179">
        <v>11</v>
      </c>
      <c r="N1294" s="179"/>
      <c r="O1294" s="179">
        <v>13</v>
      </c>
      <c r="P1294" s="179"/>
      <c r="Q1294" s="179"/>
      <c r="R1294" s="180">
        <v>50</v>
      </c>
    </row>
    <row r="1295" spans="1:18">
      <c r="A1295" s="10"/>
      <c r="B1295" s="58">
        <v>46164</v>
      </c>
      <c r="C1295" s="166"/>
      <c r="D1295" s="179"/>
      <c r="E1295" s="179"/>
      <c r="F1295" s="179">
        <v>14</v>
      </c>
      <c r="G1295" s="179"/>
      <c r="H1295" s="179"/>
      <c r="I1295" s="179"/>
      <c r="J1295" s="179"/>
      <c r="K1295" s="179"/>
      <c r="L1295" s="179">
        <v>21</v>
      </c>
      <c r="M1295" s="179"/>
      <c r="N1295" s="179"/>
      <c r="O1295" s="179"/>
      <c r="P1295" s="179">
        <v>18</v>
      </c>
      <c r="Q1295" s="179"/>
      <c r="R1295" s="180">
        <v>53</v>
      </c>
    </row>
    <row r="1296" spans="1:18">
      <c r="A1296" s="10"/>
      <c r="B1296" s="58">
        <v>46165</v>
      </c>
      <c r="C1296" s="166">
        <v>25</v>
      </c>
      <c r="D1296" s="179"/>
      <c r="E1296" s="179">
        <v>14</v>
      </c>
      <c r="F1296" s="179">
        <v>45</v>
      </c>
      <c r="G1296" s="179"/>
      <c r="H1296" s="179"/>
      <c r="I1296" s="179"/>
      <c r="J1296" s="179"/>
      <c r="K1296" s="179"/>
      <c r="L1296" s="179"/>
      <c r="M1296" s="179"/>
      <c r="N1296" s="179"/>
      <c r="O1296" s="179">
        <v>7</v>
      </c>
      <c r="P1296" s="179">
        <v>4</v>
      </c>
      <c r="Q1296" s="179"/>
      <c r="R1296" s="180">
        <v>95</v>
      </c>
    </row>
    <row r="1297" spans="1:18">
      <c r="A1297" s="10"/>
      <c r="B1297" s="58">
        <v>46166</v>
      </c>
      <c r="C1297" s="166"/>
      <c r="D1297" s="179">
        <v>13</v>
      </c>
      <c r="E1297" s="179">
        <v>17</v>
      </c>
      <c r="F1297" s="179">
        <v>14</v>
      </c>
      <c r="G1297" s="179">
        <v>14</v>
      </c>
      <c r="H1297" s="179"/>
      <c r="I1297" s="179"/>
      <c r="J1297" s="179"/>
      <c r="K1297" s="179">
        <v>16</v>
      </c>
      <c r="L1297" s="179">
        <v>22</v>
      </c>
      <c r="M1297" s="179"/>
      <c r="N1297" s="179"/>
      <c r="O1297" s="179"/>
      <c r="P1297" s="179"/>
      <c r="Q1297" s="179"/>
      <c r="R1297" s="180">
        <v>96</v>
      </c>
    </row>
    <row r="1298" spans="1:18">
      <c r="A1298" s="10"/>
      <c r="B1298" s="58">
        <v>46167</v>
      </c>
      <c r="C1298" s="166"/>
      <c r="D1298" s="179"/>
      <c r="E1298" s="179"/>
      <c r="F1298" s="179"/>
      <c r="G1298" s="179"/>
      <c r="H1298" s="179"/>
      <c r="I1298" s="179"/>
      <c r="J1298" s="179"/>
      <c r="K1298" s="179"/>
      <c r="L1298" s="179"/>
      <c r="M1298" s="179">
        <v>5</v>
      </c>
      <c r="N1298" s="179"/>
      <c r="O1298" s="179"/>
      <c r="P1298" s="179"/>
      <c r="Q1298" s="179"/>
      <c r="R1298" s="180">
        <v>5</v>
      </c>
    </row>
    <row r="1299" spans="1:18">
      <c r="A1299" s="10"/>
      <c r="B1299" s="58">
        <v>46168</v>
      </c>
      <c r="C1299" s="166"/>
      <c r="D1299" s="179"/>
      <c r="E1299" s="179">
        <v>6</v>
      </c>
      <c r="F1299" s="179"/>
      <c r="G1299" s="179"/>
      <c r="H1299" s="179">
        <v>7</v>
      </c>
      <c r="I1299" s="179">
        <v>11</v>
      </c>
      <c r="J1299" s="179"/>
      <c r="K1299" s="179"/>
      <c r="L1299" s="179">
        <v>7</v>
      </c>
      <c r="M1299" s="179"/>
      <c r="N1299" s="179"/>
      <c r="O1299" s="179"/>
      <c r="P1299" s="179"/>
      <c r="Q1299" s="179"/>
      <c r="R1299" s="180">
        <v>31</v>
      </c>
    </row>
    <row r="1300" spans="1:18">
      <c r="A1300" s="10"/>
      <c r="B1300" s="58">
        <v>46169</v>
      </c>
      <c r="C1300" s="166">
        <v>0</v>
      </c>
      <c r="D1300" s="179"/>
      <c r="E1300" s="179"/>
      <c r="F1300" s="179"/>
      <c r="G1300" s="179"/>
      <c r="H1300" s="179"/>
      <c r="I1300" s="179"/>
      <c r="J1300" s="179">
        <v>21</v>
      </c>
      <c r="K1300" s="179">
        <v>18</v>
      </c>
      <c r="L1300" s="179">
        <v>24</v>
      </c>
      <c r="M1300" s="179"/>
      <c r="N1300" s="179"/>
      <c r="O1300" s="179"/>
      <c r="P1300" s="179"/>
      <c r="Q1300" s="179">
        <v>19</v>
      </c>
      <c r="R1300" s="180">
        <v>82</v>
      </c>
    </row>
    <row r="1301" spans="1:18">
      <c r="A1301" s="10"/>
      <c r="B1301" s="58">
        <v>46170</v>
      </c>
      <c r="C1301" s="166"/>
      <c r="D1301" s="179"/>
      <c r="E1301" s="179"/>
      <c r="F1301" s="179"/>
      <c r="G1301" s="179"/>
      <c r="H1301" s="179"/>
      <c r="I1301" s="179">
        <v>43</v>
      </c>
      <c r="J1301" s="179"/>
      <c r="K1301" s="179"/>
      <c r="L1301" s="179">
        <v>-2</v>
      </c>
      <c r="M1301" s="179"/>
      <c r="N1301" s="179"/>
      <c r="O1301" s="179"/>
      <c r="P1301" s="179"/>
      <c r="Q1301" s="179">
        <v>19</v>
      </c>
      <c r="R1301" s="180">
        <v>60</v>
      </c>
    </row>
    <row r="1302" spans="1:18">
      <c r="A1302" s="10"/>
      <c r="B1302" s="58">
        <v>46171</v>
      </c>
      <c r="C1302" s="166">
        <v>12</v>
      </c>
      <c r="D1302" s="179">
        <v>17</v>
      </c>
      <c r="E1302" s="179"/>
      <c r="F1302" s="179"/>
      <c r="G1302" s="179"/>
      <c r="H1302" s="179">
        <v>0</v>
      </c>
      <c r="I1302" s="179">
        <v>16</v>
      </c>
      <c r="J1302" s="179"/>
      <c r="K1302" s="179"/>
      <c r="L1302" s="179"/>
      <c r="M1302" s="179">
        <v>8</v>
      </c>
      <c r="N1302" s="179"/>
      <c r="O1302" s="179">
        <v>15</v>
      </c>
      <c r="P1302" s="179"/>
      <c r="Q1302" s="179"/>
      <c r="R1302" s="180">
        <v>68</v>
      </c>
    </row>
    <row r="1303" spans="1:18">
      <c r="A1303" s="10"/>
      <c r="B1303" s="58">
        <v>46172</v>
      </c>
      <c r="C1303" s="166"/>
      <c r="D1303" s="179">
        <v>15</v>
      </c>
      <c r="E1303" s="179"/>
      <c r="F1303" s="179"/>
      <c r="G1303" s="179"/>
      <c r="H1303" s="179"/>
      <c r="I1303" s="179"/>
      <c r="J1303" s="179"/>
      <c r="K1303" s="179">
        <v>21</v>
      </c>
      <c r="L1303" s="179">
        <v>7</v>
      </c>
      <c r="M1303" s="179"/>
      <c r="N1303" s="179"/>
      <c r="O1303" s="179"/>
      <c r="P1303" s="179"/>
      <c r="Q1303" s="179"/>
      <c r="R1303" s="180">
        <v>43</v>
      </c>
    </row>
    <row r="1304" spans="1:18">
      <c r="A1304" s="10"/>
      <c r="B1304" s="58">
        <v>46173</v>
      </c>
      <c r="C1304" s="166">
        <v>30</v>
      </c>
      <c r="D1304" s="179">
        <v>12</v>
      </c>
      <c r="E1304" s="179"/>
      <c r="F1304" s="179">
        <v>50</v>
      </c>
      <c r="G1304" s="179"/>
      <c r="H1304" s="179"/>
      <c r="I1304" s="179"/>
      <c r="J1304" s="179"/>
      <c r="K1304" s="179">
        <v>20</v>
      </c>
      <c r="L1304" s="179">
        <v>8</v>
      </c>
      <c r="M1304" s="179"/>
      <c r="N1304" s="179"/>
      <c r="O1304" s="179"/>
      <c r="P1304" s="179"/>
      <c r="Q1304" s="179"/>
      <c r="R1304" s="180">
        <v>120</v>
      </c>
    </row>
    <row r="1305" spans="1:18">
      <c r="A1305" s="8" t="s">
        <v>3870</v>
      </c>
      <c r="B1305" s="60">
        <v>46174</v>
      </c>
      <c r="C1305" s="164"/>
      <c r="D1305" s="174">
        <v>23</v>
      </c>
      <c r="E1305" s="174"/>
      <c r="F1305" s="174"/>
      <c r="G1305" s="174">
        <v>12</v>
      </c>
      <c r="H1305" s="174">
        <v>15</v>
      </c>
      <c r="I1305" s="174">
        <v>14</v>
      </c>
      <c r="J1305" s="174"/>
      <c r="K1305" s="174"/>
      <c r="L1305" s="174"/>
      <c r="M1305" s="174"/>
      <c r="N1305" s="174"/>
      <c r="O1305" s="174">
        <v>12</v>
      </c>
      <c r="P1305" s="174"/>
      <c r="Q1305" s="174"/>
      <c r="R1305" s="175">
        <v>76</v>
      </c>
    </row>
    <row r="1306" spans="1:18">
      <c r="A1306" s="10"/>
      <c r="B1306" s="58">
        <v>46175</v>
      </c>
      <c r="C1306" s="166"/>
      <c r="D1306" s="179"/>
      <c r="E1306" s="179">
        <v>21</v>
      </c>
      <c r="F1306" s="179"/>
      <c r="G1306" s="179"/>
      <c r="H1306" s="179"/>
      <c r="I1306" s="179"/>
      <c r="J1306" s="179"/>
      <c r="K1306" s="179">
        <v>0</v>
      </c>
      <c r="L1306" s="179"/>
      <c r="M1306" s="179">
        <v>20</v>
      </c>
      <c r="N1306" s="179"/>
      <c r="O1306" s="179"/>
      <c r="P1306" s="179"/>
      <c r="Q1306" s="179"/>
      <c r="R1306" s="180">
        <v>41</v>
      </c>
    </row>
    <row r="1307" spans="1:18">
      <c r="A1307" s="10"/>
      <c r="B1307" s="58">
        <v>46176</v>
      </c>
      <c r="C1307" s="166">
        <v>16</v>
      </c>
      <c r="D1307" s="179"/>
      <c r="E1307" s="179"/>
      <c r="F1307" s="179">
        <v>26</v>
      </c>
      <c r="G1307" s="179"/>
      <c r="H1307" s="179">
        <v>22</v>
      </c>
      <c r="I1307" s="179">
        <v>10</v>
      </c>
      <c r="J1307" s="179"/>
      <c r="K1307" s="179"/>
      <c r="L1307" s="179"/>
      <c r="M1307" s="179"/>
      <c r="N1307" s="179"/>
      <c r="O1307" s="179"/>
      <c r="P1307" s="179"/>
      <c r="Q1307" s="179"/>
      <c r="R1307" s="180">
        <v>74</v>
      </c>
    </row>
    <row r="1308" spans="1:18">
      <c r="A1308" s="10"/>
      <c r="B1308" s="58">
        <v>46177</v>
      </c>
      <c r="C1308" s="166"/>
      <c r="D1308" s="179"/>
      <c r="E1308" s="179"/>
      <c r="F1308" s="179"/>
      <c r="G1308" s="179"/>
      <c r="H1308" s="179"/>
      <c r="I1308" s="179">
        <v>26</v>
      </c>
      <c r="J1308" s="179">
        <v>22</v>
      </c>
      <c r="K1308" s="179"/>
      <c r="L1308" s="179">
        <v>7</v>
      </c>
      <c r="M1308" s="179"/>
      <c r="N1308" s="179"/>
      <c r="O1308" s="179"/>
      <c r="P1308" s="179"/>
      <c r="Q1308" s="179"/>
      <c r="R1308" s="180">
        <v>55</v>
      </c>
    </row>
    <row r="1309" spans="1:18">
      <c r="A1309" s="10"/>
      <c r="B1309" s="58">
        <v>46178</v>
      </c>
      <c r="C1309" s="166">
        <v>29</v>
      </c>
      <c r="D1309" s="179"/>
      <c r="E1309" s="179">
        <v>13</v>
      </c>
      <c r="F1309" s="179"/>
      <c r="G1309" s="179"/>
      <c r="H1309" s="179"/>
      <c r="I1309" s="179">
        <v>46</v>
      </c>
      <c r="J1309" s="179">
        <v>-5</v>
      </c>
      <c r="K1309" s="179"/>
      <c r="L1309" s="179"/>
      <c r="M1309" s="179"/>
      <c r="N1309" s="179">
        <v>14</v>
      </c>
      <c r="O1309" s="179"/>
      <c r="P1309" s="179"/>
      <c r="Q1309" s="179"/>
      <c r="R1309" s="180">
        <v>97</v>
      </c>
    </row>
    <row r="1310" spans="1:18">
      <c r="A1310" s="10"/>
      <c r="B1310" s="58">
        <v>46179</v>
      </c>
      <c r="C1310" s="166"/>
      <c r="D1310" s="179"/>
      <c r="E1310" s="179"/>
      <c r="F1310" s="179">
        <v>-5</v>
      </c>
      <c r="G1310" s="179">
        <v>15</v>
      </c>
      <c r="H1310" s="179"/>
      <c r="I1310" s="179"/>
      <c r="J1310" s="179">
        <v>28</v>
      </c>
      <c r="K1310" s="179"/>
      <c r="L1310" s="179">
        <v>16</v>
      </c>
      <c r="M1310" s="179">
        <v>4</v>
      </c>
      <c r="N1310" s="179"/>
      <c r="O1310" s="179"/>
      <c r="P1310" s="179">
        <v>23</v>
      </c>
      <c r="Q1310" s="179">
        <v>22</v>
      </c>
      <c r="R1310" s="180">
        <v>103</v>
      </c>
    </row>
    <row r="1311" spans="1:18">
      <c r="A1311" s="10"/>
      <c r="B1311" s="58">
        <v>46180</v>
      </c>
      <c r="C1311" s="166"/>
      <c r="D1311" s="179">
        <v>20</v>
      </c>
      <c r="E1311" s="179">
        <v>18</v>
      </c>
      <c r="F1311" s="179"/>
      <c r="G1311" s="179">
        <v>14</v>
      </c>
      <c r="H1311" s="179"/>
      <c r="I1311" s="179">
        <v>34</v>
      </c>
      <c r="J1311" s="179">
        <v>35</v>
      </c>
      <c r="K1311" s="179">
        <v>32</v>
      </c>
      <c r="L1311" s="179">
        <v>12</v>
      </c>
      <c r="M1311" s="179"/>
      <c r="N1311" s="179"/>
      <c r="O1311" s="179"/>
      <c r="P1311" s="179"/>
      <c r="Q1311" s="179">
        <v>21</v>
      </c>
      <c r="R1311" s="180">
        <v>186</v>
      </c>
    </row>
    <row r="1312" spans="1:18">
      <c r="A1312" s="10"/>
      <c r="B1312" s="58">
        <v>46181</v>
      </c>
      <c r="C1312" s="166"/>
      <c r="D1312" s="179">
        <v>17</v>
      </c>
      <c r="E1312" s="179"/>
      <c r="F1312" s="179">
        <v>18</v>
      </c>
      <c r="G1312" s="179"/>
      <c r="H1312" s="179"/>
      <c r="I1312" s="179"/>
      <c r="J1312" s="179"/>
      <c r="K1312" s="179"/>
      <c r="L1312" s="179"/>
      <c r="M1312" s="179"/>
      <c r="N1312" s="179"/>
      <c r="O1312" s="179"/>
      <c r="P1312" s="179"/>
      <c r="Q1312" s="179"/>
      <c r="R1312" s="180">
        <v>35</v>
      </c>
    </row>
    <row r="1313" spans="1:18">
      <c r="A1313" s="10"/>
      <c r="B1313" s="58">
        <v>46182</v>
      </c>
      <c r="C1313" s="166">
        <v>21</v>
      </c>
      <c r="D1313" s="179">
        <v>22</v>
      </c>
      <c r="E1313" s="179"/>
      <c r="F1313" s="179"/>
      <c r="G1313" s="179"/>
      <c r="H1313" s="179">
        <v>15</v>
      </c>
      <c r="I1313" s="179"/>
      <c r="J1313" s="179"/>
      <c r="K1313" s="179"/>
      <c r="L1313" s="179"/>
      <c r="M1313" s="179"/>
      <c r="N1313" s="179"/>
      <c r="O1313" s="179"/>
      <c r="P1313" s="179">
        <v>38</v>
      </c>
      <c r="Q1313" s="179">
        <v>33</v>
      </c>
      <c r="R1313" s="180">
        <v>129</v>
      </c>
    </row>
    <row r="1314" spans="1:18">
      <c r="A1314" s="10"/>
      <c r="B1314" s="58">
        <v>46183</v>
      </c>
      <c r="C1314" s="166">
        <v>42</v>
      </c>
      <c r="D1314" s="179"/>
      <c r="E1314" s="179"/>
      <c r="F1314" s="179">
        <v>41</v>
      </c>
      <c r="G1314" s="179"/>
      <c r="H1314" s="179">
        <v>10</v>
      </c>
      <c r="I1314" s="179"/>
      <c r="J1314" s="179">
        <v>28</v>
      </c>
      <c r="K1314" s="179">
        <v>24</v>
      </c>
      <c r="L1314" s="179">
        <v>6</v>
      </c>
      <c r="M1314" s="179"/>
      <c r="N1314" s="179">
        <v>13</v>
      </c>
      <c r="O1314" s="179">
        <v>15</v>
      </c>
      <c r="P1314" s="179"/>
      <c r="Q1314" s="179"/>
      <c r="R1314" s="180">
        <v>179</v>
      </c>
    </row>
    <row r="1315" spans="1:18">
      <c r="A1315" s="10"/>
      <c r="B1315" s="58">
        <v>46184</v>
      </c>
      <c r="C1315" s="166"/>
      <c r="D1315" s="179"/>
      <c r="E1315" s="179"/>
      <c r="F1315" s="179"/>
      <c r="G1315" s="179"/>
      <c r="H1315" s="179"/>
      <c r="I1315" s="179"/>
      <c r="J1315" s="179">
        <v>0</v>
      </c>
      <c r="K1315" s="179"/>
      <c r="L1315" s="179"/>
      <c r="M1315" s="179">
        <v>8</v>
      </c>
      <c r="N1315" s="179">
        <v>14</v>
      </c>
      <c r="O1315" s="179">
        <v>8</v>
      </c>
      <c r="P1315" s="179"/>
      <c r="Q1315" s="179"/>
      <c r="R1315" s="180">
        <v>30</v>
      </c>
    </row>
    <row r="1316" spans="1:18">
      <c r="A1316" s="10"/>
      <c r="B1316" s="58">
        <v>46185</v>
      </c>
      <c r="C1316" s="166"/>
      <c r="D1316" s="179">
        <v>11</v>
      </c>
      <c r="E1316" s="179"/>
      <c r="F1316" s="179"/>
      <c r="G1316" s="179">
        <v>7</v>
      </c>
      <c r="H1316" s="179">
        <v>16</v>
      </c>
      <c r="I1316" s="179"/>
      <c r="J1316" s="179">
        <v>22</v>
      </c>
      <c r="K1316" s="179"/>
      <c r="L1316" s="179">
        <v>1</v>
      </c>
      <c r="M1316" s="179"/>
      <c r="N1316" s="179"/>
      <c r="O1316" s="179"/>
      <c r="P1316" s="179">
        <v>23</v>
      </c>
      <c r="Q1316" s="179"/>
      <c r="R1316" s="180">
        <v>80</v>
      </c>
    </row>
    <row r="1317" spans="1:18">
      <c r="A1317" s="10"/>
      <c r="B1317" s="58">
        <v>46186</v>
      </c>
      <c r="C1317" s="166">
        <v>25</v>
      </c>
      <c r="D1317" s="179"/>
      <c r="E1317" s="179"/>
      <c r="F1317" s="179"/>
      <c r="G1317" s="179"/>
      <c r="H1317" s="179"/>
      <c r="I1317" s="179">
        <v>21</v>
      </c>
      <c r="J1317" s="179">
        <v>25</v>
      </c>
      <c r="K1317" s="179">
        <v>21</v>
      </c>
      <c r="L1317" s="179">
        <v>2</v>
      </c>
      <c r="M1317" s="179"/>
      <c r="N1317" s="179"/>
      <c r="O1317" s="179"/>
      <c r="P1317" s="179"/>
      <c r="Q1317" s="179">
        <v>15</v>
      </c>
      <c r="R1317" s="180">
        <v>109</v>
      </c>
    </row>
    <row r="1318" spans="1:18">
      <c r="A1318" s="10"/>
      <c r="B1318" s="58">
        <v>46187</v>
      </c>
      <c r="C1318" s="166"/>
      <c r="D1318" s="179"/>
      <c r="E1318" s="179">
        <v>13</v>
      </c>
      <c r="F1318" s="179"/>
      <c r="G1318" s="179"/>
      <c r="H1318" s="179"/>
      <c r="I1318" s="179"/>
      <c r="J1318" s="179"/>
      <c r="K1318" s="179"/>
      <c r="L1318" s="179"/>
      <c r="M1318" s="179"/>
      <c r="N1318" s="179">
        <v>26</v>
      </c>
      <c r="O1318" s="179"/>
      <c r="P1318" s="179">
        <v>20</v>
      </c>
      <c r="Q1318" s="179"/>
      <c r="R1318" s="180">
        <v>59</v>
      </c>
    </row>
    <row r="1319" spans="1:18">
      <c r="A1319" s="10"/>
      <c r="B1319" s="58">
        <v>46188</v>
      </c>
      <c r="C1319" s="166"/>
      <c r="D1319" s="179">
        <v>13</v>
      </c>
      <c r="E1319" s="179"/>
      <c r="F1319" s="179">
        <v>19</v>
      </c>
      <c r="G1319" s="179">
        <v>26</v>
      </c>
      <c r="H1319" s="179"/>
      <c r="I1319" s="179"/>
      <c r="J1319" s="179"/>
      <c r="K1319" s="179"/>
      <c r="L1319" s="179"/>
      <c r="M1319" s="179"/>
      <c r="N1319" s="179"/>
      <c r="O1319" s="179">
        <v>17</v>
      </c>
      <c r="P1319" s="179"/>
      <c r="Q1319" s="179"/>
      <c r="R1319" s="180">
        <v>75</v>
      </c>
    </row>
    <row r="1320" spans="1:18">
      <c r="A1320" s="10"/>
      <c r="B1320" s="58">
        <v>46189</v>
      </c>
      <c r="C1320" s="166"/>
      <c r="D1320" s="179"/>
      <c r="E1320" s="179"/>
      <c r="F1320" s="179"/>
      <c r="G1320" s="179"/>
      <c r="H1320" s="179"/>
      <c r="I1320" s="179">
        <v>18</v>
      </c>
      <c r="J1320" s="179">
        <v>45</v>
      </c>
      <c r="K1320" s="179"/>
      <c r="L1320" s="179"/>
      <c r="M1320" s="179">
        <v>10</v>
      </c>
      <c r="N1320" s="179"/>
      <c r="O1320" s="179"/>
      <c r="P1320" s="179">
        <v>0</v>
      </c>
      <c r="Q1320" s="179"/>
      <c r="R1320" s="180">
        <v>73</v>
      </c>
    </row>
    <row r="1321" spans="1:18">
      <c r="A1321" s="10"/>
      <c r="B1321" s="58">
        <v>46190</v>
      </c>
      <c r="C1321" s="166"/>
      <c r="D1321" s="179">
        <v>12</v>
      </c>
      <c r="E1321" s="179">
        <v>6</v>
      </c>
      <c r="F1321" s="179"/>
      <c r="G1321" s="179">
        <v>15</v>
      </c>
      <c r="H1321" s="179">
        <v>21</v>
      </c>
      <c r="I1321" s="179"/>
      <c r="J1321" s="179"/>
      <c r="K1321" s="179"/>
      <c r="L1321" s="179"/>
      <c r="M1321" s="179"/>
      <c r="N1321" s="179">
        <v>13</v>
      </c>
      <c r="O1321" s="179"/>
      <c r="P1321" s="179">
        <v>18</v>
      </c>
      <c r="Q1321" s="179"/>
      <c r="R1321" s="180">
        <v>85</v>
      </c>
    </row>
    <row r="1322" spans="1:18">
      <c r="A1322" s="10"/>
      <c r="B1322" s="58">
        <v>46191</v>
      </c>
      <c r="C1322" s="166">
        <v>13</v>
      </c>
      <c r="D1322" s="179">
        <v>50</v>
      </c>
      <c r="E1322" s="179">
        <v>13</v>
      </c>
      <c r="F1322" s="179">
        <v>51</v>
      </c>
      <c r="G1322" s="179"/>
      <c r="H1322" s="179"/>
      <c r="I1322" s="179"/>
      <c r="J1322" s="179"/>
      <c r="K1322" s="179"/>
      <c r="L1322" s="179"/>
      <c r="M1322" s="179">
        <v>2</v>
      </c>
      <c r="N1322" s="179"/>
      <c r="O1322" s="179">
        <v>21</v>
      </c>
      <c r="P1322" s="179"/>
      <c r="Q1322" s="179"/>
      <c r="R1322" s="180">
        <v>150</v>
      </c>
    </row>
    <row r="1323" spans="1:18">
      <c r="A1323" s="10"/>
      <c r="B1323" s="58">
        <v>46192</v>
      </c>
      <c r="C1323" s="166"/>
      <c r="D1323" s="179"/>
      <c r="E1323" s="179"/>
      <c r="F1323" s="179">
        <v>6</v>
      </c>
      <c r="G1323" s="179"/>
      <c r="H1323" s="179">
        <v>15</v>
      </c>
      <c r="I1323" s="179"/>
      <c r="J1323" s="179"/>
      <c r="K1323" s="179">
        <v>24</v>
      </c>
      <c r="L1323" s="179"/>
      <c r="M1323" s="179"/>
      <c r="N1323" s="179"/>
      <c r="O1323" s="179">
        <v>17</v>
      </c>
      <c r="P1323" s="179"/>
      <c r="Q1323" s="179">
        <v>22</v>
      </c>
      <c r="R1323" s="180">
        <v>84</v>
      </c>
    </row>
    <row r="1324" spans="1:18">
      <c r="A1324" s="10"/>
      <c r="B1324" s="58">
        <v>46193</v>
      </c>
      <c r="C1324" s="166">
        <v>18</v>
      </c>
      <c r="D1324" s="179"/>
      <c r="E1324" s="179"/>
      <c r="F1324" s="179"/>
      <c r="G1324" s="179">
        <v>19</v>
      </c>
      <c r="H1324" s="179"/>
      <c r="I1324" s="179">
        <v>26</v>
      </c>
      <c r="J1324" s="179"/>
      <c r="K1324" s="179"/>
      <c r="L1324" s="179">
        <v>0</v>
      </c>
      <c r="M1324" s="179">
        <v>25</v>
      </c>
      <c r="N1324" s="179">
        <v>16</v>
      </c>
      <c r="O1324" s="179"/>
      <c r="P1324" s="179">
        <v>8</v>
      </c>
      <c r="Q1324" s="179"/>
      <c r="R1324" s="180">
        <v>112</v>
      </c>
    </row>
    <row r="1325" spans="1:18">
      <c r="A1325" s="10"/>
      <c r="B1325" s="58">
        <v>46194</v>
      </c>
      <c r="C1325" s="166"/>
      <c r="D1325" s="179">
        <v>10</v>
      </c>
      <c r="E1325" s="179"/>
      <c r="F1325" s="179">
        <v>15</v>
      </c>
      <c r="G1325" s="179">
        <v>19</v>
      </c>
      <c r="H1325" s="179"/>
      <c r="I1325" s="179"/>
      <c r="J1325" s="179"/>
      <c r="K1325" s="179"/>
      <c r="L1325" s="179"/>
      <c r="M1325" s="179"/>
      <c r="N1325" s="179">
        <v>10</v>
      </c>
      <c r="O1325" s="179"/>
      <c r="P1325" s="179"/>
      <c r="Q1325" s="179"/>
      <c r="R1325" s="180">
        <v>54</v>
      </c>
    </row>
    <row r="1326" spans="1:18">
      <c r="A1326" s="10"/>
      <c r="B1326" s="58">
        <v>46195</v>
      </c>
      <c r="C1326" s="166"/>
      <c r="D1326" s="179"/>
      <c r="E1326" s="179"/>
      <c r="F1326" s="179"/>
      <c r="G1326" s="179">
        <v>0</v>
      </c>
      <c r="H1326" s="179"/>
      <c r="I1326" s="179"/>
      <c r="J1326" s="179">
        <v>19</v>
      </c>
      <c r="K1326" s="179">
        <v>25</v>
      </c>
      <c r="L1326" s="179"/>
      <c r="M1326" s="179">
        <v>9</v>
      </c>
      <c r="N1326" s="179"/>
      <c r="O1326" s="179"/>
      <c r="P1326" s="179"/>
      <c r="Q1326" s="179">
        <v>11</v>
      </c>
      <c r="R1326" s="180">
        <v>64</v>
      </c>
    </row>
    <row r="1327" spans="1:18">
      <c r="A1327" s="10"/>
      <c r="B1327" s="58">
        <v>46196</v>
      </c>
      <c r="C1327" s="166"/>
      <c r="D1327" s="179">
        <v>32</v>
      </c>
      <c r="E1327" s="179"/>
      <c r="F1327" s="179"/>
      <c r="G1327" s="179"/>
      <c r="H1327" s="179"/>
      <c r="I1327" s="179"/>
      <c r="J1327" s="179">
        <v>62</v>
      </c>
      <c r="K1327" s="179">
        <v>22</v>
      </c>
      <c r="L1327" s="179"/>
      <c r="M1327" s="179"/>
      <c r="N1327" s="179">
        <v>20</v>
      </c>
      <c r="O1327" s="179"/>
      <c r="P1327" s="179">
        <v>11</v>
      </c>
      <c r="Q1327" s="179">
        <v>14</v>
      </c>
      <c r="R1327" s="180">
        <v>161</v>
      </c>
    </row>
    <row r="1328" spans="1:18">
      <c r="A1328" s="10"/>
      <c r="B1328" s="58">
        <v>46197</v>
      </c>
      <c r="C1328" s="166"/>
      <c r="D1328" s="179"/>
      <c r="E1328" s="179">
        <v>16</v>
      </c>
      <c r="F1328" s="179">
        <v>6</v>
      </c>
      <c r="G1328" s="179">
        <v>20</v>
      </c>
      <c r="H1328" s="179"/>
      <c r="I1328" s="179"/>
      <c r="J1328" s="179"/>
      <c r="K1328" s="179"/>
      <c r="L1328" s="179"/>
      <c r="M1328" s="179"/>
      <c r="N1328" s="179">
        <v>0</v>
      </c>
      <c r="O1328" s="179"/>
      <c r="P1328" s="179">
        <v>54</v>
      </c>
      <c r="Q1328" s="179"/>
      <c r="R1328" s="180">
        <v>96</v>
      </c>
    </row>
    <row r="1329" spans="1:18">
      <c r="A1329" s="10"/>
      <c r="B1329" s="58">
        <v>46198</v>
      </c>
      <c r="C1329" s="166"/>
      <c r="D1329" s="179"/>
      <c r="E1329" s="179"/>
      <c r="F1329" s="179"/>
      <c r="G1329" s="179"/>
      <c r="H1329" s="179"/>
      <c r="I1329" s="179">
        <v>15</v>
      </c>
      <c r="J1329" s="179"/>
      <c r="K1329" s="179"/>
      <c r="L1329" s="179">
        <v>14</v>
      </c>
      <c r="M1329" s="179"/>
      <c r="N1329" s="179"/>
      <c r="O1329" s="179"/>
      <c r="P1329" s="179"/>
      <c r="Q1329" s="179"/>
      <c r="R1329" s="180">
        <v>29</v>
      </c>
    </row>
    <row r="1330" spans="1:18">
      <c r="A1330" s="10"/>
      <c r="B1330" s="58">
        <v>46199</v>
      </c>
      <c r="C1330" s="166"/>
      <c r="D1330" s="179"/>
      <c r="E1330" s="179"/>
      <c r="F1330" s="179"/>
      <c r="G1330" s="179"/>
      <c r="H1330" s="179">
        <v>5</v>
      </c>
      <c r="I1330" s="179">
        <v>12</v>
      </c>
      <c r="J1330" s="179"/>
      <c r="K1330" s="179">
        <v>16</v>
      </c>
      <c r="L1330" s="179"/>
      <c r="M1330" s="179">
        <v>4</v>
      </c>
      <c r="N1330" s="179"/>
      <c r="O1330" s="179"/>
      <c r="P1330" s="179">
        <v>19</v>
      </c>
      <c r="Q1330" s="179"/>
      <c r="R1330" s="180">
        <v>56</v>
      </c>
    </row>
    <row r="1331" spans="1:18">
      <c r="A1331" s="10"/>
      <c r="B1331" s="58">
        <v>46200</v>
      </c>
      <c r="C1331" s="166">
        <v>0</v>
      </c>
      <c r="D1331" s="179"/>
      <c r="E1331" s="179"/>
      <c r="F1331" s="179">
        <v>6</v>
      </c>
      <c r="G1331" s="179">
        <v>16</v>
      </c>
      <c r="H1331" s="179">
        <v>25</v>
      </c>
      <c r="I1331" s="179"/>
      <c r="J1331" s="179"/>
      <c r="K1331" s="179">
        <v>43</v>
      </c>
      <c r="L1331" s="179"/>
      <c r="M1331" s="179">
        <v>21</v>
      </c>
      <c r="N1331" s="179"/>
      <c r="O1331" s="179"/>
      <c r="P1331" s="179">
        <v>13</v>
      </c>
      <c r="Q1331" s="179"/>
      <c r="R1331" s="180">
        <v>124</v>
      </c>
    </row>
    <row r="1332" spans="1:18">
      <c r="A1332" s="10"/>
      <c r="B1332" s="58">
        <v>46201</v>
      </c>
      <c r="C1332" s="166"/>
      <c r="D1332" s="179"/>
      <c r="E1332" s="179">
        <v>8</v>
      </c>
      <c r="F1332" s="179">
        <v>18</v>
      </c>
      <c r="G1332" s="179"/>
      <c r="H1332" s="179">
        <v>27</v>
      </c>
      <c r="I1332" s="179"/>
      <c r="J1332" s="179">
        <v>33</v>
      </c>
      <c r="K1332" s="179"/>
      <c r="L1332" s="179"/>
      <c r="M1332" s="179"/>
      <c r="N1332" s="179">
        <v>19</v>
      </c>
      <c r="O1332" s="179"/>
      <c r="P1332" s="179">
        <v>40</v>
      </c>
      <c r="Q1332" s="179">
        <v>17</v>
      </c>
      <c r="R1332" s="180">
        <v>162</v>
      </c>
    </row>
    <row r="1333" spans="1:18">
      <c r="A1333" s="10"/>
      <c r="B1333" s="58">
        <v>46202</v>
      </c>
      <c r="C1333" s="166"/>
      <c r="D1333" s="179">
        <v>17</v>
      </c>
      <c r="E1333" s="179"/>
      <c r="F1333" s="179"/>
      <c r="G1333" s="179"/>
      <c r="H1333" s="179"/>
      <c r="I1333" s="179"/>
      <c r="J1333" s="179"/>
      <c r="K1333" s="179">
        <v>20</v>
      </c>
      <c r="L1333" s="179"/>
      <c r="M1333" s="179"/>
      <c r="N1333" s="179">
        <v>21</v>
      </c>
      <c r="O1333" s="179"/>
      <c r="P1333" s="179"/>
      <c r="Q1333" s="179">
        <v>11</v>
      </c>
      <c r="R1333" s="180">
        <v>69</v>
      </c>
    </row>
    <row r="1334" spans="1:18">
      <c r="A1334" s="10"/>
      <c r="B1334" s="58">
        <v>46203</v>
      </c>
      <c r="C1334" s="166"/>
      <c r="D1334" s="179"/>
      <c r="E1334" s="179"/>
      <c r="F1334" s="179"/>
      <c r="G1334" s="179"/>
      <c r="H1334" s="179">
        <v>30</v>
      </c>
      <c r="I1334" s="179"/>
      <c r="J1334" s="179"/>
      <c r="K1334" s="179"/>
      <c r="L1334" s="179">
        <v>13</v>
      </c>
      <c r="M1334" s="179"/>
      <c r="N1334" s="179">
        <v>25</v>
      </c>
      <c r="O1334" s="179"/>
      <c r="P1334" s="179"/>
      <c r="Q1334" s="179"/>
      <c r="R1334" s="180">
        <v>68</v>
      </c>
    </row>
    <row r="1335" spans="1:18">
      <c r="A1335" s="8" t="s">
        <v>3871</v>
      </c>
      <c r="B1335" s="60">
        <v>46204</v>
      </c>
      <c r="C1335" s="164"/>
      <c r="D1335" s="174"/>
      <c r="E1335" s="174">
        <v>3</v>
      </c>
      <c r="F1335" s="174"/>
      <c r="G1335" s="174">
        <v>9</v>
      </c>
      <c r="H1335" s="174">
        <v>17</v>
      </c>
      <c r="I1335" s="174"/>
      <c r="J1335" s="174"/>
      <c r="K1335" s="174"/>
      <c r="L1335" s="174">
        <v>0</v>
      </c>
      <c r="M1335" s="174"/>
      <c r="N1335" s="174"/>
      <c r="O1335" s="174"/>
      <c r="P1335" s="174"/>
      <c r="Q1335" s="174"/>
      <c r="R1335" s="175">
        <v>29</v>
      </c>
    </row>
    <row r="1336" spans="1:18">
      <c r="A1336" s="10"/>
      <c r="B1336" s="58">
        <v>46205</v>
      </c>
      <c r="C1336" s="166"/>
      <c r="D1336" s="179"/>
      <c r="E1336" s="179"/>
      <c r="F1336" s="179"/>
      <c r="G1336" s="179"/>
      <c r="H1336" s="179">
        <v>17</v>
      </c>
      <c r="I1336" s="179">
        <v>13</v>
      </c>
      <c r="J1336" s="179">
        <v>28</v>
      </c>
      <c r="K1336" s="179">
        <v>17</v>
      </c>
      <c r="L1336" s="179"/>
      <c r="M1336" s="179">
        <v>22</v>
      </c>
      <c r="N1336" s="179"/>
      <c r="O1336" s="179"/>
      <c r="P1336" s="179"/>
      <c r="Q1336" s="179"/>
      <c r="R1336" s="180">
        <v>97</v>
      </c>
    </row>
    <row r="1337" spans="1:18">
      <c r="A1337" s="10"/>
      <c r="B1337" s="58">
        <v>46206</v>
      </c>
      <c r="C1337" s="166"/>
      <c r="D1337" s="179">
        <v>15</v>
      </c>
      <c r="E1337" s="179"/>
      <c r="F1337" s="179"/>
      <c r="G1337" s="179"/>
      <c r="H1337" s="179"/>
      <c r="I1337" s="179"/>
      <c r="J1337" s="179"/>
      <c r="K1337" s="179"/>
      <c r="L1337" s="179">
        <v>7</v>
      </c>
      <c r="M1337" s="179">
        <v>24</v>
      </c>
      <c r="N1337" s="179"/>
      <c r="O1337" s="179"/>
      <c r="P1337" s="179"/>
      <c r="Q1337" s="179"/>
      <c r="R1337" s="180">
        <v>46</v>
      </c>
    </row>
    <row r="1338" spans="1:18">
      <c r="A1338" s="10"/>
      <c r="B1338" s="58">
        <v>46207</v>
      </c>
      <c r="C1338" s="166">
        <v>16</v>
      </c>
      <c r="D1338" s="179"/>
      <c r="E1338" s="179"/>
      <c r="F1338" s="179"/>
      <c r="G1338" s="179"/>
      <c r="H1338" s="179"/>
      <c r="I1338" s="179">
        <v>12</v>
      </c>
      <c r="J1338" s="179"/>
      <c r="K1338" s="179"/>
      <c r="L1338" s="179">
        <v>11</v>
      </c>
      <c r="M1338" s="179"/>
      <c r="N1338" s="179"/>
      <c r="O1338" s="179"/>
      <c r="P1338" s="179">
        <v>17</v>
      </c>
      <c r="Q1338" s="179">
        <v>22</v>
      </c>
      <c r="R1338" s="180">
        <v>78</v>
      </c>
    </row>
    <row r="1339" spans="1:18">
      <c r="A1339" s="10"/>
      <c r="B1339" s="58">
        <v>46208</v>
      </c>
      <c r="C1339" s="166">
        <v>22</v>
      </c>
      <c r="D1339" s="179"/>
      <c r="E1339" s="179"/>
      <c r="F1339" s="179"/>
      <c r="G1339" s="179"/>
      <c r="H1339" s="179">
        <v>37</v>
      </c>
      <c r="I1339" s="179"/>
      <c r="J1339" s="179"/>
      <c r="K1339" s="179"/>
      <c r="L1339" s="179"/>
      <c r="M1339" s="179"/>
      <c r="N1339" s="179"/>
      <c r="O1339" s="179"/>
      <c r="P1339" s="179"/>
      <c r="Q1339" s="179"/>
      <c r="R1339" s="180">
        <v>59</v>
      </c>
    </row>
    <row r="1340" spans="1:18">
      <c r="A1340" s="10"/>
      <c r="B1340" s="58">
        <v>46209</v>
      </c>
      <c r="C1340" s="166">
        <v>26</v>
      </c>
      <c r="D1340" s="179"/>
      <c r="E1340" s="179">
        <v>40</v>
      </c>
      <c r="F1340" s="179"/>
      <c r="G1340" s="179"/>
      <c r="H1340" s="179"/>
      <c r="I1340" s="179"/>
      <c r="J1340" s="179"/>
      <c r="K1340" s="179"/>
      <c r="L1340" s="179"/>
      <c r="M1340" s="179"/>
      <c r="N1340" s="179"/>
      <c r="O1340" s="179"/>
      <c r="P1340" s="179"/>
      <c r="Q1340" s="179">
        <v>16</v>
      </c>
      <c r="R1340" s="180">
        <v>82</v>
      </c>
    </row>
    <row r="1341" spans="1:18">
      <c r="A1341" s="10"/>
      <c r="B1341" s="58">
        <v>46210</v>
      </c>
      <c r="C1341" s="166">
        <v>26</v>
      </c>
      <c r="D1341" s="179"/>
      <c r="E1341" s="179">
        <v>15</v>
      </c>
      <c r="F1341" s="179">
        <v>9</v>
      </c>
      <c r="G1341" s="179">
        <v>16</v>
      </c>
      <c r="H1341" s="179">
        <v>15</v>
      </c>
      <c r="I1341" s="179"/>
      <c r="J1341" s="179"/>
      <c r="K1341" s="179"/>
      <c r="L1341" s="179"/>
      <c r="M1341" s="179">
        <v>23</v>
      </c>
      <c r="N1341" s="179">
        <v>13</v>
      </c>
      <c r="O1341" s="179">
        <v>20</v>
      </c>
      <c r="P1341" s="179"/>
      <c r="Q1341" s="179"/>
      <c r="R1341" s="180">
        <v>137</v>
      </c>
    </row>
    <row r="1342" spans="1:18">
      <c r="A1342" s="10"/>
      <c r="B1342" s="58">
        <v>46211</v>
      </c>
      <c r="C1342" s="166"/>
      <c r="D1342" s="179"/>
      <c r="E1342" s="179">
        <v>10</v>
      </c>
      <c r="F1342" s="179">
        <v>16</v>
      </c>
      <c r="G1342" s="179"/>
      <c r="H1342" s="179"/>
      <c r="I1342" s="179"/>
      <c r="J1342" s="179">
        <v>28</v>
      </c>
      <c r="K1342" s="179"/>
      <c r="L1342" s="179">
        <v>20</v>
      </c>
      <c r="M1342" s="179"/>
      <c r="N1342" s="179"/>
      <c r="O1342" s="179">
        <v>39</v>
      </c>
      <c r="P1342" s="179"/>
      <c r="Q1342" s="179"/>
      <c r="R1342" s="180">
        <v>113</v>
      </c>
    </row>
    <row r="1343" spans="1:18">
      <c r="A1343" s="10"/>
      <c r="B1343" s="58">
        <v>46212</v>
      </c>
      <c r="C1343" s="166"/>
      <c r="D1343" s="179"/>
      <c r="E1343" s="179"/>
      <c r="F1343" s="179"/>
      <c r="G1343" s="179">
        <v>17</v>
      </c>
      <c r="H1343" s="179"/>
      <c r="I1343" s="179"/>
      <c r="J1343" s="179"/>
      <c r="K1343" s="179">
        <v>15</v>
      </c>
      <c r="L1343" s="179">
        <v>9</v>
      </c>
      <c r="M1343" s="179"/>
      <c r="N1343" s="179"/>
      <c r="O1343" s="179">
        <v>32</v>
      </c>
      <c r="P1343" s="179"/>
      <c r="Q1343" s="179">
        <v>17</v>
      </c>
      <c r="R1343" s="180">
        <v>90</v>
      </c>
    </row>
    <row r="1344" spans="1:18">
      <c r="A1344" s="10"/>
      <c r="B1344" s="58">
        <v>46213</v>
      </c>
      <c r="C1344" s="166">
        <v>29</v>
      </c>
      <c r="D1344" s="179">
        <v>31</v>
      </c>
      <c r="E1344" s="179">
        <v>19</v>
      </c>
      <c r="F1344" s="179"/>
      <c r="G1344" s="179"/>
      <c r="H1344" s="179"/>
      <c r="I1344" s="179"/>
      <c r="J1344" s="179"/>
      <c r="K1344" s="179"/>
      <c r="L1344" s="179"/>
      <c r="M1344" s="179"/>
      <c r="N1344" s="179">
        <v>17</v>
      </c>
      <c r="O1344" s="179"/>
      <c r="P1344" s="179"/>
      <c r="Q1344" s="179"/>
      <c r="R1344" s="180">
        <v>96</v>
      </c>
    </row>
    <row r="1345" spans="1:18">
      <c r="A1345" s="10"/>
      <c r="B1345" s="58">
        <v>46214</v>
      </c>
      <c r="C1345" s="166"/>
      <c r="D1345" s="179">
        <v>16</v>
      </c>
      <c r="E1345" s="179"/>
      <c r="F1345" s="179"/>
      <c r="G1345" s="179"/>
      <c r="H1345" s="179">
        <v>0</v>
      </c>
      <c r="I1345" s="179">
        <v>32</v>
      </c>
      <c r="J1345" s="179"/>
      <c r="K1345" s="179"/>
      <c r="L1345" s="179"/>
      <c r="M1345" s="179"/>
      <c r="N1345" s="179">
        <v>12</v>
      </c>
      <c r="O1345" s="179"/>
      <c r="P1345" s="179"/>
      <c r="Q1345" s="179"/>
      <c r="R1345" s="180">
        <v>60</v>
      </c>
    </row>
    <row r="1346" spans="1:18">
      <c r="A1346" s="10"/>
      <c r="B1346" s="58">
        <v>46215</v>
      </c>
      <c r="C1346" s="166"/>
      <c r="D1346" s="179"/>
      <c r="E1346" s="179"/>
      <c r="F1346" s="179">
        <v>15</v>
      </c>
      <c r="G1346" s="179"/>
      <c r="H1346" s="179"/>
      <c r="I1346" s="179"/>
      <c r="J1346" s="179"/>
      <c r="K1346" s="179"/>
      <c r="L1346" s="179"/>
      <c r="M1346" s="179"/>
      <c r="N1346" s="179">
        <v>20</v>
      </c>
      <c r="O1346" s="179"/>
      <c r="P1346" s="179">
        <v>41</v>
      </c>
      <c r="Q1346" s="179"/>
      <c r="R1346" s="180">
        <v>76</v>
      </c>
    </row>
    <row r="1347" spans="1:18">
      <c r="A1347" s="10"/>
      <c r="B1347" s="58">
        <v>46216</v>
      </c>
      <c r="C1347" s="166"/>
      <c r="D1347" s="179"/>
      <c r="E1347" s="179"/>
      <c r="F1347" s="179">
        <v>16</v>
      </c>
      <c r="G1347" s="179"/>
      <c r="H1347" s="179"/>
      <c r="I1347" s="179"/>
      <c r="J1347" s="179"/>
      <c r="K1347" s="179">
        <v>26</v>
      </c>
      <c r="L1347" s="179"/>
      <c r="M1347" s="179"/>
      <c r="N1347" s="179"/>
      <c r="O1347" s="179"/>
      <c r="P1347" s="179">
        <v>18</v>
      </c>
      <c r="Q1347" s="179"/>
      <c r="R1347" s="180">
        <v>60</v>
      </c>
    </row>
    <row r="1348" spans="1:18">
      <c r="A1348" s="10"/>
      <c r="B1348" s="58">
        <v>46217</v>
      </c>
      <c r="C1348" s="166"/>
      <c r="D1348" s="179"/>
      <c r="E1348" s="179"/>
      <c r="F1348" s="179">
        <v>15</v>
      </c>
      <c r="G1348" s="179">
        <v>24</v>
      </c>
      <c r="H1348" s="179"/>
      <c r="I1348" s="179"/>
      <c r="J1348" s="179"/>
      <c r="K1348" s="179">
        <v>19</v>
      </c>
      <c r="L1348" s="179"/>
      <c r="M1348" s="179"/>
      <c r="N1348" s="179">
        <v>14</v>
      </c>
      <c r="O1348" s="179"/>
      <c r="P1348" s="179"/>
      <c r="Q1348" s="179">
        <v>18</v>
      </c>
      <c r="R1348" s="180">
        <v>90</v>
      </c>
    </row>
    <row r="1349" spans="1:18">
      <c r="A1349" s="10"/>
      <c r="B1349" s="58">
        <v>46218</v>
      </c>
      <c r="C1349" s="166"/>
      <c r="D1349" s="179"/>
      <c r="E1349" s="179"/>
      <c r="F1349" s="179"/>
      <c r="G1349" s="179"/>
      <c r="H1349" s="179"/>
      <c r="I1349" s="179">
        <v>24</v>
      </c>
      <c r="J1349" s="179"/>
      <c r="K1349" s="179"/>
      <c r="L1349" s="179"/>
      <c r="M1349" s="179"/>
      <c r="N1349" s="179"/>
      <c r="O1349" s="179"/>
      <c r="P1349" s="179"/>
      <c r="Q1349" s="179"/>
      <c r="R1349" s="180">
        <v>24</v>
      </c>
    </row>
    <row r="1350" spans="1:18">
      <c r="A1350" s="10"/>
      <c r="B1350" s="58">
        <v>46219</v>
      </c>
      <c r="C1350" s="166"/>
      <c r="D1350" s="179"/>
      <c r="E1350" s="179"/>
      <c r="F1350" s="179"/>
      <c r="G1350" s="179"/>
      <c r="H1350" s="179"/>
      <c r="I1350" s="179"/>
      <c r="J1350" s="179"/>
      <c r="K1350" s="179">
        <v>19</v>
      </c>
      <c r="L1350" s="179"/>
      <c r="M1350" s="179"/>
      <c r="N1350" s="179"/>
      <c r="O1350" s="179"/>
      <c r="P1350" s="179">
        <v>30</v>
      </c>
      <c r="Q1350" s="179"/>
      <c r="R1350" s="180">
        <v>49</v>
      </c>
    </row>
    <row r="1351" spans="1:18">
      <c r="A1351" s="10"/>
      <c r="B1351" s="58">
        <v>46220</v>
      </c>
      <c r="C1351" s="166"/>
      <c r="D1351" s="179"/>
      <c r="E1351" s="179"/>
      <c r="F1351" s="179"/>
      <c r="G1351" s="179"/>
      <c r="H1351" s="179"/>
      <c r="I1351" s="179"/>
      <c r="J1351" s="179">
        <v>17</v>
      </c>
      <c r="K1351" s="179"/>
      <c r="L1351" s="179"/>
      <c r="M1351" s="179"/>
      <c r="N1351" s="179"/>
      <c r="O1351" s="179"/>
      <c r="P1351" s="179"/>
      <c r="Q1351" s="179"/>
      <c r="R1351" s="180">
        <v>17</v>
      </c>
    </row>
    <row r="1352" spans="1:18">
      <c r="A1352" s="10"/>
      <c r="B1352" s="58">
        <v>46221</v>
      </c>
      <c r="C1352" s="166"/>
      <c r="D1352" s="179"/>
      <c r="E1352" s="179"/>
      <c r="F1352" s="179"/>
      <c r="G1352" s="179"/>
      <c r="H1352" s="179"/>
      <c r="I1352" s="179">
        <v>40</v>
      </c>
      <c r="J1352" s="179"/>
      <c r="K1352" s="179"/>
      <c r="L1352" s="179"/>
      <c r="M1352" s="179"/>
      <c r="N1352" s="179"/>
      <c r="O1352" s="179"/>
      <c r="P1352" s="179"/>
      <c r="Q1352" s="179"/>
      <c r="R1352" s="180">
        <v>40</v>
      </c>
    </row>
    <row r="1353" spans="1:18">
      <c r="A1353" s="10"/>
      <c r="B1353" s="58">
        <v>46222</v>
      </c>
      <c r="C1353" s="166"/>
      <c r="D1353" s="179">
        <v>28</v>
      </c>
      <c r="E1353" s="179"/>
      <c r="F1353" s="179"/>
      <c r="G1353" s="179"/>
      <c r="H1353" s="179"/>
      <c r="I1353" s="179">
        <v>21</v>
      </c>
      <c r="J1353" s="179"/>
      <c r="K1353" s="179"/>
      <c r="L1353" s="179"/>
      <c r="M1353" s="179"/>
      <c r="N1353" s="179">
        <v>20</v>
      </c>
      <c r="O1353" s="179"/>
      <c r="P1353" s="179"/>
      <c r="Q1353" s="179"/>
      <c r="R1353" s="180">
        <v>69</v>
      </c>
    </row>
    <row r="1354" spans="1:18">
      <c r="A1354" s="10"/>
      <c r="B1354" s="58">
        <v>46223</v>
      </c>
      <c r="C1354" s="166">
        <v>24</v>
      </c>
      <c r="D1354" s="179"/>
      <c r="E1354" s="179"/>
      <c r="F1354" s="179"/>
      <c r="G1354" s="179"/>
      <c r="H1354" s="179"/>
      <c r="I1354" s="179"/>
      <c r="J1354" s="179"/>
      <c r="K1354" s="179"/>
      <c r="L1354" s="179"/>
      <c r="M1354" s="179"/>
      <c r="N1354" s="179"/>
      <c r="O1354" s="179"/>
      <c r="P1354" s="179"/>
      <c r="Q1354" s="179"/>
      <c r="R1354" s="180">
        <v>24</v>
      </c>
    </row>
    <row r="1355" spans="1:18">
      <c r="A1355" s="10"/>
      <c r="B1355" s="58">
        <v>46224</v>
      </c>
      <c r="C1355" s="166"/>
      <c r="D1355" s="179">
        <v>25</v>
      </c>
      <c r="E1355" s="179"/>
      <c r="F1355" s="179"/>
      <c r="G1355" s="179"/>
      <c r="H1355" s="179"/>
      <c r="I1355" s="179"/>
      <c r="J1355" s="179"/>
      <c r="K1355" s="179"/>
      <c r="L1355" s="179"/>
      <c r="M1355" s="179"/>
      <c r="N1355" s="179"/>
      <c r="O1355" s="179"/>
      <c r="P1355" s="179"/>
      <c r="Q1355" s="179"/>
      <c r="R1355" s="180">
        <v>25</v>
      </c>
    </row>
    <row r="1356" spans="1:18">
      <c r="A1356" s="10"/>
      <c r="B1356" s="58">
        <v>46227</v>
      </c>
      <c r="C1356" s="166"/>
      <c r="D1356" s="179"/>
      <c r="E1356" s="179"/>
      <c r="F1356" s="179"/>
      <c r="G1356" s="179"/>
      <c r="H1356" s="179"/>
      <c r="I1356" s="179"/>
      <c r="J1356" s="179">
        <v>25</v>
      </c>
      <c r="K1356" s="179"/>
      <c r="L1356" s="179"/>
      <c r="M1356" s="179"/>
      <c r="N1356" s="179"/>
      <c r="O1356" s="179"/>
      <c r="P1356" s="179"/>
      <c r="Q1356" s="179"/>
      <c r="R1356" s="180">
        <v>25</v>
      </c>
    </row>
    <row r="1357" spans="1:18">
      <c r="A1357" s="10"/>
      <c r="B1357" s="58">
        <v>46228</v>
      </c>
      <c r="C1357" s="166"/>
      <c r="D1357" s="179"/>
      <c r="E1357" s="179"/>
      <c r="F1357" s="179"/>
      <c r="G1357" s="179"/>
      <c r="H1357" s="179">
        <v>32</v>
      </c>
      <c r="I1357" s="179"/>
      <c r="J1357" s="179"/>
      <c r="K1357" s="179"/>
      <c r="L1357" s="179"/>
      <c r="M1357" s="179"/>
      <c r="N1357" s="179"/>
      <c r="O1357" s="179"/>
      <c r="P1357" s="179"/>
      <c r="Q1357" s="179"/>
      <c r="R1357" s="180">
        <v>32</v>
      </c>
    </row>
    <row r="1358" spans="1:18">
      <c r="A1358" s="10"/>
      <c r="B1358" s="58">
        <v>46232</v>
      </c>
      <c r="C1358" s="166">
        <v>30</v>
      </c>
      <c r="D1358" s="179"/>
      <c r="E1358" s="179"/>
      <c r="F1358" s="179"/>
      <c r="G1358" s="179"/>
      <c r="H1358" s="179"/>
      <c r="I1358" s="179"/>
      <c r="J1358" s="179"/>
      <c r="K1358" s="179"/>
      <c r="L1358" s="179"/>
      <c r="M1358" s="179"/>
      <c r="N1358" s="179"/>
      <c r="O1358" s="179"/>
      <c r="P1358" s="179"/>
      <c r="Q1358" s="179"/>
      <c r="R1358" s="180">
        <v>30</v>
      </c>
    </row>
    <row r="1359" spans="1:18">
      <c r="A1359" s="42" t="s">
        <v>3122</v>
      </c>
      <c r="B1359" s="59"/>
      <c r="C1359" s="170">
        <v>1030</v>
      </c>
      <c r="D1359" s="181">
        <v>1077</v>
      </c>
      <c r="E1359" s="181">
        <v>679</v>
      </c>
      <c r="F1359" s="181">
        <v>954</v>
      </c>
      <c r="G1359" s="181">
        <v>990</v>
      </c>
      <c r="H1359" s="181">
        <v>1055</v>
      </c>
      <c r="I1359" s="181">
        <v>1147</v>
      </c>
      <c r="J1359" s="181">
        <v>1357</v>
      </c>
      <c r="K1359" s="181">
        <v>1000</v>
      </c>
      <c r="L1359" s="181">
        <v>508</v>
      </c>
      <c r="M1359" s="181">
        <v>591</v>
      </c>
      <c r="N1359" s="181">
        <v>870</v>
      </c>
      <c r="O1359" s="181">
        <v>647</v>
      </c>
      <c r="P1359" s="181">
        <v>1271</v>
      </c>
      <c r="Q1359" s="181">
        <v>1059</v>
      </c>
      <c r="R1359" s="182">
        <v>14235</v>
      </c>
    </row>
    <row r="1360" spans="1:18">
      <c r="B1360" t="s">
        <v>3160</v>
      </c>
      <c r="C1360"/>
    </row>
    <row r="1361" spans="1:13">
      <c r="B1361"/>
      <c r="C1361"/>
    </row>
    <row r="1362" spans="1:13">
      <c r="A1362" s="11" t="s">
        <v>3219</v>
      </c>
      <c r="B1362" s="11" t="s">
        <v>2</v>
      </c>
      <c r="C1362" s="8" t="s">
        <v>3161</v>
      </c>
      <c r="D1362" s="15" t="s">
        <v>3162</v>
      </c>
      <c r="E1362"/>
      <c r="F1362"/>
      <c r="G1362"/>
      <c r="H1362"/>
      <c r="I1362"/>
      <c r="J1362"/>
      <c r="K1362"/>
      <c r="L1362"/>
      <c r="M1362"/>
    </row>
    <row r="1363" spans="1:13">
      <c r="A1363" s="8" t="s">
        <v>3866</v>
      </c>
      <c r="B1363" s="60">
        <v>46025</v>
      </c>
      <c r="C1363" s="164">
        <v>0</v>
      </c>
      <c r="D1363" s="165">
        <v>8</v>
      </c>
      <c r="E1363"/>
      <c r="F1363"/>
      <c r="G1363"/>
      <c r="H1363"/>
      <c r="I1363"/>
      <c r="J1363"/>
      <c r="K1363"/>
      <c r="L1363"/>
      <c r="M1363"/>
    </row>
    <row r="1364" spans="1:13">
      <c r="A1364" s="10"/>
      <c r="B1364" s="58">
        <v>46027</v>
      </c>
      <c r="C1364" s="166">
        <v>3</v>
      </c>
      <c r="D1364" s="167">
        <v>11</v>
      </c>
      <c r="E1364"/>
      <c r="F1364"/>
      <c r="G1364"/>
      <c r="H1364"/>
      <c r="I1364"/>
      <c r="J1364"/>
      <c r="K1364"/>
      <c r="L1364"/>
      <c r="M1364"/>
    </row>
    <row r="1365" spans="1:13">
      <c r="A1365" s="10"/>
      <c r="B1365" s="58">
        <v>46029</v>
      </c>
      <c r="C1365" s="166">
        <v>0</v>
      </c>
      <c r="D1365" s="167">
        <v>5</v>
      </c>
      <c r="E1365"/>
      <c r="F1365"/>
      <c r="G1365"/>
      <c r="H1365"/>
      <c r="I1365"/>
      <c r="J1365"/>
      <c r="K1365"/>
      <c r="L1365"/>
      <c r="M1365"/>
    </row>
    <row r="1366" spans="1:13">
      <c r="A1366" s="10"/>
      <c r="B1366" s="58">
        <v>46030</v>
      </c>
      <c r="C1366" s="166">
        <v>5</v>
      </c>
      <c r="D1366" s="167">
        <v>11</v>
      </c>
      <c r="E1366"/>
      <c r="F1366"/>
      <c r="G1366"/>
      <c r="H1366"/>
      <c r="I1366"/>
      <c r="J1366"/>
      <c r="K1366"/>
      <c r="L1366"/>
      <c r="M1366"/>
    </row>
    <row r="1367" spans="1:13">
      <c r="A1367" s="10"/>
      <c r="B1367" s="58">
        <v>46031</v>
      </c>
      <c r="C1367" s="166">
        <v>13</v>
      </c>
      <c r="D1367" s="167">
        <v>21</v>
      </c>
      <c r="E1367"/>
      <c r="F1367"/>
      <c r="G1367"/>
      <c r="H1367"/>
      <c r="I1367"/>
      <c r="J1367"/>
      <c r="K1367"/>
      <c r="L1367"/>
      <c r="M1367"/>
    </row>
    <row r="1368" spans="1:13">
      <c r="A1368" s="10"/>
      <c r="B1368" s="58">
        <v>46035</v>
      </c>
      <c r="C1368" s="166">
        <v>11</v>
      </c>
      <c r="D1368" s="167">
        <v>12</v>
      </c>
      <c r="E1368"/>
      <c r="F1368"/>
      <c r="G1368"/>
      <c r="H1368"/>
      <c r="I1368"/>
      <c r="J1368"/>
      <c r="K1368"/>
      <c r="L1368"/>
      <c r="M1368"/>
    </row>
    <row r="1369" spans="1:13">
      <c r="A1369" s="10"/>
      <c r="B1369" s="58">
        <v>46036</v>
      </c>
      <c r="C1369" s="166">
        <v>20</v>
      </c>
      <c r="D1369" s="167">
        <v>18</v>
      </c>
      <c r="E1369"/>
      <c r="F1369"/>
      <c r="G1369"/>
      <c r="H1369"/>
      <c r="I1369"/>
      <c r="J1369"/>
      <c r="K1369"/>
      <c r="L1369"/>
      <c r="M1369"/>
    </row>
    <row r="1370" spans="1:13">
      <c r="A1370" s="10"/>
      <c r="B1370" s="58">
        <v>46037</v>
      </c>
      <c r="C1370" s="166">
        <v>14</v>
      </c>
      <c r="D1370" s="167">
        <v>19</v>
      </c>
      <c r="E1370"/>
      <c r="F1370"/>
      <c r="G1370"/>
      <c r="H1370"/>
      <c r="I1370"/>
      <c r="J1370"/>
      <c r="K1370"/>
      <c r="L1370"/>
      <c r="M1370"/>
    </row>
    <row r="1371" spans="1:13">
      <c r="A1371" s="10"/>
      <c r="B1371" s="58">
        <v>46038</v>
      </c>
      <c r="C1371" s="166">
        <v>9</v>
      </c>
      <c r="D1371" s="167">
        <v>7</v>
      </c>
      <c r="E1371"/>
      <c r="F1371"/>
      <c r="G1371"/>
      <c r="H1371"/>
      <c r="I1371"/>
      <c r="J1371"/>
      <c r="K1371"/>
      <c r="L1371"/>
      <c r="M1371"/>
    </row>
    <row r="1372" spans="1:13">
      <c r="A1372" s="10"/>
      <c r="B1372" s="58">
        <v>46039</v>
      </c>
      <c r="C1372" s="166">
        <v>50</v>
      </c>
      <c r="D1372" s="167">
        <v>43</v>
      </c>
      <c r="E1372"/>
      <c r="F1372"/>
      <c r="G1372"/>
      <c r="H1372"/>
      <c r="I1372"/>
      <c r="J1372"/>
      <c r="K1372"/>
      <c r="L1372"/>
      <c r="M1372"/>
    </row>
    <row r="1373" spans="1:13">
      <c r="A1373" s="10"/>
      <c r="B1373" s="58">
        <v>46040</v>
      </c>
      <c r="C1373" s="166">
        <v>45</v>
      </c>
      <c r="D1373" s="167">
        <v>52</v>
      </c>
      <c r="E1373"/>
      <c r="F1373"/>
      <c r="G1373"/>
      <c r="H1373"/>
      <c r="I1373"/>
      <c r="J1373"/>
      <c r="K1373"/>
      <c r="L1373"/>
      <c r="M1373"/>
    </row>
    <row r="1374" spans="1:13">
      <c r="A1374" s="10"/>
      <c r="B1374" s="58">
        <v>46041</v>
      </c>
      <c r="C1374" s="166">
        <v>38</v>
      </c>
      <c r="D1374" s="167">
        <v>46</v>
      </c>
      <c r="E1374"/>
      <c r="F1374"/>
      <c r="G1374"/>
      <c r="H1374"/>
      <c r="I1374"/>
      <c r="J1374"/>
      <c r="K1374"/>
      <c r="L1374"/>
      <c r="M1374"/>
    </row>
    <row r="1375" spans="1:13">
      <c r="A1375" s="10"/>
      <c r="B1375" s="58">
        <v>46042</v>
      </c>
      <c r="C1375" s="166">
        <v>54</v>
      </c>
      <c r="D1375" s="167">
        <v>53</v>
      </c>
      <c r="E1375"/>
      <c r="F1375"/>
      <c r="G1375"/>
      <c r="H1375"/>
      <c r="I1375"/>
      <c r="J1375"/>
      <c r="K1375"/>
      <c r="L1375"/>
      <c r="M1375"/>
    </row>
    <row r="1376" spans="1:13">
      <c r="A1376" s="10"/>
      <c r="B1376" s="58">
        <v>46043</v>
      </c>
      <c r="C1376" s="166">
        <v>46</v>
      </c>
      <c r="D1376" s="167">
        <v>49</v>
      </c>
      <c r="E1376"/>
      <c r="F1376"/>
      <c r="G1376"/>
      <c r="H1376"/>
      <c r="I1376"/>
      <c r="J1376"/>
      <c r="K1376"/>
      <c r="L1376"/>
      <c r="M1376"/>
    </row>
    <row r="1377" spans="1:4" customFormat="1">
      <c r="A1377" s="10"/>
      <c r="B1377" s="58">
        <v>46044</v>
      </c>
      <c r="C1377" s="166">
        <v>8</v>
      </c>
      <c r="D1377" s="167">
        <v>13</v>
      </c>
    </row>
    <row r="1378" spans="1:4" customFormat="1">
      <c r="A1378" s="10"/>
      <c r="B1378" s="58">
        <v>46045</v>
      </c>
      <c r="C1378" s="166">
        <v>35</v>
      </c>
      <c r="D1378" s="167">
        <v>40</v>
      </c>
    </row>
    <row r="1379" spans="1:4" customFormat="1">
      <c r="A1379" s="10"/>
      <c r="B1379" s="58">
        <v>46046</v>
      </c>
      <c r="C1379" s="166">
        <v>121</v>
      </c>
      <c r="D1379" s="167">
        <v>78</v>
      </c>
    </row>
    <row r="1380" spans="1:4" customFormat="1">
      <c r="A1380" s="10"/>
      <c r="B1380" s="58">
        <v>46047</v>
      </c>
      <c r="C1380" s="166">
        <v>60</v>
      </c>
      <c r="D1380" s="167">
        <v>68</v>
      </c>
    </row>
    <row r="1381" spans="1:4" customFormat="1">
      <c r="A1381" s="10"/>
      <c r="B1381" s="58">
        <v>46048</v>
      </c>
      <c r="C1381" s="166">
        <v>85</v>
      </c>
      <c r="D1381" s="167">
        <v>66</v>
      </c>
    </row>
    <row r="1382" spans="1:4" customFormat="1">
      <c r="A1382" s="10"/>
      <c r="B1382" s="58">
        <v>46049</v>
      </c>
      <c r="C1382" s="166">
        <v>80</v>
      </c>
      <c r="D1382" s="167">
        <v>66</v>
      </c>
    </row>
    <row r="1383" spans="1:4" customFormat="1">
      <c r="A1383" s="10"/>
      <c r="B1383" s="58">
        <v>46050</v>
      </c>
      <c r="C1383" s="166">
        <v>93</v>
      </c>
      <c r="D1383" s="167">
        <v>86</v>
      </c>
    </row>
    <row r="1384" spans="1:4" customFormat="1">
      <c r="A1384" s="10"/>
      <c r="B1384" s="58">
        <v>46051</v>
      </c>
      <c r="C1384" s="166">
        <v>108</v>
      </c>
      <c r="D1384" s="167">
        <v>75</v>
      </c>
    </row>
    <row r="1385" spans="1:4" customFormat="1">
      <c r="A1385" s="10"/>
      <c r="B1385" s="58">
        <v>46052</v>
      </c>
      <c r="C1385" s="166">
        <v>77</v>
      </c>
      <c r="D1385" s="167">
        <v>91</v>
      </c>
    </row>
    <row r="1386" spans="1:4" customFormat="1">
      <c r="A1386" s="10"/>
      <c r="B1386" s="58">
        <v>46053</v>
      </c>
      <c r="C1386" s="166">
        <v>68</v>
      </c>
      <c r="D1386" s="167">
        <v>58</v>
      </c>
    </row>
    <row r="1387" spans="1:4" customFormat="1">
      <c r="A1387" s="8" t="s">
        <v>3867</v>
      </c>
      <c r="B1387" s="60">
        <v>46054</v>
      </c>
      <c r="C1387" s="164">
        <v>39</v>
      </c>
      <c r="D1387" s="165">
        <v>40</v>
      </c>
    </row>
    <row r="1388" spans="1:4" customFormat="1">
      <c r="A1388" s="10"/>
      <c r="B1388" s="58">
        <v>46055</v>
      </c>
      <c r="C1388" s="166">
        <v>45</v>
      </c>
      <c r="D1388" s="167">
        <v>29</v>
      </c>
    </row>
    <row r="1389" spans="1:4" customFormat="1">
      <c r="A1389" s="10"/>
      <c r="B1389" s="58">
        <v>46056</v>
      </c>
      <c r="C1389" s="166">
        <v>55</v>
      </c>
      <c r="D1389" s="167">
        <v>59</v>
      </c>
    </row>
    <row r="1390" spans="1:4" customFormat="1">
      <c r="A1390" s="10"/>
      <c r="B1390" s="58">
        <v>46057</v>
      </c>
      <c r="C1390" s="166">
        <v>93</v>
      </c>
      <c r="D1390" s="167">
        <v>70</v>
      </c>
    </row>
    <row r="1391" spans="1:4" customFormat="1">
      <c r="A1391" s="10"/>
      <c r="B1391" s="58">
        <v>46058</v>
      </c>
      <c r="C1391" s="166">
        <v>58</v>
      </c>
      <c r="D1391" s="167">
        <v>65</v>
      </c>
    </row>
    <row r="1392" spans="1:4" customFormat="1">
      <c r="A1392" s="10"/>
      <c r="B1392" s="58">
        <v>46059</v>
      </c>
      <c r="C1392" s="166">
        <v>107</v>
      </c>
      <c r="D1392" s="167">
        <v>80</v>
      </c>
    </row>
    <row r="1393" spans="1:4" customFormat="1">
      <c r="A1393" s="10"/>
      <c r="B1393" s="58">
        <v>46060</v>
      </c>
      <c r="C1393" s="166">
        <v>28</v>
      </c>
      <c r="D1393" s="167">
        <v>40</v>
      </c>
    </row>
    <row r="1394" spans="1:4" customFormat="1">
      <c r="A1394" s="10"/>
      <c r="B1394" s="58">
        <v>46061</v>
      </c>
      <c r="C1394" s="166">
        <v>22</v>
      </c>
      <c r="D1394" s="167">
        <v>15</v>
      </c>
    </row>
    <row r="1395" spans="1:4" customFormat="1">
      <c r="A1395" s="10"/>
      <c r="B1395" s="58">
        <v>46062</v>
      </c>
      <c r="C1395" s="166">
        <v>57</v>
      </c>
      <c r="D1395" s="167">
        <v>43</v>
      </c>
    </row>
    <row r="1396" spans="1:4" customFormat="1">
      <c r="A1396" s="10"/>
      <c r="B1396" s="58">
        <v>46063</v>
      </c>
      <c r="C1396" s="166">
        <v>84</v>
      </c>
      <c r="D1396" s="167">
        <v>71</v>
      </c>
    </row>
    <row r="1397" spans="1:4" customFormat="1">
      <c r="A1397" s="10"/>
      <c r="B1397" s="58">
        <v>46064</v>
      </c>
      <c r="C1397" s="166">
        <v>117</v>
      </c>
      <c r="D1397" s="167">
        <v>96</v>
      </c>
    </row>
    <row r="1398" spans="1:4" customFormat="1">
      <c r="A1398" s="10"/>
      <c r="B1398" s="58">
        <v>46065</v>
      </c>
      <c r="C1398" s="166">
        <v>85</v>
      </c>
      <c r="D1398" s="167">
        <v>99</v>
      </c>
    </row>
    <row r="1399" spans="1:4" customFormat="1">
      <c r="A1399" s="10"/>
      <c r="B1399" s="58">
        <v>46066</v>
      </c>
      <c r="C1399" s="166">
        <v>77</v>
      </c>
      <c r="D1399" s="167">
        <v>43</v>
      </c>
    </row>
    <row r="1400" spans="1:4" customFormat="1">
      <c r="A1400" s="10"/>
      <c r="B1400" s="58">
        <v>46067</v>
      </c>
      <c r="C1400" s="166">
        <v>110</v>
      </c>
      <c r="D1400" s="167">
        <v>112</v>
      </c>
    </row>
    <row r="1401" spans="1:4" customFormat="1">
      <c r="A1401" s="10"/>
      <c r="B1401" s="58">
        <v>46068</v>
      </c>
      <c r="C1401" s="166">
        <v>65</v>
      </c>
      <c r="D1401" s="167">
        <v>65</v>
      </c>
    </row>
    <row r="1402" spans="1:4" customFormat="1">
      <c r="A1402" s="10"/>
      <c r="B1402" s="58">
        <v>46069</v>
      </c>
      <c r="C1402" s="166">
        <v>63</v>
      </c>
      <c r="D1402" s="167">
        <v>60</v>
      </c>
    </row>
    <row r="1403" spans="1:4" customFormat="1">
      <c r="A1403" s="10"/>
      <c r="B1403" s="58">
        <v>46070</v>
      </c>
      <c r="C1403" s="166">
        <v>81</v>
      </c>
      <c r="D1403" s="167">
        <v>76</v>
      </c>
    </row>
    <row r="1404" spans="1:4" customFormat="1">
      <c r="A1404" s="10"/>
      <c r="B1404" s="58">
        <v>46071</v>
      </c>
      <c r="C1404" s="166">
        <v>119</v>
      </c>
      <c r="D1404" s="167">
        <v>84</v>
      </c>
    </row>
    <row r="1405" spans="1:4" customFormat="1">
      <c r="A1405" s="10"/>
      <c r="B1405" s="58">
        <v>46072</v>
      </c>
      <c r="C1405" s="166">
        <v>68</v>
      </c>
      <c r="D1405" s="167">
        <v>51</v>
      </c>
    </row>
    <row r="1406" spans="1:4" customFormat="1">
      <c r="A1406" s="10"/>
      <c r="B1406" s="58">
        <v>46073</v>
      </c>
      <c r="C1406" s="166">
        <v>121</v>
      </c>
      <c r="D1406" s="167">
        <v>103</v>
      </c>
    </row>
    <row r="1407" spans="1:4" customFormat="1">
      <c r="A1407" s="10"/>
      <c r="B1407" s="58">
        <v>46074</v>
      </c>
      <c r="C1407" s="166">
        <v>98</v>
      </c>
      <c r="D1407" s="167">
        <v>84</v>
      </c>
    </row>
    <row r="1408" spans="1:4" customFormat="1">
      <c r="A1408" s="10"/>
      <c r="B1408" s="58">
        <v>46075</v>
      </c>
      <c r="C1408" s="166">
        <v>90</v>
      </c>
      <c r="D1408" s="167">
        <v>72</v>
      </c>
    </row>
    <row r="1409" spans="1:4" customFormat="1">
      <c r="A1409" s="10"/>
      <c r="B1409" s="58">
        <v>46076</v>
      </c>
      <c r="C1409" s="166">
        <v>83</v>
      </c>
      <c r="D1409" s="167">
        <v>67</v>
      </c>
    </row>
    <row r="1410" spans="1:4" customFormat="1">
      <c r="A1410" s="10"/>
      <c r="B1410" s="58">
        <v>46077</v>
      </c>
      <c r="C1410" s="166">
        <v>132</v>
      </c>
      <c r="D1410" s="167">
        <v>134</v>
      </c>
    </row>
    <row r="1411" spans="1:4" customFormat="1">
      <c r="A1411" s="10"/>
      <c r="B1411" s="58">
        <v>46078</v>
      </c>
      <c r="C1411" s="166">
        <v>128</v>
      </c>
      <c r="D1411" s="167">
        <v>89</v>
      </c>
    </row>
    <row r="1412" spans="1:4" customFormat="1">
      <c r="A1412" s="10"/>
      <c r="B1412" s="58">
        <v>46079</v>
      </c>
      <c r="C1412" s="166">
        <v>60</v>
      </c>
      <c r="D1412" s="167">
        <v>49</v>
      </c>
    </row>
    <row r="1413" spans="1:4" customFormat="1">
      <c r="A1413" s="10"/>
      <c r="B1413" s="58">
        <v>46080</v>
      </c>
      <c r="C1413" s="166">
        <v>56</v>
      </c>
      <c r="D1413" s="167">
        <v>39</v>
      </c>
    </row>
    <row r="1414" spans="1:4" customFormat="1">
      <c r="A1414" s="10"/>
      <c r="B1414" s="58">
        <v>46081</v>
      </c>
      <c r="C1414" s="166">
        <v>96</v>
      </c>
      <c r="D1414" s="167">
        <v>89</v>
      </c>
    </row>
    <row r="1415" spans="1:4" customFormat="1">
      <c r="A1415" s="8" t="s">
        <v>3868</v>
      </c>
      <c r="B1415" s="60">
        <v>46082</v>
      </c>
      <c r="C1415" s="164">
        <v>124</v>
      </c>
      <c r="D1415" s="165">
        <v>79</v>
      </c>
    </row>
    <row r="1416" spans="1:4" customFormat="1">
      <c r="A1416" s="10"/>
      <c r="B1416" s="58">
        <v>46083</v>
      </c>
      <c r="C1416" s="166">
        <v>131</v>
      </c>
      <c r="D1416" s="167">
        <v>103</v>
      </c>
    </row>
    <row r="1417" spans="1:4" customFormat="1">
      <c r="A1417" s="10"/>
      <c r="B1417" s="58">
        <v>46084</v>
      </c>
      <c r="C1417" s="166">
        <v>18</v>
      </c>
      <c r="D1417" s="167">
        <v>8</v>
      </c>
    </row>
    <row r="1418" spans="1:4" customFormat="1">
      <c r="A1418" s="10"/>
      <c r="B1418" s="58">
        <v>46085</v>
      </c>
      <c r="C1418" s="166">
        <v>126</v>
      </c>
      <c r="D1418" s="167">
        <v>115</v>
      </c>
    </row>
    <row r="1419" spans="1:4" customFormat="1">
      <c r="A1419" s="10"/>
      <c r="B1419" s="58">
        <v>46086</v>
      </c>
      <c r="C1419" s="166">
        <v>109</v>
      </c>
      <c r="D1419" s="167">
        <v>111</v>
      </c>
    </row>
    <row r="1420" spans="1:4" customFormat="1">
      <c r="A1420" s="10"/>
      <c r="B1420" s="58">
        <v>46087</v>
      </c>
      <c r="C1420" s="166">
        <v>58</v>
      </c>
      <c r="D1420" s="167">
        <v>46</v>
      </c>
    </row>
    <row r="1421" spans="1:4" customFormat="1">
      <c r="A1421" s="10"/>
      <c r="B1421" s="58">
        <v>46088</v>
      </c>
      <c r="C1421" s="166">
        <v>13</v>
      </c>
      <c r="D1421" s="167">
        <v>19</v>
      </c>
    </row>
    <row r="1422" spans="1:4" customFormat="1">
      <c r="A1422" s="10"/>
      <c r="B1422" s="58">
        <v>46089</v>
      </c>
      <c r="C1422" s="166">
        <v>48</v>
      </c>
      <c r="D1422" s="167">
        <v>31</v>
      </c>
    </row>
    <row r="1423" spans="1:4" customFormat="1">
      <c r="A1423" s="10"/>
      <c r="B1423" s="58">
        <v>46090</v>
      </c>
      <c r="C1423" s="166">
        <v>50</v>
      </c>
      <c r="D1423" s="167">
        <v>50</v>
      </c>
    </row>
    <row r="1424" spans="1:4" customFormat="1">
      <c r="A1424" s="10"/>
      <c r="B1424" s="58">
        <v>46091</v>
      </c>
      <c r="C1424" s="166">
        <v>105</v>
      </c>
      <c r="D1424" s="167">
        <v>78</v>
      </c>
    </row>
    <row r="1425" spans="1:4" customFormat="1">
      <c r="A1425" s="10"/>
      <c r="B1425" s="58">
        <v>46092</v>
      </c>
      <c r="C1425" s="166">
        <v>123</v>
      </c>
      <c r="D1425" s="167">
        <v>100</v>
      </c>
    </row>
    <row r="1426" spans="1:4" customFormat="1">
      <c r="A1426" s="10"/>
      <c r="B1426" s="58">
        <v>46093</v>
      </c>
      <c r="C1426" s="166">
        <v>56</v>
      </c>
      <c r="D1426" s="167">
        <v>47</v>
      </c>
    </row>
    <row r="1427" spans="1:4" customFormat="1">
      <c r="A1427" s="10"/>
      <c r="B1427" s="58">
        <v>46094</v>
      </c>
      <c r="C1427" s="166">
        <v>62</v>
      </c>
      <c r="D1427" s="167">
        <v>59</v>
      </c>
    </row>
    <row r="1428" spans="1:4" customFormat="1">
      <c r="A1428" s="10"/>
      <c r="B1428" s="58">
        <v>46095</v>
      </c>
      <c r="C1428" s="166">
        <v>46</v>
      </c>
      <c r="D1428" s="167">
        <v>30</v>
      </c>
    </row>
    <row r="1429" spans="1:4" customFormat="1">
      <c r="A1429" s="10"/>
      <c r="B1429" s="58">
        <v>46096</v>
      </c>
      <c r="C1429" s="166">
        <v>45</v>
      </c>
      <c r="D1429" s="167">
        <v>39</v>
      </c>
    </row>
    <row r="1430" spans="1:4" customFormat="1">
      <c r="A1430" s="10"/>
      <c r="B1430" s="58">
        <v>46097</v>
      </c>
      <c r="C1430" s="166">
        <v>103</v>
      </c>
      <c r="D1430" s="167">
        <v>92</v>
      </c>
    </row>
    <row r="1431" spans="1:4" customFormat="1">
      <c r="A1431" s="10"/>
      <c r="B1431" s="58">
        <v>46098</v>
      </c>
      <c r="C1431" s="166">
        <v>54</v>
      </c>
      <c r="D1431" s="167">
        <v>66</v>
      </c>
    </row>
    <row r="1432" spans="1:4" customFormat="1">
      <c r="A1432" s="10"/>
      <c r="B1432" s="58">
        <v>46099</v>
      </c>
      <c r="C1432" s="166">
        <v>65</v>
      </c>
      <c r="D1432" s="167">
        <v>75</v>
      </c>
    </row>
    <row r="1433" spans="1:4" customFormat="1">
      <c r="A1433" s="10"/>
      <c r="B1433" s="58">
        <v>46100</v>
      </c>
      <c r="C1433" s="166">
        <v>105</v>
      </c>
      <c r="D1433" s="167">
        <v>108</v>
      </c>
    </row>
    <row r="1434" spans="1:4" customFormat="1">
      <c r="A1434" s="10"/>
      <c r="B1434" s="58">
        <v>46101</v>
      </c>
      <c r="C1434" s="166">
        <v>18</v>
      </c>
      <c r="D1434" s="167">
        <v>19</v>
      </c>
    </row>
    <row r="1435" spans="1:4" customFormat="1">
      <c r="A1435" s="10"/>
      <c r="B1435" s="58">
        <v>46102</v>
      </c>
      <c r="C1435" s="166">
        <v>124</v>
      </c>
      <c r="D1435" s="167">
        <v>114</v>
      </c>
    </row>
    <row r="1436" spans="1:4" customFormat="1">
      <c r="A1436" s="10"/>
      <c r="B1436" s="58">
        <v>46103</v>
      </c>
      <c r="C1436" s="166">
        <v>23</v>
      </c>
      <c r="D1436" s="167">
        <v>25</v>
      </c>
    </row>
    <row r="1437" spans="1:4" customFormat="1">
      <c r="A1437" s="10"/>
      <c r="B1437" s="58">
        <v>46104</v>
      </c>
      <c r="C1437" s="166">
        <v>105</v>
      </c>
      <c r="D1437" s="167">
        <v>93</v>
      </c>
    </row>
    <row r="1438" spans="1:4" customFormat="1">
      <c r="A1438" s="10"/>
      <c r="B1438" s="58">
        <v>46105</v>
      </c>
      <c r="C1438" s="166">
        <v>62</v>
      </c>
      <c r="D1438" s="167">
        <v>49</v>
      </c>
    </row>
    <row r="1439" spans="1:4" customFormat="1">
      <c r="A1439" s="10"/>
      <c r="B1439" s="58">
        <v>46106</v>
      </c>
      <c r="C1439" s="166">
        <v>66</v>
      </c>
      <c r="D1439" s="167">
        <v>42</v>
      </c>
    </row>
    <row r="1440" spans="1:4" customFormat="1">
      <c r="A1440" s="10"/>
      <c r="B1440" s="58">
        <v>46107</v>
      </c>
      <c r="C1440" s="166">
        <v>52</v>
      </c>
      <c r="D1440" s="167">
        <v>49</v>
      </c>
    </row>
    <row r="1441" spans="1:4" customFormat="1">
      <c r="A1441" s="10"/>
      <c r="B1441" s="58">
        <v>46108</v>
      </c>
      <c r="C1441" s="166">
        <v>112</v>
      </c>
      <c r="D1441" s="167">
        <v>111</v>
      </c>
    </row>
    <row r="1442" spans="1:4" customFormat="1">
      <c r="A1442" s="10"/>
      <c r="B1442" s="58">
        <v>46109</v>
      </c>
      <c r="C1442" s="166">
        <v>106</v>
      </c>
      <c r="D1442" s="167">
        <v>76</v>
      </c>
    </row>
    <row r="1443" spans="1:4" customFormat="1">
      <c r="A1443" s="10"/>
      <c r="B1443" s="58">
        <v>46110</v>
      </c>
      <c r="C1443" s="166">
        <v>78</v>
      </c>
      <c r="D1443" s="167">
        <v>49</v>
      </c>
    </row>
    <row r="1444" spans="1:4" customFormat="1">
      <c r="A1444" s="10"/>
      <c r="B1444" s="58">
        <v>46111</v>
      </c>
      <c r="C1444" s="166">
        <v>113</v>
      </c>
      <c r="D1444" s="167">
        <v>87</v>
      </c>
    </row>
    <row r="1445" spans="1:4" customFormat="1">
      <c r="A1445" s="10"/>
      <c r="B1445" s="58">
        <v>46112</v>
      </c>
      <c r="C1445" s="166">
        <v>102</v>
      </c>
      <c r="D1445" s="167">
        <v>109</v>
      </c>
    </row>
    <row r="1446" spans="1:4" customFormat="1">
      <c r="A1446" s="8" t="s">
        <v>3869</v>
      </c>
      <c r="B1446" s="60">
        <v>46113</v>
      </c>
      <c r="C1446" s="164">
        <v>153</v>
      </c>
      <c r="D1446" s="165">
        <v>129</v>
      </c>
    </row>
    <row r="1447" spans="1:4" customFormat="1">
      <c r="A1447" s="10"/>
      <c r="B1447" s="58">
        <v>46114</v>
      </c>
      <c r="C1447" s="166">
        <v>146</v>
      </c>
      <c r="D1447" s="167">
        <v>166</v>
      </c>
    </row>
    <row r="1448" spans="1:4" customFormat="1">
      <c r="A1448" s="10"/>
      <c r="B1448" s="58">
        <v>46115</v>
      </c>
      <c r="C1448" s="166">
        <v>68</v>
      </c>
      <c r="D1448" s="167">
        <v>50</v>
      </c>
    </row>
    <row r="1449" spans="1:4" customFormat="1">
      <c r="A1449" s="10"/>
      <c r="B1449" s="58">
        <v>46116</v>
      </c>
      <c r="C1449" s="166">
        <v>133</v>
      </c>
      <c r="D1449" s="167">
        <v>101</v>
      </c>
    </row>
    <row r="1450" spans="1:4" customFormat="1">
      <c r="A1450" s="10"/>
      <c r="B1450" s="58">
        <v>46117</v>
      </c>
      <c r="C1450" s="166">
        <v>76</v>
      </c>
      <c r="D1450" s="167">
        <v>84</v>
      </c>
    </row>
    <row r="1451" spans="1:4" customFormat="1">
      <c r="A1451" s="10"/>
      <c r="B1451" s="58">
        <v>46118</v>
      </c>
      <c r="C1451" s="166">
        <v>142</v>
      </c>
      <c r="D1451" s="167">
        <v>104</v>
      </c>
    </row>
    <row r="1452" spans="1:4" customFormat="1">
      <c r="A1452" s="10"/>
      <c r="B1452" s="58">
        <v>46119</v>
      </c>
      <c r="C1452" s="166">
        <v>100</v>
      </c>
      <c r="D1452" s="167">
        <v>102</v>
      </c>
    </row>
    <row r="1453" spans="1:4" customFormat="1">
      <c r="A1453" s="10"/>
      <c r="B1453" s="58">
        <v>46120</v>
      </c>
      <c r="C1453" s="166">
        <v>74</v>
      </c>
      <c r="D1453" s="167">
        <v>65</v>
      </c>
    </row>
    <row r="1454" spans="1:4" customFormat="1">
      <c r="A1454" s="10"/>
      <c r="B1454" s="58">
        <v>46121</v>
      </c>
      <c r="C1454" s="166">
        <v>28</v>
      </c>
      <c r="D1454" s="167">
        <v>28</v>
      </c>
    </row>
    <row r="1455" spans="1:4" customFormat="1">
      <c r="A1455" s="10"/>
      <c r="B1455" s="58">
        <v>46122</v>
      </c>
      <c r="C1455" s="166">
        <v>32</v>
      </c>
      <c r="D1455" s="167">
        <v>24</v>
      </c>
    </row>
    <row r="1456" spans="1:4" customFormat="1">
      <c r="A1456" s="10"/>
      <c r="B1456" s="58">
        <v>46123</v>
      </c>
      <c r="C1456" s="166">
        <v>94</v>
      </c>
      <c r="D1456" s="167">
        <v>69</v>
      </c>
    </row>
    <row r="1457" spans="1:4" customFormat="1">
      <c r="A1457" s="10"/>
      <c r="B1457" s="58">
        <v>46124</v>
      </c>
      <c r="C1457" s="166">
        <v>99</v>
      </c>
      <c r="D1457" s="167">
        <v>87</v>
      </c>
    </row>
    <row r="1458" spans="1:4" customFormat="1">
      <c r="A1458" s="10"/>
      <c r="B1458" s="58">
        <v>46125</v>
      </c>
      <c r="C1458" s="166">
        <v>72</v>
      </c>
      <c r="D1458" s="167">
        <v>66</v>
      </c>
    </row>
    <row r="1459" spans="1:4" customFormat="1">
      <c r="A1459" s="10"/>
      <c r="B1459" s="58">
        <v>46126</v>
      </c>
      <c r="C1459" s="166">
        <v>133</v>
      </c>
      <c r="D1459" s="167">
        <v>120</v>
      </c>
    </row>
    <row r="1460" spans="1:4" customFormat="1">
      <c r="A1460" s="10"/>
      <c r="B1460" s="58">
        <v>46127</v>
      </c>
      <c r="C1460" s="166">
        <v>81</v>
      </c>
      <c r="D1460" s="167">
        <v>66</v>
      </c>
    </row>
    <row r="1461" spans="1:4" customFormat="1">
      <c r="A1461" s="10"/>
      <c r="B1461" s="58">
        <v>46128</v>
      </c>
      <c r="C1461" s="166">
        <v>153</v>
      </c>
      <c r="D1461" s="167">
        <v>125</v>
      </c>
    </row>
    <row r="1462" spans="1:4" customFormat="1">
      <c r="A1462" s="10"/>
      <c r="B1462" s="58">
        <v>46129</v>
      </c>
      <c r="C1462" s="166">
        <v>51</v>
      </c>
      <c r="D1462" s="167">
        <v>62</v>
      </c>
    </row>
    <row r="1463" spans="1:4" customFormat="1">
      <c r="A1463" s="10"/>
      <c r="B1463" s="58">
        <v>46130</v>
      </c>
      <c r="C1463" s="166">
        <v>32</v>
      </c>
      <c r="D1463" s="167">
        <v>23</v>
      </c>
    </row>
    <row r="1464" spans="1:4" customFormat="1">
      <c r="A1464" s="10"/>
      <c r="B1464" s="58">
        <v>46131</v>
      </c>
      <c r="C1464" s="166">
        <v>104</v>
      </c>
      <c r="D1464" s="167">
        <v>94</v>
      </c>
    </row>
    <row r="1465" spans="1:4" customFormat="1">
      <c r="A1465" s="10"/>
      <c r="B1465" s="58">
        <v>46132</v>
      </c>
      <c r="C1465" s="166">
        <v>153</v>
      </c>
      <c r="D1465" s="167">
        <v>131</v>
      </c>
    </row>
    <row r="1466" spans="1:4" customFormat="1">
      <c r="A1466" s="10"/>
      <c r="B1466" s="58">
        <v>46133</v>
      </c>
      <c r="C1466" s="166">
        <v>109</v>
      </c>
      <c r="D1466" s="167">
        <v>92</v>
      </c>
    </row>
    <row r="1467" spans="1:4" customFormat="1">
      <c r="A1467" s="10"/>
      <c r="B1467" s="58">
        <v>46134</v>
      </c>
      <c r="C1467" s="166">
        <v>40</v>
      </c>
      <c r="D1467" s="167">
        <v>30</v>
      </c>
    </row>
    <row r="1468" spans="1:4" customFormat="1">
      <c r="A1468" s="10"/>
      <c r="B1468" s="58">
        <v>46135</v>
      </c>
      <c r="C1468" s="166">
        <v>124</v>
      </c>
      <c r="D1468" s="167">
        <v>109</v>
      </c>
    </row>
    <row r="1469" spans="1:4" customFormat="1">
      <c r="A1469" s="10"/>
      <c r="B1469" s="58">
        <v>46136</v>
      </c>
      <c r="C1469" s="166">
        <v>93</v>
      </c>
      <c r="D1469" s="167">
        <v>75</v>
      </c>
    </row>
    <row r="1470" spans="1:4" customFormat="1">
      <c r="A1470" s="10"/>
      <c r="B1470" s="58">
        <v>46137</v>
      </c>
      <c r="C1470" s="166">
        <v>66</v>
      </c>
      <c r="D1470" s="167">
        <v>50</v>
      </c>
    </row>
    <row r="1471" spans="1:4" customFormat="1">
      <c r="A1471" s="10"/>
      <c r="B1471" s="58">
        <v>46138</v>
      </c>
      <c r="C1471" s="166">
        <v>101</v>
      </c>
      <c r="D1471" s="167">
        <v>92</v>
      </c>
    </row>
    <row r="1472" spans="1:4" customFormat="1">
      <c r="A1472" s="10"/>
      <c r="B1472" s="58">
        <v>46139</v>
      </c>
      <c r="C1472" s="166">
        <v>84</v>
      </c>
      <c r="D1472" s="167">
        <v>93</v>
      </c>
    </row>
    <row r="1473" spans="1:4" customFormat="1">
      <c r="A1473" s="10"/>
      <c r="B1473" s="58">
        <v>46140</v>
      </c>
      <c r="C1473" s="166">
        <v>53</v>
      </c>
      <c r="D1473" s="167">
        <v>44</v>
      </c>
    </row>
    <row r="1474" spans="1:4" customFormat="1">
      <c r="A1474" s="10"/>
      <c r="B1474" s="58">
        <v>46141</v>
      </c>
      <c r="C1474" s="166">
        <v>67</v>
      </c>
      <c r="D1474" s="167">
        <v>66</v>
      </c>
    </row>
    <row r="1475" spans="1:4" customFormat="1">
      <c r="A1475" s="10"/>
      <c r="B1475" s="58">
        <v>46142</v>
      </c>
      <c r="C1475" s="166">
        <v>97</v>
      </c>
      <c r="D1475" s="167">
        <v>88</v>
      </c>
    </row>
    <row r="1476" spans="1:4" customFormat="1">
      <c r="A1476" s="8" t="s">
        <v>3159</v>
      </c>
      <c r="B1476" s="60">
        <v>46143</v>
      </c>
      <c r="C1476" s="164">
        <v>78</v>
      </c>
      <c r="D1476" s="165">
        <v>79</v>
      </c>
    </row>
    <row r="1477" spans="1:4" customFormat="1">
      <c r="A1477" s="10"/>
      <c r="B1477" s="58">
        <v>46144</v>
      </c>
      <c r="C1477" s="166">
        <v>99</v>
      </c>
      <c r="D1477" s="167">
        <v>84</v>
      </c>
    </row>
    <row r="1478" spans="1:4" customFormat="1">
      <c r="A1478" s="10"/>
      <c r="B1478" s="58">
        <v>46145</v>
      </c>
      <c r="C1478" s="166">
        <v>143</v>
      </c>
      <c r="D1478" s="167">
        <v>134</v>
      </c>
    </row>
    <row r="1479" spans="1:4" customFormat="1">
      <c r="A1479" s="10"/>
      <c r="B1479" s="58">
        <v>46146</v>
      </c>
      <c r="C1479" s="166">
        <v>41</v>
      </c>
      <c r="D1479" s="167">
        <v>38</v>
      </c>
    </row>
    <row r="1480" spans="1:4" customFormat="1">
      <c r="A1480" s="10"/>
      <c r="B1480" s="58">
        <v>46147</v>
      </c>
      <c r="C1480" s="166">
        <v>39</v>
      </c>
      <c r="D1480" s="167">
        <v>37</v>
      </c>
    </row>
    <row r="1481" spans="1:4" customFormat="1">
      <c r="A1481" s="10"/>
      <c r="B1481" s="58">
        <v>46148</v>
      </c>
      <c r="C1481" s="166">
        <v>121</v>
      </c>
      <c r="D1481" s="167">
        <v>144</v>
      </c>
    </row>
    <row r="1482" spans="1:4" customFormat="1">
      <c r="A1482" s="10"/>
      <c r="B1482" s="58">
        <v>46149</v>
      </c>
      <c r="C1482" s="166">
        <v>100</v>
      </c>
      <c r="D1482" s="167">
        <v>88</v>
      </c>
    </row>
    <row r="1483" spans="1:4" customFormat="1">
      <c r="A1483" s="10"/>
      <c r="B1483" s="58">
        <v>46150</v>
      </c>
      <c r="C1483" s="166">
        <v>29</v>
      </c>
      <c r="D1483" s="167">
        <v>41</v>
      </c>
    </row>
    <row r="1484" spans="1:4" customFormat="1">
      <c r="A1484" s="10"/>
      <c r="B1484" s="58">
        <v>46151</v>
      </c>
      <c r="C1484" s="166">
        <v>126</v>
      </c>
      <c r="D1484" s="167">
        <v>107</v>
      </c>
    </row>
    <row r="1485" spans="1:4" customFormat="1">
      <c r="A1485" s="10"/>
      <c r="B1485" s="58">
        <v>46152</v>
      </c>
      <c r="C1485" s="166">
        <v>44</v>
      </c>
      <c r="D1485" s="167">
        <v>22</v>
      </c>
    </row>
    <row r="1486" spans="1:4" customFormat="1">
      <c r="A1486" s="10"/>
      <c r="B1486" s="58">
        <v>46153</v>
      </c>
      <c r="C1486" s="166">
        <v>112</v>
      </c>
      <c r="D1486" s="167">
        <v>112</v>
      </c>
    </row>
    <row r="1487" spans="1:4" customFormat="1">
      <c r="A1487" s="10"/>
      <c r="B1487" s="58">
        <v>46154</v>
      </c>
      <c r="C1487" s="166">
        <v>59</v>
      </c>
      <c r="D1487" s="167">
        <v>48</v>
      </c>
    </row>
    <row r="1488" spans="1:4" customFormat="1">
      <c r="A1488" s="10"/>
      <c r="B1488" s="58">
        <v>46155</v>
      </c>
      <c r="C1488" s="166">
        <v>85</v>
      </c>
      <c r="D1488" s="167">
        <v>55</v>
      </c>
    </row>
    <row r="1489" spans="1:4" customFormat="1">
      <c r="A1489" s="10"/>
      <c r="B1489" s="58">
        <v>46156</v>
      </c>
      <c r="C1489" s="166">
        <v>80</v>
      </c>
      <c r="D1489" s="167">
        <v>70</v>
      </c>
    </row>
    <row r="1490" spans="1:4" customFormat="1">
      <c r="A1490" s="10"/>
      <c r="B1490" s="58">
        <v>46157</v>
      </c>
      <c r="C1490" s="166">
        <v>97</v>
      </c>
      <c r="D1490" s="167">
        <v>103</v>
      </c>
    </row>
    <row r="1491" spans="1:4" customFormat="1">
      <c r="A1491" s="10"/>
      <c r="B1491" s="58">
        <v>46158</v>
      </c>
      <c r="C1491" s="166">
        <v>50</v>
      </c>
      <c r="D1491" s="167">
        <v>53</v>
      </c>
    </row>
    <row r="1492" spans="1:4" customFormat="1">
      <c r="A1492" s="10"/>
      <c r="B1492" s="58">
        <v>46159</v>
      </c>
      <c r="C1492" s="166">
        <v>63</v>
      </c>
      <c r="D1492" s="167">
        <v>63</v>
      </c>
    </row>
    <row r="1493" spans="1:4" customFormat="1">
      <c r="A1493" s="10"/>
      <c r="B1493" s="58">
        <v>46160</v>
      </c>
      <c r="C1493" s="166">
        <v>99</v>
      </c>
      <c r="D1493" s="167">
        <v>94</v>
      </c>
    </row>
    <row r="1494" spans="1:4" customFormat="1">
      <c r="A1494" s="10"/>
      <c r="B1494" s="58">
        <v>46161</v>
      </c>
      <c r="C1494" s="166">
        <v>94</v>
      </c>
      <c r="D1494" s="167">
        <v>78</v>
      </c>
    </row>
    <row r="1495" spans="1:4" customFormat="1">
      <c r="A1495" s="10"/>
      <c r="B1495" s="58">
        <v>46162</v>
      </c>
      <c r="C1495" s="166">
        <v>108</v>
      </c>
      <c r="D1495" s="167">
        <v>78</v>
      </c>
    </row>
    <row r="1496" spans="1:4" customFormat="1">
      <c r="A1496" s="10"/>
      <c r="B1496" s="58">
        <v>46163</v>
      </c>
      <c r="C1496" s="166">
        <v>50</v>
      </c>
      <c r="D1496" s="167">
        <v>36</v>
      </c>
    </row>
    <row r="1497" spans="1:4" customFormat="1">
      <c r="A1497" s="10"/>
      <c r="B1497" s="58">
        <v>46164</v>
      </c>
      <c r="C1497" s="166">
        <v>53</v>
      </c>
      <c r="D1497" s="167">
        <v>38</v>
      </c>
    </row>
    <row r="1498" spans="1:4" customFormat="1">
      <c r="A1498" s="10"/>
      <c r="B1498" s="58">
        <v>46165</v>
      </c>
      <c r="C1498" s="166">
        <v>95</v>
      </c>
      <c r="D1498" s="167">
        <v>84</v>
      </c>
    </row>
    <row r="1499" spans="1:4" customFormat="1">
      <c r="A1499" s="10"/>
      <c r="B1499" s="58">
        <v>46166</v>
      </c>
      <c r="C1499" s="166">
        <v>96</v>
      </c>
      <c r="D1499" s="167">
        <v>82</v>
      </c>
    </row>
    <row r="1500" spans="1:4" customFormat="1">
      <c r="A1500" s="10"/>
      <c r="B1500" s="58">
        <v>46167</v>
      </c>
      <c r="C1500" s="166">
        <v>5</v>
      </c>
      <c r="D1500" s="167">
        <v>6</v>
      </c>
    </row>
    <row r="1501" spans="1:4" customFormat="1">
      <c r="A1501" s="10"/>
      <c r="B1501" s="58">
        <v>46168</v>
      </c>
      <c r="C1501" s="166">
        <v>31</v>
      </c>
      <c r="D1501" s="167">
        <v>48</v>
      </c>
    </row>
    <row r="1502" spans="1:4" customFormat="1">
      <c r="A1502" s="10"/>
      <c r="B1502" s="58">
        <v>46169</v>
      </c>
      <c r="C1502" s="166">
        <v>99</v>
      </c>
      <c r="D1502" s="167">
        <v>82</v>
      </c>
    </row>
    <row r="1503" spans="1:4" customFormat="1">
      <c r="A1503" s="10"/>
      <c r="B1503" s="58">
        <v>46170</v>
      </c>
      <c r="C1503" s="166">
        <v>60</v>
      </c>
      <c r="D1503" s="167">
        <v>55</v>
      </c>
    </row>
    <row r="1504" spans="1:4" customFormat="1">
      <c r="A1504" s="10"/>
      <c r="B1504" s="58">
        <v>46171</v>
      </c>
      <c r="C1504" s="166">
        <v>86</v>
      </c>
      <c r="D1504" s="167">
        <v>89</v>
      </c>
    </row>
    <row r="1505" spans="1:4" customFormat="1">
      <c r="A1505" s="10"/>
      <c r="B1505" s="58">
        <v>46172</v>
      </c>
      <c r="C1505" s="166">
        <v>43</v>
      </c>
      <c r="D1505" s="167">
        <v>38</v>
      </c>
    </row>
    <row r="1506" spans="1:4" customFormat="1">
      <c r="A1506" s="10"/>
      <c r="B1506" s="58">
        <v>46173</v>
      </c>
      <c r="C1506" s="166">
        <v>120</v>
      </c>
      <c r="D1506" s="167">
        <v>96</v>
      </c>
    </row>
    <row r="1507" spans="1:4" customFormat="1">
      <c r="A1507" s="8" t="s">
        <v>3870</v>
      </c>
      <c r="B1507" s="60">
        <v>46174</v>
      </c>
      <c r="C1507" s="164">
        <v>96</v>
      </c>
      <c r="D1507" s="165">
        <v>71</v>
      </c>
    </row>
    <row r="1508" spans="1:4" customFormat="1">
      <c r="A1508" s="10"/>
      <c r="B1508" s="58">
        <v>46175</v>
      </c>
      <c r="C1508" s="166">
        <v>71</v>
      </c>
      <c r="D1508" s="167">
        <v>38</v>
      </c>
    </row>
    <row r="1509" spans="1:4" customFormat="1">
      <c r="A1509" s="10"/>
      <c r="B1509" s="58">
        <v>46176</v>
      </c>
      <c r="C1509" s="166">
        <v>74</v>
      </c>
      <c r="D1509" s="167">
        <v>57</v>
      </c>
    </row>
    <row r="1510" spans="1:4" customFormat="1">
      <c r="A1510" s="10"/>
      <c r="B1510" s="58">
        <v>46177</v>
      </c>
      <c r="C1510" s="166">
        <v>55</v>
      </c>
      <c r="D1510" s="167">
        <v>54</v>
      </c>
    </row>
    <row r="1511" spans="1:4" customFormat="1">
      <c r="A1511" s="10"/>
      <c r="B1511" s="58">
        <v>46178</v>
      </c>
      <c r="C1511" s="166">
        <v>124</v>
      </c>
      <c r="D1511" s="167">
        <v>109</v>
      </c>
    </row>
    <row r="1512" spans="1:4" customFormat="1">
      <c r="A1512" s="10"/>
      <c r="B1512" s="58">
        <v>46179</v>
      </c>
      <c r="C1512" s="166">
        <v>124</v>
      </c>
      <c r="D1512" s="167">
        <v>99</v>
      </c>
    </row>
    <row r="1513" spans="1:4" customFormat="1">
      <c r="A1513" s="10"/>
      <c r="B1513" s="58">
        <v>46180</v>
      </c>
      <c r="C1513" s="166">
        <v>186</v>
      </c>
      <c r="D1513" s="167">
        <v>136</v>
      </c>
    </row>
    <row r="1514" spans="1:4" customFormat="1">
      <c r="A1514" s="10"/>
      <c r="B1514" s="58">
        <v>46181</v>
      </c>
      <c r="C1514" s="166">
        <v>35</v>
      </c>
      <c r="D1514" s="167">
        <v>22</v>
      </c>
    </row>
    <row r="1515" spans="1:4" customFormat="1">
      <c r="A1515" s="10"/>
      <c r="B1515" s="58">
        <v>46182</v>
      </c>
      <c r="C1515" s="166">
        <v>129</v>
      </c>
      <c r="D1515" s="167">
        <v>115</v>
      </c>
    </row>
    <row r="1516" spans="1:4" customFormat="1">
      <c r="A1516" s="10"/>
      <c r="B1516" s="58">
        <v>46183</v>
      </c>
      <c r="C1516" s="166">
        <v>238</v>
      </c>
      <c r="D1516" s="167">
        <v>201</v>
      </c>
    </row>
    <row r="1517" spans="1:4" customFormat="1">
      <c r="A1517" s="10"/>
      <c r="B1517" s="58">
        <v>46184</v>
      </c>
      <c r="C1517" s="166">
        <v>49</v>
      </c>
      <c r="D1517" s="167">
        <v>52</v>
      </c>
    </row>
    <row r="1518" spans="1:4" customFormat="1">
      <c r="A1518" s="10"/>
      <c r="B1518" s="58">
        <v>46185</v>
      </c>
      <c r="C1518" s="166">
        <v>84</v>
      </c>
      <c r="D1518" s="167">
        <v>93</v>
      </c>
    </row>
    <row r="1519" spans="1:4" customFormat="1">
      <c r="A1519" s="10"/>
      <c r="B1519" s="58">
        <v>46186</v>
      </c>
      <c r="C1519" s="166">
        <v>109</v>
      </c>
      <c r="D1519" s="167">
        <v>94</v>
      </c>
    </row>
    <row r="1520" spans="1:4" customFormat="1">
      <c r="A1520" s="10"/>
      <c r="B1520" s="58">
        <v>46187</v>
      </c>
      <c r="C1520" s="166">
        <v>59</v>
      </c>
      <c r="D1520" s="167">
        <v>32</v>
      </c>
    </row>
    <row r="1521" spans="1:4" customFormat="1">
      <c r="A1521" s="10"/>
      <c r="B1521" s="58">
        <v>46188</v>
      </c>
      <c r="C1521" s="166">
        <v>75</v>
      </c>
      <c r="D1521" s="167">
        <v>54</v>
      </c>
    </row>
    <row r="1522" spans="1:4" customFormat="1">
      <c r="A1522" s="10"/>
      <c r="B1522" s="58">
        <v>46189</v>
      </c>
      <c r="C1522" s="166">
        <v>99</v>
      </c>
      <c r="D1522" s="167">
        <v>74</v>
      </c>
    </row>
    <row r="1523" spans="1:4" customFormat="1">
      <c r="A1523" s="10"/>
      <c r="B1523" s="58">
        <v>46190</v>
      </c>
      <c r="C1523" s="166">
        <v>85</v>
      </c>
      <c r="D1523" s="167">
        <v>68</v>
      </c>
    </row>
    <row r="1524" spans="1:4" customFormat="1">
      <c r="A1524" s="10"/>
      <c r="B1524" s="58">
        <v>46191</v>
      </c>
      <c r="C1524" s="166">
        <v>150</v>
      </c>
      <c r="D1524" s="167">
        <v>139</v>
      </c>
    </row>
    <row r="1525" spans="1:4" customFormat="1">
      <c r="A1525" s="10"/>
      <c r="B1525" s="58">
        <v>46192</v>
      </c>
      <c r="C1525" s="166">
        <v>84</v>
      </c>
      <c r="D1525" s="167">
        <v>76</v>
      </c>
    </row>
    <row r="1526" spans="1:4" customFormat="1">
      <c r="A1526" s="10"/>
      <c r="B1526" s="58">
        <v>46193</v>
      </c>
      <c r="C1526" s="166">
        <v>118</v>
      </c>
      <c r="D1526" s="167">
        <v>110</v>
      </c>
    </row>
    <row r="1527" spans="1:4" customFormat="1">
      <c r="A1527" s="10"/>
      <c r="B1527" s="58">
        <v>46194</v>
      </c>
      <c r="C1527" s="166">
        <v>54</v>
      </c>
      <c r="D1527" s="167">
        <v>59</v>
      </c>
    </row>
    <row r="1528" spans="1:4" customFormat="1">
      <c r="A1528" s="10"/>
      <c r="B1528" s="58">
        <v>46195</v>
      </c>
      <c r="C1528" s="166">
        <v>81</v>
      </c>
      <c r="D1528" s="167">
        <v>72</v>
      </c>
    </row>
    <row r="1529" spans="1:4" customFormat="1">
      <c r="A1529" s="10"/>
      <c r="B1529" s="58">
        <v>46196</v>
      </c>
      <c r="C1529" s="166">
        <v>161</v>
      </c>
      <c r="D1529" s="167">
        <v>128</v>
      </c>
    </row>
    <row r="1530" spans="1:4" customFormat="1">
      <c r="A1530" s="10"/>
      <c r="B1530" s="58">
        <v>46197</v>
      </c>
      <c r="C1530" s="166">
        <v>103</v>
      </c>
      <c r="D1530" s="167">
        <v>72</v>
      </c>
    </row>
    <row r="1531" spans="1:4" customFormat="1">
      <c r="A1531" s="10"/>
      <c r="B1531" s="58">
        <v>46198</v>
      </c>
      <c r="C1531" s="166">
        <v>29</v>
      </c>
      <c r="D1531" s="167">
        <v>21</v>
      </c>
    </row>
    <row r="1532" spans="1:4" customFormat="1">
      <c r="A1532" s="10"/>
      <c r="B1532" s="58">
        <v>46199</v>
      </c>
      <c r="C1532" s="166">
        <v>56</v>
      </c>
      <c r="D1532" s="167">
        <v>79</v>
      </c>
    </row>
    <row r="1533" spans="1:4" customFormat="1">
      <c r="A1533" s="10"/>
      <c r="B1533" s="58">
        <v>46200</v>
      </c>
      <c r="C1533" s="166">
        <v>147</v>
      </c>
      <c r="D1533" s="167">
        <v>114</v>
      </c>
    </row>
    <row r="1534" spans="1:4" customFormat="1">
      <c r="A1534" s="10"/>
      <c r="B1534" s="58">
        <v>46201</v>
      </c>
      <c r="C1534" s="166">
        <v>162</v>
      </c>
      <c r="D1534" s="167">
        <v>159</v>
      </c>
    </row>
    <row r="1535" spans="1:4" customFormat="1">
      <c r="A1535" s="10"/>
      <c r="B1535" s="58">
        <v>46202</v>
      </c>
      <c r="C1535" s="166">
        <v>69</v>
      </c>
      <c r="D1535" s="167">
        <v>76</v>
      </c>
    </row>
    <row r="1536" spans="1:4" customFormat="1">
      <c r="A1536" s="10"/>
      <c r="B1536" s="58">
        <v>46203</v>
      </c>
      <c r="C1536" s="166">
        <v>68</v>
      </c>
      <c r="D1536" s="167">
        <v>51</v>
      </c>
    </row>
    <row r="1537" spans="1:4" customFormat="1">
      <c r="A1537" s="8" t="s">
        <v>3871</v>
      </c>
      <c r="B1537" s="60">
        <v>46204</v>
      </c>
      <c r="C1537" s="164">
        <v>56</v>
      </c>
      <c r="D1537" s="165">
        <v>39</v>
      </c>
    </row>
    <row r="1538" spans="1:4" customFormat="1">
      <c r="A1538" s="10"/>
      <c r="B1538" s="58">
        <v>46205</v>
      </c>
      <c r="C1538" s="166">
        <v>97</v>
      </c>
      <c r="D1538" s="167">
        <v>91</v>
      </c>
    </row>
    <row r="1539" spans="1:4" customFormat="1">
      <c r="A1539" s="10"/>
      <c r="B1539" s="58">
        <v>46206</v>
      </c>
      <c r="C1539" s="166">
        <v>46</v>
      </c>
      <c r="D1539" s="167">
        <v>27</v>
      </c>
    </row>
    <row r="1540" spans="1:4" customFormat="1">
      <c r="A1540" s="10"/>
      <c r="B1540" s="58">
        <v>46207</v>
      </c>
      <c r="C1540" s="166">
        <v>78</v>
      </c>
      <c r="D1540" s="167">
        <v>90</v>
      </c>
    </row>
    <row r="1541" spans="1:4" customFormat="1">
      <c r="A1541" s="10"/>
      <c r="B1541" s="58">
        <v>46208</v>
      </c>
      <c r="C1541" s="166">
        <v>59</v>
      </c>
      <c r="D1541" s="167">
        <v>46</v>
      </c>
    </row>
    <row r="1542" spans="1:4" customFormat="1">
      <c r="A1542" s="10"/>
      <c r="B1542" s="58">
        <v>46209</v>
      </c>
      <c r="C1542" s="166">
        <v>82</v>
      </c>
      <c r="D1542" s="167">
        <v>48</v>
      </c>
    </row>
    <row r="1543" spans="1:4" customFormat="1">
      <c r="A1543" s="10"/>
      <c r="B1543" s="58">
        <v>46210</v>
      </c>
      <c r="C1543" s="166">
        <v>137</v>
      </c>
      <c r="D1543" s="167">
        <v>96</v>
      </c>
    </row>
    <row r="1544" spans="1:4" customFormat="1">
      <c r="A1544" s="10"/>
      <c r="B1544" s="58">
        <v>46211</v>
      </c>
      <c r="C1544" s="166">
        <v>113</v>
      </c>
      <c r="D1544" s="167">
        <v>84</v>
      </c>
    </row>
    <row r="1545" spans="1:4" customFormat="1">
      <c r="A1545" s="10"/>
      <c r="B1545" s="58">
        <v>46212</v>
      </c>
      <c r="C1545" s="166">
        <v>90</v>
      </c>
      <c r="D1545" s="167">
        <v>70</v>
      </c>
    </row>
    <row r="1546" spans="1:4" customFormat="1">
      <c r="A1546" s="10"/>
      <c r="B1546" s="58">
        <v>46213</v>
      </c>
      <c r="C1546" s="166">
        <v>96</v>
      </c>
      <c r="D1546" s="167">
        <v>61</v>
      </c>
    </row>
    <row r="1547" spans="1:4" customFormat="1">
      <c r="A1547" s="10"/>
      <c r="B1547" s="58">
        <v>46214</v>
      </c>
      <c r="C1547" s="166">
        <v>83</v>
      </c>
      <c r="D1547" s="167">
        <v>65</v>
      </c>
    </row>
    <row r="1548" spans="1:4" customFormat="1">
      <c r="A1548" s="10"/>
      <c r="B1548" s="58">
        <v>46215</v>
      </c>
      <c r="C1548" s="166">
        <v>76</v>
      </c>
      <c r="D1548" s="167">
        <v>58</v>
      </c>
    </row>
    <row r="1549" spans="1:4" customFormat="1">
      <c r="A1549" s="10"/>
      <c r="B1549" s="58">
        <v>46216</v>
      </c>
      <c r="C1549" s="166">
        <v>60</v>
      </c>
      <c r="D1549" s="167">
        <v>47</v>
      </c>
    </row>
    <row r="1550" spans="1:4" customFormat="1">
      <c r="A1550" s="10"/>
      <c r="B1550" s="58">
        <v>46217</v>
      </c>
      <c r="C1550" s="166">
        <v>90</v>
      </c>
      <c r="D1550" s="167">
        <v>70</v>
      </c>
    </row>
    <row r="1551" spans="1:4" customFormat="1">
      <c r="A1551" s="10"/>
      <c r="B1551" s="58">
        <v>46218</v>
      </c>
      <c r="C1551" s="166">
        <v>24</v>
      </c>
      <c r="D1551" s="167">
        <v>8</v>
      </c>
    </row>
    <row r="1552" spans="1:4" customFormat="1">
      <c r="A1552" s="10"/>
      <c r="B1552" s="58">
        <v>46219</v>
      </c>
      <c r="C1552" s="166">
        <v>49</v>
      </c>
      <c r="D1552" s="167">
        <v>28</v>
      </c>
    </row>
    <row r="1553" spans="1:13">
      <c r="A1553" s="10"/>
      <c r="B1553" s="58">
        <v>46220</v>
      </c>
      <c r="C1553" s="166">
        <v>17</v>
      </c>
      <c r="D1553" s="167">
        <v>19</v>
      </c>
      <c r="E1553"/>
      <c r="F1553"/>
      <c r="G1553"/>
      <c r="H1553"/>
      <c r="I1553"/>
      <c r="J1553"/>
      <c r="K1553"/>
      <c r="L1553"/>
      <c r="M1553"/>
    </row>
    <row r="1554" spans="1:13">
      <c r="A1554" s="10"/>
      <c r="B1554" s="58">
        <v>46221</v>
      </c>
      <c r="C1554" s="166">
        <v>40</v>
      </c>
      <c r="D1554" s="167">
        <v>25</v>
      </c>
      <c r="E1554"/>
      <c r="F1554"/>
      <c r="G1554"/>
      <c r="H1554"/>
      <c r="I1554"/>
      <c r="J1554"/>
      <c r="K1554"/>
      <c r="L1554"/>
      <c r="M1554"/>
    </row>
    <row r="1555" spans="1:13">
      <c r="A1555" s="10"/>
      <c r="B1555" s="58">
        <v>46222</v>
      </c>
      <c r="C1555" s="166">
        <v>69</v>
      </c>
      <c r="D1555" s="167">
        <v>42</v>
      </c>
      <c r="E1555"/>
      <c r="F1555"/>
      <c r="G1555"/>
      <c r="H1555"/>
      <c r="I1555"/>
      <c r="J1555"/>
      <c r="K1555"/>
      <c r="L1555"/>
      <c r="M1555"/>
    </row>
    <row r="1556" spans="1:13">
      <c r="A1556" s="10"/>
      <c r="B1556" s="58">
        <v>46223</v>
      </c>
      <c r="C1556" s="166">
        <v>24</v>
      </c>
      <c r="D1556" s="167">
        <v>21</v>
      </c>
      <c r="E1556"/>
      <c r="F1556"/>
      <c r="G1556"/>
      <c r="H1556"/>
      <c r="I1556"/>
      <c r="J1556"/>
      <c r="K1556"/>
      <c r="L1556"/>
      <c r="M1556"/>
    </row>
    <row r="1557" spans="1:13">
      <c r="A1557" s="10"/>
      <c r="B1557" s="58">
        <v>46224</v>
      </c>
      <c r="C1557" s="166">
        <v>25</v>
      </c>
      <c r="D1557" s="167">
        <v>12</v>
      </c>
      <c r="E1557"/>
      <c r="F1557"/>
      <c r="G1557"/>
      <c r="H1557"/>
      <c r="I1557"/>
      <c r="J1557"/>
      <c r="K1557"/>
      <c r="L1557"/>
      <c r="M1557"/>
    </row>
    <row r="1558" spans="1:13">
      <c r="A1558" s="10"/>
      <c r="B1558" s="58">
        <v>46227</v>
      </c>
      <c r="C1558" s="166">
        <v>25</v>
      </c>
      <c r="D1558" s="167">
        <v>22</v>
      </c>
    </row>
    <row r="1559" spans="1:13">
      <c r="A1559" s="10"/>
      <c r="B1559" s="58">
        <v>46228</v>
      </c>
      <c r="C1559" s="166">
        <v>32</v>
      </c>
      <c r="D1559" s="167">
        <v>17</v>
      </c>
    </row>
    <row r="1560" spans="1:13">
      <c r="A1560" s="10"/>
      <c r="B1560" s="58">
        <v>46232</v>
      </c>
      <c r="C1560" s="166">
        <v>30</v>
      </c>
      <c r="D1560" s="167">
        <v>21</v>
      </c>
    </row>
    <row r="1561" spans="1:13">
      <c r="A1561" s="42" t="s">
        <v>3122</v>
      </c>
      <c r="B1561" s="59"/>
      <c r="C1561" s="170">
        <v>15317</v>
      </c>
      <c r="D1561" s="171">
        <v>13248</v>
      </c>
    </row>
    <row r="1562" spans="1:13">
      <c r="B1562"/>
      <c r="C1562"/>
    </row>
    <row r="1563" spans="1:13">
      <c r="B1563"/>
      <c r="C1563"/>
    </row>
    <row r="1564" spans="1:13">
      <c r="B1564"/>
      <c r="C1564"/>
    </row>
    <row r="1565" spans="1:13">
      <c r="B1565"/>
      <c r="C1565"/>
    </row>
    <row r="1566" spans="1:13">
      <c r="B1566"/>
      <c r="C1566" s="156" t="s">
        <v>3235</v>
      </c>
    </row>
    <row r="1567" spans="1:13">
      <c r="B1567"/>
      <c r="C1567"/>
    </row>
    <row r="1568" spans="1:13">
      <c r="A1568" s="11" t="s">
        <v>3158</v>
      </c>
      <c r="B1568" s="11" t="s">
        <v>3218</v>
      </c>
      <c r="C1568" s="9"/>
      <c r="D1568" s="9"/>
      <c r="E1568" s="9"/>
      <c r="F1568" s="9"/>
      <c r="G1568" s="9"/>
      <c r="H1568" s="9"/>
      <c r="I1568" s="20"/>
      <c r="J1568"/>
      <c r="K1568"/>
      <c r="L1568"/>
      <c r="M1568"/>
    </row>
    <row r="1569" spans="1:13">
      <c r="A1569" s="43" t="s">
        <v>4</v>
      </c>
      <c r="B1569" s="8" t="s">
        <v>3866</v>
      </c>
      <c r="C1569" s="21" t="s">
        <v>3867</v>
      </c>
      <c r="D1569" s="21" t="s">
        <v>3868</v>
      </c>
      <c r="E1569" s="21" t="s">
        <v>3869</v>
      </c>
      <c r="F1569" s="21" t="s">
        <v>3159</v>
      </c>
      <c r="G1569" s="21" t="s">
        <v>3870</v>
      </c>
      <c r="H1569" s="21" t="s">
        <v>3871</v>
      </c>
      <c r="I1569" s="39" t="s">
        <v>3122</v>
      </c>
      <c r="J1569"/>
      <c r="K1569"/>
      <c r="L1569"/>
      <c r="M1569"/>
    </row>
    <row r="1570" spans="1:13">
      <c r="A1570" s="8" t="s">
        <v>3835</v>
      </c>
      <c r="B1570" s="164">
        <v>19</v>
      </c>
      <c r="C1570" s="174">
        <v>107</v>
      </c>
      <c r="D1570" s="174">
        <v>96</v>
      </c>
      <c r="E1570" s="174">
        <v>291</v>
      </c>
      <c r="F1570" s="174">
        <v>180</v>
      </c>
      <c r="G1570" s="174">
        <v>164</v>
      </c>
      <c r="H1570" s="174">
        <v>173</v>
      </c>
      <c r="I1570" s="175">
        <v>1030</v>
      </c>
      <c r="J1570"/>
      <c r="K1570"/>
      <c r="L1570"/>
      <c r="M1570"/>
    </row>
    <row r="1571" spans="1:13">
      <c r="A1571" s="13" t="s">
        <v>3836</v>
      </c>
      <c r="B1571" s="166">
        <v>66</v>
      </c>
      <c r="C1571" s="179">
        <v>231</v>
      </c>
      <c r="D1571" s="179">
        <v>129</v>
      </c>
      <c r="E1571" s="179">
        <v>136</v>
      </c>
      <c r="F1571" s="179">
        <v>173</v>
      </c>
      <c r="G1571" s="179">
        <v>227</v>
      </c>
      <c r="H1571" s="179">
        <v>115</v>
      </c>
      <c r="I1571" s="180">
        <v>1077</v>
      </c>
      <c r="J1571"/>
      <c r="K1571"/>
      <c r="L1571"/>
      <c r="M1571"/>
    </row>
    <row r="1572" spans="1:13">
      <c r="A1572" s="13" t="s">
        <v>3837</v>
      </c>
      <c r="B1572" s="166">
        <v>75</v>
      </c>
      <c r="C1572" s="179">
        <v>100</v>
      </c>
      <c r="D1572" s="179">
        <v>88</v>
      </c>
      <c r="E1572" s="179">
        <v>100</v>
      </c>
      <c r="F1572" s="179">
        <v>121</v>
      </c>
      <c r="G1572" s="179">
        <v>108</v>
      </c>
      <c r="H1572" s="179">
        <v>87</v>
      </c>
      <c r="I1572" s="180">
        <v>679</v>
      </c>
      <c r="J1572"/>
      <c r="K1572"/>
      <c r="L1572"/>
      <c r="M1572"/>
    </row>
    <row r="1573" spans="1:13">
      <c r="A1573" s="13" t="s">
        <v>3838</v>
      </c>
      <c r="B1573" s="166">
        <v>53</v>
      </c>
      <c r="C1573" s="179">
        <v>168</v>
      </c>
      <c r="D1573" s="179">
        <v>168</v>
      </c>
      <c r="E1573" s="179">
        <v>136</v>
      </c>
      <c r="F1573" s="179">
        <v>157</v>
      </c>
      <c r="G1573" s="179">
        <v>201</v>
      </c>
      <c r="H1573" s="179">
        <v>71</v>
      </c>
      <c r="I1573" s="180">
        <v>954</v>
      </c>
      <c r="J1573"/>
      <c r="K1573"/>
      <c r="L1573"/>
      <c r="M1573"/>
    </row>
    <row r="1574" spans="1:13">
      <c r="A1574" s="13" t="s">
        <v>3839</v>
      </c>
      <c r="B1574" s="166">
        <v>135</v>
      </c>
      <c r="C1574" s="179">
        <v>216</v>
      </c>
      <c r="D1574" s="179">
        <v>172</v>
      </c>
      <c r="E1574" s="179">
        <v>107</v>
      </c>
      <c r="F1574" s="179">
        <v>131</v>
      </c>
      <c r="G1574" s="179">
        <v>163</v>
      </c>
      <c r="H1574" s="179">
        <v>66</v>
      </c>
      <c r="I1574" s="180">
        <v>990</v>
      </c>
      <c r="J1574"/>
      <c r="K1574"/>
      <c r="L1574"/>
      <c r="M1574"/>
    </row>
    <row r="1575" spans="1:13">
      <c r="A1575" s="13" t="s">
        <v>3840</v>
      </c>
      <c r="B1575" s="166">
        <v>64</v>
      </c>
      <c r="C1575" s="179">
        <v>75</v>
      </c>
      <c r="D1575" s="179">
        <v>276</v>
      </c>
      <c r="E1575" s="179">
        <v>204</v>
      </c>
      <c r="F1575" s="179">
        <v>117</v>
      </c>
      <c r="G1575" s="179">
        <v>201</v>
      </c>
      <c r="H1575" s="179">
        <v>118</v>
      </c>
      <c r="I1575" s="180">
        <v>1055</v>
      </c>
      <c r="J1575"/>
      <c r="K1575"/>
      <c r="L1575"/>
      <c r="M1575"/>
    </row>
    <row r="1576" spans="1:13">
      <c r="A1576" s="13" t="s">
        <v>3841</v>
      </c>
      <c r="B1576" s="166">
        <v>80</v>
      </c>
      <c r="C1576" s="179">
        <v>141</v>
      </c>
      <c r="D1576" s="179">
        <v>152</v>
      </c>
      <c r="E1576" s="179">
        <v>238</v>
      </c>
      <c r="F1576" s="179">
        <v>172</v>
      </c>
      <c r="G1576" s="179">
        <v>222</v>
      </c>
      <c r="H1576" s="179">
        <v>142</v>
      </c>
      <c r="I1576" s="180">
        <v>1147</v>
      </c>
      <c r="J1576"/>
      <c r="K1576"/>
      <c r="L1576"/>
      <c r="M1576"/>
    </row>
    <row r="1577" spans="1:13">
      <c r="A1577" s="13" t="s">
        <v>3842</v>
      </c>
      <c r="B1577" s="166">
        <v>35</v>
      </c>
      <c r="C1577" s="179">
        <v>225</v>
      </c>
      <c r="D1577" s="179">
        <v>155</v>
      </c>
      <c r="E1577" s="179">
        <v>327</v>
      </c>
      <c r="F1577" s="179">
        <v>203</v>
      </c>
      <c r="G1577" s="179">
        <v>314</v>
      </c>
      <c r="H1577" s="179">
        <v>98</v>
      </c>
      <c r="I1577" s="180">
        <v>1357</v>
      </c>
      <c r="J1577"/>
      <c r="K1577"/>
      <c r="L1577"/>
      <c r="M1577"/>
    </row>
    <row r="1578" spans="1:13">
      <c r="A1578" s="13" t="s">
        <v>3843</v>
      </c>
      <c r="B1578" s="166">
        <v>98</v>
      </c>
      <c r="C1578" s="179">
        <v>83</v>
      </c>
      <c r="D1578" s="179">
        <v>177</v>
      </c>
      <c r="E1578" s="179">
        <v>118</v>
      </c>
      <c r="F1578" s="179">
        <v>201</v>
      </c>
      <c r="G1578" s="179">
        <v>227</v>
      </c>
      <c r="H1578" s="179">
        <v>96</v>
      </c>
      <c r="I1578" s="180">
        <v>1000</v>
      </c>
      <c r="J1578"/>
      <c r="K1578"/>
      <c r="L1578"/>
      <c r="M1578"/>
    </row>
    <row r="1579" spans="1:13">
      <c r="A1579" s="13" t="s">
        <v>3844</v>
      </c>
      <c r="B1579" s="166">
        <v>18</v>
      </c>
      <c r="C1579" s="179">
        <v>75</v>
      </c>
      <c r="D1579" s="179">
        <v>64</v>
      </c>
      <c r="E1579" s="179">
        <v>87</v>
      </c>
      <c r="F1579" s="179">
        <v>146</v>
      </c>
      <c r="G1579" s="179">
        <v>71</v>
      </c>
      <c r="H1579" s="179">
        <v>47</v>
      </c>
      <c r="I1579" s="180">
        <v>508</v>
      </c>
      <c r="J1579"/>
      <c r="K1579"/>
      <c r="L1579"/>
      <c r="M1579"/>
    </row>
    <row r="1580" spans="1:13">
      <c r="A1580" s="13" t="s">
        <v>3847</v>
      </c>
      <c r="B1580" s="166">
        <v>61</v>
      </c>
      <c r="C1580" s="179">
        <v>37</v>
      </c>
      <c r="D1580" s="179">
        <v>84</v>
      </c>
      <c r="E1580" s="179">
        <v>85</v>
      </c>
      <c r="F1580" s="179">
        <v>152</v>
      </c>
      <c r="G1580" s="179">
        <v>103</v>
      </c>
      <c r="H1580" s="179">
        <v>69</v>
      </c>
      <c r="I1580" s="180">
        <v>591</v>
      </c>
      <c r="J1580"/>
      <c r="K1580"/>
      <c r="L1580"/>
      <c r="M1580"/>
    </row>
    <row r="1581" spans="1:13">
      <c r="A1581" s="13" t="s">
        <v>3845</v>
      </c>
      <c r="B1581" s="166">
        <v>39</v>
      </c>
      <c r="C1581" s="179">
        <v>133</v>
      </c>
      <c r="D1581" s="179">
        <v>149</v>
      </c>
      <c r="E1581" s="179">
        <v>121</v>
      </c>
      <c r="F1581" s="179">
        <v>141</v>
      </c>
      <c r="G1581" s="179">
        <v>191</v>
      </c>
      <c r="H1581" s="179">
        <v>96</v>
      </c>
      <c r="I1581" s="180">
        <v>870</v>
      </c>
      <c r="J1581"/>
      <c r="K1581"/>
      <c r="L1581"/>
      <c r="M1581"/>
    </row>
    <row r="1582" spans="1:13">
      <c r="A1582" s="13" t="s">
        <v>3846</v>
      </c>
      <c r="B1582" s="166">
        <v>72</v>
      </c>
      <c r="C1582" s="179">
        <v>59</v>
      </c>
      <c r="D1582" s="179">
        <v>87</v>
      </c>
      <c r="E1582" s="179">
        <v>134</v>
      </c>
      <c r="F1582" s="179">
        <v>114</v>
      </c>
      <c r="G1582" s="179">
        <v>90</v>
      </c>
      <c r="H1582" s="179">
        <v>91</v>
      </c>
      <c r="I1582" s="180">
        <v>647</v>
      </c>
      <c r="J1582"/>
      <c r="K1582"/>
      <c r="L1582"/>
      <c r="M1582"/>
    </row>
    <row r="1583" spans="1:13">
      <c r="A1583" s="13" t="s">
        <v>3848</v>
      </c>
      <c r="B1583" s="166">
        <v>106</v>
      </c>
      <c r="C1583" s="179">
        <v>251</v>
      </c>
      <c r="D1583" s="179">
        <v>190</v>
      </c>
      <c r="E1583" s="179">
        <v>195</v>
      </c>
      <c r="F1583" s="179">
        <v>156</v>
      </c>
      <c r="G1583" s="179">
        <v>267</v>
      </c>
      <c r="H1583" s="179">
        <v>106</v>
      </c>
      <c r="I1583" s="180">
        <v>1271</v>
      </c>
      <c r="J1583"/>
      <c r="K1583"/>
      <c r="L1583"/>
      <c r="M1583"/>
    </row>
    <row r="1584" spans="1:13">
      <c r="A1584" s="13" t="s">
        <v>3849</v>
      </c>
      <c r="B1584" s="166">
        <v>87</v>
      </c>
      <c r="C1584" s="179">
        <v>137</v>
      </c>
      <c r="D1584" s="179">
        <v>240</v>
      </c>
      <c r="E1584" s="179">
        <v>260</v>
      </c>
      <c r="F1584" s="179">
        <v>96</v>
      </c>
      <c r="G1584" s="179">
        <v>166</v>
      </c>
      <c r="H1584" s="179">
        <v>73</v>
      </c>
      <c r="I1584" s="180">
        <v>1059</v>
      </c>
      <c r="J1584"/>
      <c r="K1584"/>
      <c r="L1584"/>
      <c r="M1584"/>
    </row>
    <row r="1585" spans="1:9" customFormat="1">
      <c r="A1585" s="42" t="s">
        <v>3122</v>
      </c>
      <c r="B1585" s="170">
        <v>1008</v>
      </c>
      <c r="C1585" s="181">
        <v>2038</v>
      </c>
      <c r="D1585" s="181">
        <v>2227</v>
      </c>
      <c r="E1585" s="181">
        <v>2539</v>
      </c>
      <c r="F1585" s="181">
        <v>2260</v>
      </c>
      <c r="G1585" s="181">
        <v>2715</v>
      </c>
      <c r="H1585" s="181">
        <v>1448</v>
      </c>
      <c r="I1585" s="182">
        <v>14235</v>
      </c>
    </row>
    <row r="1586" spans="1:9" customFormat="1"/>
    <row r="1587" spans="1:9" customFormat="1"/>
    <row r="1588" spans="1:9" customFormat="1"/>
    <row r="1589" spans="1:9" customFormat="1"/>
    <row r="1590" spans="1:9" customFormat="1"/>
    <row r="1591" spans="1:9" customFormat="1"/>
    <row r="1592" spans="1:9" customFormat="1"/>
    <row r="1593" spans="1:9" customFormat="1"/>
    <row r="1594" spans="1:9" customFormat="1"/>
    <row r="1595" spans="1:9" customFormat="1"/>
    <row r="1596" spans="1:9" customFormat="1"/>
    <row r="1597" spans="1:9" customFormat="1"/>
    <row r="1598" spans="1:9" customFormat="1"/>
    <row r="1599" spans="1:9" customFormat="1"/>
    <row r="1600" spans="1:9"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spans="1:13">
      <c r="B1761"/>
      <c r="C1761"/>
      <c r="D1761"/>
      <c r="E1761"/>
      <c r="F1761"/>
      <c r="G1761"/>
      <c r="H1761"/>
      <c r="I1761"/>
      <c r="J1761"/>
      <c r="K1761"/>
      <c r="L1761"/>
      <c r="M1761"/>
    </row>
    <row r="1762" spans="1:13">
      <c r="B1762"/>
      <c r="C1762"/>
      <c r="D1762"/>
      <c r="E1762"/>
      <c r="F1762"/>
      <c r="G1762"/>
      <c r="H1762"/>
      <c r="I1762"/>
      <c r="J1762"/>
      <c r="K1762"/>
      <c r="L1762"/>
      <c r="M1762"/>
    </row>
    <row r="1763" spans="1:13">
      <c r="B1763"/>
      <c r="C1763"/>
      <c r="D1763"/>
      <c r="E1763"/>
      <c r="F1763"/>
      <c r="G1763"/>
      <c r="H1763"/>
      <c r="I1763"/>
      <c r="J1763"/>
      <c r="K1763"/>
      <c r="L1763"/>
      <c r="M1763"/>
    </row>
    <row r="1764" spans="1:13">
      <c r="B1764"/>
      <c r="C1764"/>
      <c r="D1764"/>
      <c r="E1764"/>
      <c r="F1764"/>
      <c r="G1764"/>
      <c r="H1764"/>
      <c r="I1764"/>
      <c r="J1764"/>
      <c r="K1764"/>
      <c r="L1764"/>
      <c r="M1764"/>
    </row>
    <row r="1765" spans="1:13">
      <c r="B1765"/>
      <c r="C1765"/>
      <c r="D1765"/>
      <c r="E1765"/>
      <c r="F1765"/>
      <c r="G1765"/>
      <c r="H1765"/>
      <c r="I1765"/>
      <c r="J1765"/>
      <c r="K1765"/>
      <c r="L1765"/>
      <c r="M1765"/>
    </row>
    <row r="1766" spans="1:13">
      <c r="B1766"/>
      <c r="C1766"/>
      <c r="D1766"/>
      <c r="E1766"/>
      <c r="F1766"/>
      <c r="G1766"/>
      <c r="H1766"/>
      <c r="I1766"/>
      <c r="J1766"/>
      <c r="K1766"/>
      <c r="L1766"/>
      <c r="M1766"/>
    </row>
    <row r="1767" spans="1:13">
      <c r="B1767"/>
      <c r="C1767"/>
      <c r="D1767"/>
      <c r="E1767"/>
      <c r="F1767"/>
      <c r="G1767"/>
      <c r="H1767"/>
      <c r="I1767"/>
      <c r="J1767"/>
      <c r="K1767"/>
      <c r="L1767"/>
      <c r="M1767"/>
    </row>
    <row r="1768" spans="1:13">
      <c r="B1768"/>
      <c r="C1768"/>
      <c r="D1768"/>
      <c r="E1768"/>
      <c r="F1768"/>
      <c r="G1768"/>
      <c r="H1768"/>
      <c r="I1768"/>
      <c r="J1768"/>
      <c r="K1768"/>
      <c r="L1768"/>
      <c r="M1768"/>
    </row>
    <row r="1769" spans="1:13">
      <c r="B1769"/>
      <c r="C1769"/>
    </row>
    <row r="1770" spans="1:13">
      <c r="B1770"/>
      <c r="C1770"/>
    </row>
    <row r="1771" spans="1:13">
      <c r="B1771"/>
      <c r="C1771"/>
    </row>
    <row r="1772" spans="1:13">
      <c r="B1772"/>
      <c r="C1772"/>
    </row>
    <row r="1773" spans="1:13">
      <c r="B1773"/>
      <c r="C1773"/>
    </row>
    <row r="1774" spans="1:13">
      <c r="A1774" s="11" t="s">
        <v>3218</v>
      </c>
      <c r="B1774" s="11" t="s">
        <v>2</v>
      </c>
      <c r="C1774" s="8" t="s">
        <v>3183</v>
      </c>
      <c r="D1774" s="15" t="s">
        <v>3184</v>
      </c>
    </row>
    <row r="1775" spans="1:13">
      <c r="A1775" s="8" t="s">
        <v>3866</v>
      </c>
      <c r="B1775" s="60">
        <v>46025</v>
      </c>
      <c r="C1775" s="164">
        <v>0</v>
      </c>
      <c r="D1775" s="165">
        <v>8</v>
      </c>
    </row>
    <row r="1776" spans="1:13">
      <c r="A1776" s="10"/>
      <c r="B1776" s="58">
        <v>46027</v>
      </c>
      <c r="C1776" s="166">
        <v>3</v>
      </c>
      <c r="D1776" s="167">
        <v>11</v>
      </c>
    </row>
    <row r="1777" spans="1:4">
      <c r="A1777" s="10"/>
      <c r="B1777" s="58">
        <v>46029</v>
      </c>
      <c r="C1777" s="166">
        <v>0</v>
      </c>
      <c r="D1777" s="167">
        <v>5</v>
      </c>
    </row>
    <row r="1778" spans="1:4">
      <c r="A1778" s="10"/>
      <c r="B1778" s="58">
        <v>46030</v>
      </c>
      <c r="C1778" s="166">
        <v>5</v>
      </c>
      <c r="D1778" s="167">
        <v>11</v>
      </c>
    </row>
    <row r="1779" spans="1:4">
      <c r="A1779" s="10"/>
      <c r="B1779" s="58">
        <v>46031</v>
      </c>
      <c r="C1779" s="166">
        <v>13</v>
      </c>
      <c r="D1779" s="167">
        <v>21</v>
      </c>
    </row>
    <row r="1780" spans="1:4">
      <c r="A1780" s="10"/>
      <c r="B1780" s="58">
        <v>46035</v>
      </c>
      <c r="C1780" s="166">
        <v>11</v>
      </c>
      <c r="D1780" s="167">
        <v>12</v>
      </c>
    </row>
    <row r="1781" spans="1:4">
      <c r="A1781" s="10"/>
      <c r="B1781" s="58">
        <v>46036</v>
      </c>
      <c r="C1781" s="166">
        <v>20</v>
      </c>
      <c r="D1781" s="167">
        <v>18</v>
      </c>
    </row>
    <row r="1782" spans="1:4">
      <c r="A1782" s="10"/>
      <c r="B1782" s="58">
        <v>46037</v>
      </c>
      <c r="C1782" s="166">
        <v>14</v>
      </c>
      <c r="D1782" s="167">
        <v>19</v>
      </c>
    </row>
    <row r="1783" spans="1:4">
      <c r="A1783" s="10"/>
      <c r="B1783" s="58">
        <v>46038</v>
      </c>
      <c r="C1783" s="166">
        <v>9</v>
      </c>
      <c r="D1783" s="167">
        <v>7</v>
      </c>
    </row>
    <row r="1784" spans="1:4">
      <c r="A1784" s="10"/>
      <c r="B1784" s="58">
        <v>46039</v>
      </c>
      <c r="C1784" s="166">
        <v>50</v>
      </c>
      <c r="D1784" s="167">
        <v>43</v>
      </c>
    </row>
    <row r="1785" spans="1:4">
      <c r="A1785" s="10"/>
      <c r="B1785" s="58">
        <v>46040</v>
      </c>
      <c r="C1785" s="166">
        <v>45</v>
      </c>
      <c r="D1785" s="167">
        <v>52</v>
      </c>
    </row>
    <row r="1786" spans="1:4">
      <c r="A1786" s="10"/>
      <c r="B1786" s="58">
        <v>46041</v>
      </c>
      <c r="C1786" s="166">
        <v>38</v>
      </c>
      <c r="D1786" s="167">
        <v>46</v>
      </c>
    </row>
    <row r="1787" spans="1:4">
      <c r="A1787" s="10"/>
      <c r="B1787" s="58">
        <v>46042</v>
      </c>
      <c r="C1787" s="166">
        <v>54</v>
      </c>
      <c r="D1787" s="167">
        <v>53</v>
      </c>
    </row>
    <row r="1788" spans="1:4">
      <c r="A1788" s="10"/>
      <c r="B1788" s="58">
        <v>46043</v>
      </c>
      <c r="C1788" s="166">
        <v>46</v>
      </c>
      <c r="D1788" s="167">
        <v>49</v>
      </c>
    </row>
    <row r="1789" spans="1:4">
      <c r="A1789" s="10"/>
      <c r="B1789" s="58">
        <v>46044</v>
      </c>
      <c r="C1789" s="166">
        <v>8</v>
      </c>
      <c r="D1789" s="167">
        <v>13</v>
      </c>
    </row>
    <row r="1790" spans="1:4">
      <c r="A1790" s="10"/>
      <c r="B1790" s="58">
        <v>46045</v>
      </c>
      <c r="C1790" s="166">
        <v>35</v>
      </c>
      <c r="D1790" s="167">
        <v>40</v>
      </c>
    </row>
    <row r="1791" spans="1:4">
      <c r="A1791" s="10"/>
      <c r="B1791" s="58">
        <v>46046</v>
      </c>
      <c r="C1791" s="166">
        <v>121</v>
      </c>
      <c r="D1791" s="167">
        <v>78</v>
      </c>
    </row>
    <row r="1792" spans="1:4">
      <c r="A1792" s="10"/>
      <c r="B1792" s="58">
        <v>46047</v>
      </c>
      <c r="C1792" s="166">
        <v>60</v>
      </c>
      <c r="D1792" s="167">
        <v>68</v>
      </c>
    </row>
    <row r="1793" spans="1:4">
      <c r="A1793" s="10"/>
      <c r="B1793" s="58">
        <v>46048</v>
      </c>
      <c r="C1793" s="166">
        <v>85</v>
      </c>
      <c r="D1793" s="167">
        <v>66</v>
      </c>
    </row>
    <row r="1794" spans="1:4">
      <c r="A1794" s="10"/>
      <c r="B1794" s="58">
        <v>46049</v>
      </c>
      <c r="C1794" s="166">
        <v>80</v>
      </c>
      <c r="D1794" s="167">
        <v>66</v>
      </c>
    </row>
    <row r="1795" spans="1:4">
      <c r="A1795" s="10"/>
      <c r="B1795" s="58">
        <v>46050</v>
      </c>
      <c r="C1795" s="166">
        <v>93</v>
      </c>
      <c r="D1795" s="167">
        <v>86</v>
      </c>
    </row>
    <row r="1796" spans="1:4">
      <c r="A1796" s="10"/>
      <c r="B1796" s="58">
        <v>46051</v>
      </c>
      <c r="C1796" s="166">
        <v>108</v>
      </c>
      <c r="D1796" s="167">
        <v>75</v>
      </c>
    </row>
    <row r="1797" spans="1:4">
      <c r="A1797" s="10"/>
      <c r="B1797" s="58">
        <v>46052</v>
      </c>
      <c r="C1797" s="166">
        <v>77</v>
      </c>
      <c r="D1797" s="167">
        <v>91</v>
      </c>
    </row>
    <row r="1798" spans="1:4">
      <c r="A1798" s="10"/>
      <c r="B1798" s="58">
        <v>46053</v>
      </c>
      <c r="C1798" s="166">
        <v>68</v>
      </c>
      <c r="D1798" s="167">
        <v>58</v>
      </c>
    </row>
    <row r="1799" spans="1:4">
      <c r="A1799" s="8" t="s">
        <v>3867</v>
      </c>
      <c r="B1799" s="60">
        <v>46054</v>
      </c>
      <c r="C1799" s="164">
        <v>39</v>
      </c>
      <c r="D1799" s="165">
        <v>40</v>
      </c>
    </row>
    <row r="1800" spans="1:4">
      <c r="A1800" s="10"/>
      <c r="B1800" s="58">
        <v>46055</v>
      </c>
      <c r="C1800" s="166">
        <v>45</v>
      </c>
      <c r="D1800" s="167">
        <v>29</v>
      </c>
    </row>
    <row r="1801" spans="1:4">
      <c r="A1801" s="10"/>
      <c r="B1801" s="58">
        <v>46056</v>
      </c>
      <c r="C1801" s="166">
        <v>55</v>
      </c>
      <c r="D1801" s="167">
        <v>59</v>
      </c>
    </row>
    <row r="1802" spans="1:4">
      <c r="A1802" s="10"/>
      <c r="B1802" s="58">
        <v>46057</v>
      </c>
      <c r="C1802" s="166">
        <v>93</v>
      </c>
      <c r="D1802" s="167">
        <v>70</v>
      </c>
    </row>
    <row r="1803" spans="1:4">
      <c r="A1803" s="10"/>
      <c r="B1803" s="58">
        <v>46058</v>
      </c>
      <c r="C1803" s="166">
        <v>58</v>
      </c>
      <c r="D1803" s="167">
        <v>65</v>
      </c>
    </row>
    <row r="1804" spans="1:4">
      <c r="A1804" s="10"/>
      <c r="B1804" s="58">
        <v>46059</v>
      </c>
      <c r="C1804" s="166">
        <v>107</v>
      </c>
      <c r="D1804" s="167">
        <v>80</v>
      </c>
    </row>
    <row r="1805" spans="1:4">
      <c r="A1805" s="10"/>
      <c r="B1805" s="58">
        <v>46060</v>
      </c>
      <c r="C1805" s="166">
        <v>28</v>
      </c>
      <c r="D1805" s="167">
        <v>40</v>
      </c>
    </row>
    <row r="1806" spans="1:4">
      <c r="A1806" s="10"/>
      <c r="B1806" s="58">
        <v>46061</v>
      </c>
      <c r="C1806" s="166">
        <v>22</v>
      </c>
      <c r="D1806" s="167">
        <v>15</v>
      </c>
    </row>
    <row r="1807" spans="1:4">
      <c r="A1807" s="10"/>
      <c r="B1807" s="58">
        <v>46062</v>
      </c>
      <c r="C1807" s="166">
        <v>57</v>
      </c>
      <c r="D1807" s="167">
        <v>43</v>
      </c>
    </row>
    <row r="1808" spans="1:4">
      <c r="A1808" s="10"/>
      <c r="B1808" s="58">
        <v>46063</v>
      </c>
      <c r="C1808" s="166">
        <v>84</v>
      </c>
      <c r="D1808" s="167">
        <v>71</v>
      </c>
    </row>
    <row r="1809" spans="1:4">
      <c r="A1809" s="10"/>
      <c r="B1809" s="58">
        <v>46064</v>
      </c>
      <c r="C1809" s="166">
        <v>117</v>
      </c>
      <c r="D1809" s="167">
        <v>96</v>
      </c>
    </row>
    <row r="1810" spans="1:4">
      <c r="A1810" s="10"/>
      <c r="B1810" s="58">
        <v>46065</v>
      </c>
      <c r="C1810" s="166">
        <v>85</v>
      </c>
      <c r="D1810" s="167">
        <v>99</v>
      </c>
    </row>
    <row r="1811" spans="1:4">
      <c r="A1811" s="10"/>
      <c r="B1811" s="58">
        <v>46066</v>
      </c>
      <c r="C1811" s="166">
        <v>77</v>
      </c>
      <c r="D1811" s="167">
        <v>43</v>
      </c>
    </row>
    <row r="1812" spans="1:4">
      <c r="A1812" s="10"/>
      <c r="B1812" s="58">
        <v>46067</v>
      </c>
      <c r="C1812" s="166">
        <v>110</v>
      </c>
      <c r="D1812" s="167">
        <v>112</v>
      </c>
    </row>
    <row r="1813" spans="1:4">
      <c r="A1813" s="10"/>
      <c r="B1813" s="58">
        <v>46068</v>
      </c>
      <c r="C1813" s="166">
        <v>65</v>
      </c>
      <c r="D1813" s="167">
        <v>65</v>
      </c>
    </row>
    <row r="1814" spans="1:4">
      <c r="A1814" s="10"/>
      <c r="B1814" s="58">
        <v>46069</v>
      </c>
      <c r="C1814" s="166">
        <v>63</v>
      </c>
      <c r="D1814" s="167">
        <v>60</v>
      </c>
    </row>
    <row r="1815" spans="1:4">
      <c r="A1815" s="10"/>
      <c r="B1815" s="58">
        <v>46070</v>
      </c>
      <c r="C1815" s="166">
        <v>81</v>
      </c>
      <c r="D1815" s="167">
        <v>76</v>
      </c>
    </row>
    <row r="1816" spans="1:4">
      <c r="A1816" s="10"/>
      <c r="B1816" s="58">
        <v>46071</v>
      </c>
      <c r="C1816" s="166">
        <v>119</v>
      </c>
      <c r="D1816" s="167">
        <v>84</v>
      </c>
    </row>
    <row r="1817" spans="1:4">
      <c r="A1817" s="10"/>
      <c r="B1817" s="58">
        <v>46072</v>
      </c>
      <c r="C1817" s="166">
        <v>68</v>
      </c>
      <c r="D1817" s="167">
        <v>51</v>
      </c>
    </row>
    <row r="1818" spans="1:4">
      <c r="A1818" s="10"/>
      <c r="B1818" s="58">
        <v>46073</v>
      </c>
      <c r="C1818" s="166">
        <v>121</v>
      </c>
      <c r="D1818" s="167">
        <v>103</v>
      </c>
    </row>
    <row r="1819" spans="1:4">
      <c r="A1819" s="10"/>
      <c r="B1819" s="58">
        <v>46074</v>
      </c>
      <c r="C1819" s="166">
        <v>98</v>
      </c>
      <c r="D1819" s="167">
        <v>84</v>
      </c>
    </row>
    <row r="1820" spans="1:4">
      <c r="A1820" s="10"/>
      <c r="B1820" s="58">
        <v>46075</v>
      </c>
      <c r="C1820" s="166">
        <v>90</v>
      </c>
      <c r="D1820" s="167">
        <v>72</v>
      </c>
    </row>
    <row r="1821" spans="1:4">
      <c r="A1821" s="10"/>
      <c r="B1821" s="58">
        <v>46076</v>
      </c>
      <c r="C1821" s="166">
        <v>83</v>
      </c>
      <c r="D1821" s="167">
        <v>67</v>
      </c>
    </row>
    <row r="1822" spans="1:4">
      <c r="A1822" s="10"/>
      <c r="B1822" s="58">
        <v>46077</v>
      </c>
      <c r="C1822" s="166">
        <v>132</v>
      </c>
      <c r="D1822" s="167">
        <v>134</v>
      </c>
    </row>
    <row r="1823" spans="1:4">
      <c r="A1823" s="10"/>
      <c r="B1823" s="58">
        <v>46078</v>
      </c>
      <c r="C1823" s="166">
        <v>128</v>
      </c>
      <c r="D1823" s="167">
        <v>89</v>
      </c>
    </row>
    <row r="1824" spans="1:4">
      <c r="A1824" s="10"/>
      <c r="B1824" s="58">
        <v>46079</v>
      </c>
      <c r="C1824" s="166">
        <v>60</v>
      </c>
      <c r="D1824" s="167">
        <v>49</v>
      </c>
    </row>
    <row r="1825" spans="1:4">
      <c r="A1825" s="10"/>
      <c r="B1825" s="58">
        <v>46080</v>
      </c>
      <c r="C1825" s="166">
        <v>56</v>
      </c>
      <c r="D1825" s="167">
        <v>39</v>
      </c>
    </row>
    <row r="1826" spans="1:4">
      <c r="A1826" s="10"/>
      <c r="B1826" s="58">
        <v>46081</v>
      </c>
      <c r="C1826" s="166">
        <v>96</v>
      </c>
      <c r="D1826" s="167">
        <v>89</v>
      </c>
    </row>
    <row r="1827" spans="1:4">
      <c r="A1827" s="8" t="s">
        <v>3868</v>
      </c>
      <c r="B1827" s="60">
        <v>46082</v>
      </c>
      <c r="C1827" s="164">
        <v>124</v>
      </c>
      <c r="D1827" s="165">
        <v>79</v>
      </c>
    </row>
    <row r="1828" spans="1:4">
      <c r="A1828" s="10"/>
      <c r="B1828" s="58">
        <v>46083</v>
      </c>
      <c r="C1828" s="166">
        <v>131</v>
      </c>
      <c r="D1828" s="167">
        <v>103</v>
      </c>
    </row>
    <row r="1829" spans="1:4">
      <c r="A1829" s="10"/>
      <c r="B1829" s="58">
        <v>46084</v>
      </c>
      <c r="C1829" s="166">
        <v>18</v>
      </c>
      <c r="D1829" s="167">
        <v>8</v>
      </c>
    </row>
    <row r="1830" spans="1:4">
      <c r="A1830" s="10"/>
      <c r="B1830" s="58">
        <v>46085</v>
      </c>
      <c r="C1830" s="166">
        <v>126</v>
      </c>
      <c r="D1830" s="167">
        <v>115</v>
      </c>
    </row>
    <row r="1831" spans="1:4">
      <c r="A1831" s="10"/>
      <c r="B1831" s="58">
        <v>46086</v>
      </c>
      <c r="C1831" s="166">
        <v>109</v>
      </c>
      <c r="D1831" s="167">
        <v>111</v>
      </c>
    </row>
    <row r="1832" spans="1:4">
      <c r="A1832" s="10"/>
      <c r="B1832" s="58">
        <v>46087</v>
      </c>
      <c r="C1832" s="166">
        <v>58</v>
      </c>
      <c r="D1832" s="167">
        <v>46</v>
      </c>
    </row>
    <row r="1833" spans="1:4">
      <c r="A1833" s="10"/>
      <c r="B1833" s="58">
        <v>46088</v>
      </c>
      <c r="C1833" s="166">
        <v>13</v>
      </c>
      <c r="D1833" s="167">
        <v>19</v>
      </c>
    </row>
    <row r="1834" spans="1:4">
      <c r="A1834" s="10"/>
      <c r="B1834" s="58">
        <v>46089</v>
      </c>
      <c r="C1834" s="166">
        <v>48</v>
      </c>
      <c r="D1834" s="167">
        <v>31</v>
      </c>
    </row>
    <row r="1835" spans="1:4">
      <c r="A1835" s="10"/>
      <c r="B1835" s="58">
        <v>46090</v>
      </c>
      <c r="C1835" s="166">
        <v>50</v>
      </c>
      <c r="D1835" s="167">
        <v>50</v>
      </c>
    </row>
    <row r="1836" spans="1:4">
      <c r="A1836" s="10"/>
      <c r="B1836" s="58">
        <v>46091</v>
      </c>
      <c r="C1836" s="166">
        <v>105</v>
      </c>
      <c r="D1836" s="167">
        <v>78</v>
      </c>
    </row>
    <row r="1837" spans="1:4">
      <c r="A1837" s="10"/>
      <c r="B1837" s="58">
        <v>46092</v>
      </c>
      <c r="C1837" s="166">
        <v>123</v>
      </c>
      <c r="D1837" s="167">
        <v>100</v>
      </c>
    </row>
    <row r="1838" spans="1:4">
      <c r="A1838" s="10"/>
      <c r="B1838" s="58">
        <v>46093</v>
      </c>
      <c r="C1838" s="166">
        <v>56</v>
      </c>
      <c r="D1838" s="167">
        <v>47</v>
      </c>
    </row>
    <row r="1839" spans="1:4">
      <c r="A1839" s="10"/>
      <c r="B1839" s="58">
        <v>46094</v>
      </c>
      <c r="C1839" s="166">
        <v>62</v>
      </c>
      <c r="D1839" s="167">
        <v>59</v>
      </c>
    </row>
    <row r="1840" spans="1:4">
      <c r="A1840" s="10"/>
      <c r="B1840" s="58">
        <v>46095</v>
      </c>
      <c r="C1840" s="166">
        <v>46</v>
      </c>
      <c r="D1840" s="167">
        <v>30</v>
      </c>
    </row>
    <row r="1841" spans="1:4">
      <c r="A1841" s="10"/>
      <c r="B1841" s="58">
        <v>46096</v>
      </c>
      <c r="C1841" s="166">
        <v>45</v>
      </c>
      <c r="D1841" s="167">
        <v>39</v>
      </c>
    </row>
    <row r="1842" spans="1:4">
      <c r="A1842" s="10"/>
      <c r="B1842" s="58">
        <v>46097</v>
      </c>
      <c r="C1842" s="166">
        <v>103</v>
      </c>
      <c r="D1842" s="167">
        <v>92</v>
      </c>
    </row>
    <row r="1843" spans="1:4">
      <c r="A1843" s="10"/>
      <c r="B1843" s="58">
        <v>46098</v>
      </c>
      <c r="C1843" s="166">
        <v>54</v>
      </c>
      <c r="D1843" s="167">
        <v>66</v>
      </c>
    </row>
    <row r="1844" spans="1:4">
      <c r="A1844" s="10"/>
      <c r="B1844" s="58">
        <v>46099</v>
      </c>
      <c r="C1844" s="166">
        <v>65</v>
      </c>
      <c r="D1844" s="167">
        <v>75</v>
      </c>
    </row>
    <row r="1845" spans="1:4">
      <c r="A1845" s="10"/>
      <c r="B1845" s="58">
        <v>46100</v>
      </c>
      <c r="C1845" s="166">
        <v>105</v>
      </c>
      <c r="D1845" s="167">
        <v>108</v>
      </c>
    </row>
    <row r="1846" spans="1:4">
      <c r="A1846" s="10"/>
      <c r="B1846" s="58">
        <v>46101</v>
      </c>
      <c r="C1846" s="166">
        <v>18</v>
      </c>
      <c r="D1846" s="167">
        <v>19</v>
      </c>
    </row>
    <row r="1847" spans="1:4">
      <c r="A1847" s="10"/>
      <c r="B1847" s="58">
        <v>46102</v>
      </c>
      <c r="C1847" s="166">
        <v>124</v>
      </c>
      <c r="D1847" s="167">
        <v>114</v>
      </c>
    </row>
    <row r="1848" spans="1:4">
      <c r="A1848" s="10"/>
      <c r="B1848" s="58">
        <v>46103</v>
      </c>
      <c r="C1848" s="166">
        <v>23</v>
      </c>
      <c r="D1848" s="167">
        <v>25</v>
      </c>
    </row>
    <row r="1849" spans="1:4">
      <c r="A1849" s="10"/>
      <c r="B1849" s="58">
        <v>46104</v>
      </c>
      <c r="C1849" s="166">
        <v>105</v>
      </c>
      <c r="D1849" s="167">
        <v>93</v>
      </c>
    </row>
    <row r="1850" spans="1:4">
      <c r="A1850" s="10"/>
      <c r="B1850" s="58">
        <v>46105</v>
      </c>
      <c r="C1850" s="166">
        <v>62</v>
      </c>
      <c r="D1850" s="167">
        <v>49</v>
      </c>
    </row>
    <row r="1851" spans="1:4">
      <c r="A1851" s="10"/>
      <c r="B1851" s="58">
        <v>46106</v>
      </c>
      <c r="C1851" s="166">
        <v>66</v>
      </c>
      <c r="D1851" s="167">
        <v>42</v>
      </c>
    </row>
    <row r="1852" spans="1:4">
      <c r="A1852" s="10"/>
      <c r="B1852" s="58">
        <v>46107</v>
      </c>
      <c r="C1852" s="166">
        <v>52</v>
      </c>
      <c r="D1852" s="167">
        <v>49</v>
      </c>
    </row>
    <row r="1853" spans="1:4">
      <c r="A1853" s="10"/>
      <c r="B1853" s="58">
        <v>46108</v>
      </c>
      <c r="C1853" s="166">
        <v>112</v>
      </c>
      <c r="D1853" s="167">
        <v>111</v>
      </c>
    </row>
    <row r="1854" spans="1:4">
      <c r="A1854" s="10"/>
      <c r="B1854" s="58">
        <v>46109</v>
      </c>
      <c r="C1854" s="166">
        <v>106</v>
      </c>
      <c r="D1854" s="167">
        <v>76</v>
      </c>
    </row>
    <row r="1855" spans="1:4">
      <c r="A1855" s="10"/>
      <c r="B1855" s="58">
        <v>46110</v>
      </c>
      <c r="C1855" s="166">
        <v>78</v>
      </c>
      <c r="D1855" s="167">
        <v>49</v>
      </c>
    </row>
    <row r="1856" spans="1:4">
      <c r="A1856" s="10"/>
      <c r="B1856" s="58">
        <v>46111</v>
      </c>
      <c r="C1856" s="166">
        <v>113</v>
      </c>
      <c r="D1856" s="167">
        <v>87</v>
      </c>
    </row>
    <row r="1857" spans="1:4">
      <c r="A1857" s="10"/>
      <c r="B1857" s="58">
        <v>46112</v>
      </c>
      <c r="C1857" s="166">
        <v>102</v>
      </c>
      <c r="D1857" s="167">
        <v>109</v>
      </c>
    </row>
    <row r="1858" spans="1:4">
      <c r="A1858" s="8" t="s">
        <v>3869</v>
      </c>
      <c r="B1858" s="60">
        <v>46113</v>
      </c>
      <c r="C1858" s="164">
        <v>153</v>
      </c>
      <c r="D1858" s="165">
        <v>129</v>
      </c>
    </row>
    <row r="1859" spans="1:4">
      <c r="A1859" s="10"/>
      <c r="B1859" s="58">
        <v>46114</v>
      </c>
      <c r="C1859" s="166">
        <v>146</v>
      </c>
      <c r="D1859" s="167">
        <v>166</v>
      </c>
    </row>
    <row r="1860" spans="1:4">
      <c r="A1860" s="10"/>
      <c r="B1860" s="58">
        <v>46115</v>
      </c>
      <c r="C1860" s="166">
        <v>68</v>
      </c>
      <c r="D1860" s="167">
        <v>50</v>
      </c>
    </row>
    <row r="1861" spans="1:4">
      <c r="A1861" s="10"/>
      <c r="B1861" s="58">
        <v>46116</v>
      </c>
      <c r="C1861" s="166">
        <v>133</v>
      </c>
      <c r="D1861" s="167">
        <v>101</v>
      </c>
    </row>
    <row r="1862" spans="1:4">
      <c r="A1862" s="10"/>
      <c r="B1862" s="58">
        <v>46117</v>
      </c>
      <c r="C1862" s="166">
        <v>76</v>
      </c>
      <c r="D1862" s="167">
        <v>84</v>
      </c>
    </row>
    <row r="1863" spans="1:4">
      <c r="A1863" s="10"/>
      <c r="B1863" s="58">
        <v>46118</v>
      </c>
      <c r="C1863" s="166">
        <v>142</v>
      </c>
      <c r="D1863" s="167">
        <v>104</v>
      </c>
    </row>
    <row r="1864" spans="1:4">
      <c r="A1864" s="10"/>
      <c r="B1864" s="58">
        <v>46119</v>
      </c>
      <c r="C1864" s="166">
        <v>100</v>
      </c>
      <c r="D1864" s="167">
        <v>102</v>
      </c>
    </row>
    <row r="1865" spans="1:4">
      <c r="A1865" s="10"/>
      <c r="B1865" s="58">
        <v>46120</v>
      </c>
      <c r="C1865" s="166">
        <v>74</v>
      </c>
      <c r="D1865" s="167">
        <v>65</v>
      </c>
    </row>
    <row r="1866" spans="1:4">
      <c r="A1866" s="10"/>
      <c r="B1866" s="58">
        <v>46121</v>
      </c>
      <c r="C1866" s="166">
        <v>28</v>
      </c>
      <c r="D1866" s="167">
        <v>28</v>
      </c>
    </row>
    <row r="1867" spans="1:4">
      <c r="A1867" s="10"/>
      <c r="B1867" s="58">
        <v>46122</v>
      </c>
      <c r="C1867" s="166">
        <v>32</v>
      </c>
      <c r="D1867" s="167">
        <v>24</v>
      </c>
    </row>
    <row r="1868" spans="1:4">
      <c r="A1868" s="10"/>
      <c r="B1868" s="58">
        <v>46123</v>
      </c>
      <c r="C1868" s="166">
        <v>94</v>
      </c>
      <c r="D1868" s="167">
        <v>69</v>
      </c>
    </row>
    <row r="1869" spans="1:4">
      <c r="A1869" s="10"/>
      <c r="B1869" s="58">
        <v>46124</v>
      </c>
      <c r="C1869" s="166">
        <v>99</v>
      </c>
      <c r="D1869" s="167">
        <v>87</v>
      </c>
    </row>
    <row r="1870" spans="1:4">
      <c r="A1870" s="10"/>
      <c r="B1870" s="58">
        <v>46125</v>
      </c>
      <c r="C1870" s="166">
        <v>72</v>
      </c>
      <c r="D1870" s="167">
        <v>66</v>
      </c>
    </row>
    <row r="1871" spans="1:4">
      <c r="A1871" s="10"/>
      <c r="B1871" s="58">
        <v>46126</v>
      </c>
      <c r="C1871" s="166">
        <v>133</v>
      </c>
      <c r="D1871" s="167">
        <v>120</v>
      </c>
    </row>
    <row r="1872" spans="1:4">
      <c r="A1872" s="10"/>
      <c r="B1872" s="58">
        <v>46127</v>
      </c>
      <c r="C1872" s="166">
        <v>81</v>
      </c>
      <c r="D1872" s="167">
        <v>66</v>
      </c>
    </row>
    <row r="1873" spans="1:4">
      <c r="A1873" s="10"/>
      <c r="B1873" s="58">
        <v>46128</v>
      </c>
      <c r="C1873" s="166">
        <v>153</v>
      </c>
      <c r="D1873" s="167">
        <v>125</v>
      </c>
    </row>
    <row r="1874" spans="1:4">
      <c r="A1874" s="10"/>
      <c r="B1874" s="58">
        <v>46129</v>
      </c>
      <c r="C1874" s="166">
        <v>51</v>
      </c>
      <c r="D1874" s="167">
        <v>62</v>
      </c>
    </row>
    <row r="1875" spans="1:4">
      <c r="A1875" s="10"/>
      <c r="B1875" s="58">
        <v>46130</v>
      </c>
      <c r="C1875" s="166">
        <v>32</v>
      </c>
      <c r="D1875" s="167">
        <v>23</v>
      </c>
    </row>
    <row r="1876" spans="1:4">
      <c r="A1876" s="10"/>
      <c r="B1876" s="58">
        <v>46131</v>
      </c>
      <c r="C1876" s="166">
        <v>104</v>
      </c>
      <c r="D1876" s="167">
        <v>94</v>
      </c>
    </row>
    <row r="1877" spans="1:4">
      <c r="A1877" s="10"/>
      <c r="B1877" s="58">
        <v>46132</v>
      </c>
      <c r="C1877" s="166">
        <v>153</v>
      </c>
      <c r="D1877" s="167">
        <v>131</v>
      </c>
    </row>
    <row r="1878" spans="1:4">
      <c r="A1878" s="10"/>
      <c r="B1878" s="58">
        <v>46133</v>
      </c>
      <c r="C1878" s="166">
        <v>109</v>
      </c>
      <c r="D1878" s="167">
        <v>92</v>
      </c>
    </row>
    <row r="1879" spans="1:4">
      <c r="A1879" s="10"/>
      <c r="B1879" s="58">
        <v>46134</v>
      </c>
      <c r="C1879" s="166">
        <v>40</v>
      </c>
      <c r="D1879" s="167">
        <v>30</v>
      </c>
    </row>
    <row r="1880" spans="1:4">
      <c r="A1880" s="10"/>
      <c r="B1880" s="58">
        <v>46135</v>
      </c>
      <c r="C1880" s="166">
        <v>124</v>
      </c>
      <c r="D1880" s="167">
        <v>109</v>
      </c>
    </row>
    <row r="1881" spans="1:4">
      <c r="A1881" s="10"/>
      <c r="B1881" s="58">
        <v>46136</v>
      </c>
      <c r="C1881" s="166">
        <v>93</v>
      </c>
      <c r="D1881" s="167">
        <v>75</v>
      </c>
    </row>
    <row r="1882" spans="1:4">
      <c r="A1882" s="10"/>
      <c r="B1882" s="58">
        <v>46137</v>
      </c>
      <c r="C1882" s="166">
        <v>66</v>
      </c>
      <c r="D1882" s="167">
        <v>50</v>
      </c>
    </row>
    <row r="1883" spans="1:4">
      <c r="A1883" s="10"/>
      <c r="B1883" s="58">
        <v>46138</v>
      </c>
      <c r="C1883" s="166">
        <v>101</v>
      </c>
      <c r="D1883" s="167">
        <v>92</v>
      </c>
    </row>
    <row r="1884" spans="1:4">
      <c r="A1884" s="10"/>
      <c r="B1884" s="58">
        <v>46139</v>
      </c>
      <c r="C1884" s="166">
        <v>84</v>
      </c>
      <c r="D1884" s="167">
        <v>93</v>
      </c>
    </row>
    <row r="1885" spans="1:4">
      <c r="A1885" s="10"/>
      <c r="B1885" s="58">
        <v>46140</v>
      </c>
      <c r="C1885" s="166">
        <v>53</v>
      </c>
      <c r="D1885" s="167">
        <v>44</v>
      </c>
    </row>
    <row r="1886" spans="1:4">
      <c r="A1886" s="10"/>
      <c r="B1886" s="58">
        <v>46141</v>
      </c>
      <c r="C1886" s="166">
        <v>67</v>
      </c>
      <c r="D1886" s="167">
        <v>66</v>
      </c>
    </row>
    <row r="1887" spans="1:4">
      <c r="A1887" s="10"/>
      <c r="B1887" s="58">
        <v>46142</v>
      </c>
      <c r="C1887" s="166">
        <v>97</v>
      </c>
      <c r="D1887" s="167">
        <v>88</v>
      </c>
    </row>
    <row r="1888" spans="1:4">
      <c r="A1888" s="8" t="s">
        <v>3159</v>
      </c>
      <c r="B1888" s="60">
        <v>46143</v>
      </c>
      <c r="C1888" s="164">
        <v>78</v>
      </c>
      <c r="D1888" s="165">
        <v>79</v>
      </c>
    </row>
    <row r="1889" spans="1:4">
      <c r="A1889" s="10"/>
      <c r="B1889" s="58">
        <v>46144</v>
      </c>
      <c r="C1889" s="166">
        <v>99</v>
      </c>
      <c r="D1889" s="167">
        <v>84</v>
      </c>
    </row>
    <row r="1890" spans="1:4">
      <c r="A1890" s="10"/>
      <c r="B1890" s="58">
        <v>46145</v>
      </c>
      <c r="C1890" s="166">
        <v>143</v>
      </c>
      <c r="D1890" s="167">
        <v>134</v>
      </c>
    </row>
    <row r="1891" spans="1:4">
      <c r="A1891" s="10"/>
      <c r="B1891" s="58">
        <v>46146</v>
      </c>
      <c r="C1891" s="166">
        <v>41</v>
      </c>
      <c r="D1891" s="167">
        <v>38</v>
      </c>
    </row>
    <row r="1892" spans="1:4">
      <c r="A1892" s="10"/>
      <c r="B1892" s="58">
        <v>46147</v>
      </c>
      <c r="C1892" s="166">
        <v>39</v>
      </c>
      <c r="D1892" s="167">
        <v>37</v>
      </c>
    </row>
    <row r="1893" spans="1:4">
      <c r="A1893" s="10"/>
      <c r="B1893" s="58">
        <v>46148</v>
      </c>
      <c r="C1893" s="166">
        <v>121</v>
      </c>
      <c r="D1893" s="167">
        <v>144</v>
      </c>
    </row>
    <row r="1894" spans="1:4">
      <c r="A1894" s="10"/>
      <c r="B1894" s="58">
        <v>46149</v>
      </c>
      <c r="C1894" s="166">
        <v>100</v>
      </c>
      <c r="D1894" s="167">
        <v>88</v>
      </c>
    </row>
    <row r="1895" spans="1:4">
      <c r="A1895" s="10"/>
      <c r="B1895" s="58">
        <v>46150</v>
      </c>
      <c r="C1895" s="166">
        <v>29</v>
      </c>
      <c r="D1895" s="167">
        <v>41</v>
      </c>
    </row>
    <row r="1896" spans="1:4">
      <c r="A1896" s="10"/>
      <c r="B1896" s="58">
        <v>46151</v>
      </c>
      <c r="C1896" s="166">
        <v>126</v>
      </c>
      <c r="D1896" s="167">
        <v>107</v>
      </c>
    </row>
    <row r="1897" spans="1:4">
      <c r="A1897" s="10"/>
      <c r="B1897" s="58">
        <v>46152</v>
      </c>
      <c r="C1897" s="166">
        <v>44</v>
      </c>
      <c r="D1897" s="167">
        <v>22</v>
      </c>
    </row>
    <row r="1898" spans="1:4">
      <c r="A1898" s="10"/>
      <c r="B1898" s="58">
        <v>46153</v>
      </c>
      <c r="C1898" s="166">
        <v>112</v>
      </c>
      <c r="D1898" s="167">
        <v>112</v>
      </c>
    </row>
    <row r="1899" spans="1:4">
      <c r="A1899" s="10"/>
      <c r="B1899" s="58">
        <v>46154</v>
      </c>
      <c r="C1899" s="166">
        <v>59</v>
      </c>
      <c r="D1899" s="167">
        <v>48</v>
      </c>
    </row>
    <row r="1900" spans="1:4">
      <c r="A1900" s="10"/>
      <c r="B1900" s="58">
        <v>46155</v>
      </c>
      <c r="C1900" s="166">
        <v>85</v>
      </c>
      <c r="D1900" s="167">
        <v>55</v>
      </c>
    </row>
    <row r="1901" spans="1:4">
      <c r="A1901" s="10"/>
      <c r="B1901" s="58">
        <v>46156</v>
      </c>
      <c r="C1901" s="166">
        <v>80</v>
      </c>
      <c r="D1901" s="167">
        <v>70</v>
      </c>
    </row>
    <row r="1902" spans="1:4">
      <c r="A1902" s="10"/>
      <c r="B1902" s="58">
        <v>46157</v>
      </c>
      <c r="C1902" s="166">
        <v>97</v>
      </c>
      <c r="D1902" s="167">
        <v>103</v>
      </c>
    </row>
    <row r="1903" spans="1:4">
      <c r="A1903" s="10"/>
      <c r="B1903" s="58">
        <v>46158</v>
      </c>
      <c r="C1903" s="166">
        <v>50</v>
      </c>
      <c r="D1903" s="167">
        <v>53</v>
      </c>
    </row>
    <row r="1904" spans="1:4">
      <c r="A1904" s="10"/>
      <c r="B1904" s="58">
        <v>46159</v>
      </c>
      <c r="C1904" s="166">
        <v>63</v>
      </c>
      <c r="D1904" s="167">
        <v>63</v>
      </c>
    </row>
    <row r="1905" spans="1:4">
      <c r="A1905" s="10"/>
      <c r="B1905" s="58">
        <v>46160</v>
      </c>
      <c r="C1905" s="166">
        <v>99</v>
      </c>
      <c r="D1905" s="167">
        <v>94</v>
      </c>
    </row>
    <row r="1906" spans="1:4">
      <c r="A1906" s="10"/>
      <c r="B1906" s="58">
        <v>46161</v>
      </c>
      <c r="C1906" s="166">
        <v>94</v>
      </c>
      <c r="D1906" s="167">
        <v>78</v>
      </c>
    </row>
    <row r="1907" spans="1:4">
      <c r="A1907" s="10"/>
      <c r="B1907" s="58">
        <v>46162</v>
      </c>
      <c r="C1907" s="166">
        <v>108</v>
      </c>
      <c r="D1907" s="167">
        <v>78</v>
      </c>
    </row>
    <row r="1908" spans="1:4">
      <c r="A1908" s="10"/>
      <c r="B1908" s="58">
        <v>46163</v>
      </c>
      <c r="C1908" s="166">
        <v>50</v>
      </c>
      <c r="D1908" s="167">
        <v>36</v>
      </c>
    </row>
    <row r="1909" spans="1:4">
      <c r="A1909" s="10"/>
      <c r="B1909" s="58">
        <v>46164</v>
      </c>
      <c r="C1909" s="166">
        <v>53</v>
      </c>
      <c r="D1909" s="167">
        <v>38</v>
      </c>
    </row>
    <row r="1910" spans="1:4">
      <c r="A1910" s="10"/>
      <c r="B1910" s="58">
        <v>46165</v>
      </c>
      <c r="C1910" s="166">
        <v>95</v>
      </c>
      <c r="D1910" s="167">
        <v>84</v>
      </c>
    </row>
    <row r="1911" spans="1:4">
      <c r="A1911" s="10"/>
      <c r="B1911" s="58">
        <v>46166</v>
      </c>
      <c r="C1911" s="166">
        <v>96</v>
      </c>
      <c r="D1911" s="167">
        <v>82</v>
      </c>
    </row>
    <row r="1912" spans="1:4">
      <c r="A1912" s="10"/>
      <c r="B1912" s="58">
        <v>46167</v>
      </c>
      <c r="C1912" s="166">
        <v>5</v>
      </c>
      <c r="D1912" s="167">
        <v>6</v>
      </c>
    </row>
    <row r="1913" spans="1:4">
      <c r="A1913" s="10"/>
      <c r="B1913" s="58">
        <v>46168</v>
      </c>
      <c r="C1913" s="166">
        <v>31</v>
      </c>
      <c r="D1913" s="167">
        <v>48</v>
      </c>
    </row>
    <row r="1914" spans="1:4">
      <c r="A1914" s="10"/>
      <c r="B1914" s="58">
        <v>46169</v>
      </c>
      <c r="C1914" s="166">
        <v>99</v>
      </c>
      <c r="D1914" s="167">
        <v>82</v>
      </c>
    </row>
    <row r="1915" spans="1:4">
      <c r="A1915" s="10"/>
      <c r="B1915" s="58">
        <v>46170</v>
      </c>
      <c r="C1915" s="166">
        <v>60</v>
      </c>
      <c r="D1915" s="167">
        <v>55</v>
      </c>
    </row>
    <row r="1916" spans="1:4">
      <c r="A1916" s="10"/>
      <c r="B1916" s="58">
        <v>46171</v>
      </c>
      <c r="C1916" s="166">
        <v>86</v>
      </c>
      <c r="D1916" s="167">
        <v>89</v>
      </c>
    </row>
    <row r="1917" spans="1:4">
      <c r="A1917" s="10"/>
      <c r="B1917" s="58">
        <v>46172</v>
      </c>
      <c r="C1917" s="166">
        <v>43</v>
      </c>
      <c r="D1917" s="167">
        <v>38</v>
      </c>
    </row>
    <row r="1918" spans="1:4">
      <c r="A1918" s="10"/>
      <c r="B1918" s="58">
        <v>46173</v>
      </c>
      <c r="C1918" s="166">
        <v>120</v>
      </c>
      <c r="D1918" s="167">
        <v>96</v>
      </c>
    </row>
    <row r="1919" spans="1:4">
      <c r="A1919" s="8" t="s">
        <v>3870</v>
      </c>
      <c r="B1919" s="60">
        <v>46174</v>
      </c>
      <c r="C1919" s="164">
        <v>96</v>
      </c>
      <c r="D1919" s="165">
        <v>71</v>
      </c>
    </row>
    <row r="1920" spans="1:4">
      <c r="A1920" s="10"/>
      <c r="B1920" s="58">
        <v>46175</v>
      </c>
      <c r="C1920" s="166">
        <v>71</v>
      </c>
      <c r="D1920" s="167">
        <v>38</v>
      </c>
    </row>
    <row r="1921" spans="1:4">
      <c r="A1921" s="10"/>
      <c r="B1921" s="58">
        <v>46176</v>
      </c>
      <c r="C1921" s="166">
        <v>74</v>
      </c>
      <c r="D1921" s="167">
        <v>57</v>
      </c>
    </row>
    <row r="1922" spans="1:4">
      <c r="A1922" s="10"/>
      <c r="B1922" s="58">
        <v>46177</v>
      </c>
      <c r="C1922" s="166">
        <v>55</v>
      </c>
      <c r="D1922" s="167">
        <v>54</v>
      </c>
    </row>
    <row r="1923" spans="1:4">
      <c r="A1923" s="10"/>
      <c r="B1923" s="58">
        <v>46178</v>
      </c>
      <c r="C1923" s="166">
        <v>124</v>
      </c>
      <c r="D1923" s="167">
        <v>109</v>
      </c>
    </row>
    <row r="1924" spans="1:4">
      <c r="A1924" s="10"/>
      <c r="B1924" s="58">
        <v>46179</v>
      </c>
      <c r="C1924" s="166">
        <v>124</v>
      </c>
      <c r="D1924" s="167">
        <v>99</v>
      </c>
    </row>
    <row r="1925" spans="1:4">
      <c r="A1925" s="10"/>
      <c r="B1925" s="58">
        <v>46180</v>
      </c>
      <c r="C1925" s="166">
        <v>186</v>
      </c>
      <c r="D1925" s="167">
        <v>136</v>
      </c>
    </row>
    <row r="1926" spans="1:4">
      <c r="A1926" s="10"/>
      <c r="B1926" s="58">
        <v>46181</v>
      </c>
      <c r="C1926" s="166">
        <v>35</v>
      </c>
      <c r="D1926" s="167">
        <v>22</v>
      </c>
    </row>
    <row r="1927" spans="1:4">
      <c r="A1927" s="10"/>
      <c r="B1927" s="58">
        <v>46182</v>
      </c>
      <c r="C1927" s="166">
        <v>129</v>
      </c>
      <c r="D1927" s="167">
        <v>115</v>
      </c>
    </row>
    <row r="1928" spans="1:4">
      <c r="A1928" s="10"/>
      <c r="B1928" s="58">
        <v>46183</v>
      </c>
      <c r="C1928" s="166">
        <v>238</v>
      </c>
      <c r="D1928" s="167">
        <v>201</v>
      </c>
    </row>
    <row r="1929" spans="1:4">
      <c r="A1929" s="10"/>
      <c r="B1929" s="58">
        <v>46184</v>
      </c>
      <c r="C1929" s="166">
        <v>49</v>
      </c>
      <c r="D1929" s="167">
        <v>52</v>
      </c>
    </row>
    <row r="1930" spans="1:4">
      <c r="A1930" s="10"/>
      <c r="B1930" s="58">
        <v>46185</v>
      </c>
      <c r="C1930" s="166">
        <v>84</v>
      </c>
      <c r="D1930" s="167">
        <v>93</v>
      </c>
    </row>
    <row r="1931" spans="1:4">
      <c r="A1931" s="10"/>
      <c r="B1931" s="58">
        <v>46186</v>
      </c>
      <c r="C1931" s="166">
        <v>109</v>
      </c>
      <c r="D1931" s="167">
        <v>94</v>
      </c>
    </row>
    <row r="1932" spans="1:4">
      <c r="A1932" s="10"/>
      <c r="B1932" s="58">
        <v>46187</v>
      </c>
      <c r="C1932" s="166">
        <v>59</v>
      </c>
      <c r="D1932" s="167">
        <v>32</v>
      </c>
    </row>
    <row r="1933" spans="1:4">
      <c r="A1933" s="10"/>
      <c r="B1933" s="58">
        <v>46188</v>
      </c>
      <c r="C1933" s="166">
        <v>75</v>
      </c>
      <c r="D1933" s="167">
        <v>54</v>
      </c>
    </row>
    <row r="1934" spans="1:4">
      <c r="A1934" s="10"/>
      <c r="B1934" s="58">
        <v>46189</v>
      </c>
      <c r="C1934" s="166">
        <v>99</v>
      </c>
      <c r="D1934" s="167">
        <v>74</v>
      </c>
    </row>
    <row r="1935" spans="1:4">
      <c r="A1935" s="10"/>
      <c r="B1935" s="58">
        <v>46190</v>
      </c>
      <c r="C1935" s="166">
        <v>85</v>
      </c>
      <c r="D1935" s="167">
        <v>68</v>
      </c>
    </row>
    <row r="1936" spans="1:4">
      <c r="A1936" s="10"/>
      <c r="B1936" s="58">
        <v>46191</v>
      </c>
      <c r="C1936" s="166">
        <v>150</v>
      </c>
      <c r="D1936" s="167">
        <v>139</v>
      </c>
    </row>
    <row r="1937" spans="1:4">
      <c r="A1937" s="10"/>
      <c r="B1937" s="58">
        <v>46192</v>
      </c>
      <c r="C1937" s="166">
        <v>84</v>
      </c>
      <c r="D1937" s="167">
        <v>76</v>
      </c>
    </row>
    <row r="1938" spans="1:4">
      <c r="A1938" s="10"/>
      <c r="B1938" s="58">
        <v>46193</v>
      </c>
      <c r="C1938" s="166">
        <v>118</v>
      </c>
      <c r="D1938" s="167">
        <v>110</v>
      </c>
    </row>
    <row r="1939" spans="1:4">
      <c r="A1939" s="10"/>
      <c r="B1939" s="58">
        <v>46194</v>
      </c>
      <c r="C1939" s="166">
        <v>54</v>
      </c>
      <c r="D1939" s="167">
        <v>59</v>
      </c>
    </row>
    <row r="1940" spans="1:4">
      <c r="A1940" s="10"/>
      <c r="B1940" s="58">
        <v>46195</v>
      </c>
      <c r="C1940" s="166">
        <v>81</v>
      </c>
      <c r="D1940" s="167">
        <v>72</v>
      </c>
    </row>
    <row r="1941" spans="1:4">
      <c r="A1941" s="10"/>
      <c r="B1941" s="58">
        <v>46196</v>
      </c>
      <c r="C1941" s="166">
        <v>161</v>
      </c>
      <c r="D1941" s="167">
        <v>128</v>
      </c>
    </row>
    <row r="1942" spans="1:4">
      <c r="A1942" s="10"/>
      <c r="B1942" s="58">
        <v>46197</v>
      </c>
      <c r="C1942" s="166">
        <v>103</v>
      </c>
      <c r="D1942" s="167">
        <v>72</v>
      </c>
    </row>
    <row r="1943" spans="1:4">
      <c r="A1943" s="10"/>
      <c r="B1943" s="58">
        <v>46198</v>
      </c>
      <c r="C1943" s="166">
        <v>29</v>
      </c>
      <c r="D1943" s="167">
        <v>21</v>
      </c>
    </row>
    <row r="1944" spans="1:4">
      <c r="A1944" s="10"/>
      <c r="B1944" s="58">
        <v>46199</v>
      </c>
      <c r="C1944" s="166">
        <v>56</v>
      </c>
      <c r="D1944" s="167">
        <v>79</v>
      </c>
    </row>
    <row r="1945" spans="1:4">
      <c r="A1945" s="10"/>
      <c r="B1945" s="58">
        <v>46200</v>
      </c>
      <c r="C1945" s="166">
        <v>147</v>
      </c>
      <c r="D1945" s="167">
        <v>114</v>
      </c>
    </row>
    <row r="1946" spans="1:4">
      <c r="A1946" s="10"/>
      <c r="B1946" s="58">
        <v>46201</v>
      </c>
      <c r="C1946" s="166">
        <v>162</v>
      </c>
      <c r="D1946" s="167">
        <v>159</v>
      </c>
    </row>
    <row r="1947" spans="1:4">
      <c r="A1947" s="10"/>
      <c r="B1947" s="58">
        <v>46202</v>
      </c>
      <c r="C1947" s="166">
        <v>69</v>
      </c>
      <c r="D1947" s="167">
        <v>76</v>
      </c>
    </row>
    <row r="1948" spans="1:4">
      <c r="A1948" s="10"/>
      <c r="B1948" s="58">
        <v>46203</v>
      </c>
      <c r="C1948" s="166">
        <v>68</v>
      </c>
      <c r="D1948" s="167">
        <v>51</v>
      </c>
    </row>
    <row r="1949" spans="1:4">
      <c r="A1949" s="8" t="s">
        <v>3871</v>
      </c>
      <c r="B1949" s="60">
        <v>46204</v>
      </c>
      <c r="C1949" s="164">
        <v>56</v>
      </c>
      <c r="D1949" s="165">
        <v>39</v>
      </c>
    </row>
    <row r="1950" spans="1:4">
      <c r="A1950" s="10"/>
      <c r="B1950" s="58">
        <v>46205</v>
      </c>
      <c r="C1950" s="166">
        <v>97</v>
      </c>
      <c r="D1950" s="167">
        <v>91</v>
      </c>
    </row>
    <row r="1951" spans="1:4">
      <c r="A1951" s="10"/>
      <c r="B1951" s="58">
        <v>46206</v>
      </c>
      <c r="C1951" s="166">
        <v>46</v>
      </c>
      <c r="D1951" s="167">
        <v>27</v>
      </c>
    </row>
    <row r="1952" spans="1:4">
      <c r="A1952" s="10"/>
      <c r="B1952" s="58">
        <v>46207</v>
      </c>
      <c r="C1952" s="166">
        <v>78</v>
      </c>
      <c r="D1952" s="167">
        <v>90</v>
      </c>
    </row>
    <row r="1953" spans="1:4">
      <c r="A1953" s="10"/>
      <c r="B1953" s="58">
        <v>46208</v>
      </c>
      <c r="C1953" s="166">
        <v>59</v>
      </c>
      <c r="D1953" s="167">
        <v>46</v>
      </c>
    </row>
    <row r="1954" spans="1:4">
      <c r="A1954" s="10"/>
      <c r="B1954" s="58">
        <v>46209</v>
      </c>
      <c r="C1954" s="166">
        <v>82</v>
      </c>
      <c r="D1954" s="167">
        <v>48</v>
      </c>
    </row>
    <row r="1955" spans="1:4">
      <c r="A1955" s="10"/>
      <c r="B1955" s="58">
        <v>46210</v>
      </c>
      <c r="C1955" s="166">
        <v>137</v>
      </c>
      <c r="D1955" s="167">
        <v>96</v>
      </c>
    </row>
    <row r="1956" spans="1:4">
      <c r="A1956" s="10"/>
      <c r="B1956" s="58">
        <v>46211</v>
      </c>
      <c r="C1956" s="166">
        <v>113</v>
      </c>
      <c r="D1956" s="167">
        <v>84</v>
      </c>
    </row>
    <row r="1957" spans="1:4">
      <c r="A1957" s="10"/>
      <c r="B1957" s="58">
        <v>46212</v>
      </c>
      <c r="C1957" s="166">
        <v>90</v>
      </c>
      <c r="D1957" s="167">
        <v>70</v>
      </c>
    </row>
    <row r="1958" spans="1:4">
      <c r="A1958" s="10"/>
      <c r="B1958" s="58">
        <v>46213</v>
      </c>
      <c r="C1958" s="166">
        <v>96</v>
      </c>
      <c r="D1958" s="167">
        <v>61</v>
      </c>
    </row>
    <row r="1959" spans="1:4">
      <c r="A1959" s="10"/>
      <c r="B1959" s="58">
        <v>46214</v>
      </c>
      <c r="C1959" s="166">
        <v>83</v>
      </c>
      <c r="D1959" s="167">
        <v>65</v>
      </c>
    </row>
    <row r="1960" spans="1:4">
      <c r="A1960" s="10"/>
      <c r="B1960" s="58">
        <v>46215</v>
      </c>
      <c r="C1960" s="166">
        <v>76</v>
      </c>
      <c r="D1960" s="167">
        <v>58</v>
      </c>
    </row>
    <row r="1961" spans="1:4">
      <c r="A1961" s="10"/>
      <c r="B1961" s="58">
        <v>46216</v>
      </c>
      <c r="C1961" s="166">
        <v>60</v>
      </c>
      <c r="D1961" s="167">
        <v>47</v>
      </c>
    </row>
    <row r="1962" spans="1:4">
      <c r="A1962" s="10"/>
      <c r="B1962" s="58">
        <v>46217</v>
      </c>
      <c r="C1962" s="166">
        <v>90</v>
      </c>
      <c r="D1962" s="167">
        <v>70</v>
      </c>
    </row>
    <row r="1963" spans="1:4">
      <c r="A1963" s="10"/>
      <c r="B1963" s="58">
        <v>46218</v>
      </c>
      <c r="C1963" s="166">
        <v>24</v>
      </c>
      <c r="D1963" s="167">
        <v>8</v>
      </c>
    </row>
    <row r="1964" spans="1:4">
      <c r="A1964" s="10"/>
      <c r="B1964" s="58">
        <v>46219</v>
      </c>
      <c r="C1964" s="166">
        <v>49</v>
      </c>
      <c r="D1964" s="167">
        <v>28</v>
      </c>
    </row>
    <row r="1965" spans="1:4">
      <c r="A1965" s="10"/>
      <c r="B1965" s="58">
        <v>46220</v>
      </c>
      <c r="C1965" s="166">
        <v>17</v>
      </c>
      <c r="D1965" s="167">
        <v>19</v>
      </c>
    </row>
    <row r="1966" spans="1:4">
      <c r="A1966" s="10"/>
      <c r="B1966" s="58">
        <v>46221</v>
      </c>
      <c r="C1966" s="166">
        <v>40</v>
      </c>
      <c r="D1966" s="167">
        <v>25</v>
      </c>
    </row>
    <row r="1967" spans="1:4">
      <c r="A1967" s="10"/>
      <c r="B1967" s="58">
        <v>46222</v>
      </c>
      <c r="C1967" s="166">
        <v>69</v>
      </c>
      <c r="D1967" s="167">
        <v>42</v>
      </c>
    </row>
    <row r="1968" spans="1:4">
      <c r="A1968" s="10"/>
      <c r="B1968" s="58">
        <v>46223</v>
      </c>
      <c r="C1968" s="166">
        <v>24</v>
      </c>
      <c r="D1968" s="167">
        <v>21</v>
      </c>
    </row>
    <row r="1969" spans="1:5">
      <c r="A1969" s="10"/>
      <c r="B1969" s="58">
        <v>46224</v>
      </c>
      <c r="C1969" s="166">
        <v>25</v>
      </c>
      <c r="D1969" s="167">
        <v>12</v>
      </c>
    </row>
    <row r="1970" spans="1:5">
      <c r="A1970" s="10"/>
      <c r="B1970" s="58">
        <v>46227</v>
      </c>
      <c r="C1970" s="166">
        <v>25</v>
      </c>
      <c r="D1970" s="167">
        <v>22</v>
      </c>
    </row>
    <row r="1971" spans="1:5">
      <c r="A1971" s="10"/>
      <c r="B1971" s="58">
        <v>46228</v>
      </c>
      <c r="C1971" s="166">
        <v>32</v>
      </c>
      <c r="D1971" s="167">
        <v>17</v>
      </c>
    </row>
    <row r="1972" spans="1:5">
      <c r="A1972" s="135"/>
      <c r="B1972" s="89">
        <v>46232</v>
      </c>
      <c r="C1972" s="183">
        <v>30</v>
      </c>
      <c r="D1972" s="184">
        <v>21</v>
      </c>
    </row>
    <row r="1973" spans="1:5">
      <c r="B1973"/>
      <c r="C1973"/>
      <c r="D1973"/>
    </row>
    <row r="1977" spans="1:5" ht="14.5" thickBot="1"/>
    <row r="1978" spans="1:5" ht="14.5" thickBot="1">
      <c r="A1978" s="109" t="s">
        <v>4</v>
      </c>
      <c r="B1978" s="108" t="s">
        <v>3200</v>
      </c>
      <c r="C1978" s="115" t="s">
        <v>3204</v>
      </c>
    </row>
    <row r="1979" spans="1:5">
      <c r="A1979" s="110" t="s">
        <v>33</v>
      </c>
      <c r="B1979" s="106">
        <v>0.4</v>
      </c>
      <c r="C1979" s="116" t="e">
        <f t="shared" ref="C1979:C1993" si="31">_xlfn.XLOOKUP($A1979,$B$1999:$B$2013,$C$1999:$C$2013)</f>
        <v>#N/A</v>
      </c>
    </row>
    <row r="1980" spans="1:5">
      <c r="A1980" s="110" t="s">
        <v>91</v>
      </c>
      <c r="B1980" s="106">
        <v>0.37704918032786883</v>
      </c>
      <c r="C1980" s="116" t="e">
        <f t="shared" si="31"/>
        <v>#N/A</v>
      </c>
    </row>
    <row r="1981" spans="1:5">
      <c r="A1981" s="110" t="s">
        <v>101</v>
      </c>
      <c r="B1981" s="106">
        <v>0.32894736842105265</v>
      </c>
      <c r="C1981" s="116" t="e">
        <f t="shared" si="31"/>
        <v>#N/A</v>
      </c>
      <c r="D1981" t="s">
        <v>3312</v>
      </c>
      <c r="E1981" s="134"/>
    </row>
    <row r="1982" spans="1:5">
      <c r="A1982" s="110" t="s">
        <v>257</v>
      </c>
      <c r="B1982" s="106">
        <v>0.30158730158730157</v>
      </c>
      <c r="C1982" s="116" t="e">
        <f t="shared" si="31"/>
        <v>#N/A</v>
      </c>
    </row>
    <row r="1983" spans="1:5">
      <c r="A1983" s="110" t="s">
        <v>236</v>
      </c>
      <c r="B1983" s="106">
        <v>0.28378378378378377</v>
      </c>
      <c r="C1983" s="116" t="e">
        <f t="shared" si="31"/>
        <v>#N/A</v>
      </c>
    </row>
    <row r="1984" spans="1:5">
      <c r="A1984" s="110" t="s">
        <v>119</v>
      </c>
      <c r="B1984" s="106">
        <v>0.27692307692307694</v>
      </c>
      <c r="C1984" s="116" t="e">
        <f t="shared" si="31"/>
        <v>#N/A</v>
      </c>
    </row>
    <row r="1985" spans="1:6">
      <c r="A1985" s="110" t="s">
        <v>244</v>
      </c>
      <c r="B1985" s="106">
        <v>0.25641025641025639</v>
      </c>
      <c r="C1985" s="116" t="e">
        <f t="shared" si="31"/>
        <v>#N/A</v>
      </c>
    </row>
    <row r="1986" spans="1:6">
      <c r="A1986" s="110" t="s">
        <v>466</v>
      </c>
      <c r="B1986" s="106">
        <v>0.25</v>
      </c>
      <c r="C1986" s="116" t="e">
        <f t="shared" si="31"/>
        <v>#N/A</v>
      </c>
    </row>
    <row r="1987" spans="1:6">
      <c r="A1987" s="110" t="s">
        <v>210</v>
      </c>
      <c r="B1987" s="106">
        <v>0.24637681159420291</v>
      </c>
      <c r="C1987" s="116" t="e">
        <f t="shared" si="31"/>
        <v>#N/A</v>
      </c>
    </row>
    <row r="1988" spans="1:6">
      <c r="A1988" s="110" t="s">
        <v>232</v>
      </c>
      <c r="B1988" s="106">
        <v>0.23880597014925373</v>
      </c>
      <c r="C1988" s="116" t="e">
        <f t="shared" si="31"/>
        <v>#N/A</v>
      </c>
    </row>
    <row r="1989" spans="1:6">
      <c r="A1989" s="110" t="s">
        <v>81</v>
      </c>
      <c r="B1989" s="106">
        <v>0.2361111111111111</v>
      </c>
      <c r="C1989" s="116" t="e">
        <f t="shared" si="31"/>
        <v>#N/A</v>
      </c>
    </row>
    <row r="1990" spans="1:6">
      <c r="A1990" s="110" t="s">
        <v>111</v>
      </c>
      <c r="B1990" s="106">
        <v>0.23376623376623376</v>
      </c>
      <c r="C1990" s="116" t="e">
        <f t="shared" si="31"/>
        <v>#N/A</v>
      </c>
    </row>
    <row r="1991" spans="1:6">
      <c r="A1991" s="110" t="s">
        <v>216</v>
      </c>
      <c r="B1991" s="106">
        <v>0.22388059701492538</v>
      </c>
      <c r="C1991" s="116" t="e">
        <f t="shared" si="31"/>
        <v>#N/A</v>
      </c>
    </row>
    <row r="1992" spans="1:6">
      <c r="A1992" s="110" t="s">
        <v>143</v>
      </c>
      <c r="B1992" s="106">
        <v>0.18867924528301888</v>
      </c>
      <c r="C1992" s="116" t="e">
        <f t="shared" si="31"/>
        <v>#N/A</v>
      </c>
    </row>
    <row r="1993" spans="1:6" ht="14.5" thickBot="1">
      <c r="A1993" s="111" t="s">
        <v>3082</v>
      </c>
      <c r="B1993" s="107">
        <v>0.1864406779661017</v>
      </c>
      <c r="C1993" s="117" t="e">
        <f t="shared" si="31"/>
        <v>#N/A</v>
      </c>
    </row>
    <row r="1998" spans="1:6">
      <c r="A1998" s="11" t="s">
        <v>3</v>
      </c>
      <c r="B1998" s="43" t="s">
        <v>4</v>
      </c>
      <c r="C1998" s="8" t="s">
        <v>3201</v>
      </c>
      <c r="D1998" s="21" t="s">
        <v>3187</v>
      </c>
      <c r="E1998" s="21" t="s">
        <v>3203</v>
      </c>
      <c r="F1998" s="15" t="s">
        <v>3202</v>
      </c>
    </row>
    <row r="1999" spans="1:6">
      <c r="A1999" s="8" t="s">
        <v>162</v>
      </c>
      <c r="B1999" s="8" t="s">
        <v>3847</v>
      </c>
      <c r="C1999" s="61">
        <v>3.0508474576271185</v>
      </c>
      <c r="D1999" s="113">
        <v>180</v>
      </c>
      <c r="E1999" s="113">
        <v>10.796610169491526</v>
      </c>
      <c r="F1999" s="165">
        <v>637</v>
      </c>
    </row>
    <row r="2000" spans="1:6">
      <c r="A2000" s="8" t="s">
        <v>209</v>
      </c>
      <c r="B2000" s="8" t="s">
        <v>3845</v>
      </c>
      <c r="C2000" s="61">
        <v>2.9855072463768115</v>
      </c>
      <c r="D2000" s="113">
        <v>206</v>
      </c>
      <c r="E2000" s="113">
        <v>13.144927536231885</v>
      </c>
      <c r="F2000" s="165">
        <v>907</v>
      </c>
    </row>
    <row r="2001" spans="1:6">
      <c r="A2001" s="8" t="s">
        <v>48</v>
      </c>
      <c r="B2001" s="8" t="s">
        <v>3836</v>
      </c>
      <c r="C2001" s="61">
        <v>2.955223880597015</v>
      </c>
      <c r="D2001" s="113">
        <v>198</v>
      </c>
      <c r="E2001" s="113">
        <v>16.955223880597014</v>
      </c>
      <c r="F2001" s="165">
        <v>1136</v>
      </c>
    </row>
    <row r="2002" spans="1:6">
      <c r="A2002" s="8" t="s">
        <v>69</v>
      </c>
      <c r="B2002" s="8" t="s">
        <v>3838</v>
      </c>
      <c r="C2002" s="61">
        <v>2.2857142857142856</v>
      </c>
      <c r="D2002" s="113">
        <v>176</v>
      </c>
      <c r="E2002" s="113">
        <v>13.207792207792208</v>
      </c>
      <c r="F2002" s="165">
        <v>1017</v>
      </c>
    </row>
    <row r="2003" spans="1:6">
      <c r="A2003" s="8" t="s">
        <v>80</v>
      </c>
      <c r="B2003" s="8" t="s">
        <v>3839</v>
      </c>
      <c r="C2003" s="61">
        <v>2.125</v>
      </c>
      <c r="D2003" s="113">
        <v>153</v>
      </c>
      <c r="E2003" s="113">
        <v>14.458333333333334</v>
      </c>
      <c r="F2003" s="165">
        <v>1041</v>
      </c>
    </row>
    <row r="2004" spans="1:6">
      <c r="A2004" s="8" t="s">
        <v>60</v>
      </c>
      <c r="B2004" s="8" t="s">
        <v>3837</v>
      </c>
      <c r="C2004" s="61">
        <v>2.0625</v>
      </c>
      <c r="D2004" s="113">
        <v>132</v>
      </c>
      <c r="E2004" s="113">
        <v>11.390625</v>
      </c>
      <c r="F2004" s="165">
        <v>729</v>
      </c>
    </row>
    <row r="2005" spans="1:6">
      <c r="A2005" s="8" t="s">
        <v>118</v>
      </c>
      <c r="B2005" s="8" t="s">
        <v>3842</v>
      </c>
      <c r="C2005" s="61">
        <v>2.0615384615384613</v>
      </c>
      <c r="D2005" s="113">
        <v>134</v>
      </c>
      <c r="E2005" s="113">
        <v>22.415384615384614</v>
      </c>
      <c r="F2005" s="165">
        <v>1457</v>
      </c>
    </row>
    <row r="2006" spans="1:6">
      <c r="A2006" s="8" t="s">
        <v>142</v>
      </c>
      <c r="B2006" s="8" t="s">
        <v>3843</v>
      </c>
      <c r="C2006" s="61">
        <v>2</v>
      </c>
      <c r="D2006" s="113">
        <v>106</v>
      </c>
      <c r="E2006" s="113">
        <v>20.30188679245283</v>
      </c>
      <c r="F2006" s="165">
        <v>1076</v>
      </c>
    </row>
    <row r="2007" spans="1:6">
      <c r="A2007" s="8" t="s">
        <v>100</v>
      </c>
      <c r="B2007" s="8" t="s">
        <v>3841</v>
      </c>
      <c r="C2007" s="61">
        <v>1.9342105263157894</v>
      </c>
      <c r="D2007" s="113">
        <v>147</v>
      </c>
      <c r="E2007" s="113">
        <v>15.421052631578947</v>
      </c>
      <c r="F2007" s="165">
        <v>1172</v>
      </c>
    </row>
    <row r="2008" spans="1:6">
      <c r="A2008" s="8" t="s">
        <v>90</v>
      </c>
      <c r="B2008" s="8" t="s">
        <v>3840</v>
      </c>
      <c r="C2008" s="61">
        <v>1.8688524590163935</v>
      </c>
      <c r="D2008" s="113">
        <v>114</v>
      </c>
      <c r="E2008" s="113">
        <v>18.688524590163933</v>
      </c>
      <c r="F2008" s="165">
        <v>1140</v>
      </c>
    </row>
    <row r="2009" spans="1:6">
      <c r="A2009" s="8" t="s">
        <v>151</v>
      </c>
      <c r="B2009" s="8" t="s">
        <v>3844</v>
      </c>
      <c r="C2009" s="61">
        <v>1.8205128205128205</v>
      </c>
      <c r="D2009" s="113">
        <v>142</v>
      </c>
      <c r="E2009" s="113">
        <v>9.0256410256410255</v>
      </c>
      <c r="F2009" s="165">
        <v>704</v>
      </c>
    </row>
    <row r="2010" spans="1:6">
      <c r="A2010" s="8" t="s">
        <v>215</v>
      </c>
      <c r="B2010" s="8" t="s">
        <v>3846</v>
      </c>
      <c r="C2010" s="61">
        <v>1.7761194029850746</v>
      </c>
      <c r="D2010" s="113">
        <v>119</v>
      </c>
      <c r="E2010" s="113">
        <v>10.388059701492537</v>
      </c>
      <c r="F2010" s="165">
        <v>696</v>
      </c>
    </row>
    <row r="2011" spans="1:6">
      <c r="A2011" s="8" t="s">
        <v>235</v>
      </c>
      <c r="B2011" s="8" t="s">
        <v>3848</v>
      </c>
      <c r="C2011" s="61">
        <v>1.472972972972973</v>
      </c>
      <c r="D2011" s="113">
        <v>109</v>
      </c>
      <c r="E2011" s="113">
        <v>18.04054054054054</v>
      </c>
      <c r="F2011" s="165">
        <v>1335</v>
      </c>
    </row>
    <row r="2012" spans="1:6">
      <c r="A2012" s="8" t="s">
        <v>256</v>
      </c>
      <c r="B2012" s="8" t="s">
        <v>3849</v>
      </c>
      <c r="C2012" s="61">
        <v>1.3650793650793651</v>
      </c>
      <c r="D2012" s="113">
        <v>86</v>
      </c>
      <c r="E2012" s="113">
        <v>17.19047619047619</v>
      </c>
      <c r="F2012" s="165">
        <v>1083</v>
      </c>
    </row>
    <row r="2013" spans="1:6">
      <c r="A2013" s="12" t="s">
        <v>32</v>
      </c>
      <c r="B2013" s="12" t="s">
        <v>3835</v>
      </c>
      <c r="C2013" s="112">
        <v>1.2181818181818183</v>
      </c>
      <c r="D2013" s="114">
        <v>67</v>
      </c>
      <c r="E2013" s="114">
        <v>21.581818181818182</v>
      </c>
      <c r="F2013" s="169">
        <v>1187</v>
      </c>
    </row>
    <row r="2014" spans="1:6">
      <c r="B2014"/>
      <c r="C2014"/>
    </row>
    <row r="2015" spans="1:6">
      <c r="B2015"/>
      <c r="C2015"/>
    </row>
    <row r="2016" spans="1:6">
      <c r="B2016"/>
      <c r="C2016"/>
    </row>
    <row r="2017" spans="2:3">
      <c r="B2017"/>
      <c r="C2017"/>
    </row>
    <row r="2018" spans="2:3">
      <c r="B2018"/>
      <c r="C2018"/>
    </row>
    <row r="2019" spans="2:3">
      <c r="B2019"/>
      <c r="C2019"/>
    </row>
    <row r="2020" spans="2:3">
      <c r="B2020"/>
      <c r="C2020"/>
    </row>
    <row r="2021" spans="2:3">
      <c r="B2021"/>
      <c r="C2021"/>
    </row>
    <row r="2022" spans="2:3">
      <c r="B2022"/>
      <c r="C2022"/>
    </row>
    <row r="2023" spans="2:3">
      <c r="B2023"/>
      <c r="C2023"/>
    </row>
    <row r="2024" spans="2:3">
      <c r="B2024"/>
      <c r="C2024"/>
    </row>
    <row r="2025" spans="2:3">
      <c r="B2025"/>
      <c r="C2025"/>
    </row>
    <row r="2026" spans="2:3">
      <c r="B2026"/>
      <c r="C2026"/>
    </row>
    <row r="2027" spans="2:3">
      <c r="B2027"/>
      <c r="C2027"/>
    </row>
    <row r="2028" spans="2:3">
      <c r="B2028"/>
      <c r="C2028"/>
    </row>
    <row r="2029" spans="2:3">
      <c r="B2029"/>
      <c r="C2029"/>
    </row>
    <row r="2030" spans="2:3">
      <c r="B2030"/>
      <c r="C2030"/>
    </row>
    <row r="2031" spans="2:3">
      <c r="B2031"/>
      <c r="C2031"/>
    </row>
    <row r="2032" spans="2:3">
      <c r="B2032"/>
      <c r="C2032"/>
    </row>
    <row r="2033" spans="2:3">
      <c r="B2033"/>
      <c r="C2033"/>
    </row>
    <row r="2034" spans="2:3">
      <c r="B2034"/>
      <c r="C2034"/>
    </row>
    <row r="2035" spans="2:3">
      <c r="B2035"/>
      <c r="C2035"/>
    </row>
    <row r="2036" spans="2:3">
      <c r="B2036"/>
      <c r="C2036"/>
    </row>
    <row r="2037" spans="2:3">
      <c r="B2037"/>
      <c r="C2037"/>
    </row>
    <row r="2038" spans="2:3">
      <c r="B2038"/>
      <c r="C2038"/>
    </row>
    <row r="2039" spans="2:3">
      <c r="B2039"/>
      <c r="C2039"/>
    </row>
    <row r="2040" spans="2:3">
      <c r="B2040"/>
      <c r="C2040"/>
    </row>
    <row r="2041" spans="2:3">
      <c r="B2041"/>
      <c r="C2041"/>
    </row>
    <row r="2042" spans="2:3">
      <c r="B2042"/>
      <c r="C2042"/>
    </row>
    <row r="2043" spans="2:3">
      <c r="B2043"/>
      <c r="C2043"/>
    </row>
    <row r="2044" spans="2:3">
      <c r="B2044"/>
      <c r="C2044"/>
    </row>
    <row r="2045" spans="2:3">
      <c r="B2045"/>
      <c r="C2045"/>
    </row>
    <row r="2046" spans="2:3">
      <c r="B2046"/>
      <c r="C2046"/>
    </row>
    <row r="2047" spans="2:3">
      <c r="B2047"/>
      <c r="C2047"/>
    </row>
    <row r="2048" spans="2:3">
      <c r="B2048"/>
      <c r="C2048"/>
    </row>
    <row r="2049" spans="2:3">
      <c r="B2049"/>
      <c r="C2049"/>
    </row>
    <row r="2050" spans="2:3">
      <c r="B2050"/>
      <c r="C2050"/>
    </row>
    <row r="2051" spans="2:3">
      <c r="B2051"/>
      <c r="C2051"/>
    </row>
    <row r="2052" spans="2:3">
      <c r="B2052"/>
      <c r="C2052"/>
    </row>
    <row r="2053" spans="2:3">
      <c r="B2053"/>
      <c r="C2053"/>
    </row>
    <row r="2054" spans="2:3">
      <c r="B2054"/>
      <c r="C2054"/>
    </row>
    <row r="2055" spans="2:3">
      <c r="B2055"/>
      <c r="C2055"/>
    </row>
    <row r="2056" spans="2:3">
      <c r="B2056"/>
      <c r="C2056"/>
    </row>
    <row r="2057" spans="2:3">
      <c r="B2057"/>
      <c r="C2057"/>
    </row>
    <row r="2058" spans="2:3">
      <c r="B2058"/>
      <c r="C2058"/>
    </row>
    <row r="2059" spans="2:3">
      <c r="B2059"/>
      <c r="C2059"/>
    </row>
    <row r="2060" spans="2:3">
      <c r="B2060"/>
      <c r="C2060"/>
    </row>
    <row r="2061" spans="2:3">
      <c r="B2061"/>
      <c r="C2061"/>
    </row>
    <row r="2062" spans="2:3">
      <c r="B2062"/>
      <c r="C2062"/>
    </row>
    <row r="2063" spans="2:3">
      <c r="B2063"/>
      <c r="C2063"/>
    </row>
    <row r="2064" spans="2:3">
      <c r="B2064"/>
      <c r="C2064"/>
    </row>
    <row r="2065" spans="2:3">
      <c r="B2065"/>
      <c r="C2065"/>
    </row>
    <row r="2066" spans="2:3">
      <c r="B2066"/>
      <c r="C2066"/>
    </row>
    <row r="2067" spans="2:3">
      <c r="B2067"/>
      <c r="C2067"/>
    </row>
    <row r="2068" spans="2:3">
      <c r="B2068"/>
      <c r="C2068"/>
    </row>
    <row r="2069" spans="2:3">
      <c r="B2069"/>
      <c r="C2069"/>
    </row>
    <row r="2070" spans="2:3">
      <c r="B2070"/>
      <c r="C2070"/>
    </row>
    <row r="2071" spans="2:3">
      <c r="B2071"/>
      <c r="C2071"/>
    </row>
    <row r="2072" spans="2:3">
      <c r="B2072"/>
      <c r="C2072"/>
    </row>
    <row r="2073" spans="2:3">
      <c r="B2073"/>
      <c r="C2073"/>
    </row>
    <row r="2074" spans="2:3">
      <c r="B2074"/>
      <c r="C2074"/>
    </row>
    <row r="2075" spans="2:3">
      <c r="B2075"/>
      <c r="C2075"/>
    </row>
    <row r="2076" spans="2:3">
      <c r="B2076"/>
      <c r="C2076"/>
    </row>
    <row r="2077" spans="2:3">
      <c r="B2077"/>
      <c r="C2077"/>
    </row>
    <row r="2078" spans="2:3">
      <c r="B2078"/>
      <c r="C2078"/>
    </row>
    <row r="2079" spans="2:3">
      <c r="B2079"/>
      <c r="C2079"/>
    </row>
    <row r="2080" spans="2:3">
      <c r="B2080"/>
      <c r="C2080"/>
    </row>
    <row r="2081" spans="2:3">
      <c r="B2081"/>
      <c r="C2081"/>
    </row>
    <row r="2082" spans="2:3">
      <c r="B2082"/>
      <c r="C2082"/>
    </row>
    <row r="2083" spans="2:3">
      <c r="B2083"/>
      <c r="C2083"/>
    </row>
    <row r="2084" spans="2:3">
      <c r="B2084"/>
      <c r="C2084"/>
    </row>
    <row r="2085" spans="2:3">
      <c r="B2085"/>
      <c r="C2085"/>
    </row>
    <row r="2086" spans="2:3">
      <c r="B2086"/>
      <c r="C2086"/>
    </row>
    <row r="2087" spans="2:3">
      <c r="B2087"/>
      <c r="C2087"/>
    </row>
    <row r="2088" spans="2:3">
      <c r="B2088"/>
      <c r="C2088"/>
    </row>
    <row r="2089" spans="2:3">
      <c r="B2089"/>
      <c r="C2089"/>
    </row>
    <row r="2090" spans="2:3">
      <c r="B2090"/>
      <c r="C2090"/>
    </row>
    <row r="2091" spans="2:3">
      <c r="B2091"/>
      <c r="C2091"/>
    </row>
    <row r="2092" spans="2:3">
      <c r="B2092"/>
      <c r="C2092"/>
    </row>
    <row r="2093" spans="2:3">
      <c r="B2093"/>
      <c r="C2093"/>
    </row>
    <row r="2094" spans="2:3">
      <c r="B2094"/>
      <c r="C2094"/>
    </row>
    <row r="2095" spans="2:3">
      <c r="B2095"/>
      <c r="C2095"/>
    </row>
    <row r="2096" spans="2:3">
      <c r="B2096"/>
      <c r="C2096"/>
    </row>
    <row r="2097" spans="2:3">
      <c r="B2097"/>
      <c r="C2097"/>
    </row>
    <row r="2098" spans="2:3">
      <c r="B2098"/>
      <c r="C2098"/>
    </row>
    <row r="2099" spans="2:3">
      <c r="B2099"/>
      <c r="C2099"/>
    </row>
    <row r="2100" spans="2:3">
      <c r="B2100"/>
      <c r="C2100"/>
    </row>
    <row r="2101" spans="2:3">
      <c r="B2101"/>
      <c r="C2101"/>
    </row>
    <row r="2102" spans="2:3">
      <c r="B2102"/>
      <c r="C2102"/>
    </row>
    <row r="2103" spans="2:3">
      <c r="B2103"/>
      <c r="C2103"/>
    </row>
    <row r="2104" spans="2:3">
      <c r="B2104"/>
      <c r="C2104"/>
    </row>
    <row r="2105" spans="2:3">
      <c r="B2105"/>
      <c r="C2105"/>
    </row>
    <row r="2106" spans="2:3">
      <c r="B2106"/>
      <c r="C2106"/>
    </row>
    <row r="2107" spans="2:3">
      <c r="B2107"/>
      <c r="C2107"/>
    </row>
    <row r="2108" spans="2:3">
      <c r="B2108"/>
      <c r="C2108"/>
    </row>
    <row r="2109" spans="2:3">
      <c r="B2109"/>
      <c r="C2109"/>
    </row>
    <row r="2110" spans="2:3">
      <c r="B2110"/>
      <c r="C2110"/>
    </row>
    <row r="2111" spans="2:3">
      <c r="B2111"/>
      <c r="C2111"/>
    </row>
    <row r="2112" spans="2:3">
      <c r="B2112"/>
      <c r="C2112"/>
    </row>
    <row r="2113" spans="2:3">
      <c r="B2113"/>
      <c r="C2113"/>
    </row>
    <row r="2114" spans="2:3">
      <c r="B2114"/>
      <c r="C2114"/>
    </row>
    <row r="2115" spans="2:3">
      <c r="B2115"/>
      <c r="C2115"/>
    </row>
    <row r="2116" spans="2:3">
      <c r="B2116"/>
      <c r="C2116"/>
    </row>
    <row r="2117" spans="2:3">
      <c r="B2117"/>
      <c r="C2117"/>
    </row>
    <row r="2118" spans="2:3">
      <c r="B2118"/>
      <c r="C2118"/>
    </row>
    <row r="2119" spans="2:3">
      <c r="B2119"/>
      <c r="C2119"/>
    </row>
    <row r="2120" spans="2:3">
      <c r="B2120"/>
      <c r="C2120"/>
    </row>
    <row r="2121" spans="2:3">
      <c r="B2121"/>
      <c r="C2121"/>
    </row>
    <row r="2122" spans="2:3">
      <c r="B2122"/>
      <c r="C2122"/>
    </row>
    <row r="2123" spans="2:3">
      <c r="B2123"/>
      <c r="C2123"/>
    </row>
    <row r="2124" spans="2:3">
      <c r="B2124"/>
      <c r="C2124"/>
    </row>
    <row r="2125" spans="2:3">
      <c r="B2125"/>
      <c r="C2125"/>
    </row>
    <row r="2126" spans="2:3">
      <c r="B2126"/>
      <c r="C2126"/>
    </row>
    <row r="2127" spans="2:3">
      <c r="B2127"/>
      <c r="C2127"/>
    </row>
    <row r="2128" spans="2:3">
      <c r="B2128"/>
      <c r="C2128"/>
    </row>
    <row r="2129" spans="2:3">
      <c r="B2129"/>
      <c r="C2129"/>
    </row>
    <row r="2130" spans="2:3">
      <c r="B2130"/>
      <c r="C2130"/>
    </row>
    <row r="2131" spans="2:3">
      <c r="B2131"/>
      <c r="C2131"/>
    </row>
    <row r="2132" spans="2:3">
      <c r="B2132"/>
      <c r="C2132"/>
    </row>
    <row r="2133" spans="2:3">
      <c r="B2133"/>
      <c r="C2133"/>
    </row>
    <row r="2134" spans="2:3">
      <c r="B2134"/>
      <c r="C2134"/>
    </row>
    <row r="2135" spans="2:3">
      <c r="B2135"/>
      <c r="C2135"/>
    </row>
    <row r="2136" spans="2:3">
      <c r="B2136"/>
      <c r="C2136"/>
    </row>
    <row r="2137" spans="2:3">
      <c r="B2137"/>
      <c r="C2137"/>
    </row>
    <row r="2138" spans="2:3">
      <c r="B2138"/>
      <c r="C2138"/>
    </row>
    <row r="2139" spans="2:3">
      <c r="B2139"/>
      <c r="C2139"/>
    </row>
    <row r="2140" spans="2:3">
      <c r="B2140"/>
      <c r="C2140"/>
    </row>
    <row r="2141" spans="2:3">
      <c r="B2141"/>
      <c r="C2141"/>
    </row>
    <row r="2142" spans="2:3">
      <c r="B2142"/>
      <c r="C2142"/>
    </row>
    <row r="2143" spans="2:3">
      <c r="B2143"/>
      <c r="C2143"/>
    </row>
    <row r="2144" spans="2:3">
      <c r="B2144"/>
      <c r="C2144"/>
    </row>
    <row r="2145" spans="2:3">
      <c r="B2145"/>
      <c r="C2145"/>
    </row>
    <row r="2146" spans="2:3">
      <c r="B2146"/>
      <c r="C2146"/>
    </row>
    <row r="2147" spans="2:3">
      <c r="B2147"/>
      <c r="C2147"/>
    </row>
    <row r="2148" spans="2:3">
      <c r="B2148"/>
      <c r="C2148"/>
    </row>
    <row r="2149" spans="2:3">
      <c r="B2149"/>
      <c r="C2149"/>
    </row>
    <row r="2150" spans="2:3">
      <c r="B2150"/>
      <c r="C2150"/>
    </row>
    <row r="2151" spans="2:3">
      <c r="B2151"/>
      <c r="C2151"/>
    </row>
    <row r="2152" spans="2:3">
      <c r="B2152"/>
      <c r="C2152"/>
    </row>
    <row r="2153" spans="2:3">
      <c r="B2153"/>
      <c r="C2153"/>
    </row>
    <row r="2154" spans="2:3">
      <c r="B2154"/>
      <c r="C2154"/>
    </row>
    <row r="2155" spans="2:3">
      <c r="B2155"/>
      <c r="C2155"/>
    </row>
    <row r="2156" spans="2:3">
      <c r="B2156"/>
      <c r="C2156"/>
    </row>
    <row r="2157" spans="2:3">
      <c r="B2157"/>
      <c r="C2157"/>
    </row>
    <row r="2158" spans="2:3">
      <c r="B2158"/>
      <c r="C2158"/>
    </row>
    <row r="2159" spans="2:3">
      <c r="B2159"/>
      <c r="C2159"/>
    </row>
    <row r="2160" spans="2:3">
      <c r="B2160"/>
      <c r="C2160"/>
    </row>
    <row r="2161" spans="2:3">
      <c r="B2161"/>
      <c r="C2161"/>
    </row>
    <row r="2162" spans="2:3">
      <c r="B2162"/>
      <c r="C2162"/>
    </row>
    <row r="2163" spans="2:3">
      <c r="B2163"/>
      <c r="C2163"/>
    </row>
    <row r="2164" spans="2:3">
      <c r="B2164"/>
      <c r="C2164"/>
    </row>
    <row r="2165" spans="2:3">
      <c r="B2165"/>
      <c r="C2165"/>
    </row>
    <row r="2166" spans="2:3">
      <c r="B2166"/>
      <c r="C2166"/>
    </row>
    <row r="2167" spans="2:3">
      <c r="B2167"/>
      <c r="C2167"/>
    </row>
    <row r="2168" spans="2:3">
      <c r="B2168"/>
      <c r="C2168"/>
    </row>
    <row r="2169" spans="2:3">
      <c r="B2169"/>
      <c r="C2169"/>
    </row>
    <row r="2170" spans="2:3">
      <c r="B2170"/>
      <c r="C2170"/>
    </row>
    <row r="2171" spans="2:3">
      <c r="B2171"/>
      <c r="C2171"/>
    </row>
    <row r="2172" spans="2:3">
      <c r="B2172"/>
      <c r="C2172"/>
    </row>
    <row r="2173" spans="2:3">
      <c r="B2173"/>
      <c r="C2173"/>
    </row>
    <row r="2174" spans="2:3">
      <c r="B2174"/>
      <c r="C2174"/>
    </row>
    <row r="2175" spans="2:3">
      <c r="B2175"/>
      <c r="C2175"/>
    </row>
    <row r="2176" spans="2:3">
      <c r="B2176"/>
      <c r="C2176"/>
    </row>
    <row r="2177" spans="2:3">
      <c r="B2177"/>
      <c r="C2177"/>
    </row>
    <row r="2178" spans="2:3">
      <c r="B2178"/>
      <c r="C2178"/>
    </row>
    <row r="2179" spans="2:3">
      <c r="B2179"/>
      <c r="C2179"/>
    </row>
    <row r="2180" spans="2:3">
      <c r="B2180"/>
      <c r="C2180"/>
    </row>
    <row r="2181" spans="2:3">
      <c r="B2181"/>
      <c r="C2181"/>
    </row>
    <row r="2182" spans="2:3">
      <c r="B2182"/>
      <c r="C2182"/>
    </row>
    <row r="2183" spans="2:3">
      <c r="B2183"/>
      <c r="C2183"/>
    </row>
    <row r="2184" spans="2:3">
      <c r="B2184"/>
      <c r="C2184"/>
    </row>
    <row r="2185" spans="2:3">
      <c r="B2185"/>
      <c r="C2185"/>
    </row>
    <row r="2186" spans="2:3">
      <c r="B2186"/>
      <c r="C2186"/>
    </row>
    <row r="2187" spans="2:3">
      <c r="B2187"/>
      <c r="C2187"/>
    </row>
    <row r="2188" spans="2:3">
      <c r="B2188"/>
      <c r="C2188"/>
    </row>
    <row r="2189" spans="2:3">
      <c r="B2189"/>
      <c r="C2189"/>
    </row>
    <row r="2190" spans="2:3">
      <c r="B2190"/>
      <c r="C2190"/>
    </row>
    <row r="2191" spans="2:3">
      <c r="B2191"/>
      <c r="C2191"/>
    </row>
    <row r="2192" spans="2:3">
      <c r="B2192"/>
      <c r="C2192"/>
    </row>
    <row r="2193" spans="1:3">
      <c r="B2193"/>
      <c r="C2193"/>
    </row>
    <row r="2194" spans="1:3">
      <c r="B2194"/>
      <c r="C2194"/>
    </row>
    <row r="2195" spans="1:3">
      <c r="B2195"/>
      <c r="C2195"/>
    </row>
    <row r="2196" spans="1:3">
      <c r="B2196"/>
      <c r="C2196"/>
    </row>
    <row r="2206" spans="1:3">
      <c r="A2206" s="137" t="s">
        <v>3236</v>
      </c>
    </row>
    <row r="2208" spans="1:3">
      <c r="A2208" s="11" t="s">
        <v>2</v>
      </c>
      <c r="B2208" s="39" t="s">
        <v>3187</v>
      </c>
      <c r="C2208"/>
    </row>
    <row r="2209" spans="1:3">
      <c r="A2209" s="60">
        <v>46025</v>
      </c>
      <c r="B2209" s="99">
        <v>-8</v>
      </c>
      <c r="C2209"/>
    </row>
    <row r="2210" spans="1:3">
      <c r="A2210" s="58">
        <v>46027</v>
      </c>
      <c r="B2210" s="100">
        <v>-8</v>
      </c>
      <c r="C2210"/>
    </row>
    <row r="2211" spans="1:3">
      <c r="A2211" s="58">
        <v>46029</v>
      </c>
      <c r="B2211" s="100">
        <v>-5</v>
      </c>
      <c r="C2211"/>
    </row>
    <row r="2212" spans="1:3">
      <c r="A2212" s="58">
        <v>46030</v>
      </c>
      <c r="B2212" s="100">
        <v>-6</v>
      </c>
      <c r="C2212"/>
    </row>
    <row r="2213" spans="1:3">
      <c r="A2213" s="58">
        <v>46031</v>
      </c>
      <c r="B2213" s="100">
        <v>-8</v>
      </c>
      <c r="C2213"/>
    </row>
    <row r="2214" spans="1:3">
      <c r="A2214" s="58">
        <v>46035</v>
      </c>
      <c r="B2214" s="100">
        <v>-1</v>
      </c>
      <c r="C2214"/>
    </row>
    <row r="2215" spans="1:3">
      <c r="A2215" s="58">
        <v>46036</v>
      </c>
      <c r="B2215" s="100">
        <v>2</v>
      </c>
      <c r="C2215"/>
    </row>
    <row r="2216" spans="1:3">
      <c r="A2216" s="58">
        <v>46037</v>
      </c>
      <c r="B2216" s="100">
        <v>-5</v>
      </c>
      <c r="C2216"/>
    </row>
    <row r="2217" spans="1:3">
      <c r="A2217" s="58">
        <v>46038</v>
      </c>
      <c r="B2217" s="100">
        <v>2</v>
      </c>
      <c r="C2217"/>
    </row>
    <row r="2218" spans="1:3">
      <c r="A2218" s="58">
        <v>46039</v>
      </c>
      <c r="B2218" s="100">
        <v>7</v>
      </c>
      <c r="C2218"/>
    </row>
    <row r="2219" spans="1:3">
      <c r="A2219" s="58">
        <v>46040</v>
      </c>
      <c r="B2219" s="100">
        <v>-7</v>
      </c>
      <c r="C2219"/>
    </row>
    <row r="2220" spans="1:3">
      <c r="A2220" s="58">
        <v>46041</v>
      </c>
      <c r="B2220" s="100">
        <v>-8</v>
      </c>
      <c r="C2220"/>
    </row>
    <row r="2221" spans="1:3">
      <c r="A2221" s="58">
        <v>46042</v>
      </c>
      <c r="B2221" s="100">
        <v>1</v>
      </c>
      <c r="C2221"/>
    </row>
    <row r="2222" spans="1:3">
      <c r="A2222" s="58">
        <v>46043</v>
      </c>
      <c r="B2222" s="100">
        <v>-3</v>
      </c>
      <c r="C2222"/>
    </row>
    <row r="2223" spans="1:3">
      <c r="A2223" s="58">
        <v>46044</v>
      </c>
      <c r="B2223" s="100">
        <v>-5</v>
      </c>
      <c r="C2223"/>
    </row>
    <row r="2224" spans="1:3">
      <c r="A2224" s="58">
        <v>46045</v>
      </c>
      <c r="B2224" s="100">
        <v>-5</v>
      </c>
      <c r="C2224"/>
    </row>
    <row r="2225" spans="1:3">
      <c r="A2225" s="58">
        <v>46046</v>
      </c>
      <c r="B2225" s="100">
        <v>43</v>
      </c>
      <c r="C2225"/>
    </row>
    <row r="2226" spans="1:3">
      <c r="A2226" s="58">
        <v>46047</v>
      </c>
      <c r="B2226" s="100">
        <v>-8</v>
      </c>
      <c r="C2226"/>
    </row>
    <row r="2227" spans="1:3">
      <c r="A2227" s="58">
        <v>46048</v>
      </c>
      <c r="B2227" s="100">
        <v>19</v>
      </c>
      <c r="C2227"/>
    </row>
    <row r="2228" spans="1:3">
      <c r="A2228" s="58">
        <v>46049</v>
      </c>
      <c r="B2228" s="100">
        <v>14</v>
      </c>
      <c r="C2228"/>
    </row>
    <row r="2229" spans="1:3">
      <c r="A2229" s="58">
        <v>46050</v>
      </c>
      <c r="B2229" s="100">
        <v>7</v>
      </c>
      <c r="C2229"/>
    </row>
    <row r="2230" spans="1:3">
      <c r="A2230" s="58">
        <v>46051</v>
      </c>
      <c r="B2230" s="100">
        <v>33</v>
      </c>
      <c r="C2230"/>
    </row>
    <row r="2231" spans="1:3">
      <c r="A2231" s="58">
        <v>46052</v>
      </c>
      <c r="B2231" s="100">
        <v>-14</v>
      </c>
      <c r="C2231"/>
    </row>
    <row r="2232" spans="1:3">
      <c r="A2232" s="58">
        <v>46053</v>
      </c>
      <c r="B2232" s="100">
        <v>10</v>
      </c>
      <c r="C2232"/>
    </row>
    <row r="2233" spans="1:3">
      <c r="A2233" s="58">
        <v>46054</v>
      </c>
      <c r="B2233" s="100">
        <v>-1</v>
      </c>
      <c r="C2233"/>
    </row>
    <row r="2234" spans="1:3">
      <c r="A2234" s="58">
        <v>46055</v>
      </c>
      <c r="B2234" s="100">
        <v>16</v>
      </c>
      <c r="C2234"/>
    </row>
    <row r="2235" spans="1:3">
      <c r="A2235" s="58">
        <v>46056</v>
      </c>
      <c r="B2235" s="100">
        <v>-4</v>
      </c>
      <c r="C2235"/>
    </row>
    <row r="2236" spans="1:3">
      <c r="A2236" s="58">
        <v>46057</v>
      </c>
      <c r="B2236" s="100">
        <v>23</v>
      </c>
      <c r="C2236"/>
    </row>
    <row r="2237" spans="1:3">
      <c r="A2237" s="58">
        <v>46058</v>
      </c>
      <c r="B2237" s="100">
        <v>-7</v>
      </c>
      <c r="C2237"/>
    </row>
    <row r="2238" spans="1:3">
      <c r="A2238" s="58">
        <v>46059</v>
      </c>
      <c r="B2238" s="100">
        <v>27</v>
      </c>
      <c r="C2238"/>
    </row>
    <row r="2239" spans="1:3">
      <c r="A2239" s="58">
        <v>46060</v>
      </c>
      <c r="B2239" s="100">
        <v>-12</v>
      </c>
      <c r="C2239"/>
    </row>
    <row r="2240" spans="1:3">
      <c r="A2240" s="58">
        <v>46061</v>
      </c>
      <c r="B2240" s="100">
        <v>7</v>
      </c>
      <c r="C2240"/>
    </row>
    <row r="2241" spans="1:3">
      <c r="A2241" s="58">
        <v>46062</v>
      </c>
      <c r="B2241" s="100">
        <v>14</v>
      </c>
      <c r="C2241"/>
    </row>
    <row r="2242" spans="1:3">
      <c r="A2242" s="58">
        <v>46063</v>
      </c>
      <c r="B2242" s="100">
        <v>13</v>
      </c>
      <c r="C2242"/>
    </row>
    <row r="2243" spans="1:3">
      <c r="A2243" s="58">
        <v>46064</v>
      </c>
      <c r="B2243" s="100">
        <v>21</v>
      </c>
      <c r="C2243"/>
    </row>
    <row r="2244" spans="1:3">
      <c r="A2244" s="58">
        <v>46065</v>
      </c>
      <c r="B2244" s="100">
        <v>-14</v>
      </c>
      <c r="C2244"/>
    </row>
    <row r="2245" spans="1:3">
      <c r="A2245" s="58">
        <v>46066</v>
      </c>
      <c r="B2245" s="100">
        <v>34</v>
      </c>
      <c r="C2245"/>
    </row>
    <row r="2246" spans="1:3">
      <c r="A2246" s="58">
        <v>46067</v>
      </c>
      <c r="B2246" s="100">
        <v>-2</v>
      </c>
      <c r="C2246"/>
    </row>
    <row r="2247" spans="1:3">
      <c r="A2247" s="58">
        <v>46068</v>
      </c>
      <c r="B2247" s="100">
        <v>0</v>
      </c>
      <c r="C2247"/>
    </row>
    <row r="2248" spans="1:3">
      <c r="A2248" s="58">
        <v>46069</v>
      </c>
      <c r="B2248" s="100">
        <v>3</v>
      </c>
      <c r="C2248"/>
    </row>
    <row r="2249" spans="1:3">
      <c r="A2249" s="58">
        <v>46070</v>
      </c>
      <c r="B2249" s="100">
        <v>5</v>
      </c>
      <c r="C2249"/>
    </row>
    <row r="2250" spans="1:3">
      <c r="A2250" s="58">
        <v>46071</v>
      </c>
      <c r="B2250" s="100">
        <v>35</v>
      </c>
      <c r="C2250"/>
    </row>
    <row r="2251" spans="1:3">
      <c r="A2251" s="58">
        <v>46072</v>
      </c>
      <c r="B2251" s="100">
        <v>17</v>
      </c>
      <c r="C2251"/>
    </row>
    <row r="2252" spans="1:3">
      <c r="A2252" s="58">
        <v>46073</v>
      </c>
      <c r="B2252" s="100">
        <v>18</v>
      </c>
      <c r="C2252"/>
    </row>
    <row r="2253" spans="1:3">
      <c r="A2253" s="58">
        <v>46074</v>
      </c>
      <c r="B2253" s="100">
        <v>14</v>
      </c>
      <c r="C2253"/>
    </row>
    <row r="2254" spans="1:3">
      <c r="A2254" s="58">
        <v>46075</v>
      </c>
      <c r="B2254" s="100">
        <v>18</v>
      </c>
      <c r="C2254"/>
    </row>
    <row r="2255" spans="1:3">
      <c r="A2255" s="58">
        <v>46076</v>
      </c>
      <c r="B2255" s="100">
        <v>16</v>
      </c>
      <c r="C2255"/>
    </row>
    <row r="2256" spans="1:3">
      <c r="A2256" s="58">
        <v>46077</v>
      </c>
      <c r="B2256" s="100">
        <v>-2</v>
      </c>
      <c r="C2256"/>
    </row>
    <row r="2257" spans="1:3">
      <c r="A2257" s="58">
        <v>46078</v>
      </c>
      <c r="B2257" s="100">
        <v>39</v>
      </c>
      <c r="C2257"/>
    </row>
    <row r="2258" spans="1:3">
      <c r="A2258" s="58">
        <v>46079</v>
      </c>
      <c r="B2258" s="100">
        <v>11</v>
      </c>
      <c r="C2258"/>
    </row>
    <row r="2259" spans="1:3">
      <c r="A2259" s="58">
        <v>46080</v>
      </c>
      <c r="B2259" s="100">
        <v>17</v>
      </c>
      <c r="C2259"/>
    </row>
    <row r="2260" spans="1:3">
      <c r="A2260" s="58">
        <v>46081</v>
      </c>
      <c r="B2260" s="100">
        <v>7</v>
      </c>
      <c r="C2260"/>
    </row>
    <row r="2261" spans="1:3">
      <c r="A2261" s="58">
        <v>46082</v>
      </c>
      <c r="B2261" s="100">
        <v>45</v>
      </c>
      <c r="C2261"/>
    </row>
    <row r="2262" spans="1:3">
      <c r="A2262" s="58">
        <v>46083</v>
      </c>
      <c r="B2262" s="100">
        <v>28</v>
      </c>
      <c r="C2262"/>
    </row>
    <row r="2263" spans="1:3">
      <c r="A2263" s="58">
        <v>46084</v>
      </c>
      <c r="B2263" s="100">
        <v>10</v>
      </c>
      <c r="C2263"/>
    </row>
    <row r="2264" spans="1:3">
      <c r="A2264" s="58">
        <v>46085</v>
      </c>
      <c r="B2264" s="100">
        <v>11</v>
      </c>
      <c r="C2264"/>
    </row>
    <row r="2265" spans="1:3">
      <c r="A2265" s="58">
        <v>46086</v>
      </c>
      <c r="B2265" s="100">
        <v>-2</v>
      </c>
      <c r="C2265"/>
    </row>
    <row r="2266" spans="1:3">
      <c r="A2266" s="58">
        <v>46087</v>
      </c>
      <c r="B2266" s="100">
        <v>12</v>
      </c>
      <c r="C2266"/>
    </row>
    <row r="2267" spans="1:3">
      <c r="A2267" s="58">
        <v>46088</v>
      </c>
      <c r="B2267" s="100">
        <v>-6</v>
      </c>
      <c r="C2267"/>
    </row>
    <row r="2268" spans="1:3">
      <c r="A2268" s="58">
        <v>46089</v>
      </c>
      <c r="B2268" s="100">
        <v>17</v>
      </c>
      <c r="C2268"/>
    </row>
    <row r="2269" spans="1:3">
      <c r="A2269" s="58">
        <v>46090</v>
      </c>
      <c r="B2269" s="100">
        <v>0</v>
      </c>
      <c r="C2269"/>
    </row>
    <row r="2270" spans="1:3">
      <c r="A2270" s="58">
        <v>46091</v>
      </c>
      <c r="B2270" s="100">
        <v>27</v>
      </c>
      <c r="C2270"/>
    </row>
    <row r="2271" spans="1:3">
      <c r="A2271" s="58">
        <v>46092</v>
      </c>
      <c r="B2271" s="100">
        <v>23</v>
      </c>
      <c r="C2271"/>
    </row>
    <row r="2272" spans="1:3">
      <c r="A2272" s="58">
        <v>46093</v>
      </c>
      <c r="B2272" s="100">
        <v>9</v>
      </c>
      <c r="C2272"/>
    </row>
    <row r="2273" spans="1:3">
      <c r="A2273" s="58">
        <v>46094</v>
      </c>
      <c r="B2273" s="100">
        <v>3</v>
      </c>
      <c r="C2273"/>
    </row>
    <row r="2274" spans="1:3">
      <c r="A2274" s="58">
        <v>46095</v>
      </c>
      <c r="B2274" s="100">
        <v>16</v>
      </c>
      <c r="C2274"/>
    </row>
    <row r="2275" spans="1:3">
      <c r="A2275" s="58">
        <v>46096</v>
      </c>
      <c r="B2275" s="100">
        <v>6</v>
      </c>
      <c r="C2275"/>
    </row>
    <row r="2276" spans="1:3">
      <c r="A2276" s="58">
        <v>46097</v>
      </c>
      <c r="B2276" s="100">
        <v>11</v>
      </c>
      <c r="C2276"/>
    </row>
    <row r="2277" spans="1:3">
      <c r="A2277" s="58">
        <v>46098</v>
      </c>
      <c r="B2277" s="100">
        <v>-12</v>
      </c>
      <c r="C2277"/>
    </row>
    <row r="2278" spans="1:3">
      <c r="A2278" s="58">
        <v>46099</v>
      </c>
      <c r="B2278" s="100">
        <v>-10</v>
      </c>
      <c r="C2278"/>
    </row>
    <row r="2279" spans="1:3">
      <c r="A2279" s="58">
        <v>46100</v>
      </c>
      <c r="B2279" s="100">
        <v>-3</v>
      </c>
      <c r="C2279"/>
    </row>
    <row r="2280" spans="1:3">
      <c r="A2280" s="58">
        <v>46101</v>
      </c>
      <c r="B2280" s="100">
        <v>-1</v>
      </c>
      <c r="C2280"/>
    </row>
    <row r="2281" spans="1:3">
      <c r="A2281" s="58">
        <v>46102</v>
      </c>
      <c r="B2281" s="100">
        <v>10</v>
      </c>
      <c r="C2281"/>
    </row>
    <row r="2282" spans="1:3">
      <c r="A2282" s="58">
        <v>46103</v>
      </c>
      <c r="B2282" s="100">
        <v>-2</v>
      </c>
      <c r="C2282"/>
    </row>
    <row r="2283" spans="1:3">
      <c r="A2283" s="58">
        <v>46104</v>
      </c>
      <c r="B2283" s="100">
        <v>12</v>
      </c>
      <c r="C2283"/>
    </row>
    <row r="2284" spans="1:3">
      <c r="A2284" s="58">
        <v>46105</v>
      </c>
      <c r="B2284" s="100">
        <v>13</v>
      </c>
      <c r="C2284"/>
    </row>
    <row r="2285" spans="1:3">
      <c r="A2285" s="58">
        <v>46106</v>
      </c>
      <c r="B2285" s="100">
        <v>24</v>
      </c>
      <c r="C2285"/>
    </row>
    <row r="2286" spans="1:3">
      <c r="A2286" s="58">
        <v>46107</v>
      </c>
      <c r="B2286" s="100">
        <v>3</v>
      </c>
      <c r="C2286"/>
    </row>
    <row r="2287" spans="1:3">
      <c r="A2287" s="58">
        <v>46108</v>
      </c>
      <c r="B2287" s="100">
        <v>1</v>
      </c>
      <c r="C2287"/>
    </row>
    <row r="2288" spans="1:3">
      <c r="A2288" s="58">
        <v>46109</v>
      </c>
      <c r="B2288" s="100">
        <v>30</v>
      </c>
      <c r="C2288"/>
    </row>
    <row r="2289" spans="1:3">
      <c r="A2289" s="58">
        <v>46110</v>
      </c>
      <c r="B2289" s="100">
        <v>29</v>
      </c>
      <c r="C2289"/>
    </row>
    <row r="2290" spans="1:3">
      <c r="A2290" s="58">
        <v>46111</v>
      </c>
      <c r="B2290" s="100">
        <v>26</v>
      </c>
      <c r="C2290"/>
    </row>
    <row r="2291" spans="1:3">
      <c r="A2291" s="58">
        <v>46112</v>
      </c>
      <c r="B2291" s="100">
        <v>-7</v>
      </c>
      <c r="C2291"/>
    </row>
    <row r="2292" spans="1:3">
      <c r="A2292" s="58">
        <v>46113</v>
      </c>
      <c r="B2292" s="100">
        <v>24</v>
      </c>
      <c r="C2292"/>
    </row>
    <row r="2293" spans="1:3">
      <c r="A2293" s="58">
        <v>46114</v>
      </c>
      <c r="B2293" s="100">
        <v>-20</v>
      </c>
      <c r="C2293"/>
    </row>
    <row r="2294" spans="1:3">
      <c r="A2294" s="58">
        <v>46115</v>
      </c>
      <c r="B2294" s="100">
        <v>18</v>
      </c>
      <c r="C2294"/>
    </row>
    <row r="2295" spans="1:3">
      <c r="A2295" s="58">
        <v>46116</v>
      </c>
      <c r="B2295" s="100">
        <v>32</v>
      </c>
      <c r="C2295"/>
    </row>
    <row r="2296" spans="1:3">
      <c r="A2296" s="58">
        <v>46117</v>
      </c>
      <c r="B2296" s="100">
        <v>-8</v>
      </c>
      <c r="C2296"/>
    </row>
    <row r="2297" spans="1:3">
      <c r="A2297" s="58">
        <v>46118</v>
      </c>
      <c r="B2297" s="100">
        <v>38</v>
      </c>
      <c r="C2297"/>
    </row>
    <row r="2298" spans="1:3">
      <c r="A2298" s="58">
        <v>46119</v>
      </c>
      <c r="B2298" s="100">
        <v>-2</v>
      </c>
      <c r="C2298"/>
    </row>
    <row r="2299" spans="1:3">
      <c r="A2299" s="58">
        <v>46120</v>
      </c>
      <c r="B2299" s="100">
        <v>9</v>
      </c>
      <c r="C2299"/>
    </row>
    <row r="2300" spans="1:3">
      <c r="A2300" s="58">
        <v>46121</v>
      </c>
      <c r="B2300" s="100">
        <v>0</v>
      </c>
      <c r="C2300"/>
    </row>
    <row r="2301" spans="1:3">
      <c r="A2301" s="58">
        <v>46122</v>
      </c>
      <c r="B2301" s="100">
        <v>8</v>
      </c>
      <c r="C2301"/>
    </row>
    <row r="2302" spans="1:3">
      <c r="A2302" s="58">
        <v>46123</v>
      </c>
      <c r="B2302" s="100">
        <v>25</v>
      </c>
      <c r="C2302"/>
    </row>
    <row r="2303" spans="1:3">
      <c r="A2303" s="58">
        <v>46124</v>
      </c>
      <c r="B2303" s="100">
        <v>12</v>
      </c>
      <c r="C2303"/>
    </row>
    <row r="2304" spans="1:3">
      <c r="A2304" s="58">
        <v>46125</v>
      </c>
      <c r="B2304" s="100">
        <v>6</v>
      </c>
      <c r="C2304"/>
    </row>
    <row r="2305" spans="1:3">
      <c r="A2305" s="58">
        <v>46126</v>
      </c>
      <c r="B2305" s="100">
        <v>13</v>
      </c>
      <c r="C2305"/>
    </row>
    <row r="2306" spans="1:3">
      <c r="A2306" s="58">
        <v>46127</v>
      </c>
      <c r="B2306" s="100">
        <v>15</v>
      </c>
      <c r="C2306"/>
    </row>
    <row r="2307" spans="1:3">
      <c r="A2307" s="58">
        <v>46128</v>
      </c>
      <c r="B2307" s="100">
        <v>28</v>
      </c>
      <c r="C2307"/>
    </row>
    <row r="2308" spans="1:3">
      <c r="A2308" s="58">
        <v>46129</v>
      </c>
      <c r="B2308" s="100">
        <v>-11</v>
      </c>
      <c r="C2308"/>
    </row>
    <row r="2309" spans="1:3">
      <c r="A2309" s="58">
        <v>46130</v>
      </c>
      <c r="B2309" s="100">
        <v>9</v>
      </c>
      <c r="C2309"/>
    </row>
    <row r="2310" spans="1:3">
      <c r="A2310" s="58">
        <v>46131</v>
      </c>
      <c r="B2310" s="100">
        <v>10</v>
      </c>
      <c r="C2310"/>
    </row>
    <row r="2311" spans="1:3">
      <c r="A2311" s="58">
        <v>46132</v>
      </c>
      <c r="B2311" s="100">
        <v>22</v>
      </c>
      <c r="C2311"/>
    </row>
    <row r="2312" spans="1:3">
      <c r="A2312" s="58">
        <v>46133</v>
      </c>
      <c r="B2312" s="100">
        <v>17</v>
      </c>
      <c r="C2312"/>
    </row>
    <row r="2313" spans="1:3">
      <c r="A2313" s="58">
        <v>46134</v>
      </c>
      <c r="B2313" s="100">
        <v>10</v>
      </c>
      <c r="C2313"/>
    </row>
    <row r="2314" spans="1:3">
      <c r="A2314" s="58">
        <v>46135</v>
      </c>
      <c r="B2314" s="100">
        <v>15</v>
      </c>
      <c r="C2314"/>
    </row>
    <row r="2315" spans="1:3">
      <c r="A2315" s="58">
        <v>46136</v>
      </c>
      <c r="B2315" s="100">
        <v>18</v>
      </c>
      <c r="C2315"/>
    </row>
    <row r="2316" spans="1:3">
      <c r="A2316" s="58">
        <v>46137</v>
      </c>
      <c r="B2316" s="100">
        <v>16</v>
      </c>
      <c r="C2316"/>
    </row>
    <row r="2317" spans="1:3">
      <c r="A2317" s="58">
        <v>46138</v>
      </c>
      <c r="B2317" s="100">
        <v>9</v>
      </c>
      <c r="C2317"/>
    </row>
    <row r="2318" spans="1:3">
      <c r="A2318" s="58">
        <v>46139</v>
      </c>
      <c r="B2318" s="100">
        <v>-9</v>
      </c>
      <c r="C2318"/>
    </row>
    <row r="2319" spans="1:3">
      <c r="A2319" s="58">
        <v>46140</v>
      </c>
      <c r="B2319" s="100">
        <v>9</v>
      </c>
      <c r="C2319"/>
    </row>
    <row r="2320" spans="1:3">
      <c r="A2320" s="58">
        <v>46141</v>
      </c>
      <c r="B2320" s="100">
        <v>1</v>
      </c>
      <c r="C2320"/>
    </row>
    <row r="2321" spans="1:3">
      <c r="A2321" s="58">
        <v>46142</v>
      </c>
      <c r="B2321" s="100">
        <v>9</v>
      </c>
      <c r="C2321"/>
    </row>
    <row r="2322" spans="1:3">
      <c r="A2322" s="58">
        <v>46143</v>
      </c>
      <c r="B2322" s="100">
        <v>-1</v>
      </c>
      <c r="C2322"/>
    </row>
    <row r="2323" spans="1:3">
      <c r="A2323" s="58">
        <v>46144</v>
      </c>
      <c r="B2323" s="100">
        <v>15</v>
      </c>
      <c r="C2323"/>
    </row>
    <row r="2324" spans="1:3">
      <c r="A2324" s="58">
        <v>46145</v>
      </c>
      <c r="B2324" s="100">
        <v>9</v>
      </c>
      <c r="C2324"/>
    </row>
    <row r="2325" spans="1:3">
      <c r="A2325" s="58">
        <v>46146</v>
      </c>
      <c r="B2325" s="100">
        <v>3</v>
      </c>
      <c r="C2325"/>
    </row>
    <row r="2326" spans="1:3">
      <c r="A2326" s="58">
        <v>46147</v>
      </c>
      <c r="B2326" s="100">
        <v>2</v>
      </c>
      <c r="C2326"/>
    </row>
    <row r="2327" spans="1:3">
      <c r="A2327" s="58">
        <v>46148</v>
      </c>
      <c r="B2327" s="100">
        <v>-23</v>
      </c>
      <c r="C2327"/>
    </row>
    <row r="2328" spans="1:3">
      <c r="A2328" s="58">
        <v>46149</v>
      </c>
      <c r="B2328" s="100">
        <v>12</v>
      </c>
      <c r="C2328"/>
    </row>
    <row r="2329" spans="1:3">
      <c r="A2329" s="58">
        <v>46150</v>
      </c>
      <c r="B2329" s="100">
        <v>-12</v>
      </c>
      <c r="C2329"/>
    </row>
    <row r="2330" spans="1:3">
      <c r="A2330" s="58">
        <v>46151</v>
      </c>
      <c r="B2330" s="100">
        <v>19</v>
      </c>
      <c r="C2330"/>
    </row>
    <row r="2331" spans="1:3">
      <c r="A2331" s="58">
        <v>46152</v>
      </c>
      <c r="B2331" s="100">
        <v>22</v>
      </c>
      <c r="C2331"/>
    </row>
    <row r="2332" spans="1:3">
      <c r="A2332" s="58">
        <v>46153</v>
      </c>
      <c r="B2332" s="100">
        <v>0</v>
      </c>
      <c r="C2332"/>
    </row>
    <row r="2333" spans="1:3">
      <c r="A2333" s="58">
        <v>46154</v>
      </c>
      <c r="B2333" s="100">
        <v>11</v>
      </c>
      <c r="C2333"/>
    </row>
    <row r="2334" spans="1:3">
      <c r="A2334" s="58">
        <v>46155</v>
      </c>
      <c r="B2334" s="100">
        <v>30</v>
      </c>
      <c r="C2334"/>
    </row>
    <row r="2335" spans="1:3">
      <c r="A2335" s="58">
        <v>46156</v>
      </c>
      <c r="B2335" s="100">
        <v>10</v>
      </c>
      <c r="C2335"/>
    </row>
    <row r="2336" spans="1:3">
      <c r="A2336" s="58">
        <v>46157</v>
      </c>
      <c r="B2336" s="100">
        <v>-6</v>
      </c>
      <c r="C2336"/>
    </row>
    <row r="2337" spans="1:3">
      <c r="A2337" s="58">
        <v>46158</v>
      </c>
      <c r="B2337" s="100">
        <v>-3</v>
      </c>
      <c r="C2337"/>
    </row>
    <row r="2338" spans="1:3">
      <c r="A2338" s="58">
        <v>46159</v>
      </c>
      <c r="B2338" s="100">
        <v>0</v>
      </c>
      <c r="C2338"/>
    </row>
    <row r="2339" spans="1:3">
      <c r="A2339" s="58">
        <v>46160</v>
      </c>
      <c r="B2339" s="100">
        <v>5</v>
      </c>
      <c r="C2339"/>
    </row>
    <row r="2340" spans="1:3">
      <c r="A2340" s="58">
        <v>46161</v>
      </c>
      <c r="B2340" s="100">
        <v>16</v>
      </c>
      <c r="C2340"/>
    </row>
    <row r="2341" spans="1:3">
      <c r="A2341" s="58">
        <v>46162</v>
      </c>
      <c r="B2341" s="100">
        <v>30</v>
      </c>
      <c r="C2341"/>
    </row>
    <row r="2342" spans="1:3">
      <c r="A2342" s="58">
        <v>46163</v>
      </c>
      <c r="B2342" s="100">
        <v>14</v>
      </c>
      <c r="C2342"/>
    </row>
    <row r="2343" spans="1:3">
      <c r="A2343" s="58">
        <v>46164</v>
      </c>
      <c r="B2343" s="100">
        <v>15</v>
      </c>
      <c r="C2343"/>
    </row>
    <row r="2344" spans="1:3">
      <c r="A2344" s="58">
        <v>46165</v>
      </c>
      <c r="B2344" s="100">
        <v>11</v>
      </c>
      <c r="C2344"/>
    </row>
    <row r="2345" spans="1:3">
      <c r="A2345" s="58">
        <v>46166</v>
      </c>
      <c r="B2345" s="100">
        <v>14</v>
      </c>
      <c r="C2345"/>
    </row>
    <row r="2346" spans="1:3">
      <c r="A2346" s="58">
        <v>46167</v>
      </c>
      <c r="B2346" s="100">
        <v>-1</v>
      </c>
      <c r="C2346"/>
    </row>
    <row r="2347" spans="1:3">
      <c r="A2347" s="58">
        <v>46168</v>
      </c>
      <c r="B2347" s="100">
        <v>-17</v>
      </c>
      <c r="C2347"/>
    </row>
    <row r="2348" spans="1:3">
      <c r="A2348" s="58">
        <v>46169</v>
      </c>
      <c r="B2348" s="100">
        <v>17</v>
      </c>
      <c r="C2348"/>
    </row>
    <row r="2349" spans="1:3">
      <c r="A2349" s="58">
        <v>46170</v>
      </c>
      <c r="B2349" s="100">
        <v>5</v>
      </c>
      <c r="C2349"/>
    </row>
    <row r="2350" spans="1:3">
      <c r="A2350" s="58">
        <v>46171</v>
      </c>
      <c r="B2350" s="100">
        <v>-3</v>
      </c>
      <c r="C2350"/>
    </row>
    <row r="2351" spans="1:3">
      <c r="A2351" s="58">
        <v>46172</v>
      </c>
      <c r="B2351" s="100">
        <v>5</v>
      </c>
      <c r="C2351"/>
    </row>
    <row r="2352" spans="1:3">
      <c r="A2352" s="58">
        <v>46173</v>
      </c>
      <c r="B2352" s="100">
        <v>24</v>
      </c>
      <c r="C2352"/>
    </row>
    <row r="2353" spans="1:3">
      <c r="A2353" s="58">
        <v>46174</v>
      </c>
      <c r="B2353" s="100">
        <v>25</v>
      </c>
      <c r="C2353"/>
    </row>
    <row r="2354" spans="1:3">
      <c r="A2354" s="58">
        <v>46175</v>
      </c>
      <c r="B2354" s="100">
        <v>33</v>
      </c>
      <c r="C2354"/>
    </row>
    <row r="2355" spans="1:3">
      <c r="A2355" s="58">
        <v>46176</v>
      </c>
      <c r="B2355" s="100">
        <v>17</v>
      </c>
      <c r="C2355"/>
    </row>
    <row r="2356" spans="1:3">
      <c r="A2356" s="58">
        <v>46177</v>
      </c>
      <c r="B2356" s="100">
        <v>1</v>
      </c>
      <c r="C2356"/>
    </row>
    <row r="2357" spans="1:3">
      <c r="A2357" s="58">
        <v>46178</v>
      </c>
      <c r="B2357" s="100">
        <v>15</v>
      </c>
      <c r="C2357"/>
    </row>
    <row r="2358" spans="1:3">
      <c r="A2358" s="58">
        <v>46179</v>
      </c>
      <c r="B2358" s="100">
        <v>25</v>
      </c>
      <c r="C2358"/>
    </row>
    <row r="2359" spans="1:3">
      <c r="A2359" s="58">
        <v>46180</v>
      </c>
      <c r="B2359" s="100">
        <v>50</v>
      </c>
      <c r="C2359"/>
    </row>
    <row r="2360" spans="1:3">
      <c r="A2360" s="58">
        <v>46181</v>
      </c>
      <c r="B2360" s="100">
        <v>13</v>
      </c>
      <c r="C2360"/>
    </row>
    <row r="2361" spans="1:3">
      <c r="A2361" s="58">
        <v>46182</v>
      </c>
      <c r="B2361" s="100">
        <v>14</v>
      </c>
      <c r="C2361"/>
    </row>
    <row r="2362" spans="1:3">
      <c r="A2362" s="58">
        <v>46183</v>
      </c>
      <c r="B2362" s="100">
        <v>37</v>
      </c>
      <c r="C2362"/>
    </row>
    <row r="2363" spans="1:3">
      <c r="A2363" s="58">
        <v>46184</v>
      </c>
      <c r="B2363" s="100">
        <v>-3</v>
      </c>
      <c r="C2363"/>
    </row>
    <row r="2364" spans="1:3">
      <c r="A2364" s="58">
        <v>46185</v>
      </c>
      <c r="B2364" s="100">
        <v>-9</v>
      </c>
      <c r="C2364"/>
    </row>
    <row r="2365" spans="1:3">
      <c r="A2365" s="58">
        <v>46186</v>
      </c>
      <c r="B2365" s="100">
        <v>15</v>
      </c>
      <c r="C2365"/>
    </row>
    <row r="2366" spans="1:3">
      <c r="A2366" s="58">
        <v>46187</v>
      </c>
      <c r="B2366" s="100">
        <v>27</v>
      </c>
      <c r="C2366"/>
    </row>
    <row r="2367" spans="1:3">
      <c r="A2367" s="58">
        <v>46188</v>
      </c>
      <c r="B2367" s="100">
        <v>21</v>
      </c>
      <c r="C2367"/>
    </row>
    <row r="2368" spans="1:3">
      <c r="A2368" s="58">
        <v>46189</v>
      </c>
      <c r="B2368" s="100">
        <v>25</v>
      </c>
      <c r="C2368"/>
    </row>
    <row r="2369" spans="1:3">
      <c r="A2369" s="58">
        <v>46190</v>
      </c>
      <c r="B2369" s="100">
        <v>17</v>
      </c>
      <c r="C2369"/>
    </row>
    <row r="2370" spans="1:3">
      <c r="A2370" s="58">
        <v>46191</v>
      </c>
      <c r="B2370" s="100">
        <v>11</v>
      </c>
      <c r="C2370"/>
    </row>
    <row r="2371" spans="1:3">
      <c r="A2371" s="58">
        <v>46192</v>
      </c>
      <c r="B2371" s="100">
        <v>8</v>
      </c>
      <c r="C2371"/>
    </row>
    <row r="2372" spans="1:3">
      <c r="A2372" s="58">
        <v>46193</v>
      </c>
      <c r="B2372" s="100">
        <v>8</v>
      </c>
      <c r="C2372"/>
    </row>
    <row r="2373" spans="1:3">
      <c r="A2373" s="58">
        <v>46194</v>
      </c>
      <c r="B2373" s="100">
        <v>-5</v>
      </c>
      <c r="C2373"/>
    </row>
    <row r="2374" spans="1:3">
      <c r="A2374" s="58">
        <v>46195</v>
      </c>
      <c r="B2374" s="100">
        <v>9</v>
      </c>
      <c r="C2374"/>
    </row>
    <row r="2375" spans="1:3">
      <c r="A2375" s="58">
        <v>46196</v>
      </c>
      <c r="B2375" s="100">
        <v>33</v>
      </c>
      <c r="C2375"/>
    </row>
    <row r="2376" spans="1:3">
      <c r="A2376" s="58">
        <v>46197</v>
      </c>
      <c r="B2376" s="100">
        <v>31</v>
      </c>
      <c r="C2376"/>
    </row>
    <row r="2377" spans="1:3">
      <c r="A2377" s="58">
        <v>46198</v>
      </c>
      <c r="B2377" s="100">
        <v>8</v>
      </c>
      <c r="C2377"/>
    </row>
    <row r="2378" spans="1:3">
      <c r="A2378" s="58">
        <v>46199</v>
      </c>
      <c r="B2378" s="100">
        <v>-23</v>
      </c>
      <c r="C2378"/>
    </row>
    <row r="2379" spans="1:3">
      <c r="A2379" s="58">
        <v>46200</v>
      </c>
      <c r="B2379" s="100">
        <v>33</v>
      </c>
      <c r="C2379"/>
    </row>
    <row r="2380" spans="1:3">
      <c r="A2380" s="58">
        <v>46201</v>
      </c>
      <c r="B2380" s="100">
        <v>3</v>
      </c>
      <c r="C2380"/>
    </row>
    <row r="2381" spans="1:3">
      <c r="A2381" s="58">
        <v>46202</v>
      </c>
      <c r="B2381" s="100">
        <v>-7</v>
      </c>
      <c r="C2381"/>
    </row>
    <row r="2382" spans="1:3">
      <c r="A2382" s="58">
        <v>46203</v>
      </c>
      <c r="B2382" s="100">
        <v>17</v>
      </c>
      <c r="C2382"/>
    </row>
    <row r="2383" spans="1:3">
      <c r="A2383" s="58">
        <v>46204</v>
      </c>
      <c r="B2383" s="100">
        <v>17</v>
      </c>
      <c r="C2383"/>
    </row>
    <row r="2384" spans="1:3">
      <c r="A2384" s="58">
        <v>46205</v>
      </c>
      <c r="B2384" s="100">
        <v>6</v>
      </c>
      <c r="C2384"/>
    </row>
    <row r="2385" spans="1:3">
      <c r="A2385" s="58">
        <v>46206</v>
      </c>
      <c r="B2385" s="100">
        <v>19</v>
      </c>
      <c r="C2385"/>
    </row>
    <row r="2386" spans="1:3">
      <c r="A2386" s="58">
        <v>46207</v>
      </c>
      <c r="B2386" s="100">
        <v>-12</v>
      </c>
      <c r="C2386"/>
    </row>
    <row r="2387" spans="1:3">
      <c r="A2387" s="58">
        <v>46208</v>
      </c>
      <c r="B2387" s="100">
        <v>13</v>
      </c>
      <c r="C2387"/>
    </row>
    <row r="2388" spans="1:3">
      <c r="A2388" s="58">
        <v>46209</v>
      </c>
      <c r="B2388" s="100">
        <v>34</v>
      </c>
      <c r="C2388"/>
    </row>
    <row r="2389" spans="1:3">
      <c r="A2389" s="58">
        <v>46210</v>
      </c>
      <c r="B2389" s="100">
        <v>41</v>
      </c>
      <c r="C2389"/>
    </row>
    <row r="2390" spans="1:3">
      <c r="A2390" s="58">
        <v>46211</v>
      </c>
      <c r="B2390" s="100">
        <v>29</v>
      </c>
      <c r="C2390"/>
    </row>
    <row r="2391" spans="1:3">
      <c r="A2391" s="58">
        <v>46212</v>
      </c>
      <c r="B2391" s="100">
        <v>20</v>
      </c>
      <c r="C2391"/>
    </row>
    <row r="2392" spans="1:3">
      <c r="A2392" s="58">
        <v>46213</v>
      </c>
      <c r="B2392" s="100">
        <v>35</v>
      </c>
      <c r="C2392"/>
    </row>
    <row r="2393" spans="1:3">
      <c r="A2393" s="58">
        <v>46214</v>
      </c>
      <c r="B2393" s="100">
        <v>18</v>
      </c>
      <c r="C2393"/>
    </row>
    <row r="2394" spans="1:3">
      <c r="A2394" s="58">
        <v>46215</v>
      </c>
      <c r="B2394" s="100">
        <v>18</v>
      </c>
      <c r="C2394"/>
    </row>
    <row r="2395" spans="1:3">
      <c r="A2395" s="58">
        <v>46216</v>
      </c>
      <c r="B2395" s="100">
        <v>13</v>
      </c>
      <c r="C2395"/>
    </row>
    <row r="2396" spans="1:3">
      <c r="A2396" s="58">
        <v>46217</v>
      </c>
      <c r="B2396" s="100">
        <v>20</v>
      </c>
      <c r="C2396"/>
    </row>
    <row r="2397" spans="1:3">
      <c r="A2397" s="58">
        <v>46218</v>
      </c>
      <c r="B2397" s="100">
        <v>16</v>
      </c>
      <c r="C2397"/>
    </row>
    <row r="2398" spans="1:3">
      <c r="A2398" s="58">
        <v>46219</v>
      </c>
      <c r="B2398" s="100">
        <v>21</v>
      </c>
      <c r="C2398"/>
    </row>
    <row r="2399" spans="1:3">
      <c r="A2399" s="58">
        <v>46220</v>
      </c>
      <c r="B2399" s="100">
        <v>-2</v>
      </c>
      <c r="C2399"/>
    </row>
    <row r="2400" spans="1:3">
      <c r="A2400" s="58">
        <v>46221</v>
      </c>
      <c r="B2400" s="100">
        <v>15</v>
      </c>
      <c r="C2400"/>
    </row>
    <row r="2401" spans="1:3">
      <c r="A2401" s="58">
        <v>46222</v>
      </c>
      <c r="B2401" s="100">
        <v>27</v>
      </c>
      <c r="C2401"/>
    </row>
    <row r="2402" spans="1:3">
      <c r="A2402" s="58">
        <v>46223</v>
      </c>
      <c r="B2402" s="100">
        <v>3</v>
      </c>
      <c r="C2402"/>
    </row>
    <row r="2403" spans="1:3">
      <c r="A2403" s="58">
        <v>46224</v>
      </c>
      <c r="B2403" s="100">
        <v>13</v>
      </c>
      <c r="C2403"/>
    </row>
    <row r="2404" spans="1:3">
      <c r="A2404" s="58">
        <v>46227</v>
      </c>
      <c r="B2404" s="100">
        <v>3</v>
      </c>
      <c r="C2404"/>
    </row>
    <row r="2405" spans="1:3">
      <c r="A2405" s="58">
        <v>46228</v>
      </c>
      <c r="B2405" s="100">
        <v>15</v>
      </c>
      <c r="C2405"/>
    </row>
    <row r="2406" spans="1:3">
      <c r="A2406" s="89">
        <v>46232</v>
      </c>
      <c r="B2406" s="101">
        <v>9</v>
      </c>
      <c r="C2406"/>
    </row>
    <row r="2424" customFormat="1"/>
    <row r="2425" customFormat="1"/>
    <row r="2426" customFormat="1"/>
    <row r="2427" customFormat="1"/>
    <row r="2428" customFormat="1"/>
    <row r="2429" customFormat="1"/>
    <row r="2430" customFormat="1"/>
    <row r="2431" customFormat="1"/>
    <row r="2432" customFormat="1"/>
    <row r="2433" customFormat="1"/>
    <row r="2434" customFormat="1"/>
    <row r="2435" customFormat="1"/>
    <row r="2436" customFormat="1"/>
    <row r="2437" customFormat="1"/>
    <row r="2438" customFormat="1"/>
    <row r="2439" customFormat="1"/>
    <row r="2440" customFormat="1"/>
    <row r="2441" customFormat="1"/>
    <row r="2442" customFormat="1"/>
    <row r="2443" customFormat="1"/>
    <row r="2444" customFormat="1"/>
    <row r="2445" customFormat="1"/>
    <row r="2446" customFormat="1"/>
    <row r="2447" customFormat="1"/>
    <row r="2448" customFormat="1"/>
    <row r="2449" customFormat="1"/>
    <row r="2450" customFormat="1"/>
    <row r="2451" customFormat="1"/>
    <row r="2452" customFormat="1"/>
    <row r="2453" customFormat="1"/>
    <row r="2454" customFormat="1"/>
    <row r="2455" customFormat="1"/>
    <row r="2456" customFormat="1"/>
    <row r="2457" customFormat="1"/>
    <row r="2458" customFormat="1"/>
    <row r="2459" customFormat="1"/>
    <row r="2460" customFormat="1"/>
    <row r="2461" customFormat="1"/>
    <row r="2462" customFormat="1"/>
    <row r="2463" customFormat="1"/>
    <row r="2464" customFormat="1"/>
    <row r="2465" customFormat="1"/>
    <row r="2466" customFormat="1"/>
    <row r="2467" customFormat="1"/>
    <row r="2468" customFormat="1"/>
    <row r="2469" customFormat="1"/>
    <row r="2470" customFormat="1"/>
    <row r="2471" customFormat="1"/>
    <row r="2472" customFormat="1"/>
    <row r="2473" customFormat="1"/>
    <row r="2474" customFormat="1"/>
    <row r="2475" customFormat="1"/>
    <row r="2476" customFormat="1"/>
    <row r="2477" customFormat="1"/>
    <row r="2478" customFormat="1"/>
    <row r="2479" customFormat="1"/>
    <row r="2480" customFormat="1"/>
    <row r="2481" customFormat="1"/>
    <row r="2482" customFormat="1"/>
    <row r="2483" customFormat="1"/>
    <row r="2484" customFormat="1"/>
    <row r="2485" customFormat="1"/>
    <row r="2486" customFormat="1"/>
    <row r="2487" customFormat="1"/>
    <row r="2488" customFormat="1"/>
    <row r="2489" customFormat="1"/>
    <row r="2490" customFormat="1"/>
    <row r="2491" customFormat="1"/>
    <row r="2492" customFormat="1"/>
    <row r="2493" customFormat="1"/>
    <row r="2494" customFormat="1"/>
    <row r="2495" customFormat="1"/>
    <row r="2496" customFormat="1"/>
    <row r="2497" spans="2:13">
      <c r="B2497"/>
      <c r="C2497"/>
      <c r="D2497"/>
      <c r="E2497"/>
      <c r="F2497"/>
      <c r="G2497"/>
      <c r="H2497"/>
      <c r="I2497"/>
      <c r="J2497"/>
      <c r="K2497"/>
      <c r="L2497"/>
      <c r="M2497"/>
    </row>
    <row r="2498" spans="2:13">
      <c r="B2498"/>
      <c r="C2498"/>
      <c r="D2498"/>
      <c r="E2498"/>
      <c r="F2498"/>
      <c r="G2498"/>
      <c r="H2498"/>
      <c r="I2498"/>
      <c r="J2498"/>
      <c r="K2498"/>
      <c r="L2498"/>
      <c r="M2498"/>
    </row>
    <row r="2499" spans="2:13">
      <c r="B2499"/>
      <c r="C2499"/>
      <c r="D2499"/>
      <c r="E2499"/>
      <c r="F2499"/>
      <c r="G2499"/>
      <c r="H2499"/>
      <c r="I2499"/>
      <c r="J2499"/>
      <c r="K2499"/>
      <c r="L2499"/>
      <c r="M2499"/>
    </row>
    <row r="2500" spans="2:13">
      <c r="B2500"/>
      <c r="C2500"/>
      <c r="D2500"/>
      <c r="E2500"/>
      <c r="F2500"/>
      <c r="G2500"/>
      <c r="H2500"/>
      <c r="I2500"/>
      <c r="J2500"/>
      <c r="K2500"/>
      <c r="L2500"/>
      <c r="M2500"/>
    </row>
    <row r="2501" spans="2:13">
      <c r="B2501"/>
      <c r="C2501"/>
      <c r="D2501"/>
      <c r="E2501"/>
      <c r="F2501"/>
      <c r="G2501"/>
      <c r="H2501"/>
      <c r="I2501"/>
      <c r="J2501"/>
      <c r="K2501"/>
      <c r="L2501"/>
      <c r="M2501"/>
    </row>
    <row r="2502" spans="2:13">
      <c r="B2502"/>
      <c r="C2502"/>
      <c r="D2502"/>
      <c r="E2502"/>
      <c r="F2502"/>
      <c r="G2502"/>
      <c r="H2502"/>
      <c r="I2502"/>
      <c r="J2502"/>
      <c r="K2502"/>
      <c r="L2502"/>
      <c r="M2502"/>
    </row>
    <row r="2503" spans="2:13">
      <c r="B2503"/>
      <c r="C2503"/>
      <c r="D2503"/>
      <c r="E2503"/>
      <c r="F2503"/>
      <c r="G2503"/>
      <c r="H2503"/>
      <c r="I2503"/>
      <c r="J2503"/>
      <c r="K2503"/>
      <c r="L2503"/>
      <c r="M2503"/>
    </row>
    <row r="2504" spans="2:13">
      <c r="B2504"/>
      <c r="C2504"/>
      <c r="D2504"/>
      <c r="E2504"/>
      <c r="F2504"/>
      <c r="G2504"/>
      <c r="H2504"/>
      <c r="I2504"/>
      <c r="J2504"/>
      <c r="K2504"/>
      <c r="L2504"/>
      <c r="M2504"/>
    </row>
    <row r="2505" spans="2:13">
      <c r="B2505"/>
      <c r="C2505"/>
      <c r="D2505"/>
      <c r="E2505"/>
      <c r="F2505"/>
      <c r="G2505"/>
      <c r="H2505"/>
      <c r="I2505"/>
      <c r="J2505"/>
      <c r="K2505"/>
      <c r="L2505"/>
      <c r="M2505"/>
    </row>
    <row r="2506" spans="2:13">
      <c r="B2506"/>
      <c r="C2506"/>
      <c r="D2506"/>
      <c r="E2506"/>
      <c r="F2506"/>
      <c r="G2506"/>
      <c r="H2506"/>
      <c r="I2506"/>
      <c r="J2506"/>
      <c r="K2506"/>
      <c r="L2506"/>
      <c r="M2506"/>
    </row>
    <row r="2507" spans="2:13">
      <c r="B2507"/>
      <c r="C2507"/>
      <c r="D2507"/>
      <c r="E2507"/>
      <c r="F2507"/>
      <c r="G2507"/>
      <c r="H2507"/>
      <c r="I2507"/>
      <c r="J2507"/>
      <c r="K2507"/>
      <c r="L2507"/>
      <c r="M2507"/>
    </row>
    <row r="2508" spans="2:13">
      <c r="B2508"/>
      <c r="C2508"/>
      <c r="D2508"/>
      <c r="E2508"/>
      <c r="F2508"/>
      <c r="G2508"/>
      <c r="H2508"/>
      <c r="I2508"/>
      <c r="J2508"/>
      <c r="K2508"/>
      <c r="L2508"/>
      <c r="M2508"/>
    </row>
    <row r="2509" spans="2:13">
      <c r="B2509"/>
      <c r="C2509"/>
      <c r="D2509"/>
      <c r="E2509"/>
      <c r="F2509"/>
      <c r="G2509"/>
      <c r="H2509"/>
      <c r="I2509"/>
      <c r="J2509"/>
      <c r="K2509"/>
      <c r="L2509"/>
      <c r="M2509"/>
    </row>
    <row r="2510" spans="2:13">
      <c r="B2510"/>
      <c r="C2510"/>
      <c r="D2510"/>
      <c r="E2510"/>
      <c r="F2510"/>
      <c r="G2510"/>
      <c r="H2510"/>
      <c r="I2510"/>
      <c r="J2510"/>
      <c r="K2510"/>
      <c r="L2510"/>
      <c r="M2510"/>
    </row>
    <row r="2511" spans="2:13">
      <c r="B2511"/>
      <c r="C2511"/>
      <c r="D2511"/>
      <c r="E2511"/>
      <c r="F2511"/>
      <c r="G2511"/>
      <c r="H2511"/>
      <c r="I2511"/>
      <c r="J2511"/>
      <c r="K2511"/>
      <c r="L2511"/>
      <c r="M2511"/>
    </row>
    <row r="2512" spans="2:13">
      <c r="B2512"/>
      <c r="C2512"/>
      <c r="D2512"/>
      <c r="E2512"/>
      <c r="F2512"/>
      <c r="G2512"/>
      <c r="H2512"/>
      <c r="I2512"/>
      <c r="J2512"/>
    </row>
    <row r="2513" spans="2:10">
      <c r="B2513"/>
      <c r="C2513"/>
      <c r="D2513"/>
      <c r="E2513"/>
      <c r="F2513"/>
      <c r="G2513"/>
      <c r="H2513"/>
      <c r="I2513"/>
      <c r="J2513"/>
    </row>
    <row r="2514" spans="2:10">
      <c r="B2514"/>
      <c r="C2514"/>
      <c r="D2514"/>
      <c r="E2514"/>
      <c r="F2514"/>
      <c r="G2514"/>
      <c r="H2514"/>
      <c r="I2514"/>
      <c r="J2514"/>
    </row>
    <row r="2515" spans="2:10">
      <c r="B2515"/>
      <c r="C2515"/>
      <c r="D2515"/>
      <c r="E2515"/>
      <c r="F2515"/>
      <c r="G2515"/>
      <c r="H2515"/>
      <c r="I2515"/>
      <c r="J2515"/>
    </row>
    <row r="2516" spans="2:10">
      <c r="B2516"/>
      <c r="C2516"/>
      <c r="D2516"/>
      <c r="E2516"/>
      <c r="F2516"/>
      <c r="G2516"/>
      <c r="H2516"/>
      <c r="I2516"/>
      <c r="J2516"/>
    </row>
    <row r="2517" spans="2:10">
      <c r="B2517"/>
      <c r="C2517"/>
      <c r="D2517"/>
      <c r="E2517"/>
      <c r="F2517"/>
      <c r="G2517"/>
      <c r="H2517"/>
      <c r="I2517"/>
      <c r="J2517"/>
    </row>
    <row r="2518" spans="2:10">
      <c r="B2518"/>
      <c r="C2518"/>
      <c r="D2518"/>
      <c r="E2518"/>
      <c r="F2518"/>
      <c r="G2518"/>
      <c r="H2518"/>
      <c r="I2518"/>
      <c r="J2518"/>
    </row>
    <row r="2519" spans="2:10">
      <c r="B2519"/>
      <c r="C2519"/>
      <c r="D2519"/>
      <c r="E2519"/>
      <c r="F2519"/>
      <c r="G2519"/>
      <c r="H2519"/>
      <c r="I2519"/>
      <c r="J2519"/>
    </row>
    <row r="2520" spans="2:10">
      <c r="B2520"/>
      <c r="C2520"/>
      <c r="D2520"/>
      <c r="E2520"/>
      <c r="F2520"/>
      <c r="G2520"/>
      <c r="H2520"/>
      <c r="I2520"/>
      <c r="J2520"/>
    </row>
    <row r="2521" spans="2:10">
      <c r="B2521"/>
      <c r="C2521"/>
      <c r="D2521"/>
      <c r="E2521"/>
      <c r="F2521"/>
      <c r="G2521"/>
      <c r="H2521"/>
      <c r="I2521"/>
      <c r="J2521"/>
    </row>
    <row r="2522" spans="2:10">
      <c r="B2522"/>
      <c r="C2522"/>
      <c r="D2522"/>
      <c r="E2522"/>
      <c r="F2522"/>
      <c r="G2522"/>
      <c r="H2522"/>
      <c r="I2522"/>
      <c r="J2522"/>
    </row>
    <row r="2523" spans="2:10">
      <c r="B2523"/>
      <c r="C2523"/>
      <c r="D2523"/>
      <c r="E2523"/>
      <c r="F2523"/>
      <c r="G2523"/>
      <c r="H2523"/>
      <c r="I2523"/>
      <c r="J2523"/>
    </row>
    <row r="2524" spans="2:10">
      <c r="B2524"/>
      <c r="C2524"/>
      <c r="D2524"/>
      <c r="E2524"/>
      <c r="F2524"/>
      <c r="G2524"/>
      <c r="H2524"/>
      <c r="I2524"/>
      <c r="J2524"/>
    </row>
    <row r="2525" spans="2:10">
      <c r="B2525"/>
      <c r="C2525"/>
      <c r="D2525"/>
      <c r="E2525"/>
      <c r="F2525"/>
      <c r="G2525"/>
      <c r="H2525"/>
      <c r="I2525"/>
      <c r="J2525"/>
    </row>
    <row r="2526" spans="2:10">
      <c r="B2526"/>
      <c r="C2526"/>
      <c r="D2526"/>
      <c r="E2526"/>
      <c r="F2526"/>
      <c r="G2526"/>
      <c r="H2526"/>
      <c r="I2526"/>
      <c r="J2526"/>
    </row>
    <row r="2527" spans="2:10">
      <c r="B2527"/>
      <c r="C2527"/>
      <c r="D2527"/>
      <c r="E2527"/>
      <c r="F2527"/>
      <c r="G2527"/>
      <c r="H2527"/>
      <c r="I2527"/>
      <c r="J2527"/>
    </row>
    <row r="2528" spans="2:10">
      <c r="B2528"/>
      <c r="C2528"/>
      <c r="D2528"/>
      <c r="E2528"/>
      <c r="F2528"/>
      <c r="G2528"/>
      <c r="H2528"/>
      <c r="I2528"/>
      <c r="J2528"/>
    </row>
    <row r="2529" spans="2:10">
      <c r="B2529"/>
      <c r="C2529"/>
      <c r="D2529"/>
      <c r="E2529"/>
      <c r="F2529"/>
      <c r="G2529"/>
      <c r="H2529"/>
      <c r="I2529"/>
      <c r="J2529"/>
    </row>
    <row r="2530" spans="2:10">
      <c r="B2530"/>
      <c r="C2530"/>
      <c r="D2530"/>
      <c r="E2530"/>
      <c r="F2530"/>
      <c r="G2530"/>
      <c r="H2530"/>
      <c r="I2530"/>
      <c r="J2530"/>
    </row>
    <row r="2531" spans="2:10">
      <c r="B2531"/>
      <c r="C2531"/>
      <c r="D2531"/>
      <c r="E2531"/>
      <c r="F2531"/>
      <c r="G2531"/>
      <c r="H2531"/>
      <c r="I2531"/>
      <c r="J2531"/>
    </row>
    <row r="2532" spans="2:10">
      <c r="B2532"/>
      <c r="C2532"/>
      <c r="D2532"/>
      <c r="E2532"/>
      <c r="F2532"/>
      <c r="G2532"/>
      <c r="H2532"/>
      <c r="I2532"/>
      <c r="J2532"/>
    </row>
    <row r="2533" spans="2:10">
      <c r="B2533"/>
      <c r="C2533"/>
      <c r="D2533"/>
      <c r="E2533"/>
      <c r="F2533"/>
      <c r="G2533"/>
      <c r="H2533"/>
      <c r="I2533"/>
      <c r="J2533"/>
    </row>
    <row r="2534" spans="2:10">
      <c r="B2534"/>
      <c r="C2534"/>
      <c r="D2534"/>
      <c r="E2534"/>
      <c r="F2534"/>
      <c r="G2534"/>
      <c r="H2534"/>
      <c r="I2534"/>
      <c r="J2534"/>
    </row>
    <row r="2535" spans="2:10">
      <c r="B2535"/>
      <c r="C2535"/>
      <c r="D2535"/>
      <c r="E2535"/>
      <c r="F2535"/>
      <c r="G2535"/>
      <c r="H2535"/>
      <c r="I2535"/>
      <c r="J2535"/>
    </row>
    <row r="2536" spans="2:10">
      <c r="B2536"/>
      <c r="C2536"/>
      <c r="D2536"/>
      <c r="E2536"/>
      <c r="F2536"/>
      <c r="G2536"/>
      <c r="H2536"/>
      <c r="I2536"/>
      <c r="J2536"/>
    </row>
    <row r="2537" spans="2:10">
      <c r="B2537"/>
      <c r="C2537"/>
      <c r="D2537"/>
      <c r="E2537"/>
      <c r="F2537"/>
      <c r="G2537"/>
      <c r="H2537"/>
      <c r="I2537"/>
      <c r="J2537"/>
    </row>
    <row r="2538" spans="2:10">
      <c r="B2538"/>
      <c r="C2538"/>
      <c r="D2538"/>
      <c r="E2538"/>
      <c r="F2538"/>
      <c r="G2538"/>
      <c r="H2538"/>
      <c r="I2538"/>
      <c r="J2538"/>
    </row>
    <row r="2539" spans="2:10">
      <c r="B2539"/>
      <c r="C2539"/>
      <c r="D2539"/>
      <c r="E2539"/>
      <c r="F2539"/>
      <c r="G2539"/>
      <c r="H2539"/>
      <c r="I2539"/>
      <c r="J2539"/>
    </row>
    <row r="2540" spans="2:10">
      <c r="B2540"/>
      <c r="C2540"/>
      <c r="D2540"/>
      <c r="E2540"/>
      <c r="F2540"/>
      <c r="G2540"/>
      <c r="H2540"/>
      <c r="I2540"/>
      <c r="J2540"/>
    </row>
    <row r="2541" spans="2:10">
      <c r="B2541"/>
      <c r="C2541"/>
      <c r="D2541"/>
      <c r="E2541"/>
      <c r="F2541"/>
      <c r="G2541"/>
      <c r="H2541"/>
      <c r="I2541"/>
      <c r="J2541"/>
    </row>
    <row r="2542" spans="2:10">
      <c r="B2542"/>
      <c r="C2542"/>
      <c r="D2542"/>
      <c r="E2542"/>
      <c r="F2542"/>
      <c r="G2542"/>
      <c r="H2542"/>
      <c r="I2542"/>
      <c r="J2542"/>
    </row>
    <row r="2543" spans="2:10">
      <c r="B2543"/>
      <c r="C2543"/>
      <c r="D2543"/>
      <c r="E2543"/>
      <c r="F2543"/>
      <c r="G2543"/>
      <c r="H2543"/>
      <c r="I2543"/>
      <c r="J2543"/>
    </row>
    <row r="2544" spans="2:10">
      <c r="B2544"/>
      <c r="C2544"/>
      <c r="D2544"/>
      <c r="E2544"/>
      <c r="F2544"/>
      <c r="G2544"/>
      <c r="H2544"/>
      <c r="I2544"/>
      <c r="J2544"/>
    </row>
    <row r="2545" spans="2:10">
      <c r="B2545"/>
      <c r="C2545"/>
      <c r="D2545"/>
      <c r="E2545"/>
      <c r="F2545"/>
      <c r="G2545"/>
      <c r="H2545"/>
      <c r="I2545"/>
      <c r="J2545"/>
    </row>
    <row r="2546" spans="2:10">
      <c r="B2546"/>
      <c r="C2546"/>
      <c r="D2546"/>
      <c r="E2546"/>
      <c r="F2546"/>
      <c r="G2546"/>
      <c r="H2546"/>
      <c r="I2546"/>
      <c r="J2546"/>
    </row>
    <row r="2547" spans="2:10">
      <c r="B2547"/>
      <c r="C2547"/>
      <c r="D2547"/>
      <c r="E2547"/>
      <c r="F2547"/>
      <c r="G2547"/>
      <c r="H2547"/>
      <c r="I2547"/>
      <c r="J2547"/>
    </row>
    <row r="2548" spans="2:10">
      <c r="B2548"/>
      <c r="C2548"/>
      <c r="D2548"/>
      <c r="E2548"/>
      <c r="F2548"/>
      <c r="G2548"/>
      <c r="H2548"/>
      <c r="I2548"/>
      <c r="J2548"/>
    </row>
    <row r="2549" spans="2:10">
      <c r="B2549"/>
      <c r="C2549"/>
      <c r="D2549"/>
      <c r="E2549"/>
      <c r="F2549"/>
      <c r="G2549"/>
      <c r="H2549"/>
      <c r="I2549"/>
      <c r="J2549"/>
    </row>
    <row r="2550" spans="2:10">
      <c r="B2550"/>
      <c r="C2550"/>
      <c r="D2550"/>
      <c r="E2550"/>
      <c r="F2550"/>
      <c r="G2550"/>
      <c r="H2550"/>
      <c r="I2550"/>
      <c r="J2550"/>
    </row>
    <row r="2551" spans="2:10">
      <c r="B2551"/>
      <c r="C2551"/>
      <c r="D2551"/>
      <c r="E2551"/>
      <c r="F2551"/>
      <c r="G2551"/>
      <c r="H2551"/>
      <c r="I2551"/>
      <c r="J2551"/>
    </row>
    <row r="2552" spans="2:10">
      <c r="B2552"/>
      <c r="C2552"/>
      <c r="D2552"/>
      <c r="E2552"/>
      <c r="F2552"/>
      <c r="G2552"/>
      <c r="H2552"/>
      <c r="I2552"/>
      <c r="J2552"/>
    </row>
    <row r="2553" spans="2:10">
      <c r="B2553"/>
      <c r="C2553"/>
      <c r="D2553"/>
      <c r="E2553"/>
      <c r="F2553"/>
      <c r="G2553"/>
      <c r="H2553"/>
      <c r="I2553"/>
      <c r="J2553"/>
    </row>
    <row r="2554" spans="2:10">
      <c r="B2554"/>
      <c r="C2554"/>
      <c r="D2554"/>
      <c r="E2554"/>
      <c r="F2554"/>
      <c r="G2554"/>
      <c r="H2554"/>
      <c r="I2554"/>
      <c r="J2554"/>
    </row>
    <row r="2555" spans="2:10">
      <c r="B2555"/>
      <c r="C2555"/>
      <c r="D2555"/>
      <c r="E2555"/>
      <c r="F2555"/>
      <c r="G2555"/>
      <c r="H2555"/>
      <c r="I2555"/>
      <c r="J2555"/>
    </row>
    <row r="2556" spans="2:10">
      <c r="B2556"/>
      <c r="C2556"/>
      <c r="D2556"/>
      <c r="E2556"/>
      <c r="F2556"/>
      <c r="G2556"/>
      <c r="H2556"/>
      <c r="I2556"/>
      <c r="J2556"/>
    </row>
    <row r="2557" spans="2:10">
      <c r="B2557"/>
      <c r="C2557"/>
      <c r="D2557"/>
      <c r="E2557"/>
      <c r="F2557"/>
      <c r="G2557"/>
      <c r="H2557"/>
      <c r="I2557"/>
      <c r="J2557"/>
    </row>
    <row r="2558" spans="2:10">
      <c r="B2558"/>
      <c r="C2558"/>
      <c r="D2558"/>
      <c r="E2558"/>
      <c r="F2558"/>
      <c r="G2558"/>
      <c r="H2558"/>
      <c r="I2558"/>
      <c r="J2558"/>
    </row>
    <row r="2559" spans="2:10">
      <c r="B2559"/>
      <c r="C2559"/>
      <c r="D2559"/>
      <c r="E2559"/>
      <c r="F2559"/>
      <c r="G2559"/>
      <c r="H2559"/>
      <c r="I2559"/>
      <c r="J2559"/>
    </row>
    <row r="2560" spans="2:10">
      <c r="B2560"/>
      <c r="C2560"/>
      <c r="D2560"/>
      <c r="E2560"/>
      <c r="F2560"/>
      <c r="G2560"/>
      <c r="H2560"/>
      <c r="I2560"/>
      <c r="J2560"/>
    </row>
    <row r="2561" spans="2:10">
      <c r="B2561"/>
      <c r="C2561"/>
      <c r="D2561"/>
      <c r="E2561"/>
      <c r="F2561"/>
      <c r="G2561"/>
      <c r="H2561"/>
      <c r="I2561"/>
      <c r="J2561"/>
    </row>
    <row r="2562" spans="2:10">
      <c r="B2562"/>
      <c r="C2562"/>
      <c r="D2562"/>
      <c r="E2562"/>
      <c r="F2562"/>
      <c r="G2562"/>
      <c r="H2562"/>
      <c r="I2562"/>
      <c r="J2562"/>
    </row>
    <row r="2563" spans="2:10">
      <c r="B2563"/>
      <c r="C2563"/>
      <c r="D2563"/>
      <c r="E2563"/>
      <c r="F2563"/>
      <c r="G2563"/>
      <c r="H2563"/>
      <c r="I2563"/>
      <c r="J2563"/>
    </row>
    <row r="2564" spans="2:10">
      <c r="B2564"/>
      <c r="C2564"/>
      <c r="D2564"/>
      <c r="E2564"/>
      <c r="F2564"/>
      <c r="G2564"/>
      <c r="H2564"/>
      <c r="I2564"/>
      <c r="J2564"/>
    </row>
    <row r="2565" spans="2:10">
      <c r="B2565"/>
      <c r="C2565"/>
      <c r="D2565"/>
      <c r="E2565"/>
      <c r="F2565"/>
      <c r="G2565"/>
      <c r="H2565"/>
      <c r="I2565"/>
      <c r="J2565"/>
    </row>
    <row r="2566" spans="2:10">
      <c r="B2566"/>
      <c r="C2566"/>
      <c r="D2566"/>
      <c r="E2566"/>
      <c r="F2566"/>
      <c r="G2566"/>
      <c r="H2566"/>
      <c r="I2566"/>
      <c r="J2566"/>
    </row>
    <row r="2567" spans="2:10">
      <c r="B2567"/>
      <c r="C2567"/>
      <c r="D2567"/>
      <c r="E2567"/>
      <c r="F2567"/>
      <c r="G2567"/>
      <c r="H2567"/>
      <c r="I2567"/>
      <c r="J2567"/>
    </row>
    <row r="2568" spans="2:10">
      <c r="B2568"/>
      <c r="C2568"/>
      <c r="D2568"/>
      <c r="E2568"/>
      <c r="F2568"/>
      <c r="G2568"/>
      <c r="H2568"/>
      <c r="I2568"/>
      <c r="J2568"/>
    </row>
    <row r="2569" spans="2:10">
      <c r="B2569"/>
      <c r="C2569"/>
      <c r="D2569"/>
      <c r="E2569"/>
      <c r="F2569"/>
      <c r="G2569"/>
      <c r="H2569"/>
      <c r="I2569"/>
      <c r="J2569"/>
    </row>
    <row r="2570" spans="2:10">
      <c r="B2570"/>
      <c r="C2570"/>
      <c r="D2570"/>
      <c r="E2570"/>
      <c r="F2570"/>
      <c r="G2570"/>
      <c r="H2570"/>
      <c r="I2570"/>
      <c r="J2570"/>
    </row>
    <row r="2571" spans="2:10">
      <c r="B2571"/>
      <c r="C2571"/>
      <c r="D2571"/>
      <c r="E2571"/>
      <c r="F2571"/>
      <c r="G2571"/>
      <c r="H2571"/>
      <c r="I2571"/>
      <c r="J2571"/>
    </row>
    <row r="2572" spans="2:10">
      <c r="B2572"/>
      <c r="C2572"/>
      <c r="D2572"/>
      <c r="E2572"/>
      <c r="F2572"/>
      <c r="G2572"/>
      <c r="H2572"/>
      <c r="I2572"/>
      <c r="J2572"/>
    </row>
    <row r="2573" spans="2:10">
      <c r="B2573"/>
      <c r="C2573"/>
      <c r="D2573"/>
      <c r="E2573"/>
      <c r="F2573"/>
      <c r="G2573"/>
      <c r="H2573"/>
      <c r="I2573"/>
      <c r="J2573"/>
    </row>
    <row r="2574" spans="2:10">
      <c r="B2574"/>
      <c r="C2574"/>
      <c r="D2574"/>
      <c r="E2574"/>
      <c r="F2574"/>
      <c r="G2574"/>
      <c r="H2574"/>
      <c r="I2574"/>
      <c r="J2574"/>
    </row>
    <row r="2575" spans="2:10">
      <c r="B2575"/>
      <c r="C2575"/>
      <c r="D2575"/>
      <c r="E2575"/>
      <c r="F2575"/>
      <c r="G2575"/>
      <c r="H2575"/>
      <c r="I2575"/>
      <c r="J2575"/>
    </row>
    <row r="2576" spans="2:10">
      <c r="B2576"/>
      <c r="C2576"/>
      <c r="D2576"/>
      <c r="E2576"/>
      <c r="F2576"/>
      <c r="G2576"/>
      <c r="H2576"/>
      <c r="I2576"/>
      <c r="J2576"/>
    </row>
    <row r="2577" spans="2:10">
      <c r="B2577"/>
      <c r="C2577"/>
      <c r="D2577"/>
      <c r="E2577"/>
      <c r="F2577"/>
      <c r="G2577"/>
      <c r="H2577"/>
      <c r="I2577"/>
      <c r="J2577"/>
    </row>
    <row r="2578" spans="2:10">
      <c r="B2578"/>
      <c r="C2578"/>
      <c r="D2578"/>
      <c r="E2578"/>
      <c r="F2578"/>
      <c r="G2578"/>
      <c r="H2578"/>
      <c r="I2578"/>
      <c r="J2578"/>
    </row>
    <row r="2579" spans="2:10">
      <c r="B2579"/>
      <c r="C2579"/>
      <c r="D2579"/>
      <c r="E2579"/>
      <c r="F2579"/>
      <c r="G2579"/>
      <c r="H2579"/>
      <c r="I2579"/>
      <c r="J2579"/>
    </row>
    <row r="2580" spans="2:10">
      <c r="B2580"/>
      <c r="C2580"/>
      <c r="D2580"/>
      <c r="E2580"/>
      <c r="F2580"/>
      <c r="G2580"/>
      <c r="H2580"/>
      <c r="I2580"/>
      <c r="J2580"/>
    </row>
    <row r="2581" spans="2:10">
      <c r="B2581"/>
      <c r="C2581"/>
      <c r="D2581"/>
      <c r="E2581"/>
      <c r="F2581"/>
      <c r="G2581"/>
      <c r="H2581"/>
      <c r="I2581"/>
      <c r="J2581"/>
    </row>
    <row r="2582" spans="2:10">
      <c r="B2582"/>
      <c r="C2582"/>
      <c r="D2582"/>
      <c r="E2582"/>
      <c r="F2582"/>
      <c r="G2582"/>
      <c r="H2582"/>
      <c r="I2582"/>
      <c r="J2582"/>
    </row>
    <row r="2583" spans="2:10">
      <c r="B2583"/>
      <c r="C2583"/>
      <c r="D2583"/>
      <c r="E2583"/>
      <c r="F2583"/>
      <c r="G2583"/>
      <c r="H2583"/>
      <c r="I2583"/>
      <c r="J2583"/>
    </row>
    <row r="2584" spans="2:10">
      <c r="B2584"/>
      <c r="C2584"/>
      <c r="D2584"/>
      <c r="E2584"/>
      <c r="F2584"/>
      <c r="G2584"/>
      <c r="H2584"/>
      <c r="I2584"/>
      <c r="J2584"/>
    </row>
    <row r="2585" spans="2:10">
      <c r="B2585"/>
      <c r="C2585"/>
      <c r="D2585"/>
      <c r="E2585"/>
      <c r="F2585"/>
      <c r="G2585"/>
      <c r="H2585"/>
      <c r="I2585"/>
      <c r="J2585"/>
    </row>
    <row r="2586" spans="2:10">
      <c r="B2586"/>
      <c r="C2586"/>
      <c r="D2586"/>
      <c r="E2586"/>
      <c r="F2586"/>
      <c r="G2586"/>
      <c r="H2586"/>
      <c r="I2586"/>
      <c r="J2586"/>
    </row>
    <row r="2587" spans="2:10">
      <c r="B2587"/>
      <c r="C2587"/>
      <c r="D2587"/>
      <c r="E2587"/>
      <c r="F2587"/>
      <c r="G2587"/>
      <c r="H2587"/>
      <c r="I2587"/>
      <c r="J2587"/>
    </row>
    <row r="2588" spans="2:10">
      <c r="B2588"/>
      <c r="C2588"/>
      <c r="D2588"/>
      <c r="E2588"/>
      <c r="F2588"/>
      <c r="G2588"/>
      <c r="H2588"/>
      <c r="I2588"/>
      <c r="J2588"/>
    </row>
    <row r="2589" spans="2:10">
      <c r="B2589"/>
      <c r="C2589"/>
      <c r="D2589"/>
      <c r="E2589"/>
      <c r="F2589"/>
      <c r="G2589"/>
      <c r="H2589"/>
      <c r="I2589"/>
      <c r="J2589"/>
    </row>
    <row r="2590" spans="2:10">
      <c r="B2590"/>
      <c r="C2590"/>
      <c r="D2590"/>
      <c r="E2590"/>
      <c r="F2590"/>
      <c r="G2590"/>
      <c r="H2590"/>
      <c r="I2590"/>
      <c r="J2590"/>
    </row>
    <row r="2591" spans="2:10">
      <c r="B2591"/>
      <c r="C2591"/>
      <c r="D2591"/>
      <c r="E2591"/>
      <c r="F2591"/>
      <c r="G2591"/>
      <c r="H2591"/>
      <c r="I2591"/>
      <c r="J2591"/>
    </row>
    <row r="2592" spans="2:10">
      <c r="B2592"/>
      <c r="C2592"/>
      <c r="D2592"/>
      <c r="E2592"/>
      <c r="F2592"/>
      <c r="G2592"/>
      <c r="H2592"/>
      <c r="I2592"/>
      <c r="J2592"/>
    </row>
    <row r="2593" spans="2:10">
      <c r="B2593"/>
      <c r="C2593"/>
      <c r="D2593"/>
      <c r="E2593"/>
      <c r="F2593"/>
      <c r="G2593"/>
      <c r="H2593"/>
      <c r="I2593"/>
      <c r="J2593"/>
    </row>
    <row r="2594" spans="2:10">
      <c r="B2594"/>
      <c r="C2594"/>
      <c r="D2594"/>
      <c r="E2594"/>
      <c r="F2594"/>
      <c r="G2594"/>
      <c r="H2594"/>
      <c r="I2594"/>
      <c r="J2594"/>
    </row>
    <row r="2595" spans="2:10">
      <c r="B2595"/>
      <c r="C2595"/>
      <c r="D2595"/>
      <c r="E2595"/>
      <c r="F2595"/>
      <c r="G2595"/>
      <c r="H2595"/>
      <c r="I2595"/>
      <c r="J2595"/>
    </row>
    <row r="2596" spans="2:10">
      <c r="B2596"/>
      <c r="C2596"/>
      <c r="D2596"/>
      <c r="E2596"/>
      <c r="F2596"/>
      <c r="G2596"/>
      <c r="H2596"/>
      <c r="I2596"/>
      <c r="J2596"/>
    </row>
    <row r="2597" spans="2:10">
      <c r="B2597"/>
      <c r="C2597"/>
      <c r="D2597"/>
      <c r="E2597"/>
      <c r="F2597"/>
      <c r="G2597"/>
      <c r="H2597"/>
      <c r="I2597"/>
      <c r="J2597"/>
    </row>
    <row r="2598" spans="2:10">
      <c r="B2598"/>
      <c r="C2598"/>
      <c r="D2598"/>
      <c r="E2598"/>
      <c r="F2598"/>
      <c r="G2598"/>
      <c r="H2598"/>
      <c r="I2598"/>
      <c r="J2598"/>
    </row>
    <row r="2599" spans="2:10">
      <c r="B2599"/>
      <c r="C2599"/>
      <c r="D2599"/>
      <c r="E2599"/>
      <c r="F2599"/>
      <c r="G2599"/>
      <c r="H2599"/>
      <c r="I2599"/>
      <c r="J2599"/>
    </row>
    <row r="2600" spans="2:10">
      <c r="B2600"/>
      <c r="C2600"/>
      <c r="D2600"/>
      <c r="E2600"/>
      <c r="F2600"/>
      <c r="G2600"/>
      <c r="H2600"/>
      <c r="I2600"/>
      <c r="J2600"/>
    </row>
    <row r="2601" spans="2:10">
      <c r="B2601"/>
      <c r="C2601"/>
      <c r="D2601"/>
      <c r="E2601"/>
      <c r="F2601"/>
      <c r="G2601"/>
      <c r="H2601"/>
      <c r="I2601"/>
      <c r="J2601"/>
    </row>
    <row r="2602" spans="2:10">
      <c r="B2602"/>
      <c r="C2602"/>
      <c r="D2602"/>
      <c r="E2602"/>
      <c r="F2602"/>
      <c r="G2602"/>
      <c r="H2602"/>
      <c r="I2602"/>
      <c r="J2602"/>
    </row>
    <row r="2603" spans="2:10">
      <c r="B2603"/>
      <c r="C2603"/>
      <c r="D2603"/>
      <c r="E2603"/>
      <c r="F2603"/>
      <c r="G2603"/>
      <c r="H2603"/>
      <c r="I2603"/>
      <c r="J2603"/>
    </row>
    <row r="2604" spans="2:10">
      <c r="B2604"/>
      <c r="C2604"/>
      <c r="D2604"/>
      <c r="E2604"/>
      <c r="F2604"/>
      <c r="G2604"/>
      <c r="H2604"/>
      <c r="I2604"/>
      <c r="J2604"/>
    </row>
    <row r="2605" spans="2:10">
      <c r="B2605"/>
      <c r="C2605"/>
      <c r="D2605"/>
      <c r="E2605"/>
      <c r="F2605"/>
      <c r="G2605"/>
      <c r="H2605"/>
      <c r="I2605"/>
      <c r="J2605"/>
    </row>
    <row r="2606" spans="2:10">
      <c r="B2606"/>
      <c r="C2606"/>
      <c r="D2606"/>
      <c r="E2606"/>
      <c r="F2606"/>
      <c r="G2606"/>
      <c r="H2606"/>
      <c r="I2606"/>
      <c r="J2606"/>
    </row>
    <row r="2607" spans="2:10">
      <c r="B2607"/>
      <c r="C2607"/>
      <c r="D2607"/>
      <c r="E2607"/>
      <c r="F2607"/>
      <c r="G2607"/>
      <c r="H2607"/>
      <c r="I2607"/>
      <c r="J2607"/>
    </row>
    <row r="2608" spans="2:10">
      <c r="B2608"/>
      <c r="C2608"/>
      <c r="D2608"/>
      <c r="E2608"/>
      <c r="F2608"/>
      <c r="G2608"/>
      <c r="H2608"/>
      <c r="I2608"/>
      <c r="J2608"/>
    </row>
    <row r="2609" spans="2:10">
      <c r="B2609"/>
      <c r="C2609"/>
      <c r="D2609"/>
      <c r="E2609"/>
      <c r="F2609"/>
      <c r="G2609"/>
      <c r="H2609"/>
      <c r="I2609"/>
      <c r="J2609"/>
    </row>
    <row r="2610" spans="2:10">
      <c r="B2610"/>
      <c r="C2610"/>
      <c r="D2610"/>
      <c r="E2610"/>
      <c r="F2610"/>
      <c r="G2610"/>
      <c r="H2610"/>
      <c r="I2610"/>
      <c r="J2610"/>
    </row>
    <row r="2611" spans="2:10">
      <c r="B2611"/>
      <c r="C2611"/>
      <c r="D2611"/>
      <c r="E2611"/>
      <c r="F2611"/>
      <c r="G2611"/>
      <c r="H2611"/>
      <c r="I2611"/>
      <c r="J2611"/>
    </row>
    <row r="2612" spans="2:10">
      <c r="B2612"/>
      <c r="C2612"/>
      <c r="D2612"/>
      <c r="E2612"/>
      <c r="F2612"/>
      <c r="G2612"/>
      <c r="H2612"/>
      <c r="I2612"/>
      <c r="J2612"/>
    </row>
    <row r="2613" spans="2:10">
      <c r="B2613"/>
      <c r="C2613"/>
      <c r="D2613"/>
      <c r="E2613"/>
      <c r="F2613"/>
      <c r="G2613"/>
      <c r="H2613"/>
      <c r="I2613"/>
      <c r="J2613"/>
    </row>
    <row r="2614" spans="2:10">
      <c r="B2614"/>
      <c r="C2614"/>
      <c r="D2614"/>
      <c r="E2614"/>
      <c r="F2614"/>
      <c r="G2614"/>
      <c r="H2614"/>
      <c r="I2614"/>
      <c r="J2614"/>
    </row>
    <row r="2615" spans="2:10">
      <c r="B2615"/>
      <c r="C2615"/>
      <c r="D2615"/>
      <c r="E2615"/>
      <c r="F2615"/>
      <c r="G2615"/>
      <c r="H2615"/>
      <c r="I2615"/>
      <c r="J2615"/>
    </row>
    <row r="2616" spans="2:10">
      <c r="B2616"/>
      <c r="C2616"/>
      <c r="D2616"/>
      <c r="E2616"/>
      <c r="F2616"/>
      <c r="G2616"/>
      <c r="H2616"/>
      <c r="I2616"/>
      <c r="J2616"/>
    </row>
    <row r="2617" spans="2:10">
      <c r="B2617"/>
      <c r="C2617"/>
      <c r="D2617"/>
      <c r="E2617"/>
      <c r="F2617"/>
      <c r="G2617"/>
      <c r="H2617"/>
      <c r="I2617"/>
      <c r="J2617"/>
    </row>
    <row r="2618" spans="2:10">
      <c r="B2618"/>
      <c r="C2618"/>
      <c r="D2618"/>
      <c r="E2618"/>
      <c r="F2618"/>
      <c r="G2618"/>
      <c r="H2618"/>
      <c r="I2618"/>
      <c r="J2618"/>
    </row>
    <row r="2619" spans="2:10">
      <c r="B2619"/>
      <c r="C2619"/>
      <c r="D2619"/>
      <c r="E2619"/>
      <c r="F2619"/>
      <c r="G2619"/>
      <c r="H2619"/>
      <c r="I2619"/>
      <c r="J2619"/>
    </row>
    <row r="2620" spans="2:10">
      <c r="B2620"/>
      <c r="C2620"/>
      <c r="D2620"/>
      <c r="E2620"/>
      <c r="F2620"/>
      <c r="G2620"/>
      <c r="H2620"/>
      <c r="I2620"/>
      <c r="J2620"/>
    </row>
    <row r="2621" spans="2:10">
      <c r="B2621"/>
      <c r="C2621"/>
      <c r="D2621"/>
      <c r="E2621"/>
      <c r="F2621"/>
      <c r="G2621"/>
      <c r="H2621"/>
      <c r="I2621"/>
      <c r="J2621"/>
    </row>
    <row r="2622" spans="2:10">
      <c r="B2622"/>
      <c r="C2622"/>
      <c r="D2622"/>
      <c r="E2622"/>
      <c r="F2622"/>
      <c r="G2622"/>
      <c r="H2622"/>
      <c r="I2622"/>
      <c r="J2622"/>
    </row>
    <row r="2623" spans="2:10">
      <c r="B2623"/>
      <c r="C2623"/>
      <c r="D2623"/>
      <c r="E2623"/>
      <c r="F2623"/>
      <c r="G2623"/>
      <c r="H2623"/>
      <c r="I2623"/>
      <c r="J2623"/>
    </row>
    <row r="2624" spans="2:10">
      <c r="B2624"/>
      <c r="C2624"/>
      <c r="D2624"/>
      <c r="E2624"/>
      <c r="F2624"/>
      <c r="G2624"/>
      <c r="H2624"/>
      <c r="I2624"/>
      <c r="J2624"/>
    </row>
    <row r="2625" spans="2:10">
      <c r="B2625"/>
      <c r="C2625"/>
      <c r="D2625"/>
      <c r="E2625"/>
      <c r="F2625"/>
      <c r="G2625"/>
      <c r="H2625"/>
      <c r="I2625"/>
      <c r="J2625"/>
    </row>
    <row r="2626" spans="2:10">
      <c r="B2626"/>
      <c r="C2626"/>
      <c r="D2626"/>
      <c r="E2626"/>
      <c r="F2626"/>
      <c r="G2626"/>
      <c r="H2626"/>
      <c r="I2626"/>
      <c r="J2626"/>
    </row>
    <row r="2627" spans="2:10">
      <c r="B2627"/>
      <c r="C2627"/>
      <c r="D2627"/>
      <c r="E2627"/>
      <c r="F2627"/>
      <c r="G2627"/>
      <c r="H2627"/>
      <c r="I2627"/>
      <c r="J2627"/>
    </row>
    <row r="2628" spans="2:10">
      <c r="B2628"/>
      <c r="C2628"/>
      <c r="D2628"/>
      <c r="E2628"/>
      <c r="F2628"/>
      <c r="G2628"/>
      <c r="H2628"/>
      <c r="I2628"/>
      <c r="J2628"/>
    </row>
    <row r="2629" spans="2:10">
      <c r="B2629"/>
      <c r="C2629"/>
      <c r="D2629"/>
      <c r="E2629"/>
      <c r="F2629"/>
      <c r="G2629"/>
      <c r="H2629"/>
      <c r="I2629"/>
      <c r="J2629"/>
    </row>
    <row r="2630" spans="2:10">
      <c r="B2630"/>
      <c r="C2630"/>
      <c r="D2630"/>
      <c r="E2630"/>
      <c r="F2630"/>
      <c r="G2630"/>
      <c r="H2630"/>
      <c r="I2630"/>
      <c r="J2630"/>
    </row>
    <row r="2631" spans="2:10">
      <c r="B2631"/>
      <c r="C2631"/>
      <c r="D2631"/>
      <c r="E2631"/>
      <c r="F2631"/>
      <c r="G2631"/>
      <c r="H2631"/>
      <c r="I2631"/>
      <c r="J2631"/>
    </row>
    <row r="2632" spans="2:10">
      <c r="B2632"/>
      <c r="C2632"/>
      <c r="D2632"/>
      <c r="E2632"/>
      <c r="F2632"/>
      <c r="G2632"/>
      <c r="H2632"/>
      <c r="I2632"/>
      <c r="J2632"/>
    </row>
    <row r="2633" spans="2:10">
      <c r="B2633"/>
      <c r="C2633"/>
      <c r="D2633"/>
      <c r="E2633"/>
      <c r="F2633"/>
      <c r="G2633"/>
      <c r="H2633"/>
      <c r="I2633"/>
      <c r="J2633"/>
    </row>
    <row r="2634" spans="2:10">
      <c r="B2634"/>
      <c r="C2634"/>
      <c r="D2634"/>
      <c r="E2634"/>
      <c r="F2634"/>
      <c r="G2634"/>
      <c r="H2634"/>
      <c r="I2634"/>
      <c r="J2634"/>
    </row>
    <row r="2635" spans="2:10">
      <c r="B2635"/>
      <c r="C2635"/>
      <c r="D2635"/>
      <c r="E2635"/>
      <c r="F2635"/>
      <c r="G2635"/>
      <c r="H2635"/>
      <c r="I2635"/>
      <c r="J2635"/>
    </row>
    <row r="2636" spans="2:10">
      <c r="B2636"/>
      <c r="C2636"/>
      <c r="D2636"/>
      <c r="E2636"/>
      <c r="F2636"/>
      <c r="G2636"/>
      <c r="H2636"/>
      <c r="I2636"/>
      <c r="J2636"/>
    </row>
    <row r="2637" spans="2:10">
      <c r="B2637"/>
      <c r="C2637"/>
      <c r="D2637"/>
      <c r="E2637"/>
      <c r="F2637"/>
      <c r="G2637"/>
      <c r="H2637"/>
      <c r="I2637"/>
      <c r="J2637"/>
    </row>
    <row r="2638" spans="2:10">
      <c r="B2638"/>
      <c r="C2638"/>
      <c r="D2638"/>
      <c r="E2638"/>
      <c r="F2638"/>
      <c r="G2638"/>
      <c r="H2638"/>
      <c r="I2638"/>
      <c r="J2638"/>
    </row>
    <row r="2639" spans="2:10">
      <c r="B2639"/>
      <c r="C2639"/>
      <c r="D2639"/>
      <c r="E2639"/>
      <c r="F2639"/>
      <c r="G2639"/>
      <c r="H2639"/>
      <c r="I2639"/>
      <c r="J2639"/>
    </row>
    <row r="2640" spans="2:10">
      <c r="B2640"/>
      <c r="C2640"/>
      <c r="D2640"/>
      <c r="E2640"/>
      <c r="F2640"/>
      <c r="G2640"/>
      <c r="H2640"/>
      <c r="I2640"/>
      <c r="J2640"/>
    </row>
    <row r="2641" spans="2:4">
      <c r="B2641"/>
      <c r="C2641"/>
      <c r="D2641"/>
    </row>
    <row r="2642" spans="2:4">
      <c r="B2642"/>
      <c r="C2642"/>
      <c r="D2642"/>
    </row>
    <row r="2643" spans="2:4">
      <c r="B2643"/>
      <c r="C2643"/>
      <c r="D2643"/>
    </row>
    <row r="2644" spans="2:4">
      <c r="B2644"/>
      <c r="C2644"/>
      <c r="D2644"/>
    </row>
    <row r="2645" spans="2:4">
      <c r="B2645"/>
      <c r="C2645"/>
      <c r="D2645"/>
    </row>
    <row r="2646" spans="2:4">
      <c r="B2646"/>
      <c r="C2646"/>
      <c r="D2646"/>
    </row>
    <row r="2647" spans="2:4">
      <c r="B2647"/>
      <c r="C2647"/>
      <c r="D2647"/>
    </row>
    <row r="2648" spans="2:4">
      <c r="B2648"/>
      <c r="C2648"/>
      <c r="D2648"/>
    </row>
    <row r="2649" spans="2:4">
      <c r="B2649"/>
      <c r="C2649"/>
      <c r="D2649"/>
    </row>
    <row r="2650" spans="2:4">
      <c r="B2650"/>
      <c r="C2650"/>
      <c r="D2650"/>
    </row>
    <row r="2651" spans="2:4">
      <c r="B2651"/>
      <c r="C2651"/>
      <c r="D2651"/>
    </row>
    <row r="2652" spans="2:4">
      <c r="B2652"/>
      <c r="C2652"/>
      <c r="D2652"/>
    </row>
    <row r="2653" spans="2:4">
      <c r="B2653"/>
      <c r="C2653"/>
      <c r="D2653"/>
    </row>
    <row r="2654" spans="2:4">
      <c r="B2654"/>
      <c r="C2654"/>
      <c r="D2654"/>
    </row>
    <row r="2655" spans="2:4">
      <c r="B2655"/>
      <c r="C2655"/>
      <c r="D2655"/>
    </row>
    <row r="2656" spans="2:4">
      <c r="B2656"/>
      <c r="C2656"/>
      <c r="D2656"/>
    </row>
    <row r="2657" spans="2:4">
      <c r="B2657"/>
      <c r="C2657"/>
      <c r="D2657"/>
    </row>
    <row r="2658" spans="2:4">
      <c r="B2658"/>
      <c r="C2658"/>
      <c r="D2658"/>
    </row>
    <row r="2659" spans="2:4">
      <c r="B2659"/>
      <c r="C2659"/>
      <c r="D2659"/>
    </row>
    <row r="2660" spans="2:4">
      <c r="B2660"/>
      <c r="C2660"/>
      <c r="D2660"/>
    </row>
    <row r="2661" spans="2:4">
      <c r="B2661"/>
      <c r="C2661"/>
      <c r="D2661"/>
    </row>
    <row r="2662" spans="2:4">
      <c r="B2662"/>
      <c r="C2662"/>
      <c r="D2662"/>
    </row>
    <row r="2663" spans="2:4">
      <c r="B2663"/>
      <c r="C2663"/>
      <c r="D2663"/>
    </row>
    <row r="2664" spans="2:4">
      <c r="B2664"/>
      <c r="C2664"/>
      <c r="D2664"/>
    </row>
    <row r="2665" spans="2:4">
      <c r="B2665"/>
      <c r="C2665"/>
      <c r="D2665"/>
    </row>
    <row r="2666" spans="2:4">
      <c r="B2666"/>
      <c r="C2666"/>
      <c r="D2666"/>
    </row>
    <row r="2667" spans="2:4">
      <c r="B2667"/>
      <c r="C2667"/>
      <c r="D2667"/>
    </row>
    <row r="2668" spans="2:4">
      <c r="B2668"/>
      <c r="C2668"/>
      <c r="D2668"/>
    </row>
    <row r="2669" spans="2:4">
      <c r="B2669"/>
      <c r="C2669"/>
      <c r="D2669"/>
    </row>
    <row r="2670" spans="2:4">
      <c r="B2670"/>
      <c r="C2670"/>
      <c r="D2670"/>
    </row>
    <row r="2671" spans="2:4">
      <c r="B2671"/>
      <c r="C2671"/>
      <c r="D2671"/>
    </row>
    <row r="2672" spans="2:4">
      <c r="B2672"/>
      <c r="C2672"/>
      <c r="D2672"/>
    </row>
    <row r="2673" spans="2:4">
      <c r="B2673"/>
      <c r="C2673"/>
      <c r="D2673"/>
    </row>
    <row r="2674" spans="2:4">
      <c r="B2674"/>
      <c r="C2674"/>
      <c r="D2674"/>
    </row>
    <row r="2675" spans="2:4">
      <c r="B2675"/>
      <c r="C2675"/>
      <c r="D2675"/>
    </row>
    <row r="2676" spans="2:4">
      <c r="B2676"/>
      <c r="C2676"/>
      <c r="D2676"/>
    </row>
    <row r="2677" spans="2:4">
      <c r="B2677"/>
      <c r="C2677"/>
      <c r="D2677"/>
    </row>
    <row r="2678" spans="2:4">
      <c r="B2678"/>
      <c r="C2678"/>
      <c r="D2678"/>
    </row>
    <row r="2679" spans="2:4">
      <c r="B2679"/>
      <c r="C2679"/>
      <c r="D2679"/>
    </row>
    <row r="2680" spans="2:4">
      <c r="B2680"/>
      <c r="C2680"/>
      <c r="D2680"/>
    </row>
    <row r="2681" spans="2:4">
      <c r="B2681"/>
      <c r="C2681"/>
      <c r="D2681"/>
    </row>
    <row r="2682" spans="2:4">
      <c r="B2682"/>
      <c r="C2682"/>
      <c r="D2682"/>
    </row>
    <row r="2683" spans="2:4">
      <c r="B2683"/>
      <c r="C2683"/>
      <c r="D2683"/>
    </row>
    <row r="2684" spans="2:4">
      <c r="B2684"/>
      <c r="C2684"/>
      <c r="D2684"/>
    </row>
    <row r="2685" spans="2:4">
      <c r="B2685"/>
      <c r="C2685"/>
      <c r="D2685"/>
    </row>
    <row r="2686" spans="2:4">
      <c r="B2686"/>
      <c r="C2686"/>
      <c r="D2686"/>
    </row>
    <row r="2687" spans="2:4">
      <c r="B2687"/>
      <c r="C2687"/>
      <c r="D2687"/>
    </row>
    <row r="2688" spans="2:4">
      <c r="B2688"/>
      <c r="C2688"/>
      <c r="D2688"/>
    </row>
    <row r="2689" spans="2:4">
      <c r="B2689"/>
      <c r="C2689"/>
      <c r="D2689"/>
    </row>
    <row r="2690" spans="2:4">
      <c r="B2690"/>
      <c r="C2690"/>
      <c r="D2690"/>
    </row>
    <row r="2691" spans="2:4">
      <c r="B2691"/>
      <c r="C2691"/>
      <c r="D2691"/>
    </row>
    <row r="2692" spans="2:4">
      <c r="B2692"/>
      <c r="C2692"/>
      <c r="D2692"/>
    </row>
    <row r="2693" spans="2:4">
      <c r="B2693"/>
      <c r="C2693"/>
      <c r="D2693"/>
    </row>
    <row r="2694" spans="2:4">
      <c r="B2694"/>
      <c r="C2694"/>
      <c r="D2694"/>
    </row>
    <row r="2695" spans="2:4">
      <c r="B2695"/>
      <c r="C2695"/>
      <c r="D2695"/>
    </row>
    <row r="2696" spans="2:4">
      <c r="B2696"/>
      <c r="C2696"/>
      <c r="D2696"/>
    </row>
    <row r="2697" spans="2:4">
      <c r="B2697"/>
      <c r="C2697"/>
      <c r="D2697"/>
    </row>
    <row r="2698" spans="2:4">
      <c r="B2698"/>
      <c r="C2698"/>
      <c r="D2698"/>
    </row>
    <row r="2699" spans="2:4">
      <c r="B2699"/>
      <c r="C2699"/>
      <c r="D2699"/>
    </row>
    <row r="2700" spans="2:4">
      <c r="B2700"/>
      <c r="C2700"/>
      <c r="D2700"/>
    </row>
    <row r="2701" spans="2:4">
      <c r="B2701"/>
      <c r="C2701"/>
      <c r="D2701"/>
    </row>
    <row r="2702" spans="2:4">
      <c r="B2702"/>
      <c r="C2702"/>
      <c r="D2702"/>
    </row>
    <row r="2703" spans="2:4">
      <c r="B2703"/>
      <c r="C2703"/>
      <c r="D2703"/>
    </row>
    <row r="2704" spans="2:4">
      <c r="B2704"/>
      <c r="C2704"/>
      <c r="D2704"/>
    </row>
    <row r="2705" spans="2:4">
      <c r="B2705"/>
      <c r="C2705"/>
      <c r="D2705"/>
    </row>
    <row r="2706" spans="2:4">
      <c r="B2706"/>
      <c r="C2706"/>
      <c r="D2706"/>
    </row>
    <row r="2707" spans="2:4">
      <c r="B2707"/>
      <c r="C2707"/>
      <c r="D2707"/>
    </row>
    <row r="2708" spans="2:4">
      <c r="B2708"/>
      <c r="C2708"/>
      <c r="D2708"/>
    </row>
    <row r="2709" spans="2:4">
      <c r="B2709"/>
      <c r="C2709"/>
      <c r="D2709"/>
    </row>
    <row r="2710" spans="2:4">
      <c r="B2710"/>
      <c r="C2710"/>
      <c r="D2710"/>
    </row>
    <row r="2711" spans="2:4">
      <c r="B2711"/>
      <c r="C2711"/>
      <c r="D2711"/>
    </row>
    <row r="2712" spans="2:4">
      <c r="B2712"/>
      <c r="C2712"/>
      <c r="D2712"/>
    </row>
    <row r="2713" spans="2:4">
      <c r="B2713"/>
      <c r="C2713"/>
      <c r="D2713"/>
    </row>
    <row r="2714" spans="2:4">
      <c r="B2714"/>
      <c r="C2714"/>
      <c r="D2714"/>
    </row>
    <row r="2715" spans="2:4">
      <c r="B2715"/>
      <c r="C2715"/>
      <c r="D2715"/>
    </row>
    <row r="2716" spans="2:4">
      <c r="B2716"/>
      <c r="C2716"/>
      <c r="D2716"/>
    </row>
    <row r="2717" spans="2:4">
      <c r="B2717"/>
      <c r="C2717"/>
      <c r="D2717"/>
    </row>
    <row r="2718" spans="2:4">
      <c r="B2718"/>
      <c r="C2718"/>
      <c r="D2718"/>
    </row>
    <row r="2719" spans="2:4">
      <c r="B2719"/>
      <c r="C2719"/>
      <c r="D2719"/>
    </row>
    <row r="2720" spans="2:4">
      <c r="B2720"/>
      <c r="C2720"/>
      <c r="D2720"/>
    </row>
    <row r="2721" spans="2:4">
      <c r="B2721"/>
      <c r="C2721"/>
      <c r="D2721"/>
    </row>
    <row r="2722" spans="2:4">
      <c r="B2722"/>
      <c r="C2722"/>
      <c r="D2722"/>
    </row>
    <row r="2723" spans="2:4">
      <c r="B2723"/>
      <c r="C2723"/>
      <c r="D2723"/>
    </row>
    <row r="2724" spans="2:4">
      <c r="B2724"/>
      <c r="C2724"/>
      <c r="D2724"/>
    </row>
    <row r="2725" spans="2:4">
      <c r="B2725"/>
      <c r="C2725"/>
      <c r="D2725"/>
    </row>
    <row r="2726" spans="2:4">
      <c r="B2726"/>
      <c r="C2726"/>
      <c r="D2726"/>
    </row>
    <row r="2727" spans="2:4">
      <c r="B2727"/>
      <c r="C2727"/>
      <c r="D2727"/>
    </row>
    <row r="2728" spans="2:4">
      <c r="B2728"/>
      <c r="C2728"/>
      <c r="D2728"/>
    </row>
    <row r="2729" spans="2:4">
      <c r="B2729"/>
      <c r="C2729"/>
      <c r="D2729"/>
    </row>
    <row r="2730" spans="2:4">
      <c r="B2730"/>
      <c r="C2730"/>
      <c r="D2730"/>
    </row>
    <row r="2731" spans="2:4">
      <c r="B2731"/>
      <c r="C2731"/>
      <c r="D2731"/>
    </row>
    <row r="2732" spans="2:4">
      <c r="B2732"/>
      <c r="C2732"/>
      <c r="D2732"/>
    </row>
    <row r="2733" spans="2:4">
      <c r="B2733"/>
      <c r="C2733"/>
      <c r="D2733"/>
    </row>
    <row r="2734" spans="2:4">
      <c r="B2734"/>
      <c r="C2734"/>
      <c r="D2734"/>
    </row>
    <row r="2735" spans="2:4">
      <c r="B2735"/>
      <c r="C2735"/>
      <c r="D2735"/>
    </row>
    <row r="2736" spans="2:4">
      <c r="B2736"/>
      <c r="C2736"/>
      <c r="D2736"/>
    </row>
    <row r="2737" spans="2:4">
      <c r="B2737"/>
      <c r="C2737"/>
      <c r="D2737"/>
    </row>
    <row r="2738" spans="2:4">
      <c r="B2738"/>
      <c r="C2738"/>
      <c r="D2738"/>
    </row>
    <row r="2739" spans="2:4">
      <c r="B2739"/>
      <c r="C2739"/>
      <c r="D2739"/>
    </row>
    <row r="2740" spans="2:4">
      <c r="B2740"/>
      <c r="C2740"/>
      <c r="D2740"/>
    </row>
    <row r="2741" spans="2:4">
      <c r="B2741"/>
      <c r="C2741"/>
      <c r="D2741"/>
    </row>
    <row r="2742" spans="2:4">
      <c r="B2742"/>
      <c r="C2742"/>
      <c r="D2742"/>
    </row>
    <row r="2743" spans="2:4">
      <c r="B2743"/>
      <c r="C2743"/>
      <c r="D2743"/>
    </row>
    <row r="2744" spans="2:4">
      <c r="B2744"/>
      <c r="C2744"/>
      <c r="D2744"/>
    </row>
    <row r="2745" spans="2:4">
      <c r="B2745"/>
      <c r="C2745"/>
      <c r="D2745"/>
    </row>
    <row r="2746" spans="2:4">
      <c r="B2746"/>
      <c r="C2746"/>
      <c r="D2746"/>
    </row>
    <row r="2747" spans="2:4">
      <c r="B2747"/>
      <c r="C2747"/>
      <c r="D2747"/>
    </row>
    <row r="2748" spans="2:4">
      <c r="B2748"/>
      <c r="C2748"/>
      <c r="D2748"/>
    </row>
    <row r="2749" spans="2:4">
      <c r="B2749"/>
      <c r="C2749"/>
      <c r="D2749"/>
    </row>
    <row r="2750" spans="2:4">
      <c r="B2750"/>
      <c r="C2750"/>
      <c r="D2750"/>
    </row>
    <row r="2751" spans="2:4">
      <c r="B2751"/>
      <c r="C2751"/>
      <c r="D2751"/>
    </row>
    <row r="2752" spans="2:4">
      <c r="B2752"/>
      <c r="C2752"/>
      <c r="D2752"/>
    </row>
    <row r="2753" spans="2:4">
      <c r="B2753"/>
      <c r="C2753"/>
      <c r="D2753"/>
    </row>
    <row r="2754" spans="2:4">
      <c r="B2754"/>
      <c r="C2754"/>
      <c r="D2754"/>
    </row>
    <row r="2755" spans="2:4">
      <c r="B2755"/>
      <c r="C2755"/>
      <c r="D2755"/>
    </row>
    <row r="2756" spans="2:4">
      <c r="B2756"/>
      <c r="C2756"/>
      <c r="D2756"/>
    </row>
    <row r="2757" spans="2:4">
      <c r="B2757"/>
      <c r="C2757"/>
      <c r="D2757"/>
    </row>
    <row r="2758" spans="2:4">
      <c r="B2758"/>
      <c r="C2758"/>
      <c r="D2758"/>
    </row>
    <row r="2759" spans="2:4">
      <c r="B2759"/>
      <c r="C2759"/>
      <c r="D2759"/>
    </row>
    <row r="2760" spans="2:4">
      <c r="B2760"/>
      <c r="C2760"/>
      <c r="D2760"/>
    </row>
    <row r="2761" spans="2:4">
      <c r="B2761"/>
      <c r="C2761"/>
      <c r="D2761"/>
    </row>
    <row r="2762" spans="2:4">
      <c r="B2762"/>
      <c r="C2762"/>
      <c r="D2762"/>
    </row>
    <row r="2763" spans="2:4">
      <c r="B2763"/>
      <c r="C2763"/>
      <c r="D2763"/>
    </row>
    <row r="2764" spans="2:4">
      <c r="B2764"/>
      <c r="C2764"/>
      <c r="D2764"/>
    </row>
    <row r="2765" spans="2:4">
      <c r="B2765"/>
      <c r="C2765"/>
      <c r="D2765"/>
    </row>
    <row r="2766" spans="2:4">
      <c r="B2766"/>
      <c r="C2766"/>
      <c r="D2766"/>
    </row>
    <row r="2767" spans="2:4">
      <c r="B2767"/>
      <c r="C2767"/>
      <c r="D2767"/>
    </row>
    <row r="2768" spans="2:4">
      <c r="B2768"/>
      <c r="C2768"/>
      <c r="D2768"/>
    </row>
    <row r="2769" spans="2:4">
      <c r="B2769"/>
      <c r="C2769"/>
      <c r="D2769"/>
    </row>
    <row r="2770" spans="2:4">
      <c r="B2770"/>
      <c r="C2770"/>
      <c r="D2770"/>
    </row>
    <row r="2771" spans="2:4">
      <c r="B2771"/>
      <c r="C2771"/>
      <c r="D2771"/>
    </row>
    <row r="2772" spans="2:4">
      <c r="B2772"/>
      <c r="C2772"/>
      <c r="D2772"/>
    </row>
    <row r="2773" spans="2:4">
      <c r="B2773"/>
      <c r="C2773"/>
      <c r="D2773"/>
    </row>
    <row r="2774" spans="2:4">
      <c r="B2774"/>
      <c r="C2774"/>
      <c r="D2774"/>
    </row>
    <row r="2775" spans="2:4">
      <c r="B2775"/>
      <c r="C2775"/>
      <c r="D2775"/>
    </row>
    <row r="2776" spans="2:4">
      <c r="B2776"/>
      <c r="C2776"/>
      <c r="D2776"/>
    </row>
    <row r="2777" spans="2:4">
      <c r="B2777"/>
      <c r="C2777"/>
      <c r="D2777"/>
    </row>
    <row r="2778" spans="2:4">
      <c r="B2778"/>
      <c r="C2778"/>
      <c r="D2778"/>
    </row>
    <row r="2779" spans="2:4">
      <c r="B2779"/>
      <c r="C2779"/>
      <c r="D2779"/>
    </row>
    <row r="2780" spans="2:4">
      <c r="B2780"/>
      <c r="C2780"/>
      <c r="D2780"/>
    </row>
    <row r="2781" spans="2:4">
      <c r="B2781"/>
      <c r="C2781"/>
      <c r="D2781"/>
    </row>
    <row r="2782" spans="2:4">
      <c r="B2782"/>
      <c r="C2782"/>
      <c r="D2782"/>
    </row>
    <row r="2783" spans="2:4">
      <c r="B2783"/>
      <c r="C2783"/>
      <c r="D2783"/>
    </row>
    <row r="2784" spans="2:4">
      <c r="B2784"/>
      <c r="C2784"/>
      <c r="D2784"/>
    </row>
    <row r="2785" spans="2:4">
      <c r="B2785"/>
      <c r="C2785"/>
      <c r="D2785"/>
    </row>
    <row r="2786" spans="2:4">
      <c r="B2786"/>
      <c r="C2786"/>
      <c r="D2786"/>
    </row>
    <row r="2787" spans="2:4">
      <c r="B2787"/>
      <c r="C2787"/>
      <c r="D2787"/>
    </row>
    <row r="2788" spans="2:4">
      <c r="B2788"/>
      <c r="C2788"/>
      <c r="D2788"/>
    </row>
    <row r="2789" spans="2:4">
      <c r="B2789"/>
      <c r="C2789"/>
      <c r="D2789"/>
    </row>
    <row r="2790" spans="2:4">
      <c r="B2790"/>
      <c r="C2790"/>
      <c r="D2790"/>
    </row>
    <row r="2791" spans="2:4">
      <c r="B2791"/>
      <c r="C2791"/>
      <c r="D2791"/>
    </row>
    <row r="2792" spans="2:4">
      <c r="B2792"/>
      <c r="C2792"/>
      <c r="D2792"/>
    </row>
    <row r="2793" spans="2:4">
      <c r="B2793"/>
      <c r="C2793"/>
      <c r="D2793"/>
    </row>
    <row r="2794" spans="2:4">
      <c r="B2794"/>
      <c r="C2794"/>
      <c r="D2794"/>
    </row>
    <row r="2795" spans="2:4">
      <c r="B2795"/>
      <c r="C2795"/>
      <c r="D2795"/>
    </row>
    <row r="2796" spans="2:4">
      <c r="B2796"/>
      <c r="C2796"/>
      <c r="D2796"/>
    </row>
    <row r="2797" spans="2:4">
      <c r="B2797"/>
      <c r="C2797"/>
      <c r="D2797"/>
    </row>
    <row r="2798" spans="2:4">
      <c r="B2798"/>
      <c r="C2798"/>
      <c r="D2798"/>
    </row>
    <row r="2799" spans="2:4">
      <c r="B2799"/>
      <c r="C2799"/>
      <c r="D2799"/>
    </row>
    <row r="2800" spans="2:4">
      <c r="B2800"/>
      <c r="C2800"/>
      <c r="D2800"/>
    </row>
    <row r="2801" spans="2:4">
      <c r="B2801"/>
      <c r="C2801"/>
      <c r="D2801"/>
    </row>
    <row r="2802" spans="2:4">
      <c r="B2802"/>
      <c r="C2802"/>
      <c r="D2802"/>
    </row>
    <row r="2803" spans="2:4">
      <c r="B2803"/>
      <c r="C2803"/>
      <c r="D2803"/>
    </row>
    <row r="2804" spans="2:4">
      <c r="B2804"/>
      <c r="C2804"/>
      <c r="D2804"/>
    </row>
    <row r="2805" spans="2:4">
      <c r="B2805"/>
      <c r="C2805"/>
      <c r="D2805"/>
    </row>
    <row r="2806" spans="2:4">
      <c r="B2806"/>
      <c r="C2806"/>
      <c r="D2806"/>
    </row>
    <row r="2807" spans="2:4">
      <c r="B2807"/>
      <c r="C2807"/>
      <c r="D2807"/>
    </row>
    <row r="2808" spans="2:4">
      <c r="B2808"/>
      <c r="C2808"/>
      <c r="D2808"/>
    </row>
    <row r="2809" spans="2:4">
      <c r="B2809"/>
      <c r="C2809"/>
      <c r="D2809"/>
    </row>
    <row r="2810" spans="2:4">
      <c r="B2810"/>
      <c r="C2810"/>
      <c r="D2810"/>
    </row>
    <row r="2811" spans="2:4">
      <c r="B2811"/>
      <c r="C2811"/>
      <c r="D2811"/>
    </row>
    <row r="2812" spans="2:4">
      <c r="B2812"/>
      <c r="C2812"/>
      <c r="D2812"/>
    </row>
    <row r="2813" spans="2:4">
      <c r="B2813"/>
      <c r="C2813"/>
      <c r="D2813"/>
    </row>
    <row r="2814" spans="2:4">
      <c r="B2814"/>
      <c r="C2814"/>
      <c r="D2814"/>
    </row>
    <row r="2815" spans="2:4">
      <c r="B2815"/>
      <c r="C2815"/>
      <c r="D2815"/>
    </row>
    <row r="2816" spans="2:4">
      <c r="B2816"/>
      <c r="C2816"/>
      <c r="D2816"/>
    </row>
    <row r="2817" spans="2:4">
      <c r="B2817"/>
      <c r="C2817"/>
      <c r="D2817"/>
    </row>
    <row r="2818" spans="2:4">
      <c r="B2818"/>
      <c r="C2818"/>
      <c r="D2818"/>
    </row>
    <row r="2819" spans="2:4">
      <c r="B2819"/>
      <c r="C2819"/>
      <c r="D2819"/>
    </row>
    <row r="2820" spans="2:4">
      <c r="B2820"/>
      <c r="C2820"/>
      <c r="D2820"/>
    </row>
    <row r="2821" spans="2:4">
      <c r="B2821"/>
      <c r="C2821"/>
      <c r="D2821"/>
    </row>
    <row r="2822" spans="2:4">
      <c r="B2822"/>
      <c r="C2822"/>
      <c r="D2822"/>
    </row>
    <row r="2823" spans="2:4">
      <c r="B2823"/>
      <c r="C2823"/>
      <c r="D2823"/>
    </row>
    <row r="2824" spans="2:4">
      <c r="B2824"/>
      <c r="C2824"/>
      <c r="D2824"/>
    </row>
    <row r="2825" spans="2:4">
      <c r="B2825"/>
      <c r="C2825"/>
      <c r="D2825"/>
    </row>
    <row r="2826" spans="2:4">
      <c r="B2826"/>
      <c r="C2826"/>
      <c r="D2826"/>
    </row>
    <row r="2827" spans="2:4">
      <c r="B2827"/>
      <c r="C2827"/>
      <c r="D2827"/>
    </row>
    <row r="2828" spans="2:4">
      <c r="B2828"/>
      <c r="C2828"/>
      <c r="D2828"/>
    </row>
    <row r="2829" spans="2:4">
      <c r="B2829"/>
      <c r="C2829"/>
      <c r="D2829"/>
    </row>
    <row r="2830" spans="2:4">
      <c r="B2830"/>
      <c r="C2830"/>
      <c r="D2830"/>
    </row>
    <row r="2831" spans="2:4">
      <c r="B2831"/>
      <c r="C2831"/>
      <c r="D2831"/>
    </row>
    <row r="2832" spans="2:4">
      <c r="B2832"/>
      <c r="C2832"/>
      <c r="D2832"/>
    </row>
    <row r="2833" spans="2:4">
      <c r="B2833"/>
      <c r="C2833"/>
      <c r="D2833"/>
    </row>
    <row r="2834" spans="2:4">
      <c r="B2834"/>
      <c r="C2834"/>
      <c r="D2834"/>
    </row>
    <row r="2835" spans="2:4">
      <c r="B2835"/>
      <c r="C2835"/>
      <c r="D2835"/>
    </row>
    <row r="2836" spans="2:4">
      <c r="B2836"/>
      <c r="C2836"/>
      <c r="D2836"/>
    </row>
    <row r="2837" spans="2:4">
      <c r="B2837"/>
      <c r="C2837"/>
      <c r="D2837"/>
    </row>
    <row r="2838" spans="2:4">
      <c r="B2838"/>
      <c r="C2838"/>
      <c r="D2838"/>
    </row>
    <row r="2839" spans="2:4">
      <c r="B2839"/>
      <c r="C2839"/>
      <c r="D2839"/>
    </row>
    <row r="2840" spans="2:4">
      <c r="B2840"/>
      <c r="C2840"/>
      <c r="D2840"/>
    </row>
    <row r="2841" spans="2:4">
      <c r="B2841"/>
      <c r="C2841"/>
      <c r="D2841"/>
    </row>
    <row r="2842" spans="2:4">
      <c r="B2842"/>
      <c r="C2842"/>
      <c r="D2842"/>
    </row>
    <row r="2843" spans="2:4">
      <c r="B2843"/>
      <c r="C2843"/>
      <c r="D2843"/>
    </row>
    <row r="2844" spans="2:4">
      <c r="B2844"/>
      <c r="C2844"/>
      <c r="D2844"/>
    </row>
    <row r="2845" spans="2:4">
      <c r="B2845"/>
      <c r="C2845"/>
      <c r="D2845"/>
    </row>
    <row r="2846" spans="2:4">
      <c r="B2846"/>
      <c r="C2846"/>
      <c r="D2846"/>
    </row>
    <row r="2847" spans="2:4">
      <c r="B2847"/>
      <c r="C2847"/>
      <c r="D2847"/>
    </row>
    <row r="2848" spans="2:4">
      <c r="B2848"/>
      <c r="C2848"/>
      <c r="D2848"/>
    </row>
    <row r="2849" spans="2:4">
      <c r="B2849"/>
      <c r="C2849"/>
      <c r="D2849"/>
    </row>
    <row r="2850" spans="2:4">
      <c r="B2850"/>
      <c r="C2850"/>
      <c r="D2850"/>
    </row>
    <row r="2851" spans="2:4">
      <c r="B2851"/>
      <c r="C2851"/>
      <c r="D2851"/>
    </row>
    <row r="2852" spans="2:4">
      <c r="B2852"/>
      <c r="C2852"/>
      <c r="D2852"/>
    </row>
    <row r="2853" spans="2:4">
      <c r="B2853"/>
      <c r="C2853"/>
      <c r="D2853"/>
    </row>
    <row r="2854" spans="2:4">
      <c r="B2854"/>
      <c r="C2854"/>
      <c r="D2854"/>
    </row>
    <row r="2855" spans="2:4">
      <c r="B2855"/>
      <c r="C2855"/>
      <c r="D2855"/>
    </row>
    <row r="2856" spans="2:4">
      <c r="B2856"/>
      <c r="C2856"/>
      <c r="D2856"/>
    </row>
    <row r="2857" spans="2:4">
      <c r="B2857"/>
      <c r="C2857"/>
      <c r="D2857"/>
    </row>
    <row r="2858" spans="2:4">
      <c r="B2858"/>
      <c r="C2858"/>
      <c r="D2858"/>
    </row>
    <row r="2859" spans="2:4">
      <c r="B2859"/>
      <c r="C2859"/>
      <c r="D2859"/>
    </row>
    <row r="2860" spans="2:4">
      <c r="B2860"/>
      <c r="C2860"/>
      <c r="D2860"/>
    </row>
    <row r="2861" spans="2:4">
      <c r="B2861"/>
      <c r="C2861"/>
      <c r="D2861"/>
    </row>
    <row r="2862" spans="2:4">
      <c r="B2862"/>
      <c r="C2862"/>
      <c r="D2862"/>
    </row>
    <row r="2863" spans="2:4">
      <c r="B2863"/>
      <c r="C2863"/>
      <c r="D2863"/>
    </row>
    <row r="2864" spans="2:4">
      <c r="B2864"/>
      <c r="C2864"/>
      <c r="D2864"/>
    </row>
    <row r="2865" spans="2:4">
      <c r="B2865"/>
      <c r="C2865"/>
      <c r="D2865"/>
    </row>
    <row r="2866" spans="2:4">
      <c r="B2866"/>
      <c r="C2866"/>
      <c r="D2866"/>
    </row>
    <row r="2867" spans="2:4">
      <c r="B2867"/>
      <c r="C2867"/>
      <c r="D2867"/>
    </row>
    <row r="2868" spans="2:4">
      <c r="B2868"/>
      <c r="C2868"/>
      <c r="D2868"/>
    </row>
    <row r="2869" spans="2:4">
      <c r="B2869"/>
      <c r="C2869"/>
      <c r="D2869"/>
    </row>
    <row r="2870" spans="2:4">
      <c r="B2870"/>
      <c r="C2870"/>
      <c r="D2870"/>
    </row>
    <row r="2871" spans="2:4">
      <c r="B2871"/>
      <c r="C2871"/>
      <c r="D2871"/>
    </row>
    <row r="2872" spans="2:4">
      <c r="B2872"/>
      <c r="C2872"/>
      <c r="D2872"/>
    </row>
    <row r="2873" spans="2:4">
      <c r="B2873"/>
      <c r="C2873"/>
      <c r="D2873"/>
    </row>
    <row r="2874" spans="2:4">
      <c r="B2874"/>
      <c r="C2874"/>
      <c r="D2874"/>
    </row>
    <row r="2875" spans="2:4">
      <c r="B2875"/>
      <c r="C2875"/>
      <c r="D2875"/>
    </row>
    <row r="2876" spans="2:4">
      <c r="B2876"/>
      <c r="C2876"/>
      <c r="D2876"/>
    </row>
    <row r="2877" spans="2:4">
      <c r="B2877"/>
      <c r="C2877"/>
      <c r="D2877"/>
    </row>
    <row r="2878" spans="2:4">
      <c r="B2878"/>
      <c r="C2878"/>
      <c r="D2878"/>
    </row>
    <row r="2879" spans="2:4">
      <c r="B2879"/>
      <c r="C2879"/>
      <c r="D2879"/>
    </row>
    <row r="2880" spans="2:4">
      <c r="B2880"/>
      <c r="C2880"/>
      <c r="D2880"/>
    </row>
    <row r="2881" spans="2:4">
      <c r="B2881"/>
      <c r="C2881"/>
      <c r="D2881"/>
    </row>
    <row r="2882" spans="2:4">
      <c r="B2882"/>
      <c r="C2882"/>
      <c r="D2882"/>
    </row>
    <row r="2883" spans="2:4">
      <c r="B2883"/>
      <c r="C2883"/>
      <c r="D2883"/>
    </row>
    <row r="2884" spans="2:4">
      <c r="B2884"/>
      <c r="C2884"/>
      <c r="D2884"/>
    </row>
    <row r="2885" spans="2:4">
      <c r="B2885"/>
      <c r="C2885"/>
      <c r="D2885"/>
    </row>
    <row r="2886" spans="2:4">
      <c r="B2886"/>
      <c r="C2886"/>
      <c r="D2886"/>
    </row>
    <row r="2887" spans="2:4">
      <c r="B2887"/>
      <c r="C2887"/>
      <c r="D2887"/>
    </row>
    <row r="2888" spans="2:4">
      <c r="B2888"/>
      <c r="C2888"/>
      <c r="D2888"/>
    </row>
    <row r="2889" spans="2:4">
      <c r="B2889"/>
      <c r="C2889"/>
      <c r="D2889"/>
    </row>
    <row r="2890" spans="2:4">
      <c r="B2890"/>
      <c r="C2890"/>
      <c r="D2890"/>
    </row>
    <row r="2891" spans="2:4">
      <c r="B2891"/>
      <c r="C2891"/>
      <c r="D2891"/>
    </row>
    <row r="2892" spans="2:4">
      <c r="B2892"/>
      <c r="C2892"/>
      <c r="D2892"/>
    </row>
    <row r="2893" spans="2:4">
      <c r="B2893"/>
      <c r="C2893"/>
      <c r="D2893"/>
    </row>
    <row r="2894" spans="2:4">
      <c r="B2894"/>
      <c r="C2894"/>
      <c r="D2894"/>
    </row>
    <row r="2895" spans="2:4">
      <c r="B2895"/>
      <c r="C2895"/>
      <c r="D2895"/>
    </row>
    <row r="2896" spans="2:4">
      <c r="B2896"/>
      <c r="C2896"/>
      <c r="D2896"/>
    </row>
    <row r="2897" spans="2:4">
      <c r="B2897"/>
      <c r="C2897"/>
      <c r="D2897"/>
    </row>
    <row r="2898" spans="2:4">
      <c r="B2898"/>
      <c r="C2898"/>
      <c r="D2898"/>
    </row>
    <row r="2899" spans="2:4">
      <c r="B2899"/>
      <c r="C2899"/>
      <c r="D2899"/>
    </row>
    <row r="2900" spans="2:4">
      <c r="B2900"/>
      <c r="C2900"/>
      <c r="D2900"/>
    </row>
    <row r="2901" spans="2:4">
      <c r="B2901"/>
      <c r="C2901"/>
      <c r="D2901"/>
    </row>
    <row r="2902" spans="2:4">
      <c r="B2902"/>
      <c r="C2902"/>
      <c r="D2902"/>
    </row>
    <row r="2903" spans="2:4">
      <c r="B2903"/>
      <c r="C2903"/>
      <c r="D2903"/>
    </row>
    <row r="2904" spans="2:4">
      <c r="B2904"/>
      <c r="C2904"/>
      <c r="D2904"/>
    </row>
    <row r="2905" spans="2:4">
      <c r="B2905"/>
      <c r="C2905"/>
      <c r="D2905"/>
    </row>
    <row r="2906" spans="2:4">
      <c r="B2906"/>
      <c r="C2906"/>
      <c r="D2906"/>
    </row>
    <row r="2907" spans="2:4">
      <c r="B2907"/>
      <c r="C2907"/>
      <c r="D2907"/>
    </row>
    <row r="2908" spans="2:4">
      <c r="B2908"/>
      <c r="C2908"/>
      <c r="D2908"/>
    </row>
    <row r="2909" spans="2:4">
      <c r="B2909"/>
      <c r="C2909"/>
      <c r="D2909"/>
    </row>
    <row r="2910" spans="2:4">
      <c r="B2910"/>
      <c r="C2910"/>
      <c r="D2910"/>
    </row>
    <row r="2911" spans="2:4">
      <c r="B2911"/>
      <c r="C2911"/>
      <c r="D2911"/>
    </row>
    <row r="2912" spans="2:4">
      <c r="B2912"/>
      <c r="C2912"/>
      <c r="D2912"/>
    </row>
    <row r="2913" spans="2:4">
      <c r="B2913"/>
      <c r="C2913"/>
      <c r="D2913"/>
    </row>
    <row r="2914" spans="2:4">
      <c r="B2914"/>
      <c r="C2914"/>
      <c r="D2914"/>
    </row>
    <row r="2915" spans="2:4">
      <c r="B2915"/>
      <c r="C2915"/>
      <c r="D2915"/>
    </row>
    <row r="2916" spans="2:4">
      <c r="B2916"/>
      <c r="C2916"/>
      <c r="D2916"/>
    </row>
    <row r="2917" spans="2:4">
      <c r="B2917"/>
      <c r="C2917"/>
      <c r="D2917"/>
    </row>
    <row r="2918" spans="2:4">
      <c r="B2918"/>
      <c r="C2918"/>
      <c r="D2918"/>
    </row>
    <row r="2919" spans="2:4">
      <c r="B2919"/>
      <c r="C2919"/>
      <c r="D2919"/>
    </row>
    <row r="2920" spans="2:4">
      <c r="B2920"/>
      <c r="C2920"/>
      <c r="D2920"/>
    </row>
    <row r="2921" spans="2:4">
      <c r="B2921"/>
      <c r="C2921"/>
      <c r="D2921"/>
    </row>
    <row r="2922" spans="2:4">
      <c r="B2922"/>
      <c r="C2922"/>
      <c r="D2922"/>
    </row>
    <row r="2923" spans="2:4">
      <c r="B2923"/>
      <c r="C2923"/>
      <c r="D2923"/>
    </row>
    <row r="2924" spans="2:4">
      <c r="B2924"/>
      <c r="C2924"/>
      <c r="D2924"/>
    </row>
    <row r="2925" spans="2:4">
      <c r="B2925"/>
      <c r="C2925"/>
      <c r="D2925"/>
    </row>
    <row r="2926" spans="2:4">
      <c r="B2926"/>
      <c r="C2926"/>
      <c r="D2926"/>
    </row>
    <row r="2927" spans="2:4">
      <c r="B2927"/>
      <c r="C2927"/>
      <c r="D2927"/>
    </row>
    <row r="2928" spans="2:4">
      <c r="B2928"/>
      <c r="C2928"/>
      <c r="D2928"/>
    </row>
    <row r="2929" spans="2:4">
      <c r="B2929"/>
      <c r="C2929"/>
      <c r="D2929"/>
    </row>
    <row r="2930" spans="2:4">
      <c r="B2930"/>
      <c r="C2930"/>
      <c r="D2930"/>
    </row>
    <row r="2931" spans="2:4">
      <c r="B2931"/>
      <c r="C2931"/>
      <c r="D2931"/>
    </row>
    <row r="2932" spans="2:4">
      <c r="B2932"/>
      <c r="C2932"/>
      <c r="D2932"/>
    </row>
    <row r="2933" spans="2:4">
      <c r="B2933"/>
      <c r="C2933"/>
      <c r="D2933"/>
    </row>
    <row r="2934" spans="2:4">
      <c r="B2934"/>
      <c r="C2934"/>
      <c r="D2934"/>
    </row>
    <row r="2935" spans="2:4">
      <c r="B2935"/>
      <c r="C2935"/>
      <c r="D2935"/>
    </row>
    <row r="2936" spans="2:4">
      <c r="B2936"/>
      <c r="C2936"/>
      <c r="D2936"/>
    </row>
    <row r="2937" spans="2:4">
      <c r="B2937"/>
      <c r="C2937"/>
      <c r="D2937"/>
    </row>
    <row r="2938" spans="2:4">
      <c r="B2938"/>
      <c r="C2938"/>
      <c r="D2938"/>
    </row>
    <row r="2939" spans="2:4">
      <c r="B2939"/>
      <c r="C2939"/>
      <c r="D2939"/>
    </row>
  </sheetData>
  <sortState xmlns:xlrd2="http://schemas.microsoft.com/office/spreadsheetml/2017/richdata2" ref="I434:I448">
    <sortCondition descending="1" ref="I434:I448"/>
  </sortState>
  <conditionalFormatting pivot="1">
    <cfRule type="colorScale" priority="2">
      <colorScale>
        <cfvo type="min"/>
        <cfvo type="percentile" val="50"/>
        <cfvo type="max"/>
        <color rgb="FF63BE7B"/>
        <color rgb="FFFFEB84"/>
        <color rgb="FFF8696B"/>
      </colorScale>
    </cfRule>
  </conditionalFormatting>
  <conditionalFormatting pivot="1">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56"/>
  <drawing r:id="rId57"/>
  <extLst>
    <ext xmlns:x14="http://schemas.microsoft.com/office/spreadsheetml/2009/9/main" uri="{A8765BA9-456A-4dab-B4F3-ACF838C121DE}">
      <x14:slicerList>
        <x14:slicer r:id="rId58"/>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7FC2D-3BD0-460A-9F13-8F3BDB75B359}">
  <dimension ref="A2:V2272"/>
  <sheetViews>
    <sheetView topLeftCell="A1476" workbookViewId="0">
      <selection activeCell="E1511" sqref="E1511"/>
    </sheetView>
  </sheetViews>
  <sheetFormatPr defaultRowHeight="14"/>
  <cols>
    <col min="1" max="1" width="15.83203125" bestFit="1" customWidth="1"/>
    <col min="2" max="2" width="21.1640625" style="23" bestFit="1" customWidth="1"/>
    <col min="3" max="8" width="16.25" style="23" bestFit="1" customWidth="1"/>
    <col min="9" max="9" width="10.83203125" style="23" bestFit="1" customWidth="1"/>
    <col min="10" max="10" width="17.4140625" style="23" customWidth="1"/>
    <col min="11" max="11" width="16.9140625" style="23" bestFit="1" customWidth="1"/>
    <col min="12" max="12" width="16.33203125" style="23" customWidth="1"/>
    <col min="13" max="13" width="16.33203125" style="23" bestFit="1" customWidth="1"/>
    <col min="14" max="14" width="16.33203125" bestFit="1" customWidth="1"/>
    <col min="15" max="15" width="20.83203125" customWidth="1"/>
    <col min="16" max="16" width="19.58203125" customWidth="1"/>
    <col min="17" max="93" width="16.33203125" bestFit="1" customWidth="1"/>
    <col min="94" max="94" width="10.83203125" bestFit="1" customWidth="1"/>
    <col min="95" max="152" width="13.25" bestFit="1" customWidth="1"/>
    <col min="153" max="153" width="10.83203125" bestFit="1" customWidth="1"/>
    <col min="154" max="186" width="22.75" bestFit="1" customWidth="1"/>
    <col min="187" max="187" width="22.33203125" bestFit="1" customWidth="1"/>
    <col min="188" max="188" width="27.4140625" bestFit="1" customWidth="1"/>
  </cols>
  <sheetData>
    <row r="2" spans="1:13">
      <c r="A2" s="40" t="s">
        <v>3258</v>
      </c>
      <c r="F2" s="92"/>
      <c r="G2" s="134"/>
    </row>
    <row r="3" spans="1:13">
      <c r="A3" t="s">
        <v>3185</v>
      </c>
      <c r="B3" t="s">
        <v>3153</v>
      </c>
      <c r="C3" t="s">
        <v>3152</v>
      </c>
      <c r="D3" t="s">
        <v>3188</v>
      </c>
      <c r="E3" t="s">
        <v>3144</v>
      </c>
      <c r="F3" s="92" t="s">
        <v>3814</v>
      </c>
      <c r="G3" s="23" t="s">
        <v>3271</v>
      </c>
    </row>
    <row r="4" spans="1:13">
      <c r="A4" s="179">
        <v>1000</v>
      </c>
      <c r="B4" s="91">
        <v>548375</v>
      </c>
      <c r="C4" s="52">
        <v>2.9623000000000004</v>
      </c>
      <c r="D4" s="95">
        <v>2.069</v>
      </c>
      <c r="E4" s="96">
        <v>2.5242499999999956E-2</v>
      </c>
    </row>
    <row r="5" spans="1:13">
      <c r="B5"/>
      <c r="C5"/>
    </row>
    <row r="6" spans="1:13">
      <c r="A6" s="137">
        <f>18195/B4</f>
        <v>3.3179849555504903E-2</v>
      </c>
      <c r="B6" s="137" t="s">
        <v>3288</v>
      </c>
      <c r="C6"/>
      <c r="J6" s="23" t="s">
        <v>3274</v>
      </c>
    </row>
    <row r="7" spans="1:13">
      <c r="B7"/>
      <c r="C7"/>
    </row>
    <row r="8" spans="1:13">
      <c r="A8" s="40" t="s">
        <v>3259</v>
      </c>
      <c r="B8"/>
      <c r="C8"/>
      <c r="E8" s="23" t="s">
        <v>3270</v>
      </c>
      <c r="G8" s="23" t="s">
        <v>3268</v>
      </c>
      <c r="H8" s="23" t="s">
        <v>3267</v>
      </c>
      <c r="J8" s="23" t="s">
        <v>257</v>
      </c>
    </row>
    <row r="9" spans="1:13">
      <c r="A9" t="s">
        <v>3185</v>
      </c>
      <c r="B9" t="s">
        <v>3153</v>
      </c>
      <c r="C9" t="s">
        <v>3152</v>
      </c>
      <c r="D9" t="s">
        <v>3262</v>
      </c>
      <c r="E9" t="s">
        <v>3263</v>
      </c>
      <c r="F9" t="s">
        <v>3188</v>
      </c>
      <c r="G9" t="s">
        <v>3260</v>
      </c>
      <c r="H9" t="s">
        <v>3261</v>
      </c>
      <c r="I9" t="s">
        <v>3144</v>
      </c>
      <c r="J9" t="s">
        <v>3264</v>
      </c>
      <c r="K9" t="s">
        <v>3265</v>
      </c>
    </row>
    <row r="10" spans="1:13">
      <c r="A10" s="179">
        <v>1000</v>
      </c>
      <c r="B10" s="91">
        <v>548375</v>
      </c>
      <c r="C10" s="52">
        <v>2.9623000000000004</v>
      </c>
      <c r="D10" s="179">
        <v>-1</v>
      </c>
      <c r="E10" s="179">
        <v>6</v>
      </c>
      <c r="F10" s="95">
        <v>2.069</v>
      </c>
      <c r="G10" s="95">
        <v>23</v>
      </c>
      <c r="H10" s="95">
        <v>-16</v>
      </c>
      <c r="I10" s="96">
        <v>2.5242499999999956E-2</v>
      </c>
      <c r="J10" s="96">
        <v>0.16</v>
      </c>
      <c r="K10" s="96">
        <v>0</v>
      </c>
    </row>
    <row r="11" spans="1:13">
      <c r="B11"/>
      <c r="C11"/>
    </row>
    <row r="12" spans="1:13">
      <c r="B12"/>
      <c r="C12"/>
    </row>
    <row r="13" spans="1:13">
      <c r="A13" s="40" t="s">
        <v>3215</v>
      </c>
      <c r="B13"/>
      <c r="C13"/>
    </row>
    <row r="14" spans="1:13">
      <c r="A14" s="51" t="s">
        <v>3189</v>
      </c>
      <c r="B14" s="51" t="s">
        <v>19</v>
      </c>
      <c r="C14"/>
      <c r="D14"/>
      <c r="E14"/>
      <c r="F14"/>
      <c r="G14"/>
      <c r="H14"/>
      <c r="I14"/>
      <c r="J14"/>
      <c r="K14"/>
      <c r="L14"/>
      <c r="M14"/>
    </row>
    <row r="15" spans="1:13">
      <c r="A15" s="51" t="s">
        <v>4</v>
      </c>
      <c r="B15" t="s">
        <v>270</v>
      </c>
      <c r="C15" t="s">
        <v>87</v>
      </c>
      <c r="D15" t="s">
        <v>166</v>
      </c>
      <c r="E15" t="s">
        <v>135</v>
      </c>
      <c r="F15" t="s">
        <v>205</v>
      </c>
      <c r="G15" t="s">
        <v>39</v>
      </c>
      <c r="H15" t="s">
        <v>362</v>
      </c>
      <c r="I15" t="s">
        <v>3122</v>
      </c>
      <c r="J15" s="23" t="s">
        <v>270</v>
      </c>
      <c r="K15" t="s">
        <v>3190</v>
      </c>
      <c r="L15" t="s">
        <v>4</v>
      </c>
      <c r="M15" t="s">
        <v>3190</v>
      </c>
    </row>
    <row r="16" spans="1:13">
      <c r="A16" t="s">
        <v>3835</v>
      </c>
      <c r="B16" s="179">
        <v>5</v>
      </c>
      <c r="C16" s="179">
        <v>22</v>
      </c>
      <c r="D16" s="179">
        <v>3</v>
      </c>
      <c r="E16" s="179">
        <v>14</v>
      </c>
      <c r="F16" s="179">
        <v>5</v>
      </c>
      <c r="G16" s="179">
        <v>6</v>
      </c>
      <c r="H16" s="179"/>
      <c r="I16" s="179">
        <v>55</v>
      </c>
      <c r="J16" s="97">
        <f>$B16/$I16</f>
        <v>9.0909090909090912E-2</v>
      </c>
      <c r="K16" s="97">
        <f>$C16/$I16</f>
        <v>0.4</v>
      </c>
      <c r="L16" t="s">
        <v>33</v>
      </c>
      <c r="M16" s="97">
        <f>J16+K16</f>
        <v>0.49090909090909096</v>
      </c>
    </row>
    <row r="17" spans="1:13">
      <c r="A17" t="s">
        <v>3836</v>
      </c>
      <c r="B17" s="179">
        <v>10</v>
      </c>
      <c r="C17" s="179">
        <v>16</v>
      </c>
      <c r="D17" s="179">
        <v>4</v>
      </c>
      <c r="E17" s="179">
        <v>14</v>
      </c>
      <c r="F17" s="179">
        <v>9</v>
      </c>
      <c r="G17" s="179">
        <v>14</v>
      </c>
      <c r="H17" s="179"/>
      <c r="I17" s="179">
        <v>67</v>
      </c>
      <c r="J17" s="97">
        <f t="shared" ref="J17:J31" si="0">$B17/$I17</f>
        <v>0.14925373134328357</v>
      </c>
      <c r="K17" s="97">
        <f t="shared" ref="K17:K31" si="1">$C17/$I17</f>
        <v>0.23880597014925373</v>
      </c>
      <c r="L17" t="s">
        <v>91</v>
      </c>
      <c r="M17" s="97">
        <f t="shared" ref="M17:M30" si="2">J17+K17</f>
        <v>0.38805970149253732</v>
      </c>
    </row>
    <row r="18" spans="1:13">
      <c r="A18" t="s">
        <v>3837</v>
      </c>
      <c r="B18" s="179">
        <v>4</v>
      </c>
      <c r="C18" s="179">
        <v>16</v>
      </c>
      <c r="D18" s="179">
        <v>5</v>
      </c>
      <c r="E18" s="179">
        <v>25</v>
      </c>
      <c r="F18" s="179">
        <v>3</v>
      </c>
      <c r="G18" s="179">
        <v>8</v>
      </c>
      <c r="H18" s="179">
        <v>3</v>
      </c>
      <c r="I18" s="179">
        <v>64</v>
      </c>
      <c r="J18" s="97">
        <f t="shared" si="0"/>
        <v>6.25E-2</v>
      </c>
      <c r="K18" s="97">
        <f t="shared" si="1"/>
        <v>0.25</v>
      </c>
      <c r="L18" t="s">
        <v>101</v>
      </c>
      <c r="M18" s="97">
        <f t="shared" si="2"/>
        <v>0.3125</v>
      </c>
    </row>
    <row r="19" spans="1:13">
      <c r="A19" t="s">
        <v>3838</v>
      </c>
      <c r="B19" s="179">
        <v>8</v>
      </c>
      <c r="C19" s="179">
        <v>18</v>
      </c>
      <c r="D19" s="179">
        <v>4</v>
      </c>
      <c r="E19" s="179">
        <v>27</v>
      </c>
      <c r="F19" s="179">
        <v>10</v>
      </c>
      <c r="G19" s="179">
        <v>8</v>
      </c>
      <c r="H19" s="179">
        <v>2</v>
      </c>
      <c r="I19" s="179">
        <v>77</v>
      </c>
      <c r="J19" s="97">
        <f t="shared" si="0"/>
        <v>0.1038961038961039</v>
      </c>
      <c r="K19" s="97">
        <f t="shared" si="1"/>
        <v>0.23376623376623376</v>
      </c>
      <c r="L19" t="s">
        <v>257</v>
      </c>
      <c r="M19" s="97">
        <f t="shared" si="2"/>
        <v>0.33766233766233766</v>
      </c>
    </row>
    <row r="20" spans="1:13">
      <c r="A20" t="s">
        <v>3839</v>
      </c>
      <c r="B20" s="179">
        <v>7</v>
      </c>
      <c r="C20" s="179">
        <v>17</v>
      </c>
      <c r="D20" s="179">
        <v>2</v>
      </c>
      <c r="E20" s="179">
        <v>22</v>
      </c>
      <c r="F20" s="179">
        <v>15</v>
      </c>
      <c r="G20" s="179">
        <v>9</v>
      </c>
      <c r="H20" s="179"/>
      <c r="I20" s="179">
        <v>72</v>
      </c>
      <c r="J20" s="97">
        <f t="shared" si="0"/>
        <v>9.7222222222222224E-2</v>
      </c>
      <c r="K20" s="97">
        <f t="shared" si="1"/>
        <v>0.2361111111111111</v>
      </c>
      <c r="L20" t="s">
        <v>236</v>
      </c>
      <c r="M20" s="97">
        <f t="shared" si="2"/>
        <v>0.33333333333333331</v>
      </c>
    </row>
    <row r="21" spans="1:13">
      <c r="A21" t="s">
        <v>3840</v>
      </c>
      <c r="B21" s="179">
        <v>4</v>
      </c>
      <c r="C21" s="179">
        <v>23</v>
      </c>
      <c r="D21" s="179">
        <v>4</v>
      </c>
      <c r="E21" s="179">
        <v>12</v>
      </c>
      <c r="F21" s="179">
        <v>8</v>
      </c>
      <c r="G21" s="179">
        <v>10</v>
      </c>
      <c r="H21" s="179"/>
      <c r="I21" s="179">
        <v>61</v>
      </c>
      <c r="J21" s="97">
        <f t="shared" si="0"/>
        <v>6.5573770491803282E-2</v>
      </c>
      <c r="K21" s="97">
        <f t="shared" si="1"/>
        <v>0.37704918032786883</v>
      </c>
      <c r="L21" t="s">
        <v>119</v>
      </c>
      <c r="M21" s="97">
        <f t="shared" si="2"/>
        <v>0.44262295081967212</v>
      </c>
    </row>
    <row r="22" spans="1:13">
      <c r="A22" t="s">
        <v>3841</v>
      </c>
      <c r="B22" s="179">
        <v>5</v>
      </c>
      <c r="C22" s="179">
        <v>25</v>
      </c>
      <c r="D22" s="179">
        <v>6</v>
      </c>
      <c r="E22" s="179">
        <v>20</v>
      </c>
      <c r="F22" s="179">
        <v>9</v>
      </c>
      <c r="G22" s="179">
        <v>11</v>
      </c>
      <c r="H22" s="179"/>
      <c r="I22" s="179">
        <v>76</v>
      </c>
      <c r="J22" s="97">
        <f t="shared" si="0"/>
        <v>6.5789473684210523E-2</v>
      </c>
      <c r="K22" s="97">
        <f t="shared" si="1"/>
        <v>0.32894736842105265</v>
      </c>
      <c r="L22" t="s">
        <v>244</v>
      </c>
      <c r="M22" s="97">
        <f t="shared" si="2"/>
        <v>0.39473684210526316</v>
      </c>
    </row>
    <row r="23" spans="1:13">
      <c r="A23" t="s">
        <v>3842</v>
      </c>
      <c r="B23" s="179">
        <v>7</v>
      </c>
      <c r="C23" s="179">
        <v>18</v>
      </c>
      <c r="D23" s="179">
        <v>5</v>
      </c>
      <c r="E23" s="179">
        <v>17</v>
      </c>
      <c r="F23" s="179">
        <v>10</v>
      </c>
      <c r="G23" s="179">
        <v>8</v>
      </c>
      <c r="H23" s="179"/>
      <c r="I23" s="179">
        <v>65</v>
      </c>
      <c r="J23" s="97">
        <f t="shared" si="0"/>
        <v>0.1076923076923077</v>
      </c>
      <c r="K23" s="97">
        <f t="shared" si="1"/>
        <v>0.27692307692307694</v>
      </c>
      <c r="L23" t="s">
        <v>466</v>
      </c>
      <c r="M23" s="97">
        <f t="shared" si="2"/>
        <v>0.38461538461538464</v>
      </c>
    </row>
    <row r="24" spans="1:13">
      <c r="A24" t="s">
        <v>3843</v>
      </c>
      <c r="B24" s="179">
        <v>7</v>
      </c>
      <c r="C24" s="179">
        <v>10</v>
      </c>
      <c r="D24" s="179">
        <v>6</v>
      </c>
      <c r="E24" s="179">
        <v>17</v>
      </c>
      <c r="F24" s="179">
        <v>6</v>
      </c>
      <c r="G24" s="179">
        <v>7</v>
      </c>
      <c r="H24" s="179"/>
      <c r="I24" s="179">
        <v>53</v>
      </c>
      <c r="J24" s="97">
        <f t="shared" si="0"/>
        <v>0.13207547169811321</v>
      </c>
      <c r="K24" s="97">
        <f t="shared" si="1"/>
        <v>0.18867924528301888</v>
      </c>
      <c r="L24" t="s">
        <v>210</v>
      </c>
      <c r="M24" s="97">
        <f t="shared" si="2"/>
        <v>0.32075471698113212</v>
      </c>
    </row>
    <row r="25" spans="1:13">
      <c r="A25" t="s">
        <v>3844</v>
      </c>
      <c r="B25" s="179">
        <v>8</v>
      </c>
      <c r="C25" s="179">
        <v>20</v>
      </c>
      <c r="D25" s="179">
        <v>4</v>
      </c>
      <c r="E25" s="179">
        <v>25</v>
      </c>
      <c r="F25" s="179">
        <v>5</v>
      </c>
      <c r="G25" s="179">
        <v>12</v>
      </c>
      <c r="H25" s="179">
        <v>4</v>
      </c>
      <c r="I25" s="179">
        <v>78</v>
      </c>
      <c r="J25" s="97">
        <f t="shared" si="0"/>
        <v>0.10256410256410256</v>
      </c>
      <c r="K25" s="97">
        <f t="shared" si="1"/>
        <v>0.25641025641025639</v>
      </c>
      <c r="L25" t="s">
        <v>232</v>
      </c>
      <c r="M25" s="97">
        <f t="shared" si="2"/>
        <v>0.35897435897435892</v>
      </c>
    </row>
    <row r="26" spans="1:13">
      <c r="A26" t="s">
        <v>3847</v>
      </c>
      <c r="B26" s="179">
        <v>7</v>
      </c>
      <c r="C26" s="179">
        <v>11</v>
      </c>
      <c r="D26" s="179">
        <v>7</v>
      </c>
      <c r="E26" s="179">
        <v>16</v>
      </c>
      <c r="F26" s="179">
        <v>6</v>
      </c>
      <c r="G26" s="179">
        <v>11</v>
      </c>
      <c r="H26" s="179">
        <v>1</v>
      </c>
      <c r="I26" s="179">
        <v>59</v>
      </c>
      <c r="J26" s="97">
        <f t="shared" si="0"/>
        <v>0.11864406779661017</v>
      </c>
      <c r="K26" s="97">
        <f t="shared" si="1"/>
        <v>0.1864406779661017</v>
      </c>
      <c r="L26" t="s">
        <v>81</v>
      </c>
      <c r="M26" s="97">
        <f t="shared" si="2"/>
        <v>0.30508474576271188</v>
      </c>
    </row>
    <row r="27" spans="1:13">
      <c r="A27" t="s">
        <v>3845</v>
      </c>
      <c r="B27" s="179">
        <v>6</v>
      </c>
      <c r="C27" s="179">
        <v>17</v>
      </c>
      <c r="D27" s="179">
        <v>2</v>
      </c>
      <c r="E27" s="179">
        <v>22</v>
      </c>
      <c r="F27" s="179">
        <v>9</v>
      </c>
      <c r="G27" s="179">
        <v>12</v>
      </c>
      <c r="H27" s="179">
        <v>1</v>
      </c>
      <c r="I27" s="179">
        <v>69</v>
      </c>
      <c r="J27" s="97">
        <f t="shared" si="0"/>
        <v>8.6956521739130432E-2</v>
      </c>
      <c r="K27" s="97">
        <f t="shared" si="1"/>
        <v>0.24637681159420291</v>
      </c>
      <c r="L27" t="s">
        <v>111</v>
      </c>
      <c r="M27" s="97">
        <f t="shared" si="2"/>
        <v>0.33333333333333337</v>
      </c>
    </row>
    <row r="28" spans="1:13">
      <c r="A28" t="s">
        <v>3846</v>
      </c>
      <c r="B28" s="179">
        <v>11</v>
      </c>
      <c r="C28" s="179">
        <v>15</v>
      </c>
      <c r="D28" s="179">
        <v>8</v>
      </c>
      <c r="E28" s="179">
        <v>13</v>
      </c>
      <c r="F28" s="179">
        <v>5</v>
      </c>
      <c r="G28" s="179">
        <v>12</v>
      </c>
      <c r="H28" s="179">
        <v>3</v>
      </c>
      <c r="I28" s="179">
        <v>67</v>
      </c>
      <c r="J28" s="97">
        <f t="shared" si="0"/>
        <v>0.16417910447761194</v>
      </c>
      <c r="K28" s="97">
        <f t="shared" si="1"/>
        <v>0.22388059701492538</v>
      </c>
      <c r="L28" t="s">
        <v>216</v>
      </c>
      <c r="M28" s="97">
        <f t="shared" si="2"/>
        <v>0.38805970149253732</v>
      </c>
    </row>
    <row r="29" spans="1:13">
      <c r="A29" t="s">
        <v>3848</v>
      </c>
      <c r="B29" s="179">
        <v>7</v>
      </c>
      <c r="C29" s="179">
        <v>21</v>
      </c>
      <c r="D29" s="179">
        <v>3</v>
      </c>
      <c r="E29" s="179">
        <v>20</v>
      </c>
      <c r="F29" s="179">
        <v>9</v>
      </c>
      <c r="G29" s="179">
        <v>14</v>
      </c>
      <c r="H29" s="179"/>
      <c r="I29" s="179">
        <v>74</v>
      </c>
      <c r="J29" s="97">
        <f t="shared" si="0"/>
        <v>9.45945945945946E-2</v>
      </c>
      <c r="K29" s="97">
        <f t="shared" si="1"/>
        <v>0.28378378378378377</v>
      </c>
      <c r="L29" t="s">
        <v>143</v>
      </c>
      <c r="M29" s="97">
        <f t="shared" si="2"/>
        <v>0.3783783783783784</v>
      </c>
    </row>
    <row r="30" spans="1:13">
      <c r="A30" t="s">
        <v>3849</v>
      </c>
      <c r="B30" s="179">
        <v>8</v>
      </c>
      <c r="C30" s="179">
        <v>19</v>
      </c>
      <c r="D30" s="179">
        <v>4</v>
      </c>
      <c r="E30" s="179">
        <v>14</v>
      </c>
      <c r="F30" s="179">
        <v>11</v>
      </c>
      <c r="G30" s="179">
        <v>7</v>
      </c>
      <c r="H30" s="179"/>
      <c r="I30" s="179">
        <v>63</v>
      </c>
      <c r="J30" s="97">
        <f t="shared" si="0"/>
        <v>0.12698412698412698</v>
      </c>
      <c r="K30" s="97">
        <f t="shared" si="1"/>
        <v>0.30158730158730157</v>
      </c>
      <c r="L30" t="s">
        <v>3082</v>
      </c>
      <c r="M30" s="97">
        <f t="shared" si="2"/>
        <v>0.42857142857142855</v>
      </c>
    </row>
    <row r="31" spans="1:13">
      <c r="A31" t="s">
        <v>3122</v>
      </c>
      <c r="B31" s="179">
        <v>104</v>
      </c>
      <c r="C31" s="179">
        <v>268</v>
      </c>
      <c r="D31" s="179">
        <v>67</v>
      </c>
      <c r="E31" s="179">
        <v>278</v>
      </c>
      <c r="F31" s="179">
        <v>120</v>
      </c>
      <c r="G31" s="179">
        <v>149</v>
      </c>
      <c r="H31" s="179">
        <v>14</v>
      </c>
      <c r="I31" s="179">
        <v>1000</v>
      </c>
      <c r="J31" s="97">
        <f t="shared" si="0"/>
        <v>0.104</v>
      </c>
      <c r="K31" s="97">
        <f t="shared" si="1"/>
        <v>0.26800000000000002</v>
      </c>
      <c r="L31"/>
      <c r="M31"/>
    </row>
    <row r="32" spans="1:13">
      <c r="B32"/>
      <c r="C32"/>
      <c r="D32"/>
      <c r="E32"/>
      <c r="F32"/>
      <c r="G32"/>
      <c r="H32"/>
      <c r="I32"/>
      <c r="J32"/>
      <c r="K32"/>
      <c r="L32"/>
      <c r="M32"/>
    </row>
    <row r="34" spans="1:11">
      <c r="K34" s="96"/>
    </row>
    <row r="35" spans="1:11">
      <c r="A35" s="40" t="s">
        <v>3245</v>
      </c>
    </row>
    <row r="37" spans="1:11">
      <c r="A37" s="51" t="s">
        <v>3189</v>
      </c>
      <c r="B37" s="51" t="s">
        <v>19</v>
      </c>
      <c r="C37"/>
      <c r="D37"/>
      <c r="E37"/>
      <c r="F37"/>
      <c r="G37"/>
      <c r="H37"/>
      <c r="I37"/>
    </row>
    <row r="38" spans="1:11">
      <c r="A38" s="51" t="s">
        <v>24</v>
      </c>
      <c r="B38" t="s">
        <v>270</v>
      </c>
      <c r="C38" t="s">
        <v>87</v>
      </c>
      <c r="D38" t="s">
        <v>166</v>
      </c>
      <c r="E38" t="s">
        <v>135</v>
      </c>
      <c r="F38" t="s">
        <v>205</v>
      </c>
      <c r="G38" t="s">
        <v>39</v>
      </c>
      <c r="H38" t="s">
        <v>362</v>
      </c>
      <c r="I38" t="s">
        <v>3122</v>
      </c>
    </row>
    <row r="39" spans="1:11">
      <c r="A39" t="s">
        <v>88</v>
      </c>
      <c r="B39" s="179">
        <v>20</v>
      </c>
      <c r="C39" s="179">
        <v>34</v>
      </c>
      <c r="D39" s="179">
        <v>11</v>
      </c>
      <c r="E39" s="179">
        <v>33</v>
      </c>
      <c r="F39" s="179">
        <v>15</v>
      </c>
      <c r="G39" s="179">
        <v>18</v>
      </c>
      <c r="H39" s="179">
        <v>5</v>
      </c>
      <c r="I39" s="179">
        <v>136</v>
      </c>
    </row>
    <row r="40" spans="1:11">
      <c r="A40" t="s">
        <v>129</v>
      </c>
      <c r="B40" s="179">
        <v>20</v>
      </c>
      <c r="C40" s="179">
        <v>45</v>
      </c>
      <c r="D40" s="179">
        <v>8</v>
      </c>
      <c r="E40" s="179">
        <v>42</v>
      </c>
      <c r="F40" s="179">
        <v>10</v>
      </c>
      <c r="G40" s="179">
        <v>15</v>
      </c>
      <c r="H40" s="179">
        <v>2</v>
      </c>
      <c r="I40" s="179">
        <v>142</v>
      </c>
    </row>
    <row r="41" spans="1:11">
      <c r="A41" t="s">
        <v>206</v>
      </c>
      <c r="B41" s="179">
        <v>11</v>
      </c>
      <c r="C41" s="179">
        <v>34</v>
      </c>
      <c r="D41" s="179">
        <v>7</v>
      </c>
      <c r="E41" s="179">
        <v>30</v>
      </c>
      <c r="F41" s="179">
        <v>19</v>
      </c>
      <c r="G41" s="179">
        <v>17</v>
      </c>
      <c r="H41" s="179">
        <v>2</v>
      </c>
      <c r="I41" s="179">
        <v>120</v>
      </c>
    </row>
    <row r="42" spans="1:11">
      <c r="A42" t="s">
        <v>55</v>
      </c>
      <c r="B42" s="179">
        <v>6</v>
      </c>
      <c r="C42" s="179">
        <v>21</v>
      </c>
      <c r="D42" s="179">
        <v>15</v>
      </c>
      <c r="E42" s="179">
        <v>23</v>
      </c>
      <c r="F42" s="179">
        <v>11</v>
      </c>
      <c r="G42" s="179">
        <v>21</v>
      </c>
      <c r="H42" s="179"/>
      <c r="I42" s="179">
        <v>97</v>
      </c>
    </row>
    <row r="43" spans="1:11">
      <c r="A43" t="s">
        <v>174</v>
      </c>
      <c r="B43" s="179">
        <v>14</v>
      </c>
      <c r="C43" s="179">
        <v>28</v>
      </c>
      <c r="D43" s="179">
        <v>4</v>
      </c>
      <c r="E43" s="179">
        <v>38</v>
      </c>
      <c r="F43" s="179">
        <v>16</v>
      </c>
      <c r="G43" s="179">
        <v>18</v>
      </c>
      <c r="H43" s="179">
        <v>2</v>
      </c>
      <c r="I43" s="179">
        <v>120</v>
      </c>
    </row>
    <row r="44" spans="1:11">
      <c r="A44" t="s">
        <v>136</v>
      </c>
      <c r="B44" s="179">
        <v>5</v>
      </c>
      <c r="C44" s="179">
        <v>40</v>
      </c>
      <c r="D44" s="179">
        <v>9</v>
      </c>
      <c r="E44" s="179">
        <v>31</v>
      </c>
      <c r="F44" s="179">
        <v>25</v>
      </c>
      <c r="G44" s="179">
        <v>23</v>
      </c>
      <c r="H44" s="179"/>
      <c r="I44" s="179">
        <v>133</v>
      </c>
    </row>
    <row r="45" spans="1:11">
      <c r="A45" t="s">
        <v>3112</v>
      </c>
      <c r="B45" s="179">
        <v>28</v>
      </c>
      <c r="C45" s="179">
        <v>66</v>
      </c>
      <c r="D45" s="179">
        <v>13</v>
      </c>
      <c r="E45" s="179">
        <v>81</v>
      </c>
      <c r="F45" s="179">
        <v>24</v>
      </c>
      <c r="G45" s="179">
        <v>37</v>
      </c>
      <c r="H45" s="179">
        <v>3</v>
      </c>
      <c r="I45" s="179">
        <v>252</v>
      </c>
    </row>
    <row r="46" spans="1:11">
      <c r="A46" t="s">
        <v>3122</v>
      </c>
      <c r="B46" s="179">
        <v>104</v>
      </c>
      <c r="C46" s="179">
        <v>268</v>
      </c>
      <c r="D46" s="179">
        <v>67</v>
      </c>
      <c r="E46" s="179">
        <v>278</v>
      </c>
      <c r="F46" s="179">
        <v>120</v>
      </c>
      <c r="G46" s="179">
        <v>149</v>
      </c>
      <c r="H46" s="179">
        <v>14</v>
      </c>
      <c r="I46" s="179">
        <v>1000</v>
      </c>
    </row>
    <row r="49" spans="1:13">
      <c r="A49" s="41" t="s">
        <v>3246</v>
      </c>
    </row>
    <row r="50" spans="1:13">
      <c r="A50" s="134" t="s">
        <v>3275</v>
      </c>
    </row>
    <row r="51" spans="1:13">
      <c r="A51" s="51" t="s">
        <v>24</v>
      </c>
      <c r="B51" t="s">
        <v>3144</v>
      </c>
      <c r="C51"/>
      <c r="D51"/>
      <c r="E51"/>
      <c r="F51"/>
      <c r="G51"/>
      <c r="H51"/>
      <c r="I51"/>
      <c r="J51"/>
      <c r="K51"/>
      <c r="L51"/>
      <c r="M51"/>
    </row>
    <row r="52" spans="1:13">
      <c r="A52" t="s">
        <v>88</v>
      </c>
      <c r="B52" s="96">
        <v>2.3103676470588232E-2</v>
      </c>
      <c r="C52"/>
      <c r="D52" t="s">
        <v>3277</v>
      </c>
      <c r="E52"/>
      <c r="F52"/>
      <c r="G52"/>
      <c r="H52"/>
      <c r="I52"/>
      <c r="J52"/>
      <c r="K52"/>
      <c r="L52"/>
      <c r="M52"/>
    </row>
    <row r="53" spans="1:13">
      <c r="A53" t="s">
        <v>129</v>
      </c>
      <c r="B53" s="96">
        <v>2.6909154929577475E-2</v>
      </c>
      <c r="C53"/>
      <c r="D53" t="s">
        <v>3278</v>
      </c>
      <c r="E53"/>
      <c r="F53"/>
      <c r="G53"/>
      <c r="H53"/>
      <c r="I53"/>
      <c r="J53"/>
      <c r="K53"/>
      <c r="L53"/>
      <c r="M53"/>
    </row>
    <row r="54" spans="1:13">
      <c r="A54" t="s">
        <v>206</v>
      </c>
      <c r="B54" s="96">
        <v>2.7305000000000017E-2</v>
      </c>
      <c r="C54"/>
      <c r="D54"/>
      <c r="E54"/>
      <c r="F54"/>
      <c r="G54"/>
      <c r="H54"/>
      <c r="I54"/>
      <c r="J54"/>
      <c r="K54"/>
      <c r="L54"/>
      <c r="M54"/>
    </row>
    <row r="55" spans="1:13">
      <c r="A55" t="s">
        <v>55</v>
      </c>
      <c r="B55" s="96">
        <v>2.8075257731958767E-2</v>
      </c>
      <c r="C55"/>
      <c r="D55"/>
      <c r="E55"/>
      <c r="F55"/>
      <c r="G55"/>
      <c r="H55"/>
      <c r="I55"/>
      <c r="J55"/>
      <c r="K55"/>
      <c r="L55"/>
      <c r="M55"/>
    </row>
    <row r="56" spans="1:13">
      <c r="A56" t="s">
        <v>174</v>
      </c>
      <c r="B56" s="96">
        <v>2.3894166666666664E-2</v>
      </c>
      <c r="C56"/>
      <c r="D56"/>
      <c r="E56"/>
      <c r="F56"/>
      <c r="G56"/>
      <c r="H56"/>
      <c r="I56"/>
      <c r="J56"/>
      <c r="K56"/>
      <c r="L56"/>
      <c r="M56"/>
    </row>
    <row r="57" spans="1:13">
      <c r="A57" t="s">
        <v>136</v>
      </c>
      <c r="B57" s="96">
        <v>2.6454887218045123E-2</v>
      </c>
      <c r="C57"/>
      <c r="D57"/>
      <c r="E57"/>
      <c r="F57"/>
      <c r="G57"/>
      <c r="H57"/>
      <c r="I57"/>
      <c r="J57"/>
      <c r="K57"/>
      <c r="L57"/>
      <c r="M57"/>
    </row>
    <row r="58" spans="1:13">
      <c r="A58" t="s">
        <v>3112</v>
      </c>
      <c r="B58" s="96">
        <v>2.3387301587301578E-2</v>
      </c>
      <c r="C58"/>
      <c r="D58"/>
      <c r="E58"/>
      <c r="F58"/>
      <c r="G58"/>
      <c r="H58"/>
      <c r="I58"/>
      <c r="J58"/>
      <c r="K58"/>
      <c r="L58"/>
      <c r="M58"/>
    </row>
    <row r="59" spans="1:13">
      <c r="A59" t="s">
        <v>3122</v>
      </c>
      <c r="B59" s="96">
        <v>2.524249999999997E-2</v>
      </c>
      <c r="C59"/>
      <c r="D59"/>
      <c r="E59"/>
      <c r="F59"/>
      <c r="G59"/>
      <c r="H59"/>
      <c r="I59"/>
      <c r="J59"/>
      <c r="K59"/>
      <c r="L59"/>
      <c r="M59"/>
    </row>
    <row r="60" spans="1:13">
      <c r="B60"/>
      <c r="C60"/>
      <c r="D60"/>
      <c r="E60"/>
      <c r="F60"/>
      <c r="G60"/>
      <c r="H60"/>
      <c r="I60"/>
      <c r="J60"/>
      <c r="K60"/>
      <c r="L60"/>
      <c r="M60"/>
    </row>
    <row r="61" spans="1:13">
      <c r="A61" t="s">
        <v>3247</v>
      </c>
    </row>
    <row r="62" spans="1:13">
      <c r="A62" s="51" t="s">
        <v>24</v>
      </c>
      <c r="B62" t="s">
        <v>3143</v>
      </c>
      <c r="C62" t="s">
        <v>3153</v>
      </c>
      <c r="D62" t="s">
        <v>3865</v>
      </c>
      <c r="E62" t="s">
        <v>3276</v>
      </c>
      <c r="F62"/>
      <c r="G62"/>
      <c r="H62"/>
      <c r="I62"/>
      <c r="J62" t="str">
        <f t="shared" ref="J62:J69" si="3">A62</f>
        <v>Carrier</v>
      </c>
      <c r="K62" t="str">
        <f t="shared" ref="K62:L69" si="4">D62</f>
        <v>% of Defect on Supplies</v>
      </c>
      <c r="L62" s="97" t="str">
        <f t="shared" si="4"/>
        <v>% of Total Defective_Units</v>
      </c>
      <c r="M62"/>
    </row>
    <row r="63" spans="1:13">
      <c r="A63" t="s">
        <v>88</v>
      </c>
      <c r="B63" s="179">
        <v>1831</v>
      </c>
      <c r="C63" s="179">
        <v>80725</v>
      </c>
      <c r="D63" s="96">
        <v>2.2681944874574173E-2</v>
      </c>
      <c r="E63" s="96">
        <v>0.10063204176971695</v>
      </c>
      <c r="F63" s="97">
        <f t="shared" ref="F63:F70" si="5">B63/C63</f>
        <v>2.2681944874574173E-2</v>
      </c>
      <c r="G63" s="97">
        <f>B63/B70</f>
        <v>0.10063204176971695</v>
      </c>
      <c r="H63"/>
      <c r="I63"/>
      <c r="J63" t="str">
        <f t="shared" si="3"/>
        <v>Bollore Logistics</v>
      </c>
      <c r="K63" s="80">
        <f t="shared" si="4"/>
        <v>2.2681944874574173E-2</v>
      </c>
      <c r="L63" s="97">
        <f t="shared" si="4"/>
        <v>0.10063204176971695</v>
      </c>
      <c r="M63"/>
    </row>
    <row r="64" spans="1:13">
      <c r="A64" t="s">
        <v>129</v>
      </c>
      <c r="B64" s="179">
        <v>2805</v>
      </c>
      <c r="C64" s="179">
        <v>71500</v>
      </c>
      <c r="D64" s="96">
        <v>3.9230769230769229E-2</v>
      </c>
      <c r="E64" s="96">
        <v>0.15416323165704865</v>
      </c>
      <c r="F64" s="97">
        <f t="shared" si="5"/>
        <v>3.9230769230769229E-2</v>
      </c>
      <c r="G64"/>
      <c r="H64"/>
      <c r="I64"/>
      <c r="J64" t="str">
        <f t="shared" si="3"/>
        <v>DHL</v>
      </c>
      <c r="K64" s="80">
        <f t="shared" si="4"/>
        <v>3.9230769230769229E-2</v>
      </c>
      <c r="L64" s="97">
        <f t="shared" si="4"/>
        <v>0.15416323165704865</v>
      </c>
      <c r="M64"/>
    </row>
    <row r="65" spans="1:13">
      <c r="A65" t="s">
        <v>206</v>
      </c>
      <c r="B65" s="179">
        <v>1399</v>
      </c>
      <c r="C65" s="179">
        <v>57275</v>
      </c>
      <c r="D65" s="96">
        <v>2.4426014840680927E-2</v>
      </c>
      <c r="E65" s="96">
        <v>7.6889255289914818E-2</v>
      </c>
      <c r="F65" s="97">
        <f t="shared" si="5"/>
        <v>2.4426014840680927E-2</v>
      </c>
      <c r="G65"/>
      <c r="H65"/>
      <c r="I65"/>
      <c r="J65" t="str">
        <f t="shared" si="3"/>
        <v>GIG Logistics</v>
      </c>
      <c r="K65" s="80">
        <f t="shared" si="4"/>
        <v>2.4426014840680927E-2</v>
      </c>
      <c r="L65" s="97">
        <f t="shared" si="4"/>
        <v>7.6889255289914818E-2</v>
      </c>
      <c r="M65"/>
    </row>
    <row r="66" spans="1:13">
      <c r="A66" t="s">
        <v>55</v>
      </c>
      <c r="B66" s="179">
        <v>2825</v>
      </c>
      <c r="C66" s="179">
        <v>62100</v>
      </c>
      <c r="D66" s="96">
        <v>4.5491143317230275E-2</v>
      </c>
      <c r="E66" s="96">
        <v>0.15526243473481727</v>
      </c>
      <c r="F66" s="97">
        <f t="shared" si="5"/>
        <v>4.5491143317230275E-2</v>
      </c>
      <c r="G66"/>
      <c r="H66"/>
      <c r="I66"/>
      <c r="J66" t="str">
        <f t="shared" si="3"/>
        <v>Kuehne+Nagel</v>
      </c>
      <c r="K66" s="80">
        <f t="shared" si="4"/>
        <v>4.5491143317230275E-2</v>
      </c>
      <c r="L66" s="97">
        <f t="shared" si="4"/>
        <v>0.15526243473481727</v>
      </c>
      <c r="M66"/>
    </row>
    <row r="67" spans="1:13">
      <c r="A67" t="s">
        <v>174</v>
      </c>
      <c r="B67" s="179">
        <v>1669</v>
      </c>
      <c r="C67" s="179">
        <v>67175</v>
      </c>
      <c r="D67" s="96">
        <v>2.4845552660960179E-2</v>
      </c>
      <c r="E67" s="96">
        <v>9.1728496839791146E-2</v>
      </c>
      <c r="F67" s="97">
        <f t="shared" si="5"/>
        <v>2.4845552660960179E-2</v>
      </c>
      <c r="G67"/>
      <c r="H67"/>
      <c r="I67"/>
      <c r="J67" t="str">
        <f t="shared" si="3"/>
        <v>Local Truck Partner</v>
      </c>
      <c r="K67" s="80">
        <f t="shared" si="4"/>
        <v>2.4845552660960179E-2</v>
      </c>
      <c r="L67" s="97">
        <f t="shared" si="4"/>
        <v>9.1728496839791146E-2</v>
      </c>
      <c r="M67"/>
    </row>
    <row r="68" spans="1:13">
      <c r="A68" t="s">
        <v>136</v>
      </c>
      <c r="B68" s="179">
        <v>3862</v>
      </c>
      <c r="C68" s="179">
        <v>74125</v>
      </c>
      <c r="D68" s="96">
        <v>5.2101180438448566E-2</v>
      </c>
      <c r="E68" s="96">
        <v>0.21225611431712008</v>
      </c>
      <c r="F68" s="97">
        <f t="shared" si="5"/>
        <v>5.2101180438448566E-2</v>
      </c>
      <c r="G68"/>
      <c r="H68"/>
      <c r="I68"/>
      <c r="J68" t="str">
        <f t="shared" si="3"/>
        <v>Maersk</v>
      </c>
      <c r="K68" s="80">
        <f t="shared" si="4"/>
        <v>5.2101180438448566E-2</v>
      </c>
      <c r="L68" s="97">
        <f t="shared" si="4"/>
        <v>0.21225611431712008</v>
      </c>
      <c r="M68"/>
    </row>
    <row r="69" spans="1:13">
      <c r="A69" t="s">
        <v>3112</v>
      </c>
      <c r="B69" s="179">
        <v>3804</v>
      </c>
      <c r="C69" s="179">
        <v>135475</v>
      </c>
      <c r="D69" s="96">
        <v>2.8078981361874884E-2</v>
      </c>
      <c r="E69" s="96">
        <v>0.2090684253915911</v>
      </c>
      <c r="F69" s="97">
        <f t="shared" si="5"/>
        <v>2.8078981361874884E-2</v>
      </c>
      <c r="G69"/>
      <c r="H69"/>
      <c r="I69"/>
      <c r="J69" t="str">
        <f t="shared" si="3"/>
        <v>No Carrier Listed</v>
      </c>
      <c r="K69" s="80">
        <f t="shared" si="4"/>
        <v>2.8078981361874884E-2</v>
      </c>
      <c r="L69" s="97">
        <f t="shared" si="4"/>
        <v>0.2090684253915911</v>
      </c>
      <c r="M69"/>
    </row>
    <row r="70" spans="1:13">
      <c r="A70" t="s">
        <v>3122</v>
      </c>
      <c r="B70" s="179">
        <v>18195</v>
      </c>
      <c r="C70" s="179">
        <v>548375</v>
      </c>
      <c r="D70" s="96">
        <v>3.3179849555504903E-2</v>
      </c>
      <c r="E70" s="96">
        <v>1</v>
      </c>
      <c r="F70" s="97">
        <f t="shared" si="5"/>
        <v>3.3179849555504903E-2</v>
      </c>
      <c r="G70"/>
      <c r="H70"/>
      <c r="I70"/>
      <c r="J70"/>
      <c r="K70"/>
      <c r="L70"/>
      <c r="M70"/>
    </row>
    <row r="71" spans="1:13">
      <c r="B71"/>
      <c r="C71"/>
      <c r="D71"/>
      <c r="E71"/>
      <c r="F71"/>
      <c r="G71"/>
      <c r="H71"/>
      <c r="I71"/>
      <c r="J71"/>
      <c r="K71"/>
      <c r="L71"/>
      <c r="M71"/>
    </row>
    <row r="72" spans="1:13">
      <c r="B72"/>
      <c r="C72"/>
      <c r="D72"/>
      <c r="E72"/>
      <c r="F72"/>
      <c r="G72"/>
      <c r="H72"/>
      <c r="I72"/>
      <c r="J72"/>
      <c r="K72"/>
      <c r="L72"/>
      <c r="M72"/>
    </row>
    <row r="73" spans="1:13">
      <c r="B73"/>
      <c r="C73"/>
      <c r="D73"/>
      <c r="E73"/>
      <c r="F73"/>
      <c r="G73"/>
      <c r="H73"/>
      <c r="I73"/>
      <c r="J73"/>
      <c r="K73"/>
      <c r="L73"/>
      <c r="M73"/>
    </row>
    <row r="74" spans="1:13">
      <c r="A74" t="s">
        <v>3248</v>
      </c>
      <c r="B74"/>
      <c r="C74"/>
      <c r="D74"/>
      <c r="E74"/>
      <c r="F74"/>
      <c r="G74"/>
      <c r="H74"/>
      <c r="I74"/>
      <c r="J74"/>
      <c r="K74"/>
      <c r="L74"/>
      <c r="M74"/>
    </row>
    <row r="75" spans="1:13">
      <c r="A75" s="51" t="s">
        <v>3189</v>
      </c>
      <c r="B75" s="51" t="s">
        <v>19</v>
      </c>
      <c r="C75"/>
      <c r="D75"/>
      <c r="E75"/>
      <c r="F75"/>
      <c r="G75"/>
      <c r="H75"/>
      <c r="I75"/>
      <c r="J75"/>
      <c r="K75"/>
      <c r="L75"/>
      <c r="M75"/>
    </row>
    <row r="76" spans="1:13">
      <c r="A76" s="51" t="s">
        <v>23</v>
      </c>
      <c r="B76" t="s">
        <v>270</v>
      </c>
      <c r="C76" t="s">
        <v>87</v>
      </c>
      <c r="D76" t="s">
        <v>166</v>
      </c>
      <c r="E76" t="s">
        <v>135</v>
      </c>
      <c r="F76" t="s">
        <v>205</v>
      </c>
      <c r="G76" t="s">
        <v>39</v>
      </c>
      <c r="H76" t="s">
        <v>362</v>
      </c>
      <c r="I76" t="s">
        <v>3122</v>
      </c>
      <c r="J76"/>
      <c r="K76"/>
      <c r="L76"/>
      <c r="M76"/>
    </row>
    <row r="77" spans="1:13">
      <c r="A77" t="s">
        <v>128</v>
      </c>
      <c r="B77" s="179">
        <v>19</v>
      </c>
      <c r="C77" s="179">
        <v>28</v>
      </c>
      <c r="D77" s="179">
        <v>9</v>
      </c>
      <c r="E77" s="179">
        <v>41</v>
      </c>
      <c r="F77" s="179">
        <v>11</v>
      </c>
      <c r="G77" s="179">
        <v>21</v>
      </c>
      <c r="H77" s="179">
        <v>1</v>
      </c>
      <c r="I77" s="179">
        <v>130</v>
      </c>
      <c r="J77"/>
      <c r="K77"/>
      <c r="L77"/>
      <c r="M77"/>
    </row>
    <row r="78" spans="1:13">
      <c r="A78" t="s">
        <v>107</v>
      </c>
      <c r="B78" s="179">
        <v>16</v>
      </c>
      <c r="C78" s="179">
        <v>42</v>
      </c>
      <c r="D78" s="179">
        <v>4</v>
      </c>
      <c r="E78" s="179">
        <v>36</v>
      </c>
      <c r="F78" s="179">
        <v>17</v>
      </c>
      <c r="G78" s="179">
        <v>24</v>
      </c>
      <c r="H78" s="179">
        <v>2</v>
      </c>
      <c r="I78" s="179">
        <v>141</v>
      </c>
      <c r="J78"/>
      <c r="K78"/>
      <c r="L78"/>
      <c r="M78"/>
    </row>
    <row r="79" spans="1:13">
      <c r="A79" t="s">
        <v>3088</v>
      </c>
      <c r="B79" s="179">
        <v>6</v>
      </c>
      <c r="C79" s="179">
        <v>35</v>
      </c>
      <c r="D79" s="179">
        <v>8</v>
      </c>
      <c r="E79" s="179">
        <v>40</v>
      </c>
      <c r="F79" s="179">
        <v>17</v>
      </c>
      <c r="G79" s="179">
        <v>18</v>
      </c>
      <c r="H79" s="179">
        <v>2</v>
      </c>
      <c r="I79" s="179">
        <v>126</v>
      </c>
      <c r="J79"/>
      <c r="K79"/>
      <c r="L79"/>
      <c r="M79"/>
    </row>
    <row r="80" spans="1:13">
      <c r="A80" t="s">
        <v>54</v>
      </c>
      <c r="B80" s="179">
        <v>9</v>
      </c>
      <c r="C80" s="179">
        <v>35</v>
      </c>
      <c r="D80" s="179">
        <v>8</v>
      </c>
      <c r="E80" s="179">
        <v>44</v>
      </c>
      <c r="F80" s="179">
        <v>17</v>
      </c>
      <c r="G80" s="179">
        <v>19</v>
      </c>
      <c r="H80" s="179">
        <v>1</v>
      </c>
      <c r="I80" s="179">
        <v>133</v>
      </c>
      <c r="J80"/>
      <c r="K80"/>
      <c r="L80"/>
      <c r="M80"/>
    </row>
    <row r="81" spans="1:13">
      <c r="A81" t="s">
        <v>173</v>
      </c>
      <c r="B81" s="179">
        <v>28</v>
      </c>
      <c r="C81" s="179">
        <v>66</v>
      </c>
      <c r="D81" s="179">
        <v>19</v>
      </c>
      <c r="E81" s="179">
        <v>55</v>
      </c>
      <c r="F81" s="179">
        <v>30</v>
      </c>
      <c r="G81" s="179">
        <v>33</v>
      </c>
      <c r="H81" s="179">
        <v>4</v>
      </c>
      <c r="I81" s="179">
        <v>235</v>
      </c>
      <c r="J81"/>
      <c r="K81"/>
      <c r="L81"/>
      <c r="M81"/>
    </row>
    <row r="82" spans="1:13">
      <c r="A82" t="s">
        <v>43</v>
      </c>
      <c r="B82" s="179">
        <v>26</v>
      </c>
      <c r="C82" s="179">
        <v>62</v>
      </c>
      <c r="D82" s="179">
        <v>19</v>
      </c>
      <c r="E82" s="179">
        <v>62</v>
      </c>
      <c r="F82" s="179">
        <v>28</v>
      </c>
      <c r="G82" s="179">
        <v>34</v>
      </c>
      <c r="H82" s="179">
        <v>4</v>
      </c>
      <c r="I82" s="179">
        <v>235</v>
      </c>
      <c r="J82"/>
      <c r="K82"/>
      <c r="L82"/>
      <c r="M82"/>
    </row>
    <row r="83" spans="1:13">
      <c r="A83" t="s">
        <v>3122</v>
      </c>
      <c r="B83" s="179">
        <v>104</v>
      </c>
      <c r="C83" s="179">
        <v>268</v>
      </c>
      <c r="D83" s="179">
        <v>67</v>
      </c>
      <c r="E83" s="179">
        <v>278</v>
      </c>
      <c r="F83" s="179">
        <v>120</v>
      </c>
      <c r="G83" s="179">
        <v>149</v>
      </c>
      <c r="H83" s="179">
        <v>14</v>
      </c>
      <c r="I83" s="179">
        <v>1000</v>
      </c>
      <c r="J83"/>
      <c r="K83"/>
      <c r="L83"/>
      <c r="M83"/>
    </row>
    <row r="84" spans="1:13">
      <c r="B84"/>
      <c r="C84"/>
      <c r="D84"/>
      <c r="E84"/>
      <c r="F84"/>
      <c r="G84"/>
      <c r="H84"/>
      <c r="I84"/>
      <c r="J84"/>
      <c r="K84"/>
      <c r="L84"/>
      <c r="M84"/>
    </row>
    <row r="85" spans="1:13">
      <c r="B85"/>
      <c r="C85"/>
      <c r="D85"/>
      <c r="E85"/>
      <c r="F85"/>
      <c r="G85"/>
      <c r="H85"/>
      <c r="I85"/>
      <c r="J85"/>
      <c r="K85"/>
      <c r="L85"/>
      <c r="M85"/>
    </row>
    <row r="86" spans="1:13">
      <c r="B86"/>
      <c r="C86"/>
      <c r="D86"/>
      <c r="E86"/>
      <c r="F86"/>
      <c r="G86"/>
      <c r="H86"/>
      <c r="I86"/>
      <c r="J86"/>
      <c r="K86"/>
      <c r="L86"/>
      <c r="M86"/>
    </row>
    <row r="87" spans="1:13">
      <c r="A87" t="s">
        <v>3249</v>
      </c>
      <c r="B87"/>
      <c r="C87"/>
      <c r="D87"/>
      <c r="E87"/>
      <c r="F87"/>
      <c r="G87"/>
      <c r="H87"/>
      <c r="I87"/>
      <c r="J87"/>
      <c r="K87"/>
      <c r="L87"/>
      <c r="M87"/>
    </row>
    <row r="88" spans="1:13">
      <c r="A88" s="51" t="s">
        <v>23</v>
      </c>
      <c r="B88" t="s">
        <v>3144</v>
      </c>
      <c r="C88"/>
      <c r="D88"/>
      <c r="E88"/>
      <c r="F88"/>
      <c r="G88"/>
      <c r="H88"/>
      <c r="I88"/>
      <c r="J88"/>
      <c r="K88"/>
      <c r="L88"/>
      <c r="M88"/>
    </row>
    <row r="89" spans="1:13">
      <c r="A89" t="s">
        <v>128</v>
      </c>
      <c r="B89" s="96">
        <v>2.4852307692307698E-2</v>
      </c>
      <c r="C89"/>
      <c r="D89"/>
      <c r="E89"/>
      <c r="F89"/>
      <c r="G89"/>
      <c r="H89"/>
      <c r="I89"/>
      <c r="J89"/>
      <c r="K89"/>
      <c r="L89"/>
      <c r="M89"/>
    </row>
    <row r="90" spans="1:13">
      <c r="A90" t="s">
        <v>107</v>
      </c>
      <c r="B90" s="96">
        <v>2.4758865248226958E-2</v>
      </c>
      <c r="C90"/>
      <c r="D90"/>
      <c r="E90"/>
      <c r="F90"/>
      <c r="G90"/>
      <c r="H90"/>
      <c r="I90"/>
      <c r="J90"/>
      <c r="K90"/>
      <c r="L90"/>
      <c r="M90"/>
    </row>
    <row r="91" spans="1:13">
      <c r="A91" t="s">
        <v>3088</v>
      </c>
      <c r="B91" s="96">
        <v>2.4246031746031748E-2</v>
      </c>
      <c r="C91"/>
      <c r="D91"/>
      <c r="E91"/>
      <c r="F91"/>
      <c r="G91"/>
      <c r="H91"/>
      <c r="I91"/>
      <c r="J91"/>
      <c r="K91"/>
      <c r="L91"/>
      <c r="M91"/>
    </row>
    <row r="92" spans="1:13">
      <c r="A92" t="s">
        <v>54</v>
      </c>
      <c r="B92" s="96">
        <v>2.539323308270678E-2</v>
      </c>
      <c r="C92"/>
      <c r="D92"/>
      <c r="E92"/>
      <c r="F92"/>
      <c r="G92"/>
      <c r="H92"/>
      <c r="I92"/>
      <c r="J92"/>
      <c r="K92"/>
      <c r="L92"/>
      <c r="M92"/>
    </row>
    <row r="93" spans="1:13">
      <c r="A93" t="s">
        <v>173</v>
      </c>
      <c r="B93" s="96">
        <v>2.5639148936170187E-2</v>
      </c>
      <c r="C93"/>
      <c r="D93"/>
      <c r="E93"/>
      <c r="F93"/>
      <c r="G93"/>
      <c r="H93"/>
      <c r="I93"/>
      <c r="J93"/>
      <c r="K93"/>
      <c r="L93"/>
      <c r="M93"/>
    </row>
    <row r="94" spans="1:13">
      <c r="A94" t="s">
        <v>43</v>
      </c>
      <c r="B94" s="96">
        <v>2.5800851063829764E-2</v>
      </c>
      <c r="C94"/>
      <c r="D94"/>
      <c r="E94"/>
      <c r="F94"/>
      <c r="G94"/>
      <c r="H94"/>
      <c r="I94"/>
      <c r="J94"/>
      <c r="K94"/>
      <c r="L94"/>
      <c r="M94"/>
    </row>
    <row r="95" spans="1:13">
      <c r="A95" t="s">
        <v>3122</v>
      </c>
      <c r="B95" s="96">
        <v>2.5242499999999963E-2</v>
      </c>
      <c r="C95"/>
      <c r="D95"/>
      <c r="E95"/>
      <c r="F95"/>
      <c r="G95"/>
      <c r="H95"/>
      <c r="I95"/>
      <c r="J95"/>
      <c r="K95"/>
      <c r="L95"/>
      <c r="M95"/>
    </row>
    <row r="96" spans="1:13">
      <c r="B96"/>
      <c r="C96"/>
      <c r="D96"/>
      <c r="E96"/>
      <c r="F96"/>
      <c r="G96"/>
      <c r="H96"/>
      <c r="I96"/>
      <c r="J96"/>
      <c r="K96"/>
      <c r="L96"/>
      <c r="M96"/>
    </row>
    <row r="97" spans="1:13">
      <c r="B97"/>
      <c r="C97"/>
      <c r="D97" t="s">
        <v>3279</v>
      </c>
      <c r="E97"/>
      <c r="F97"/>
      <c r="G97"/>
      <c r="H97"/>
      <c r="I97"/>
      <c r="J97"/>
      <c r="K97"/>
      <c r="L97"/>
      <c r="M97"/>
    </row>
    <row r="98" spans="1:13">
      <c r="B98"/>
      <c r="C98"/>
      <c r="D98" t="s">
        <v>3280</v>
      </c>
      <c r="E98"/>
      <c r="F98"/>
      <c r="G98"/>
      <c r="H98"/>
      <c r="I98"/>
      <c r="J98"/>
      <c r="K98"/>
      <c r="L98"/>
      <c r="M98"/>
    </row>
    <row r="99" spans="1:13">
      <c r="B99"/>
      <c r="C99"/>
      <c r="D99"/>
      <c r="E99"/>
      <c r="F99"/>
      <c r="G99"/>
      <c r="H99"/>
      <c r="I99"/>
      <c r="J99"/>
      <c r="K99"/>
      <c r="L99"/>
      <c r="M99"/>
    </row>
    <row r="100" spans="1:13">
      <c r="A100" s="40" t="s">
        <v>3250</v>
      </c>
      <c r="B100"/>
      <c r="C100"/>
      <c r="D100"/>
      <c r="E100"/>
      <c r="F100"/>
      <c r="G100"/>
      <c r="H100"/>
      <c r="I100"/>
      <c r="J100"/>
      <c r="K100"/>
      <c r="L100"/>
      <c r="M100"/>
    </row>
    <row r="101" spans="1:13">
      <c r="A101" s="51" t="s">
        <v>23</v>
      </c>
      <c r="B101" t="s">
        <v>3143</v>
      </c>
      <c r="C101" t="s">
        <v>3153</v>
      </c>
      <c r="D101" t="s">
        <v>3257</v>
      </c>
      <c r="E101" t="s">
        <v>3256</v>
      </c>
      <c r="F101"/>
      <c r="G101"/>
      <c r="H101"/>
      <c r="I101"/>
      <c r="J101"/>
      <c r="K101"/>
      <c r="L101"/>
      <c r="M101"/>
    </row>
    <row r="102" spans="1:13">
      <c r="A102" t="s">
        <v>128</v>
      </c>
      <c r="B102" s="179">
        <v>2164</v>
      </c>
      <c r="C102" s="179">
        <v>67925</v>
      </c>
      <c r="D102" s="96">
        <v>3.1858667648141333E-2</v>
      </c>
      <c r="E102" s="96">
        <v>0.12386596763163893</v>
      </c>
      <c r="F102" s="97">
        <f t="shared" ref="F102:F108" si="6">B102/C102</f>
        <v>3.1858667648141333E-2</v>
      </c>
      <c r="G102" s="97">
        <f>B$102/B$108</f>
        <v>0.11893377301456444</v>
      </c>
      <c r="H102"/>
      <c r="I102"/>
      <c r="J102"/>
      <c r="K102"/>
      <c r="L102"/>
      <c r="M102"/>
    </row>
    <row r="103" spans="1:13">
      <c r="A103" t="s">
        <v>107</v>
      </c>
      <c r="B103" s="179">
        <v>1760</v>
      </c>
      <c r="C103" s="179">
        <v>64500</v>
      </c>
      <c r="D103" s="96">
        <v>2.7286821705426356E-2</v>
      </c>
      <c r="E103" s="96">
        <v>0.11762024162297698</v>
      </c>
      <c r="F103" s="97">
        <f t="shared" si="6"/>
        <v>2.7286821705426356E-2</v>
      </c>
      <c r="G103" s="97">
        <f>B$103/B$108</f>
        <v>9.6729870843638363E-2</v>
      </c>
      <c r="H103"/>
      <c r="I103"/>
      <c r="J103"/>
      <c r="K103"/>
      <c r="L103"/>
      <c r="M103"/>
    </row>
    <row r="104" spans="1:13">
      <c r="A104" t="s">
        <v>3088</v>
      </c>
      <c r="B104" s="179">
        <v>1647</v>
      </c>
      <c r="C104" s="179">
        <v>69725</v>
      </c>
      <c r="D104" s="96">
        <v>2.3621369666547151E-2</v>
      </c>
      <c r="E104" s="96">
        <v>0.1271483929792569</v>
      </c>
      <c r="F104" s="97">
        <f t="shared" si="6"/>
        <v>2.3621369666547151E-2</v>
      </c>
      <c r="G104" s="97">
        <f>B$104/B$108</f>
        <v>9.0519373454245669E-2</v>
      </c>
      <c r="H104"/>
      <c r="I104"/>
      <c r="J104"/>
      <c r="K104"/>
      <c r="L104"/>
      <c r="M104"/>
    </row>
    <row r="105" spans="1:13">
      <c r="A105" t="s">
        <v>54</v>
      </c>
      <c r="B105" s="179">
        <v>2846</v>
      </c>
      <c r="C105" s="179">
        <v>80025</v>
      </c>
      <c r="D105" s="96">
        <v>3.5563886285535772E-2</v>
      </c>
      <c r="E105" s="96">
        <v>0.14593116024618191</v>
      </c>
      <c r="F105" s="97">
        <f t="shared" si="6"/>
        <v>3.5563886285535772E-2</v>
      </c>
      <c r="G105" s="97">
        <f>B$105/B$108</f>
        <v>0.15641659796647431</v>
      </c>
      <c r="H105"/>
      <c r="I105"/>
      <c r="J105"/>
      <c r="K105"/>
      <c r="L105"/>
      <c r="M105"/>
    </row>
    <row r="106" spans="1:13">
      <c r="A106" t="s">
        <v>173</v>
      </c>
      <c r="B106" s="179">
        <v>4773</v>
      </c>
      <c r="C106" s="179">
        <v>141850</v>
      </c>
      <c r="D106" s="96">
        <v>3.3648219950652099E-2</v>
      </c>
      <c r="E106" s="96">
        <v>0.25867335308867107</v>
      </c>
      <c r="F106" s="97">
        <f t="shared" si="6"/>
        <v>3.3648219950652099E-2</v>
      </c>
      <c r="G106" s="97">
        <f>B$106/B$108</f>
        <v>0.26232481450948064</v>
      </c>
      <c r="H106"/>
      <c r="I106"/>
      <c r="J106"/>
      <c r="K106"/>
      <c r="L106"/>
      <c r="M106"/>
    </row>
    <row r="107" spans="1:13">
      <c r="A107" t="s">
        <v>43</v>
      </c>
      <c r="B107" s="179">
        <v>5005</v>
      </c>
      <c r="C107" s="179">
        <v>124350</v>
      </c>
      <c r="D107" s="96">
        <v>4.0249296340973059E-2</v>
      </c>
      <c r="E107" s="96">
        <v>0.22676088443127421</v>
      </c>
      <c r="F107" s="97">
        <f t="shared" si="6"/>
        <v>4.0249296340973059E-2</v>
      </c>
      <c r="G107" s="97">
        <f>B$107/B$108</f>
        <v>0.27507557021159657</v>
      </c>
      <c r="H107"/>
      <c r="I107"/>
      <c r="J107"/>
      <c r="K107"/>
      <c r="L107"/>
      <c r="M107"/>
    </row>
    <row r="108" spans="1:13">
      <c r="A108" t="s">
        <v>3122</v>
      </c>
      <c r="B108" s="179">
        <v>18195</v>
      </c>
      <c r="C108" s="179">
        <v>548375</v>
      </c>
      <c r="D108" s="96">
        <v>3.3179849555504903E-2</v>
      </c>
      <c r="E108" s="96">
        <v>1</v>
      </c>
      <c r="F108" s="97">
        <f t="shared" si="6"/>
        <v>3.3179849555504903E-2</v>
      </c>
      <c r="G108" s="97">
        <f>B$108/B$108</f>
        <v>1</v>
      </c>
      <c r="H108"/>
      <c r="I108"/>
      <c r="J108"/>
      <c r="K108"/>
      <c r="L108"/>
      <c r="M108"/>
    </row>
    <row r="109" spans="1:13">
      <c r="B109"/>
      <c r="C109"/>
      <c r="D109"/>
      <c r="E109"/>
      <c r="F109"/>
      <c r="G109"/>
      <c r="H109"/>
      <c r="I109"/>
      <c r="J109"/>
      <c r="K109"/>
      <c r="L109"/>
      <c r="M109"/>
    </row>
    <row r="110" spans="1:13">
      <c r="B110"/>
      <c r="C110"/>
      <c r="D110"/>
      <c r="E110"/>
      <c r="F110"/>
      <c r="G110"/>
      <c r="H110"/>
      <c r="I110"/>
      <c r="J110"/>
      <c r="K110"/>
      <c r="L110"/>
      <c r="M110"/>
    </row>
    <row r="111" spans="1:13">
      <c r="B111"/>
      <c r="C111"/>
      <c r="D111"/>
      <c r="E111"/>
      <c r="F111"/>
      <c r="G111"/>
      <c r="H111"/>
      <c r="I111"/>
      <c r="J111"/>
      <c r="K111"/>
      <c r="L111"/>
      <c r="M111"/>
    </row>
    <row r="112" spans="1:13">
      <c r="B112"/>
      <c r="C112"/>
      <c r="D112"/>
      <c r="E112"/>
      <c r="F112"/>
      <c r="G112"/>
      <c r="H112"/>
      <c r="I112"/>
      <c r="J112"/>
      <c r="K112"/>
      <c r="L112"/>
      <c r="M112"/>
    </row>
    <row r="113" spans="1:13">
      <c r="B113"/>
      <c r="C113"/>
      <c r="D113"/>
      <c r="E113"/>
      <c r="F113"/>
      <c r="G113"/>
      <c r="H113"/>
      <c r="I113"/>
      <c r="J113"/>
      <c r="K113"/>
      <c r="L113"/>
      <c r="M113"/>
    </row>
    <row r="114" spans="1:13">
      <c r="A114" s="51" t="s">
        <v>3189</v>
      </c>
      <c r="B114" s="51" t="s">
        <v>19</v>
      </c>
      <c r="C114"/>
      <c r="D114"/>
      <c r="E114"/>
      <c r="F114"/>
      <c r="G114"/>
      <c r="H114"/>
      <c r="I114"/>
      <c r="J114"/>
      <c r="K114"/>
      <c r="L114"/>
      <c r="M114"/>
    </row>
    <row r="115" spans="1:13">
      <c r="A115" s="51" t="s">
        <v>6</v>
      </c>
      <c r="B115" t="s">
        <v>166</v>
      </c>
      <c r="C115" t="s">
        <v>270</v>
      </c>
      <c r="D115" t="s">
        <v>362</v>
      </c>
      <c r="E115" t="s">
        <v>135</v>
      </c>
      <c r="F115" t="s">
        <v>87</v>
      </c>
      <c r="G115" t="s">
        <v>205</v>
      </c>
      <c r="H115" t="s">
        <v>39</v>
      </c>
      <c r="I115" t="s">
        <v>3122</v>
      </c>
      <c r="J115"/>
      <c r="K115"/>
      <c r="L115"/>
      <c r="M115"/>
    </row>
    <row r="116" spans="1:13">
      <c r="A116" t="s">
        <v>92</v>
      </c>
      <c r="B116" s="179">
        <v>5</v>
      </c>
      <c r="C116" s="179">
        <v>12</v>
      </c>
      <c r="D116" s="179">
        <v>1</v>
      </c>
      <c r="E116" s="179">
        <v>30</v>
      </c>
      <c r="F116" s="179">
        <v>28</v>
      </c>
      <c r="G116" s="179">
        <v>12</v>
      </c>
      <c r="H116" s="179">
        <v>19</v>
      </c>
      <c r="I116" s="179">
        <v>107</v>
      </c>
      <c r="J116"/>
      <c r="K116"/>
      <c r="L116"/>
      <c r="M116"/>
    </row>
    <row r="117" spans="1:13">
      <c r="A117" t="s">
        <v>61</v>
      </c>
      <c r="B117" s="179">
        <v>7</v>
      </c>
      <c r="C117" s="179">
        <v>11</v>
      </c>
      <c r="D117" s="179">
        <v>2</v>
      </c>
      <c r="E117" s="179">
        <v>28</v>
      </c>
      <c r="F117" s="179">
        <v>20</v>
      </c>
      <c r="G117" s="179">
        <v>18</v>
      </c>
      <c r="H117" s="179">
        <v>22</v>
      </c>
      <c r="I117" s="179">
        <v>108</v>
      </c>
      <c r="J117"/>
      <c r="K117"/>
      <c r="L117"/>
      <c r="M117"/>
    </row>
    <row r="118" spans="1:13">
      <c r="A118" t="s">
        <v>241</v>
      </c>
      <c r="B118" s="179">
        <v>8</v>
      </c>
      <c r="C118" s="179">
        <v>6</v>
      </c>
      <c r="D118" s="179">
        <v>4</v>
      </c>
      <c r="E118" s="179">
        <v>38</v>
      </c>
      <c r="F118" s="179">
        <v>29</v>
      </c>
      <c r="G118" s="179">
        <v>13</v>
      </c>
      <c r="H118" s="179">
        <v>11</v>
      </c>
      <c r="I118" s="179">
        <v>109</v>
      </c>
      <c r="J118"/>
      <c r="K118"/>
      <c r="L118"/>
      <c r="M118"/>
    </row>
    <row r="119" spans="1:13">
      <c r="A119" t="s">
        <v>70</v>
      </c>
      <c r="B119" s="179">
        <v>7</v>
      </c>
      <c r="C119" s="179">
        <v>17</v>
      </c>
      <c r="D119" s="179"/>
      <c r="E119" s="179">
        <v>32</v>
      </c>
      <c r="F119" s="179">
        <v>39</v>
      </c>
      <c r="G119" s="179">
        <v>14</v>
      </c>
      <c r="H119" s="179">
        <v>19</v>
      </c>
      <c r="I119" s="179">
        <v>128</v>
      </c>
      <c r="J119"/>
      <c r="K119"/>
      <c r="L119"/>
      <c r="M119"/>
    </row>
    <row r="120" spans="1:13">
      <c r="A120" t="s">
        <v>49</v>
      </c>
      <c r="B120" s="179">
        <v>7</v>
      </c>
      <c r="C120" s="179">
        <v>8</v>
      </c>
      <c r="D120" s="179"/>
      <c r="E120" s="179">
        <v>36</v>
      </c>
      <c r="F120" s="179">
        <v>36</v>
      </c>
      <c r="G120" s="179">
        <v>16</v>
      </c>
      <c r="H120" s="179">
        <v>23</v>
      </c>
      <c r="I120" s="179">
        <v>126</v>
      </c>
      <c r="J120"/>
      <c r="K120"/>
      <c r="L120"/>
      <c r="M120"/>
    </row>
    <row r="121" spans="1:13">
      <c r="A121" t="s">
        <v>83</v>
      </c>
      <c r="B121" s="179">
        <v>13</v>
      </c>
      <c r="C121" s="179">
        <v>15</v>
      </c>
      <c r="D121" s="179">
        <v>2</v>
      </c>
      <c r="E121" s="179">
        <v>28</v>
      </c>
      <c r="F121" s="179">
        <v>27</v>
      </c>
      <c r="G121" s="179">
        <v>15</v>
      </c>
      <c r="H121" s="179">
        <v>13</v>
      </c>
      <c r="I121" s="179">
        <v>113</v>
      </c>
      <c r="J121"/>
      <c r="K121"/>
      <c r="L121"/>
      <c r="M121"/>
    </row>
    <row r="122" spans="1:13">
      <c r="A122" t="s">
        <v>34</v>
      </c>
      <c r="B122" s="179">
        <v>5</v>
      </c>
      <c r="C122" s="179">
        <v>14</v>
      </c>
      <c r="D122" s="179">
        <v>2</v>
      </c>
      <c r="E122" s="179">
        <v>38</v>
      </c>
      <c r="F122" s="179">
        <v>27</v>
      </c>
      <c r="G122" s="179">
        <v>11</v>
      </c>
      <c r="H122" s="179">
        <v>10</v>
      </c>
      <c r="I122" s="179">
        <v>107</v>
      </c>
      <c r="J122"/>
      <c r="K122"/>
      <c r="L122"/>
      <c r="M122"/>
    </row>
    <row r="123" spans="1:13">
      <c r="A123" t="s">
        <v>120</v>
      </c>
      <c r="B123" s="179">
        <v>9</v>
      </c>
      <c r="C123" s="179">
        <v>9</v>
      </c>
      <c r="D123" s="179">
        <v>3</v>
      </c>
      <c r="E123" s="179">
        <v>25</v>
      </c>
      <c r="F123" s="179">
        <v>32</v>
      </c>
      <c r="G123" s="179">
        <v>12</v>
      </c>
      <c r="H123" s="179">
        <v>13</v>
      </c>
      <c r="I123" s="179">
        <v>103</v>
      </c>
    </row>
    <row r="124" spans="1:13">
      <c r="A124" t="s">
        <v>178</v>
      </c>
      <c r="B124" s="179">
        <v>6</v>
      </c>
      <c r="C124" s="179">
        <v>12</v>
      </c>
      <c r="D124" s="179"/>
      <c r="E124" s="179">
        <v>23</v>
      </c>
      <c r="F124" s="179">
        <v>30</v>
      </c>
      <c r="G124" s="179">
        <v>9</v>
      </c>
      <c r="H124" s="179">
        <v>19</v>
      </c>
      <c r="I124" s="179">
        <v>99</v>
      </c>
    </row>
    <row r="125" spans="1:13">
      <c r="A125" t="s">
        <v>3122</v>
      </c>
      <c r="B125" s="179">
        <v>67</v>
      </c>
      <c r="C125" s="179">
        <v>104</v>
      </c>
      <c r="D125" s="179">
        <v>14</v>
      </c>
      <c r="E125" s="179">
        <v>278</v>
      </c>
      <c r="F125" s="179">
        <v>268</v>
      </c>
      <c r="G125" s="179">
        <v>120</v>
      </c>
      <c r="H125" s="179">
        <v>149</v>
      </c>
      <c r="I125" s="179">
        <v>1000</v>
      </c>
    </row>
    <row r="129" spans="1:9">
      <c r="A129" s="40" t="s">
        <v>3252</v>
      </c>
    </row>
    <row r="130" spans="1:9">
      <c r="A130" s="51" t="s">
        <v>6</v>
      </c>
      <c r="B130" t="s">
        <v>3144</v>
      </c>
      <c r="C130"/>
      <c r="D130"/>
      <c r="E130"/>
      <c r="F130"/>
      <c r="G130"/>
      <c r="H130"/>
      <c r="I130"/>
    </row>
    <row r="131" spans="1:9">
      <c r="A131" t="s">
        <v>92</v>
      </c>
      <c r="B131" s="96">
        <v>2.5060747663551399E-2</v>
      </c>
      <c r="C131" t="s">
        <v>3284</v>
      </c>
      <c r="D131" s="80">
        <f>MAX(B131:B139)</f>
        <v>2.9771681415929219E-2</v>
      </c>
      <c r="E131"/>
      <c r="F131"/>
      <c r="G131"/>
      <c r="H131"/>
      <c r="I131"/>
    </row>
    <row r="132" spans="1:9">
      <c r="A132" t="s">
        <v>61</v>
      </c>
      <c r="B132" s="96">
        <v>2.422685185185185E-2</v>
      </c>
      <c r="C132" t="s">
        <v>3285</v>
      </c>
      <c r="D132" s="80">
        <f>MIN(B131:B139)</f>
        <v>2.1489062500000006E-2</v>
      </c>
      <c r="E132"/>
      <c r="F132"/>
      <c r="G132"/>
      <c r="H132"/>
      <c r="I132"/>
    </row>
    <row r="133" spans="1:9">
      <c r="A133" t="s">
        <v>241</v>
      </c>
      <c r="B133" s="96">
        <v>2.459357798165138E-2</v>
      </c>
      <c r="C133"/>
      <c r="D133"/>
      <c r="E133"/>
      <c r="F133"/>
      <c r="G133"/>
      <c r="H133"/>
      <c r="I133"/>
    </row>
    <row r="134" spans="1:9">
      <c r="A134" t="s">
        <v>70</v>
      </c>
      <c r="B134" s="96">
        <v>2.1489062500000006E-2</v>
      </c>
      <c r="C134"/>
      <c r="D134"/>
      <c r="E134"/>
      <c r="F134"/>
      <c r="G134"/>
      <c r="H134"/>
      <c r="I134"/>
    </row>
    <row r="135" spans="1:9">
      <c r="A135" t="s">
        <v>49</v>
      </c>
      <c r="B135" s="96">
        <v>2.2429365079365094E-2</v>
      </c>
      <c r="C135"/>
      <c r="D135"/>
      <c r="E135"/>
      <c r="F135"/>
      <c r="G135"/>
      <c r="H135"/>
      <c r="I135"/>
    </row>
    <row r="136" spans="1:9">
      <c r="A136" t="s">
        <v>83</v>
      </c>
      <c r="B136" s="96">
        <v>2.9771681415929219E-2</v>
      </c>
      <c r="C136"/>
      <c r="D136"/>
      <c r="E136"/>
      <c r="F136"/>
      <c r="G136"/>
      <c r="H136"/>
      <c r="I136"/>
    </row>
    <row r="137" spans="1:9">
      <c r="A137" t="s">
        <v>34</v>
      </c>
      <c r="B137" s="96">
        <v>2.736168224299065E-2</v>
      </c>
      <c r="C137"/>
      <c r="D137"/>
      <c r="E137"/>
      <c r="F137"/>
      <c r="G137"/>
      <c r="H137"/>
      <c r="I137"/>
    </row>
    <row r="138" spans="1:9">
      <c r="A138" t="s">
        <v>120</v>
      </c>
      <c r="B138" s="96">
        <v>2.6994174757281556E-2</v>
      </c>
      <c r="C138"/>
      <c r="D138"/>
      <c r="E138"/>
      <c r="F138"/>
      <c r="G138"/>
      <c r="H138"/>
      <c r="I138"/>
    </row>
    <row r="139" spans="1:9">
      <c r="A139" t="s">
        <v>178</v>
      </c>
      <c r="B139" s="96">
        <v>2.641212121212122E-2</v>
      </c>
      <c r="C139"/>
      <c r="D139" t="s">
        <v>3283</v>
      </c>
      <c r="E139"/>
      <c r="F139"/>
      <c r="G139"/>
      <c r="H139"/>
      <c r="I139"/>
    </row>
    <row r="140" spans="1:9">
      <c r="A140" t="s">
        <v>3122</v>
      </c>
      <c r="B140" s="96">
        <v>2.5242499999999949E-2</v>
      </c>
      <c r="C140"/>
      <c r="D140" t="s">
        <v>3281</v>
      </c>
      <c r="E140"/>
      <c r="F140"/>
      <c r="G140"/>
      <c r="H140"/>
      <c r="I140"/>
    </row>
    <row r="141" spans="1:9">
      <c r="B141"/>
      <c r="C141"/>
      <c r="D141" t="s">
        <v>3282</v>
      </c>
      <c r="E141"/>
      <c r="F141"/>
      <c r="G141"/>
      <c r="H141"/>
      <c r="I141"/>
    </row>
    <row r="145" spans="1:6">
      <c r="A145" t="s">
        <v>3251</v>
      </c>
      <c r="B145"/>
      <c r="C145"/>
      <c r="D145"/>
    </row>
    <row r="146" spans="1:6">
      <c r="A146" s="51" t="s">
        <v>6</v>
      </c>
      <c r="B146" t="s">
        <v>3143</v>
      </c>
      <c r="C146" t="s">
        <v>3153</v>
      </c>
      <c r="D146" t="s">
        <v>3257</v>
      </c>
      <c r="E146" t="s">
        <v>3256</v>
      </c>
    </row>
    <row r="147" spans="1:6">
      <c r="A147" t="s">
        <v>92</v>
      </c>
      <c r="B147" s="179">
        <v>1993</v>
      </c>
      <c r="C147" s="179">
        <v>59575</v>
      </c>
      <c r="D147" s="96">
        <v>3.3453629878304657E-2</v>
      </c>
      <c r="E147" s="96">
        <v>0.10953558669964276</v>
      </c>
      <c r="F147" s="98">
        <f>B147/B156</f>
        <v>0.10953558669964276</v>
      </c>
    </row>
    <row r="148" spans="1:6">
      <c r="A148" t="s">
        <v>61</v>
      </c>
      <c r="B148" s="179">
        <v>2595</v>
      </c>
      <c r="C148" s="179">
        <v>60675</v>
      </c>
      <c r="D148" s="96">
        <v>4.2768850432632878E-2</v>
      </c>
      <c r="E148" s="96">
        <v>0.14262159934047816</v>
      </c>
    </row>
    <row r="149" spans="1:6">
      <c r="A149" t="s">
        <v>241</v>
      </c>
      <c r="B149" s="179">
        <v>1456</v>
      </c>
      <c r="C149" s="179">
        <v>69175</v>
      </c>
      <c r="D149" s="96">
        <v>2.1048066498012288E-2</v>
      </c>
      <c r="E149" s="96">
        <v>8.0021984061555376E-2</v>
      </c>
    </row>
    <row r="150" spans="1:6">
      <c r="A150" t="s">
        <v>70</v>
      </c>
      <c r="B150" s="179">
        <v>4024</v>
      </c>
      <c r="C150" s="179">
        <v>74200</v>
      </c>
      <c r="D150" s="96">
        <v>5.4231805929919136E-2</v>
      </c>
      <c r="E150" s="96">
        <v>0.22115965924704589</v>
      </c>
    </row>
    <row r="151" spans="1:6">
      <c r="A151" t="s">
        <v>49</v>
      </c>
      <c r="B151" s="179">
        <v>1096</v>
      </c>
      <c r="C151" s="179">
        <v>63850</v>
      </c>
      <c r="D151" s="96">
        <v>1.716523101018011E-2</v>
      </c>
      <c r="E151" s="96">
        <v>6.0236328661720254E-2</v>
      </c>
    </row>
    <row r="152" spans="1:6">
      <c r="A152" t="s">
        <v>83</v>
      </c>
      <c r="B152" s="179">
        <v>1602</v>
      </c>
      <c r="C152" s="179">
        <v>56050</v>
      </c>
      <c r="D152" s="96">
        <v>2.8581623550401426E-2</v>
      </c>
      <c r="E152" s="96">
        <v>8.8046166529266279E-2</v>
      </c>
    </row>
    <row r="153" spans="1:6">
      <c r="A153" t="s">
        <v>34</v>
      </c>
      <c r="B153" s="179">
        <v>2585</v>
      </c>
      <c r="C153" s="179">
        <v>59650</v>
      </c>
      <c r="D153" s="96">
        <v>4.3336127409891033E-2</v>
      </c>
      <c r="E153" s="96">
        <v>0.14207199780159385</v>
      </c>
    </row>
    <row r="154" spans="1:6">
      <c r="A154" t="s">
        <v>120</v>
      </c>
      <c r="B154" s="179">
        <v>1334</v>
      </c>
      <c r="C154" s="179">
        <v>51800</v>
      </c>
      <c r="D154" s="96">
        <v>2.5752895752895754E-2</v>
      </c>
      <c r="E154" s="96">
        <v>7.331684528716681E-2</v>
      </c>
    </row>
    <row r="155" spans="1:6">
      <c r="A155" t="s">
        <v>178</v>
      </c>
      <c r="B155" s="179">
        <v>1510</v>
      </c>
      <c r="C155" s="179">
        <v>53400</v>
      </c>
      <c r="D155" s="96">
        <v>2.8277153558052433E-2</v>
      </c>
      <c r="E155" s="96">
        <v>8.2989832371530639E-2</v>
      </c>
    </row>
    <row r="156" spans="1:6">
      <c r="A156" t="s">
        <v>3122</v>
      </c>
      <c r="B156" s="179">
        <v>18195</v>
      </c>
      <c r="C156" s="179">
        <v>548375</v>
      </c>
      <c r="D156" s="96">
        <v>3.3179849555504903E-2</v>
      </c>
      <c r="E156" s="96">
        <v>1</v>
      </c>
    </row>
    <row r="160" spans="1:6">
      <c r="A160" t="s">
        <v>3253</v>
      </c>
    </row>
    <row r="161" spans="1:9">
      <c r="A161" s="51" t="s">
        <v>3189</v>
      </c>
      <c r="B161" s="51" t="s">
        <v>19</v>
      </c>
      <c r="C161"/>
      <c r="D161"/>
      <c r="E161"/>
      <c r="F161"/>
      <c r="G161"/>
      <c r="H161"/>
      <c r="I161"/>
    </row>
    <row r="162" spans="1:9">
      <c r="A162" s="51" t="s">
        <v>5</v>
      </c>
      <c r="B162" t="s">
        <v>166</v>
      </c>
      <c r="C162" t="s">
        <v>270</v>
      </c>
      <c r="D162" t="s">
        <v>362</v>
      </c>
      <c r="E162" t="s">
        <v>135</v>
      </c>
      <c r="F162" t="s">
        <v>87</v>
      </c>
      <c r="G162" t="s">
        <v>205</v>
      </c>
      <c r="H162" t="s">
        <v>39</v>
      </c>
      <c r="I162" t="s">
        <v>3122</v>
      </c>
    </row>
    <row r="163" spans="1:9">
      <c r="A163" t="s">
        <v>702</v>
      </c>
      <c r="B163" s="179"/>
      <c r="C163" s="179">
        <v>1</v>
      </c>
      <c r="D163" s="179"/>
      <c r="E163" s="179">
        <v>2</v>
      </c>
      <c r="F163" s="179"/>
      <c r="G163" s="179"/>
      <c r="H163" s="179"/>
      <c r="I163" s="179">
        <v>3</v>
      </c>
    </row>
    <row r="164" spans="1:9">
      <c r="A164" t="s">
        <v>133</v>
      </c>
      <c r="B164" s="179">
        <v>4</v>
      </c>
      <c r="C164" s="179">
        <v>4</v>
      </c>
      <c r="D164" s="179"/>
      <c r="E164" s="179">
        <v>12</v>
      </c>
      <c r="F164" s="179">
        <v>23</v>
      </c>
      <c r="G164" s="179">
        <v>8</v>
      </c>
      <c r="H164" s="179">
        <v>9</v>
      </c>
      <c r="I164" s="179">
        <v>60</v>
      </c>
    </row>
    <row r="165" spans="1:9">
      <c r="A165" t="s">
        <v>479</v>
      </c>
      <c r="B165" s="179">
        <v>3</v>
      </c>
      <c r="C165" s="179">
        <v>6</v>
      </c>
      <c r="D165" s="179"/>
      <c r="E165" s="179">
        <v>19</v>
      </c>
      <c r="F165" s="179">
        <v>20</v>
      </c>
      <c r="G165" s="179">
        <v>9</v>
      </c>
      <c r="H165" s="179">
        <v>14</v>
      </c>
      <c r="I165" s="179">
        <v>71</v>
      </c>
    </row>
    <row r="166" spans="1:9">
      <c r="A166" t="s">
        <v>316</v>
      </c>
      <c r="B166" s="179">
        <v>2</v>
      </c>
      <c r="C166" s="179">
        <v>6</v>
      </c>
      <c r="D166" s="179">
        <v>2</v>
      </c>
      <c r="E166" s="179">
        <v>22</v>
      </c>
      <c r="F166" s="179">
        <v>17</v>
      </c>
      <c r="G166" s="179">
        <v>9</v>
      </c>
      <c r="H166" s="179">
        <v>12</v>
      </c>
      <c r="I166" s="179">
        <v>70</v>
      </c>
    </row>
    <row r="167" spans="1:9">
      <c r="A167" t="s">
        <v>258</v>
      </c>
      <c r="B167" s="179">
        <v>4</v>
      </c>
      <c r="C167" s="179">
        <v>8</v>
      </c>
      <c r="D167" s="179"/>
      <c r="E167" s="179">
        <v>14</v>
      </c>
      <c r="F167" s="179">
        <v>19</v>
      </c>
      <c r="G167" s="179">
        <v>11</v>
      </c>
      <c r="H167" s="179">
        <v>7</v>
      </c>
      <c r="I167" s="179">
        <v>63</v>
      </c>
    </row>
    <row r="168" spans="1:9">
      <c r="A168" t="s">
        <v>102</v>
      </c>
      <c r="B168" s="179">
        <v>10</v>
      </c>
      <c r="C168" s="179">
        <v>16</v>
      </c>
      <c r="D168" s="179"/>
      <c r="E168" s="179">
        <v>35</v>
      </c>
      <c r="F168" s="179">
        <v>41</v>
      </c>
      <c r="G168" s="179">
        <v>18</v>
      </c>
      <c r="H168" s="179">
        <v>25</v>
      </c>
      <c r="I168" s="179">
        <v>145</v>
      </c>
    </row>
    <row r="169" spans="1:9">
      <c r="A169" t="s">
        <v>169</v>
      </c>
      <c r="B169" s="179">
        <v>6</v>
      </c>
      <c r="C169" s="179">
        <v>6</v>
      </c>
      <c r="D169" s="179"/>
      <c r="E169" s="179">
        <v>17</v>
      </c>
      <c r="F169" s="179">
        <v>10</v>
      </c>
      <c r="G169" s="179">
        <v>6</v>
      </c>
      <c r="H169" s="179">
        <v>6</v>
      </c>
      <c r="I169" s="179">
        <v>51</v>
      </c>
    </row>
    <row r="170" spans="1:9">
      <c r="A170" t="s">
        <v>152</v>
      </c>
      <c r="B170" s="179">
        <v>24</v>
      </c>
      <c r="C170" s="179">
        <v>30</v>
      </c>
      <c r="D170" s="179">
        <v>10</v>
      </c>
      <c r="E170" s="179">
        <v>79</v>
      </c>
      <c r="F170" s="179">
        <v>62</v>
      </c>
      <c r="G170" s="179">
        <v>19</v>
      </c>
      <c r="H170" s="179">
        <v>43</v>
      </c>
      <c r="I170" s="179">
        <v>267</v>
      </c>
    </row>
    <row r="171" spans="1:9">
      <c r="A171" t="s">
        <v>82</v>
      </c>
      <c r="B171" s="179">
        <v>2</v>
      </c>
      <c r="C171" s="179">
        <v>7</v>
      </c>
      <c r="D171" s="179"/>
      <c r="E171" s="179">
        <v>21</v>
      </c>
      <c r="F171" s="179">
        <v>17</v>
      </c>
      <c r="G171" s="179">
        <v>15</v>
      </c>
      <c r="H171" s="179">
        <v>9</v>
      </c>
      <c r="I171" s="179">
        <v>71</v>
      </c>
    </row>
    <row r="172" spans="1:9">
      <c r="A172" t="s">
        <v>301</v>
      </c>
      <c r="B172" s="179">
        <v>5</v>
      </c>
      <c r="C172" s="179">
        <v>7</v>
      </c>
      <c r="D172" s="179"/>
      <c r="E172" s="179">
        <v>16</v>
      </c>
      <c r="F172" s="179">
        <v>19</v>
      </c>
      <c r="G172" s="179">
        <v>10</v>
      </c>
      <c r="H172" s="179">
        <v>10</v>
      </c>
      <c r="I172" s="179">
        <v>67</v>
      </c>
    </row>
    <row r="173" spans="1:9">
      <c r="A173" t="s">
        <v>177</v>
      </c>
      <c r="B173" s="179">
        <v>3</v>
      </c>
      <c r="C173" s="179">
        <v>5</v>
      </c>
      <c r="D173" s="179"/>
      <c r="E173" s="179">
        <v>14</v>
      </c>
      <c r="F173" s="179">
        <v>22</v>
      </c>
      <c r="G173" s="179">
        <v>5</v>
      </c>
      <c r="H173" s="179">
        <v>6</v>
      </c>
      <c r="I173" s="179">
        <v>55</v>
      </c>
    </row>
    <row r="174" spans="1:9">
      <c r="A174" t="s">
        <v>194</v>
      </c>
      <c r="B174" s="179">
        <v>4</v>
      </c>
      <c r="C174" s="179">
        <v>8</v>
      </c>
      <c r="D174" s="179">
        <v>2</v>
      </c>
      <c r="E174" s="179">
        <v>27</v>
      </c>
      <c r="F174" s="179">
        <v>18</v>
      </c>
      <c r="G174" s="179">
        <v>10</v>
      </c>
      <c r="H174" s="179">
        <v>8</v>
      </c>
      <c r="I174" s="179">
        <v>77</v>
      </c>
    </row>
    <row r="175" spans="1:9">
      <c r="A175" t="s">
        <v>3122</v>
      </c>
      <c r="B175" s="179">
        <v>67</v>
      </c>
      <c r="C175" s="179">
        <v>104</v>
      </c>
      <c r="D175" s="179">
        <v>14</v>
      </c>
      <c r="E175" s="179">
        <v>278</v>
      </c>
      <c r="F175" s="179">
        <v>268</v>
      </c>
      <c r="G175" s="179">
        <v>120</v>
      </c>
      <c r="H175" s="179">
        <v>149</v>
      </c>
      <c r="I175" s="179">
        <v>1000</v>
      </c>
    </row>
    <row r="180" spans="1:4">
      <c r="A180" t="s">
        <v>3252</v>
      </c>
    </row>
    <row r="181" spans="1:4">
      <c r="A181" s="51" t="s">
        <v>5</v>
      </c>
      <c r="B181" t="s">
        <v>3144</v>
      </c>
    </row>
    <row r="182" spans="1:4">
      <c r="A182" t="s">
        <v>702</v>
      </c>
      <c r="B182" s="96">
        <v>1.6666666666666666E-2</v>
      </c>
      <c r="C182" s="96">
        <f>MIN(B182:B193)</f>
        <v>1.6666666666666666E-2</v>
      </c>
    </row>
    <row r="183" spans="1:4">
      <c r="A183" t="s">
        <v>133</v>
      </c>
      <c r="B183" s="96">
        <v>3.3783333333333339E-2</v>
      </c>
      <c r="C183" s="96">
        <f>MAX(B182:B193)</f>
        <v>4.0217460317460325E-2</v>
      </c>
    </row>
    <row r="184" spans="1:4">
      <c r="A184" t="s">
        <v>479</v>
      </c>
      <c r="B184" s="96">
        <v>2.9071830985915498E-2</v>
      </c>
    </row>
    <row r="185" spans="1:4">
      <c r="A185" t="s">
        <v>316</v>
      </c>
      <c r="B185" s="96">
        <v>2.6974285714285718E-2</v>
      </c>
    </row>
    <row r="186" spans="1:4">
      <c r="A186" t="s">
        <v>258</v>
      </c>
      <c r="B186" s="96">
        <v>4.0217460317460325E-2</v>
      </c>
      <c r="D186" t="s">
        <v>3286</v>
      </c>
    </row>
    <row r="187" spans="1:4">
      <c r="A187" t="s">
        <v>102</v>
      </c>
      <c r="B187" s="96">
        <v>2.6083448275862068E-2</v>
      </c>
      <c r="D187" t="s">
        <v>3287</v>
      </c>
    </row>
    <row r="188" spans="1:4">
      <c r="A188" t="s">
        <v>169</v>
      </c>
      <c r="B188" s="96">
        <v>1.9668627450980403E-2</v>
      </c>
    </row>
    <row r="189" spans="1:4">
      <c r="A189" t="s">
        <v>152</v>
      </c>
      <c r="B189" s="96">
        <v>1.8281647940074894E-2</v>
      </c>
    </row>
    <row r="190" spans="1:4">
      <c r="A190" t="s">
        <v>82</v>
      </c>
      <c r="B190" s="96">
        <v>1.6676056338028173E-2</v>
      </c>
    </row>
    <row r="191" spans="1:4">
      <c r="A191" t="s">
        <v>301</v>
      </c>
      <c r="B191" s="96">
        <v>2.0297014925373134E-2</v>
      </c>
    </row>
    <row r="192" spans="1:4">
      <c r="A192" t="s">
        <v>177</v>
      </c>
      <c r="B192" s="96">
        <v>3.9534545454545461E-2</v>
      </c>
    </row>
    <row r="193" spans="1:7">
      <c r="A193" t="s">
        <v>194</v>
      </c>
      <c r="B193" s="96">
        <v>2.9802597402597414E-2</v>
      </c>
    </row>
    <row r="194" spans="1:7">
      <c r="A194" t="s">
        <v>3122</v>
      </c>
      <c r="B194" s="96">
        <v>2.5242499999999946E-2</v>
      </c>
    </row>
    <row r="197" spans="1:7">
      <c r="C197" s="23" t="s">
        <v>3284</v>
      </c>
      <c r="D197" s="96">
        <f>MAX(D200:D211)</f>
        <v>9.4181204276871128E-2</v>
      </c>
    </row>
    <row r="198" spans="1:7">
      <c r="A198" t="s">
        <v>3254</v>
      </c>
      <c r="C198" s="23" t="s">
        <v>3285</v>
      </c>
      <c r="D198" s="96">
        <f>MIN(D200:D211)</f>
        <v>1.6666666666666666E-2</v>
      </c>
    </row>
    <row r="199" spans="1:7">
      <c r="A199" s="51" t="s">
        <v>5</v>
      </c>
      <c r="B199" t="s">
        <v>3143</v>
      </c>
      <c r="C199" t="s">
        <v>3153</v>
      </c>
      <c r="D199" t="s">
        <v>3255</v>
      </c>
      <c r="E199" t="s">
        <v>3256</v>
      </c>
    </row>
    <row r="200" spans="1:7">
      <c r="A200" t="s">
        <v>702</v>
      </c>
      <c r="B200" s="179">
        <v>5</v>
      </c>
      <c r="C200" s="179">
        <v>300</v>
      </c>
      <c r="D200" s="96">
        <v>1.6666666666666666E-2</v>
      </c>
      <c r="E200" s="96">
        <v>2.7480076944215443E-4</v>
      </c>
      <c r="F200" s="98">
        <f>$B200/$C200</f>
        <v>1.6666666666666666E-2</v>
      </c>
      <c r="G200" s="98">
        <f>B200/B212</f>
        <v>2.7480076944215443E-4</v>
      </c>
    </row>
    <row r="201" spans="1:7">
      <c r="A201" t="s">
        <v>133</v>
      </c>
      <c r="B201" s="179">
        <v>948</v>
      </c>
      <c r="C201" s="179">
        <v>32850</v>
      </c>
      <c r="D201" s="96">
        <v>2.8858447488584474E-2</v>
      </c>
      <c r="E201" s="96">
        <v>5.2102225886232478E-2</v>
      </c>
      <c r="F201" s="98">
        <f t="shared" ref="F201:F211" si="7">$B201/$C201</f>
        <v>2.8858447488584474E-2</v>
      </c>
    </row>
    <row r="202" spans="1:7">
      <c r="A202" t="s">
        <v>479</v>
      </c>
      <c r="B202" s="179">
        <v>979</v>
      </c>
      <c r="C202" s="179">
        <v>34025</v>
      </c>
      <c r="D202" s="96">
        <v>2.8772961058045554E-2</v>
      </c>
      <c r="E202" s="96">
        <v>5.3805990656773842E-2</v>
      </c>
      <c r="F202" s="98">
        <f t="shared" si="7"/>
        <v>2.8772961058045554E-2</v>
      </c>
    </row>
    <row r="203" spans="1:7">
      <c r="A203" t="s">
        <v>316</v>
      </c>
      <c r="B203" s="179">
        <v>1011</v>
      </c>
      <c r="C203" s="179">
        <v>35750</v>
      </c>
      <c r="D203" s="96">
        <v>2.8279720279720279E-2</v>
      </c>
      <c r="E203" s="96">
        <v>5.5564715581203628E-2</v>
      </c>
      <c r="F203" s="98">
        <f t="shared" si="7"/>
        <v>2.8279720279720279E-2</v>
      </c>
    </row>
    <row r="204" spans="1:7">
      <c r="A204" t="s">
        <v>258</v>
      </c>
      <c r="B204" s="179">
        <v>1164</v>
      </c>
      <c r="C204" s="179">
        <v>31725</v>
      </c>
      <c r="D204" s="96">
        <v>3.6690307328605204E-2</v>
      </c>
      <c r="E204" s="96">
        <v>6.3973619126133557E-2</v>
      </c>
      <c r="F204" s="98">
        <f t="shared" si="7"/>
        <v>3.6690307328605204E-2</v>
      </c>
    </row>
    <row r="205" spans="1:7">
      <c r="A205" t="s">
        <v>102</v>
      </c>
      <c r="B205" s="179">
        <v>2201</v>
      </c>
      <c r="C205" s="179">
        <v>79550</v>
      </c>
      <c r="D205" s="96">
        <v>2.7668133249528597E-2</v>
      </c>
      <c r="E205" s="96">
        <v>0.12096729870843638</v>
      </c>
      <c r="F205" s="98">
        <f t="shared" si="7"/>
        <v>2.7668133249528597E-2</v>
      </c>
    </row>
    <row r="206" spans="1:7">
      <c r="A206" t="s">
        <v>169</v>
      </c>
      <c r="B206" s="179">
        <v>617</v>
      </c>
      <c r="C206" s="179">
        <v>23100</v>
      </c>
      <c r="D206" s="96">
        <v>2.6709956709956711E-2</v>
      </c>
      <c r="E206" s="96">
        <v>3.391041494916186E-2</v>
      </c>
      <c r="F206" s="98">
        <f t="shared" si="7"/>
        <v>2.6709956709956711E-2</v>
      </c>
    </row>
    <row r="207" spans="1:7">
      <c r="A207" t="s">
        <v>152</v>
      </c>
      <c r="B207" s="179">
        <v>3568</v>
      </c>
      <c r="C207" s="179">
        <v>165925</v>
      </c>
      <c r="D207" s="96">
        <v>2.1503691426849481E-2</v>
      </c>
      <c r="E207" s="96">
        <v>0.1960978290739214</v>
      </c>
      <c r="F207" s="98">
        <f t="shared" si="7"/>
        <v>2.1503691426849481E-2</v>
      </c>
    </row>
    <row r="208" spans="1:7">
      <c r="A208" t="s">
        <v>82</v>
      </c>
      <c r="B208" s="179">
        <v>1028</v>
      </c>
      <c r="C208" s="179">
        <v>32650</v>
      </c>
      <c r="D208" s="96">
        <v>3.1485451761102602E-2</v>
      </c>
      <c r="E208" s="96">
        <v>5.649903819730695E-2</v>
      </c>
      <c r="F208" s="98">
        <f t="shared" si="7"/>
        <v>3.1485451761102602E-2</v>
      </c>
    </row>
    <row r="209" spans="1:6">
      <c r="A209" t="s">
        <v>301</v>
      </c>
      <c r="B209" s="179">
        <v>4184</v>
      </c>
      <c r="C209" s="179">
        <v>44425</v>
      </c>
      <c r="D209" s="96">
        <v>9.4181204276871128E-2</v>
      </c>
      <c r="E209" s="96">
        <v>0.22995328386919484</v>
      </c>
      <c r="F209" s="98">
        <f t="shared" si="7"/>
        <v>9.4181204276871128E-2</v>
      </c>
    </row>
    <row r="210" spans="1:6">
      <c r="A210" t="s">
        <v>177</v>
      </c>
      <c r="B210" s="179">
        <v>1206</v>
      </c>
      <c r="C210" s="179">
        <v>26875</v>
      </c>
      <c r="D210" s="96">
        <v>4.4874418604651162E-2</v>
      </c>
      <c r="E210" s="96">
        <v>6.6281945589447652E-2</v>
      </c>
      <c r="F210" s="98">
        <f t="shared" si="7"/>
        <v>4.4874418604651162E-2</v>
      </c>
    </row>
    <row r="211" spans="1:6">
      <c r="A211" t="s">
        <v>194</v>
      </c>
      <c r="B211" s="179">
        <v>1284</v>
      </c>
      <c r="C211" s="179">
        <v>41200</v>
      </c>
      <c r="D211" s="96">
        <v>3.116504854368932E-2</v>
      </c>
      <c r="E211" s="96">
        <v>7.0568837592745265E-2</v>
      </c>
      <c r="F211" s="98">
        <f t="shared" si="7"/>
        <v>3.116504854368932E-2</v>
      </c>
    </row>
    <row r="212" spans="1:6">
      <c r="A212" t="s">
        <v>3122</v>
      </c>
      <c r="B212" s="179">
        <v>18195</v>
      </c>
      <c r="C212" s="179">
        <v>548375</v>
      </c>
      <c r="D212" s="96">
        <v>3.3179849555504903E-2</v>
      </c>
      <c r="E212" s="96">
        <v>1</v>
      </c>
    </row>
    <row r="218" spans="1:6">
      <c r="A218" s="51" t="s">
        <v>4</v>
      </c>
      <c r="B218" t="s">
        <v>3144</v>
      </c>
    </row>
    <row r="219" spans="1:6">
      <c r="A219" t="s">
        <v>3849</v>
      </c>
      <c r="B219" s="96">
        <v>4.0217460317460325E-2</v>
      </c>
    </row>
    <row r="220" spans="1:6">
      <c r="A220" t="s">
        <v>3835</v>
      </c>
      <c r="B220" s="96">
        <v>3.9534545454545461E-2</v>
      </c>
    </row>
    <row r="221" spans="1:6">
      <c r="A221" t="s">
        <v>3840</v>
      </c>
      <c r="B221" s="96">
        <v>3.3906557377049187E-2</v>
      </c>
    </row>
    <row r="222" spans="1:6">
      <c r="A222" t="s">
        <v>3838</v>
      </c>
      <c r="B222" s="96">
        <v>2.9802597402597414E-2</v>
      </c>
    </row>
    <row r="223" spans="1:6">
      <c r="A223" t="s">
        <v>3848</v>
      </c>
      <c r="B223" s="96">
        <v>2.9379729729729739E-2</v>
      </c>
    </row>
    <row r="224" spans="1:6">
      <c r="A224" t="s">
        <v>3836</v>
      </c>
      <c r="B224" s="96">
        <v>2.8371641791044781E-2</v>
      </c>
    </row>
    <row r="225" spans="1:2">
      <c r="A225" t="s">
        <v>3845</v>
      </c>
      <c r="B225" s="96">
        <v>2.7650724637681166E-2</v>
      </c>
    </row>
    <row r="226" spans="1:2">
      <c r="A226" t="s">
        <v>3841</v>
      </c>
      <c r="B226" s="96">
        <v>2.4989473684210541E-2</v>
      </c>
    </row>
    <row r="227" spans="1:2">
      <c r="A227" t="s">
        <v>3837</v>
      </c>
      <c r="B227" s="96">
        <v>2.3195312499999999E-2</v>
      </c>
    </row>
    <row r="228" spans="1:2">
      <c r="A228" t="s">
        <v>3846</v>
      </c>
      <c r="B228" s="96">
        <v>2.2116417910447772E-2</v>
      </c>
    </row>
    <row r="229" spans="1:2">
      <c r="A229" t="s">
        <v>3842</v>
      </c>
      <c r="B229" s="96">
        <v>1.9275384615384614E-2</v>
      </c>
    </row>
    <row r="230" spans="1:2">
      <c r="A230" t="s">
        <v>3843</v>
      </c>
      <c r="B230" s="96">
        <v>1.8926415094339632E-2</v>
      </c>
    </row>
    <row r="231" spans="1:2">
      <c r="A231" t="s">
        <v>3847</v>
      </c>
      <c r="B231" s="96">
        <v>1.690847457627119E-2</v>
      </c>
    </row>
    <row r="232" spans="1:2">
      <c r="A232" t="s">
        <v>3839</v>
      </c>
      <c r="B232" s="96">
        <v>1.6555555555555559E-2</v>
      </c>
    </row>
    <row r="233" spans="1:2">
      <c r="A233" t="s">
        <v>3844</v>
      </c>
      <c r="B233" s="96">
        <v>1.1247435897435902E-2</v>
      </c>
    </row>
    <row r="234" spans="1:2">
      <c r="A234" t="s">
        <v>3122</v>
      </c>
      <c r="B234" s="96">
        <v>2.5242499999999991E-2</v>
      </c>
    </row>
    <row r="249" spans="1:22">
      <c r="B249" s="23" t="s">
        <v>3240</v>
      </c>
    </row>
    <row r="250" spans="1:22">
      <c r="B250" s="23" t="s">
        <v>3237</v>
      </c>
      <c r="H250" s="23" t="s">
        <v>3238</v>
      </c>
      <c r="T250" t="s">
        <v>3242</v>
      </c>
    </row>
    <row r="251" spans="1:22">
      <c r="A251" t="str">
        <f t="shared" ref="A251:A266" si="8">$A15</f>
        <v>Supplier_Name</v>
      </c>
      <c r="B251" s="23" t="str" cm="1">
        <f t="array" ref="B251:E251">$D15:$G15</f>
        <v>Delayed</v>
      </c>
      <c r="C251" s="23" t="str">
        <v>Late</v>
      </c>
      <c r="D251" s="23" t="str">
        <v>Very Late</v>
      </c>
      <c r="E251" s="23" t="str">
        <v>Severely Delayed</v>
      </c>
      <c r="F251" s="23" t="s">
        <v>3239</v>
      </c>
      <c r="H251" s="134" t="str">
        <f t="shared" ref="H251:H266" si="9">$A15</f>
        <v>Supplier_Name</v>
      </c>
      <c r="I251" s="23" t="str" cm="1">
        <f t="array" ref="I251:J251">$B15:$C15</f>
        <v>Delivered Early</v>
      </c>
      <c r="J251" s="23" t="str">
        <v>On Time</v>
      </c>
      <c r="K251" s="23" t="s">
        <v>3239</v>
      </c>
      <c r="M251" s="23" t="str">
        <f>$H251</f>
        <v>Supplier_Name</v>
      </c>
      <c r="N251" t="s">
        <v>87</v>
      </c>
      <c r="O251" t="s">
        <v>3241</v>
      </c>
      <c r="P251" t="str">
        <f t="shared" ref="P251:P266" si="10">$H15</f>
        <v>Invalid Lead Time</v>
      </c>
      <c r="Q251" t="s">
        <v>3239</v>
      </c>
      <c r="S251" t="str">
        <f>$M251</f>
        <v>Supplier_Name</v>
      </c>
      <c r="T251" t="s">
        <v>87</v>
      </c>
      <c r="U251" t="s">
        <v>3241</v>
      </c>
      <c r="V251" t="s">
        <v>362</v>
      </c>
    </row>
    <row r="252" spans="1:22">
      <c r="A252" t="str">
        <f t="shared" si="8"/>
        <v>Dar</v>
      </c>
      <c r="B252" s="23" cm="1">
        <f t="array" ref="B252:E252">$D16:$G16</f>
        <v>3</v>
      </c>
      <c r="C252" s="23">
        <v>14</v>
      </c>
      <c r="D252" s="23">
        <v>5</v>
      </c>
      <c r="E252" s="23">
        <v>6</v>
      </c>
      <c r="F252" s="23">
        <f t="shared" ref="F252:F266" si="11">SUM(_xlfn.ANCHORARRAY(B252))</f>
        <v>28</v>
      </c>
      <c r="H252" s="134" t="str">
        <f t="shared" si="9"/>
        <v>Dar</v>
      </c>
      <c r="I252" s="23" cm="1">
        <f t="array" ref="I252:J252">$B16:$C16</f>
        <v>5</v>
      </c>
      <c r="J252" s="23">
        <v>22</v>
      </c>
      <c r="K252" s="23">
        <f t="shared" ref="K252:K266" si="12">SUM(_xlfn.ANCHORARRAY(I252))</f>
        <v>27</v>
      </c>
      <c r="M252" s="23" t="str">
        <f t="shared" ref="M252:M266" si="13">$H252</f>
        <v>Dar</v>
      </c>
      <c r="N252">
        <f>$K252</f>
        <v>27</v>
      </c>
      <c r="O252">
        <f t="shared" ref="O252:O266" si="14">F252</f>
        <v>28</v>
      </c>
      <c r="P252">
        <f t="shared" si="10"/>
        <v>0</v>
      </c>
      <c r="Q252">
        <f>SUM(N252:P252)</f>
        <v>55</v>
      </c>
      <c r="S252" t="str">
        <f>$M252</f>
        <v>Dar</v>
      </c>
      <c r="T252" s="138">
        <f>$N252/$Q252</f>
        <v>0.49090909090909091</v>
      </c>
      <c r="U252" s="138">
        <f>$O252/$Q252</f>
        <v>0.50909090909090904</v>
      </c>
      <c r="V252" s="138">
        <f>$P252/$Q252</f>
        <v>0</v>
      </c>
    </row>
    <row r="253" spans="1:22">
      <c r="A253" t="str">
        <f t="shared" si="8"/>
        <v>Mombasa</v>
      </c>
      <c r="B253" s="23" cm="1">
        <f t="array" ref="B253:E253">$D17:$G17</f>
        <v>4</v>
      </c>
      <c r="C253" s="23">
        <v>14</v>
      </c>
      <c r="D253" s="23">
        <v>9</v>
      </c>
      <c r="E253" s="23">
        <v>14</v>
      </c>
      <c r="F253" s="23">
        <f t="shared" si="11"/>
        <v>41</v>
      </c>
      <c r="H253" s="134" t="str">
        <f t="shared" si="9"/>
        <v>Mombasa</v>
      </c>
      <c r="I253" s="23" cm="1">
        <f t="array" ref="I253:J253">$B17:$C17</f>
        <v>10</v>
      </c>
      <c r="J253" s="23">
        <v>16</v>
      </c>
      <c r="K253" s="23">
        <f t="shared" si="12"/>
        <v>26</v>
      </c>
      <c r="M253" s="23" t="str">
        <f t="shared" si="13"/>
        <v>Mombasa</v>
      </c>
      <c r="N253">
        <f t="shared" ref="N253:N266" si="15">$K253</f>
        <v>26</v>
      </c>
      <c r="O253">
        <f t="shared" si="14"/>
        <v>41</v>
      </c>
      <c r="P253">
        <f t="shared" si="10"/>
        <v>0</v>
      </c>
      <c r="Q253">
        <f t="shared" ref="Q253:Q266" si="16">SUM(N253:P253)</f>
        <v>67</v>
      </c>
      <c r="S253" t="str">
        <f t="shared" ref="S253:S266" si="17">$M253</f>
        <v>Mombasa</v>
      </c>
      <c r="T253" s="138">
        <f t="shared" ref="T253:T266" si="18">$N253/$Q253</f>
        <v>0.38805970149253732</v>
      </c>
      <c r="U253" s="138">
        <f t="shared" ref="U253:U266" si="19">$O253/$Q253</f>
        <v>0.61194029850746268</v>
      </c>
      <c r="V253" s="138">
        <f t="shared" ref="V253:V266" si="20">$P253/$Q253</f>
        <v>0</v>
      </c>
    </row>
    <row r="254" spans="1:22">
      <c r="A254" t="str">
        <f t="shared" si="8"/>
        <v>Kano</v>
      </c>
      <c r="B254" s="23" cm="1">
        <f t="array" ref="B254:E254">$D18:$G18</f>
        <v>5</v>
      </c>
      <c r="C254" s="23">
        <v>25</v>
      </c>
      <c r="D254" s="23">
        <v>3</v>
      </c>
      <c r="E254" s="23">
        <v>8</v>
      </c>
      <c r="F254" s="23">
        <f t="shared" si="11"/>
        <v>41</v>
      </c>
      <c r="H254" s="134" t="str">
        <f t="shared" si="9"/>
        <v>Kano</v>
      </c>
      <c r="I254" s="23" cm="1">
        <f t="array" ref="I254:J254">$B18:$C18</f>
        <v>4</v>
      </c>
      <c r="J254" s="23">
        <v>16</v>
      </c>
      <c r="K254" s="23">
        <f t="shared" si="12"/>
        <v>20</v>
      </c>
      <c r="M254" s="23" t="str">
        <f t="shared" si="13"/>
        <v>Kano</v>
      </c>
      <c r="N254">
        <f t="shared" si="15"/>
        <v>20</v>
      </c>
      <c r="O254">
        <f t="shared" si="14"/>
        <v>41</v>
      </c>
      <c r="P254">
        <f t="shared" si="10"/>
        <v>3</v>
      </c>
      <c r="Q254">
        <f t="shared" si="16"/>
        <v>64</v>
      </c>
      <c r="S254" t="str">
        <f t="shared" si="17"/>
        <v>Kano</v>
      </c>
      <c r="T254" s="138">
        <f t="shared" si="18"/>
        <v>0.3125</v>
      </c>
      <c r="U254" s="138">
        <f t="shared" si="19"/>
        <v>0.640625</v>
      </c>
      <c r="V254" s="138">
        <f t="shared" si="20"/>
        <v>4.6875E-2</v>
      </c>
    </row>
    <row r="255" spans="1:22">
      <c r="A255" t="str">
        <f t="shared" si="8"/>
        <v>Kampala</v>
      </c>
      <c r="B255" s="23" cm="1">
        <f t="array" ref="B255:E255">$D19:$G19</f>
        <v>4</v>
      </c>
      <c r="C255" s="23">
        <v>27</v>
      </c>
      <c r="D255" s="23">
        <v>10</v>
      </c>
      <c r="E255" s="23">
        <v>8</v>
      </c>
      <c r="F255" s="23">
        <f t="shared" si="11"/>
        <v>49</v>
      </c>
      <c r="H255" s="134" t="str">
        <f t="shared" si="9"/>
        <v>Kampala</v>
      </c>
      <c r="I255" s="23" cm="1">
        <f t="array" ref="I255:J255">$B19:$C19</f>
        <v>8</v>
      </c>
      <c r="J255" s="23">
        <v>18</v>
      </c>
      <c r="K255" s="23">
        <f t="shared" si="12"/>
        <v>26</v>
      </c>
      <c r="M255" s="23" t="str">
        <f t="shared" si="13"/>
        <v>Kampala</v>
      </c>
      <c r="N255">
        <f t="shared" si="15"/>
        <v>26</v>
      </c>
      <c r="O255">
        <f t="shared" si="14"/>
        <v>49</v>
      </c>
      <c r="P255">
        <f t="shared" si="10"/>
        <v>2</v>
      </c>
      <c r="Q255">
        <f t="shared" si="16"/>
        <v>77</v>
      </c>
      <c r="S255" t="str">
        <f t="shared" si="17"/>
        <v>Kampala</v>
      </c>
      <c r="T255" s="138">
        <f t="shared" si="18"/>
        <v>0.33766233766233766</v>
      </c>
      <c r="U255" s="138">
        <f t="shared" si="19"/>
        <v>0.63636363636363635</v>
      </c>
      <c r="V255" s="138">
        <f t="shared" si="20"/>
        <v>2.5974025974025976E-2</v>
      </c>
    </row>
    <row r="256" spans="1:22">
      <c r="A256" t="str">
        <f t="shared" si="8"/>
        <v>Kigali</v>
      </c>
      <c r="B256" s="23" cm="1">
        <f t="array" ref="B256:E256">$D20:$G20</f>
        <v>2</v>
      </c>
      <c r="C256" s="23">
        <v>22</v>
      </c>
      <c r="D256" s="23">
        <v>15</v>
      </c>
      <c r="E256" s="23">
        <v>9</v>
      </c>
      <c r="F256" s="23">
        <f t="shared" si="11"/>
        <v>48</v>
      </c>
      <c r="H256" s="134" t="str">
        <f t="shared" si="9"/>
        <v>Kigali</v>
      </c>
      <c r="I256" s="23" cm="1">
        <f t="array" ref="I256:J256">$B20:$C20</f>
        <v>7</v>
      </c>
      <c r="J256" s="23">
        <v>17</v>
      </c>
      <c r="K256" s="23">
        <f t="shared" si="12"/>
        <v>24</v>
      </c>
      <c r="M256" s="23" t="str">
        <f t="shared" si="13"/>
        <v>Kigali</v>
      </c>
      <c r="N256">
        <f t="shared" si="15"/>
        <v>24</v>
      </c>
      <c r="O256">
        <f t="shared" si="14"/>
        <v>48</v>
      </c>
      <c r="P256">
        <f t="shared" si="10"/>
        <v>0</v>
      </c>
      <c r="Q256">
        <f t="shared" si="16"/>
        <v>72</v>
      </c>
      <c r="S256" t="str">
        <f t="shared" si="17"/>
        <v>Kigali</v>
      </c>
      <c r="T256" s="138">
        <f t="shared" si="18"/>
        <v>0.33333333333333331</v>
      </c>
      <c r="U256" s="138">
        <f t="shared" si="19"/>
        <v>0.66666666666666663</v>
      </c>
      <c r="V256" s="138">
        <f t="shared" si="20"/>
        <v>0</v>
      </c>
    </row>
    <row r="257" spans="1:22">
      <c r="A257" t="str">
        <f t="shared" si="8"/>
        <v>Nile</v>
      </c>
      <c r="B257" s="23" cm="1">
        <f t="array" ref="B257:E257">$D21:$G21</f>
        <v>4</v>
      </c>
      <c r="C257" s="23">
        <v>12</v>
      </c>
      <c r="D257" s="23">
        <v>8</v>
      </c>
      <c r="E257" s="23">
        <v>10</v>
      </c>
      <c r="F257" s="23">
        <f t="shared" si="11"/>
        <v>34</v>
      </c>
      <c r="H257" s="134" t="str">
        <f t="shared" si="9"/>
        <v>Nile</v>
      </c>
      <c r="I257" s="23" cm="1">
        <f t="array" ref="I257:J257">$B21:$C21</f>
        <v>4</v>
      </c>
      <c r="J257" s="23">
        <v>23</v>
      </c>
      <c r="K257" s="23">
        <f t="shared" si="12"/>
        <v>27</v>
      </c>
      <c r="M257" s="23" t="str">
        <f t="shared" si="13"/>
        <v>Nile</v>
      </c>
      <c r="N257">
        <f t="shared" si="15"/>
        <v>27</v>
      </c>
      <c r="O257">
        <f t="shared" si="14"/>
        <v>34</v>
      </c>
      <c r="P257">
        <f t="shared" si="10"/>
        <v>0</v>
      </c>
      <c r="Q257">
        <f t="shared" si="16"/>
        <v>61</v>
      </c>
      <c r="S257" t="str">
        <f t="shared" si="17"/>
        <v>Nile</v>
      </c>
      <c r="T257" s="138">
        <f t="shared" si="18"/>
        <v>0.44262295081967212</v>
      </c>
      <c r="U257" s="138">
        <f t="shared" si="19"/>
        <v>0.55737704918032782</v>
      </c>
      <c r="V257" s="138">
        <f t="shared" si="20"/>
        <v>0</v>
      </c>
    </row>
    <row r="258" spans="1:22">
      <c r="A258" t="str">
        <f t="shared" si="8"/>
        <v>Kentech</v>
      </c>
      <c r="B258" s="23" cm="1">
        <f t="array" ref="B258:E258">$D22:$G22</f>
        <v>6</v>
      </c>
      <c r="C258" s="23">
        <v>20</v>
      </c>
      <c r="D258" s="23">
        <v>9</v>
      </c>
      <c r="E258" s="23">
        <v>11</v>
      </c>
      <c r="F258" s="23">
        <f t="shared" si="11"/>
        <v>46</v>
      </c>
      <c r="H258" s="134" t="str">
        <f t="shared" si="9"/>
        <v>Kentech</v>
      </c>
      <c r="I258" s="23" cm="1">
        <f t="array" ref="I258:J258">$B22:$C22</f>
        <v>5</v>
      </c>
      <c r="J258" s="23">
        <v>25</v>
      </c>
      <c r="K258" s="23">
        <f t="shared" si="12"/>
        <v>30</v>
      </c>
      <c r="M258" s="23" t="str">
        <f t="shared" si="13"/>
        <v>Kentech</v>
      </c>
      <c r="N258">
        <f t="shared" si="15"/>
        <v>30</v>
      </c>
      <c r="O258">
        <f t="shared" si="14"/>
        <v>46</v>
      </c>
      <c r="P258">
        <f t="shared" si="10"/>
        <v>0</v>
      </c>
      <c r="Q258">
        <f t="shared" si="16"/>
        <v>76</v>
      </c>
      <c r="S258" t="str">
        <f t="shared" si="17"/>
        <v>Kentech</v>
      </c>
      <c r="T258" s="138">
        <f t="shared" si="18"/>
        <v>0.39473684210526316</v>
      </c>
      <c r="U258" s="138">
        <f t="shared" si="19"/>
        <v>0.60526315789473684</v>
      </c>
      <c r="V258" s="138">
        <f t="shared" si="20"/>
        <v>0</v>
      </c>
    </row>
    <row r="259" spans="1:22">
      <c r="A259" t="str">
        <f t="shared" si="8"/>
        <v>Cape</v>
      </c>
      <c r="B259" s="23" cm="1">
        <f t="array" ref="B259:E259">$D23:$G23</f>
        <v>5</v>
      </c>
      <c r="C259" s="23">
        <v>17</v>
      </c>
      <c r="D259" s="23">
        <v>10</v>
      </c>
      <c r="E259" s="23">
        <v>8</v>
      </c>
      <c r="F259" s="23">
        <f t="shared" si="11"/>
        <v>40</v>
      </c>
      <c r="H259" s="134" t="str">
        <f t="shared" si="9"/>
        <v>Cape</v>
      </c>
      <c r="I259" s="23" cm="1">
        <f t="array" ref="I259:J259">$B23:$C23</f>
        <v>7</v>
      </c>
      <c r="J259" s="23">
        <v>18</v>
      </c>
      <c r="K259" s="23">
        <f t="shared" si="12"/>
        <v>25</v>
      </c>
      <c r="M259" s="23" t="str">
        <f t="shared" si="13"/>
        <v>Cape</v>
      </c>
      <c r="N259">
        <f t="shared" si="15"/>
        <v>25</v>
      </c>
      <c r="O259">
        <f t="shared" si="14"/>
        <v>40</v>
      </c>
      <c r="P259">
        <f t="shared" si="10"/>
        <v>0</v>
      </c>
      <c r="Q259">
        <f t="shared" si="16"/>
        <v>65</v>
      </c>
      <c r="S259" t="str">
        <f t="shared" si="17"/>
        <v>Cape</v>
      </c>
      <c r="T259" s="138">
        <f t="shared" si="18"/>
        <v>0.38461538461538464</v>
      </c>
      <c r="U259" s="138">
        <f t="shared" si="19"/>
        <v>0.61538461538461542</v>
      </c>
      <c r="V259" s="138">
        <f t="shared" si="20"/>
        <v>0</v>
      </c>
    </row>
    <row r="260" spans="1:22">
      <c r="A260" t="str">
        <f t="shared" si="8"/>
        <v>Casablanca</v>
      </c>
      <c r="B260" s="23" cm="1">
        <f t="array" ref="B260:E260">$D24:$G24</f>
        <v>6</v>
      </c>
      <c r="C260" s="23">
        <v>17</v>
      </c>
      <c r="D260" s="23">
        <v>6</v>
      </c>
      <c r="E260" s="23">
        <v>7</v>
      </c>
      <c r="F260" s="23">
        <f t="shared" si="11"/>
        <v>36</v>
      </c>
      <c r="H260" s="134" t="str">
        <f t="shared" si="9"/>
        <v>Casablanca</v>
      </c>
      <c r="I260" s="23" cm="1">
        <f t="array" ref="I260:J260">$B24:$C24</f>
        <v>7</v>
      </c>
      <c r="J260" s="23">
        <v>10</v>
      </c>
      <c r="K260" s="23">
        <f t="shared" si="12"/>
        <v>17</v>
      </c>
      <c r="M260" s="23" t="str">
        <f t="shared" si="13"/>
        <v>Casablanca</v>
      </c>
      <c r="N260">
        <f t="shared" si="15"/>
        <v>17</v>
      </c>
      <c r="O260">
        <f t="shared" si="14"/>
        <v>36</v>
      </c>
      <c r="P260">
        <f t="shared" si="10"/>
        <v>0</v>
      </c>
      <c r="Q260">
        <f t="shared" si="16"/>
        <v>53</v>
      </c>
      <c r="S260" t="str">
        <f t="shared" si="17"/>
        <v>Casablanca</v>
      </c>
      <c r="T260" s="138">
        <f t="shared" si="18"/>
        <v>0.32075471698113206</v>
      </c>
      <c r="U260" s="138">
        <f t="shared" si="19"/>
        <v>0.67924528301886788</v>
      </c>
      <c r="V260" s="138">
        <f t="shared" si="20"/>
        <v>0</v>
      </c>
    </row>
    <row r="261" spans="1:22">
      <c r="A261" t="str">
        <f t="shared" si="8"/>
        <v>Sahara</v>
      </c>
      <c r="B261" s="23" cm="1">
        <f t="array" ref="B261:E261">$D25:$G25</f>
        <v>4</v>
      </c>
      <c r="C261" s="23">
        <v>25</v>
      </c>
      <c r="D261" s="23">
        <v>5</v>
      </c>
      <c r="E261" s="23">
        <v>12</v>
      </c>
      <c r="F261" s="23">
        <f t="shared" si="11"/>
        <v>46</v>
      </c>
      <c r="H261" s="134" t="str">
        <f t="shared" si="9"/>
        <v>Sahara</v>
      </c>
      <c r="I261" s="23" cm="1">
        <f t="array" ref="I261:J261">$B25:$C25</f>
        <v>8</v>
      </c>
      <c r="J261" s="23">
        <v>20</v>
      </c>
      <c r="K261" s="23">
        <f t="shared" si="12"/>
        <v>28</v>
      </c>
      <c r="M261" s="23" t="str">
        <f t="shared" si="13"/>
        <v>Sahara</v>
      </c>
      <c r="N261">
        <f t="shared" si="15"/>
        <v>28</v>
      </c>
      <c r="O261">
        <f t="shared" si="14"/>
        <v>46</v>
      </c>
      <c r="P261">
        <f t="shared" si="10"/>
        <v>4</v>
      </c>
      <c r="Q261">
        <f t="shared" si="16"/>
        <v>78</v>
      </c>
      <c r="S261" t="str">
        <f t="shared" si="17"/>
        <v>Sahara</v>
      </c>
      <c r="T261" s="138">
        <f t="shared" si="18"/>
        <v>0.35897435897435898</v>
      </c>
      <c r="U261" s="138">
        <f t="shared" si="19"/>
        <v>0.58974358974358976</v>
      </c>
      <c r="V261" s="138">
        <f t="shared" si="20"/>
        <v>5.128205128205128E-2</v>
      </c>
    </row>
    <row r="262" spans="1:22">
      <c r="A262" t="str">
        <f t="shared" si="8"/>
        <v>Primesteel</v>
      </c>
      <c r="B262" s="23" cm="1">
        <f t="array" ref="B262:E262">$D26:$G26</f>
        <v>7</v>
      </c>
      <c r="C262" s="23">
        <v>16</v>
      </c>
      <c r="D262" s="23">
        <v>6</v>
      </c>
      <c r="E262" s="23">
        <v>11</v>
      </c>
      <c r="F262" s="23">
        <f t="shared" si="11"/>
        <v>40</v>
      </c>
      <c r="H262" s="134" t="str">
        <f t="shared" si="9"/>
        <v>Primesteel</v>
      </c>
      <c r="I262" s="23" cm="1">
        <f t="array" ref="I262:J262">$B26:$C26</f>
        <v>7</v>
      </c>
      <c r="J262" s="23">
        <v>11</v>
      </c>
      <c r="K262" s="23">
        <f t="shared" si="12"/>
        <v>18</v>
      </c>
      <c r="M262" s="23" t="str">
        <f t="shared" si="13"/>
        <v>Primesteel</v>
      </c>
      <c r="N262">
        <f t="shared" si="15"/>
        <v>18</v>
      </c>
      <c r="O262">
        <f t="shared" si="14"/>
        <v>40</v>
      </c>
      <c r="P262">
        <f t="shared" si="10"/>
        <v>1</v>
      </c>
      <c r="Q262">
        <f t="shared" si="16"/>
        <v>59</v>
      </c>
      <c r="S262" t="str">
        <f t="shared" si="17"/>
        <v>Primesteel</v>
      </c>
      <c r="T262" s="138">
        <f t="shared" si="18"/>
        <v>0.30508474576271188</v>
      </c>
      <c r="U262" s="138">
        <f t="shared" si="19"/>
        <v>0.67796610169491522</v>
      </c>
      <c r="V262" s="138">
        <f t="shared" si="20"/>
        <v>1.6949152542372881E-2</v>
      </c>
    </row>
    <row r="263" spans="1:22">
      <c r="A263" t="str">
        <f t="shared" si="8"/>
        <v>AccraAI</v>
      </c>
      <c r="B263" s="23" cm="1">
        <f t="array" ref="B263:E263">$D27:$G27</f>
        <v>2</v>
      </c>
      <c r="C263" s="23">
        <v>22</v>
      </c>
      <c r="D263" s="23">
        <v>9</v>
      </c>
      <c r="E263" s="23">
        <v>12</v>
      </c>
      <c r="F263" s="23">
        <f t="shared" si="11"/>
        <v>45</v>
      </c>
      <c r="H263" s="134" t="str">
        <f t="shared" si="9"/>
        <v>AccraAI</v>
      </c>
      <c r="I263" s="23" cm="1">
        <f t="array" ref="I263:J263">$B27:$C27</f>
        <v>6</v>
      </c>
      <c r="J263" s="23">
        <v>17</v>
      </c>
      <c r="K263" s="23">
        <f t="shared" si="12"/>
        <v>23</v>
      </c>
      <c r="M263" s="23" t="str">
        <f t="shared" si="13"/>
        <v>AccraAI</v>
      </c>
      <c r="N263">
        <f t="shared" si="15"/>
        <v>23</v>
      </c>
      <c r="O263">
        <f t="shared" si="14"/>
        <v>45</v>
      </c>
      <c r="P263">
        <f t="shared" si="10"/>
        <v>1</v>
      </c>
      <c r="Q263">
        <f t="shared" si="16"/>
        <v>69</v>
      </c>
      <c r="S263" t="str">
        <f t="shared" si="17"/>
        <v>AccraAI</v>
      </c>
      <c r="T263" s="138">
        <f t="shared" si="18"/>
        <v>0.33333333333333331</v>
      </c>
      <c r="U263" s="138">
        <f t="shared" si="19"/>
        <v>0.65217391304347827</v>
      </c>
      <c r="V263" s="138">
        <f t="shared" si="20"/>
        <v>1.4492753623188406E-2</v>
      </c>
    </row>
    <row r="264" spans="1:22">
      <c r="A264" t="str">
        <f t="shared" si="8"/>
        <v>LagosPR</v>
      </c>
      <c r="B264" s="23" cm="1">
        <f t="array" ref="B264:E264">$D28:$G28</f>
        <v>8</v>
      </c>
      <c r="C264" s="23">
        <v>13</v>
      </c>
      <c r="D264" s="23">
        <v>5</v>
      </c>
      <c r="E264" s="23">
        <v>12</v>
      </c>
      <c r="F264" s="23">
        <f t="shared" si="11"/>
        <v>38</v>
      </c>
      <c r="H264" s="134" t="str">
        <f t="shared" si="9"/>
        <v>LagosPR</v>
      </c>
      <c r="I264" s="23" cm="1">
        <f t="array" ref="I264:J264">$B28:$C28</f>
        <v>11</v>
      </c>
      <c r="J264" s="23">
        <v>15</v>
      </c>
      <c r="K264" s="23">
        <f t="shared" si="12"/>
        <v>26</v>
      </c>
      <c r="M264" s="23" t="str">
        <f t="shared" si="13"/>
        <v>LagosPR</v>
      </c>
      <c r="N264">
        <f t="shared" si="15"/>
        <v>26</v>
      </c>
      <c r="O264">
        <f t="shared" si="14"/>
        <v>38</v>
      </c>
      <c r="P264">
        <f t="shared" si="10"/>
        <v>3</v>
      </c>
      <c r="Q264">
        <f t="shared" si="16"/>
        <v>67</v>
      </c>
      <c r="S264" t="str">
        <f t="shared" si="17"/>
        <v>LagosPR</v>
      </c>
      <c r="T264" s="138">
        <f t="shared" si="18"/>
        <v>0.38805970149253732</v>
      </c>
      <c r="U264" s="138">
        <f t="shared" si="19"/>
        <v>0.56716417910447758</v>
      </c>
      <c r="V264" s="138">
        <f t="shared" si="20"/>
        <v>4.4776119402985072E-2</v>
      </c>
    </row>
    <row r="265" spans="1:22">
      <c r="A265" t="str">
        <f t="shared" si="8"/>
        <v>AddisFW</v>
      </c>
      <c r="B265" s="23" cm="1">
        <f t="array" ref="B265:E265">$D29:$G29</f>
        <v>3</v>
      </c>
      <c r="C265" s="23">
        <v>20</v>
      </c>
      <c r="D265" s="23">
        <v>9</v>
      </c>
      <c r="E265" s="23">
        <v>14</v>
      </c>
      <c r="F265" s="23">
        <f t="shared" si="11"/>
        <v>46</v>
      </c>
      <c r="H265" s="134" t="str">
        <f t="shared" si="9"/>
        <v>AddisFW</v>
      </c>
      <c r="I265" s="23" cm="1">
        <f t="array" ref="I265:J265">$B29:$C29</f>
        <v>7</v>
      </c>
      <c r="J265" s="23">
        <v>21</v>
      </c>
      <c r="K265" s="23">
        <f t="shared" si="12"/>
        <v>28</v>
      </c>
      <c r="M265" s="23" t="str">
        <f t="shared" si="13"/>
        <v>AddisFW</v>
      </c>
      <c r="N265">
        <f t="shared" si="15"/>
        <v>28</v>
      </c>
      <c r="O265">
        <f t="shared" si="14"/>
        <v>46</v>
      </c>
      <c r="P265">
        <f t="shared" si="10"/>
        <v>0</v>
      </c>
      <c r="Q265">
        <f t="shared" si="16"/>
        <v>74</v>
      </c>
      <c r="S265" t="str">
        <f t="shared" si="17"/>
        <v>AddisFW</v>
      </c>
      <c r="T265" s="138">
        <f t="shared" si="18"/>
        <v>0.3783783783783784</v>
      </c>
      <c r="U265" s="138">
        <f t="shared" si="19"/>
        <v>0.6216216216216216</v>
      </c>
      <c r="V265" s="138">
        <f t="shared" si="20"/>
        <v>0</v>
      </c>
    </row>
    <row r="266" spans="1:22">
      <c r="A266" t="str">
        <f t="shared" si="8"/>
        <v>AbidjanCS</v>
      </c>
      <c r="B266" s="23" cm="1">
        <f t="array" ref="B266:E266">$D30:$G30</f>
        <v>4</v>
      </c>
      <c r="C266" s="23">
        <v>14</v>
      </c>
      <c r="D266" s="23">
        <v>11</v>
      </c>
      <c r="E266" s="23">
        <v>7</v>
      </c>
      <c r="F266" s="23">
        <f t="shared" si="11"/>
        <v>36</v>
      </c>
      <c r="H266" s="134" t="str">
        <f t="shared" si="9"/>
        <v>AbidjanCS</v>
      </c>
      <c r="I266" s="23" cm="1">
        <f t="array" ref="I266:J266">$B30:$C30</f>
        <v>8</v>
      </c>
      <c r="J266" s="23">
        <v>19</v>
      </c>
      <c r="K266" s="23">
        <f t="shared" si="12"/>
        <v>27</v>
      </c>
      <c r="M266" s="23" t="str">
        <f t="shared" si="13"/>
        <v>AbidjanCS</v>
      </c>
      <c r="N266">
        <f t="shared" si="15"/>
        <v>27</v>
      </c>
      <c r="O266">
        <f t="shared" si="14"/>
        <v>36</v>
      </c>
      <c r="P266">
        <f t="shared" si="10"/>
        <v>0</v>
      </c>
      <c r="Q266">
        <f t="shared" si="16"/>
        <v>63</v>
      </c>
      <c r="S266" t="str">
        <f t="shared" si="17"/>
        <v>AbidjanCS</v>
      </c>
      <c r="T266" s="138">
        <f t="shared" si="18"/>
        <v>0.42857142857142855</v>
      </c>
      <c r="U266" s="138">
        <f t="shared" si="19"/>
        <v>0.5714285714285714</v>
      </c>
      <c r="V266" s="138">
        <f t="shared" si="20"/>
        <v>0</v>
      </c>
    </row>
    <row r="273" spans="1:16">
      <c r="L273" s="23" t="s">
        <v>3217</v>
      </c>
    </row>
    <row r="274" spans="1:16">
      <c r="A274" s="137" t="s">
        <v>3266</v>
      </c>
    </row>
    <row r="275" spans="1:16">
      <c r="A275" s="51" t="s">
        <v>3153</v>
      </c>
      <c r="B275" s="51" t="s">
        <v>19</v>
      </c>
      <c r="C275"/>
      <c r="D275"/>
      <c r="E275"/>
      <c r="F275"/>
      <c r="G275"/>
      <c r="H275"/>
      <c r="I275"/>
      <c r="J275"/>
      <c r="L275" s="23" t="s">
        <v>3216</v>
      </c>
    </row>
    <row r="276" spans="1:16">
      <c r="A276" s="51" t="s">
        <v>4</v>
      </c>
      <c r="B276" t="s">
        <v>166</v>
      </c>
      <c r="C276" t="s">
        <v>270</v>
      </c>
      <c r="D276" t="s">
        <v>362</v>
      </c>
      <c r="E276" t="s">
        <v>135</v>
      </c>
      <c r="F276" t="s">
        <v>87</v>
      </c>
      <c r="G276" t="s">
        <v>39</v>
      </c>
      <c r="H276" t="s">
        <v>205</v>
      </c>
      <c r="I276" t="s">
        <v>3122</v>
      </c>
      <c r="J276" t="s">
        <v>3200</v>
      </c>
      <c r="L276" s="23" t="s">
        <v>4</v>
      </c>
      <c r="M276" s="98" t="s">
        <v>3200</v>
      </c>
    </row>
    <row r="277" spans="1:16">
      <c r="A277" t="s">
        <v>3835</v>
      </c>
      <c r="B277" s="179">
        <v>925</v>
      </c>
      <c r="C277" s="179">
        <v>2000</v>
      </c>
      <c r="D277" s="179"/>
      <c r="E277" s="179">
        <v>10300</v>
      </c>
      <c r="F277" s="179">
        <v>7750</v>
      </c>
      <c r="G277" s="179">
        <v>2650</v>
      </c>
      <c r="H277" s="179">
        <v>3250</v>
      </c>
      <c r="I277" s="179">
        <v>26875</v>
      </c>
      <c r="J277" s="97">
        <f t="shared" ref="J277:J291" si="21">$F277/$I277</f>
        <v>0.28837209302325584</v>
      </c>
      <c r="L277" s="134" t="s">
        <v>101</v>
      </c>
      <c r="M277" s="98">
        <v>0.39584685269305647</v>
      </c>
      <c r="P277" s="97"/>
    </row>
    <row r="278" spans="1:16">
      <c r="A278" t="s">
        <v>3836</v>
      </c>
      <c r="B278" s="179">
        <v>2500</v>
      </c>
      <c r="C278" s="179">
        <v>7200</v>
      </c>
      <c r="D278" s="179"/>
      <c r="E278" s="179">
        <v>6225</v>
      </c>
      <c r="F278" s="179">
        <v>6875</v>
      </c>
      <c r="G278" s="179">
        <v>7725</v>
      </c>
      <c r="H278" s="179">
        <v>8525</v>
      </c>
      <c r="I278" s="179">
        <v>39050</v>
      </c>
      <c r="J278" s="97">
        <f t="shared" si="21"/>
        <v>0.176056338028169</v>
      </c>
      <c r="L278" s="134" t="s">
        <v>91</v>
      </c>
      <c r="M278" s="98">
        <v>0.35083880379285193</v>
      </c>
      <c r="P278" s="97"/>
    </row>
    <row r="279" spans="1:16">
      <c r="A279" t="s">
        <v>3837</v>
      </c>
      <c r="B279" s="179">
        <v>4500</v>
      </c>
      <c r="C279" s="179">
        <v>3700</v>
      </c>
      <c r="D279" s="179">
        <v>550</v>
      </c>
      <c r="E279" s="179">
        <v>11550</v>
      </c>
      <c r="F279" s="179">
        <v>8750</v>
      </c>
      <c r="G279" s="179">
        <v>3750</v>
      </c>
      <c r="H279" s="179">
        <v>300</v>
      </c>
      <c r="I279" s="179">
        <v>33100</v>
      </c>
      <c r="J279" s="97">
        <f t="shared" si="21"/>
        <v>0.26435045317220546</v>
      </c>
      <c r="L279" s="134" t="s">
        <v>216</v>
      </c>
      <c r="M279" s="98">
        <v>0.33472304943418701</v>
      </c>
      <c r="P279" s="97"/>
    </row>
    <row r="280" spans="1:16">
      <c r="A280" t="s">
        <v>3838</v>
      </c>
      <c r="B280" s="179">
        <v>3575</v>
      </c>
      <c r="C280" s="179">
        <v>5500</v>
      </c>
      <c r="D280" s="179">
        <v>1075</v>
      </c>
      <c r="E280" s="179">
        <v>8325</v>
      </c>
      <c r="F280" s="179">
        <v>8600</v>
      </c>
      <c r="G280" s="179">
        <v>6225</v>
      </c>
      <c r="H280" s="179">
        <v>7900</v>
      </c>
      <c r="I280" s="179">
        <v>41200</v>
      </c>
      <c r="J280" s="97">
        <f t="shared" si="21"/>
        <v>0.20873786407766989</v>
      </c>
      <c r="L280" s="134" t="s">
        <v>81</v>
      </c>
      <c r="M280" s="98">
        <v>0.29632465543644715</v>
      </c>
      <c r="P280" s="97"/>
    </row>
    <row r="281" spans="1:16">
      <c r="A281" t="s">
        <v>3839</v>
      </c>
      <c r="B281" s="179">
        <v>1300</v>
      </c>
      <c r="C281" s="179">
        <v>5075</v>
      </c>
      <c r="D281" s="179"/>
      <c r="E281" s="179">
        <v>6125</v>
      </c>
      <c r="F281" s="179">
        <v>9675</v>
      </c>
      <c r="G281" s="179">
        <v>2125</v>
      </c>
      <c r="H281" s="179">
        <v>8350</v>
      </c>
      <c r="I281" s="179">
        <v>32650</v>
      </c>
      <c r="J281" s="97">
        <f t="shared" si="21"/>
        <v>0.29632465543644715</v>
      </c>
      <c r="L281" s="134" t="s">
        <v>33</v>
      </c>
      <c r="M281" s="98">
        <v>0.28837209302325584</v>
      </c>
      <c r="P281" s="97"/>
    </row>
    <row r="282" spans="1:16">
      <c r="A282" t="s">
        <v>3840</v>
      </c>
      <c r="B282" s="179">
        <v>1800</v>
      </c>
      <c r="C282" s="179">
        <v>725</v>
      </c>
      <c r="D282" s="179"/>
      <c r="E282" s="179">
        <v>8925</v>
      </c>
      <c r="F282" s="179">
        <v>12025</v>
      </c>
      <c r="G282" s="179">
        <v>5725</v>
      </c>
      <c r="H282" s="179">
        <v>5075</v>
      </c>
      <c r="I282" s="179">
        <v>34275</v>
      </c>
      <c r="J282" s="97">
        <f t="shared" si="21"/>
        <v>0.35083880379285193</v>
      </c>
      <c r="L282" s="134" t="s">
        <v>119</v>
      </c>
      <c r="M282" s="98">
        <v>0.2865296803652968</v>
      </c>
      <c r="P282" s="97"/>
    </row>
    <row r="283" spans="1:16">
      <c r="A283" t="s">
        <v>3841</v>
      </c>
      <c r="B283" s="179">
        <v>2800</v>
      </c>
      <c r="C283" s="179">
        <v>1400</v>
      </c>
      <c r="D283" s="179"/>
      <c r="E283" s="179">
        <v>12050</v>
      </c>
      <c r="F283" s="179">
        <v>15250</v>
      </c>
      <c r="G283" s="179">
        <v>3375</v>
      </c>
      <c r="H283" s="179">
        <v>3650</v>
      </c>
      <c r="I283" s="179">
        <v>38525</v>
      </c>
      <c r="J283" s="97">
        <f t="shared" si="21"/>
        <v>0.39584685269305647</v>
      </c>
      <c r="L283" s="134" t="s">
        <v>236</v>
      </c>
      <c r="M283" s="98">
        <v>0.2689895470383275</v>
      </c>
      <c r="P283" s="97"/>
    </row>
    <row r="284" spans="1:16">
      <c r="A284" t="s">
        <v>3842</v>
      </c>
      <c r="B284" s="179">
        <v>2600</v>
      </c>
      <c r="C284" s="179">
        <v>3775</v>
      </c>
      <c r="D284" s="179"/>
      <c r="E284" s="179">
        <v>10625</v>
      </c>
      <c r="F284" s="179">
        <v>12550</v>
      </c>
      <c r="G284" s="179">
        <v>4400</v>
      </c>
      <c r="H284" s="179">
        <v>9850</v>
      </c>
      <c r="I284" s="179">
        <v>43800</v>
      </c>
      <c r="J284" s="97">
        <f t="shared" si="21"/>
        <v>0.2865296803652968</v>
      </c>
      <c r="L284" s="134" t="s">
        <v>466</v>
      </c>
      <c r="M284" s="98">
        <v>0.26435045317220546</v>
      </c>
      <c r="P284" s="97"/>
    </row>
    <row r="285" spans="1:16">
      <c r="A285" t="s">
        <v>3843</v>
      </c>
      <c r="B285" s="179">
        <v>5000</v>
      </c>
      <c r="C285" s="179">
        <v>4350</v>
      </c>
      <c r="D285" s="179"/>
      <c r="E285" s="179">
        <v>4450</v>
      </c>
      <c r="F285" s="179">
        <v>4650</v>
      </c>
      <c r="G285" s="179">
        <v>1500</v>
      </c>
      <c r="H285" s="179">
        <v>3350</v>
      </c>
      <c r="I285" s="179">
        <v>23300</v>
      </c>
      <c r="J285" s="97">
        <f t="shared" si="21"/>
        <v>0.19957081545064378</v>
      </c>
      <c r="L285" s="134" t="s">
        <v>244</v>
      </c>
      <c r="M285" s="98">
        <v>0.2606837606837607</v>
      </c>
      <c r="P285" s="97"/>
    </row>
    <row r="286" spans="1:16">
      <c r="A286" t="s">
        <v>3844</v>
      </c>
      <c r="B286" s="179">
        <v>2275</v>
      </c>
      <c r="C286" s="179">
        <v>6425</v>
      </c>
      <c r="D286" s="179">
        <v>2600</v>
      </c>
      <c r="E286" s="179">
        <v>11625</v>
      </c>
      <c r="F286" s="179">
        <v>12200</v>
      </c>
      <c r="G286" s="179">
        <v>8275</v>
      </c>
      <c r="H286" s="179">
        <v>3400</v>
      </c>
      <c r="I286" s="179">
        <v>46800</v>
      </c>
      <c r="J286" s="97">
        <f t="shared" si="21"/>
        <v>0.2606837606837607</v>
      </c>
      <c r="L286" s="134" t="s">
        <v>210</v>
      </c>
      <c r="M286" s="98">
        <v>0.26022304832713755</v>
      </c>
      <c r="P286" s="97"/>
    </row>
    <row r="287" spans="1:16">
      <c r="A287" t="s">
        <v>3847</v>
      </c>
      <c r="B287" s="179">
        <v>5650</v>
      </c>
      <c r="C287" s="179">
        <v>4925</v>
      </c>
      <c r="D287" s="179">
        <v>300</v>
      </c>
      <c r="E287" s="179">
        <v>13775</v>
      </c>
      <c r="F287" s="179">
        <v>8425</v>
      </c>
      <c r="G287" s="179">
        <v>5425</v>
      </c>
      <c r="H287" s="179">
        <v>7100</v>
      </c>
      <c r="I287" s="179">
        <v>45600</v>
      </c>
      <c r="J287" s="97">
        <f t="shared" si="21"/>
        <v>0.18475877192982457</v>
      </c>
      <c r="L287" s="134" t="s">
        <v>111</v>
      </c>
      <c r="M287" s="98">
        <v>0.20873786407766989</v>
      </c>
      <c r="P287" s="97"/>
    </row>
    <row r="288" spans="1:16">
      <c r="A288" t="s">
        <v>3845</v>
      </c>
      <c r="B288" s="179">
        <v>2150</v>
      </c>
      <c r="C288" s="179">
        <v>1525</v>
      </c>
      <c r="D288" s="179">
        <v>150</v>
      </c>
      <c r="E288" s="179">
        <v>9125</v>
      </c>
      <c r="F288" s="179">
        <v>8750</v>
      </c>
      <c r="G288" s="179">
        <v>7500</v>
      </c>
      <c r="H288" s="179">
        <v>4425</v>
      </c>
      <c r="I288" s="179">
        <v>33625</v>
      </c>
      <c r="J288" s="97">
        <f t="shared" si="21"/>
        <v>0.26022304832713755</v>
      </c>
      <c r="L288" s="134" t="s">
        <v>143</v>
      </c>
      <c r="M288" s="98">
        <v>0.19957081545064378</v>
      </c>
      <c r="P288" s="97"/>
    </row>
    <row r="289" spans="1:16">
      <c r="A289" t="s">
        <v>3846</v>
      </c>
      <c r="B289" s="179">
        <v>3350</v>
      </c>
      <c r="C289" s="179">
        <v>6425</v>
      </c>
      <c r="D289" s="179">
        <v>5500</v>
      </c>
      <c r="E289" s="179">
        <v>5525</v>
      </c>
      <c r="F289" s="179">
        <v>14050</v>
      </c>
      <c r="G289" s="179">
        <v>5275</v>
      </c>
      <c r="H289" s="179">
        <v>1850</v>
      </c>
      <c r="I289" s="179">
        <v>41975</v>
      </c>
      <c r="J289" s="97">
        <f t="shared" si="21"/>
        <v>0.33472304943418701</v>
      </c>
      <c r="L289" s="134" t="s">
        <v>3082</v>
      </c>
      <c r="M289" s="98">
        <v>0.18475877192982457</v>
      </c>
      <c r="P289" s="97"/>
    </row>
    <row r="290" spans="1:16">
      <c r="A290" t="s">
        <v>3848</v>
      </c>
      <c r="B290" s="179">
        <v>1450</v>
      </c>
      <c r="C290" s="179">
        <v>3950</v>
      </c>
      <c r="D290" s="179"/>
      <c r="E290" s="179">
        <v>9875</v>
      </c>
      <c r="F290" s="179">
        <v>9650</v>
      </c>
      <c r="G290" s="179">
        <v>6825</v>
      </c>
      <c r="H290" s="179">
        <v>4125</v>
      </c>
      <c r="I290" s="179">
        <v>35875</v>
      </c>
      <c r="J290" s="97">
        <f t="shared" si="21"/>
        <v>0.2689895470383275</v>
      </c>
      <c r="L290" s="134" t="s">
        <v>232</v>
      </c>
      <c r="M290" s="98">
        <v>0.176056338028169</v>
      </c>
      <c r="P290" s="97"/>
    </row>
    <row r="291" spans="1:16">
      <c r="A291" t="s">
        <v>3849</v>
      </c>
      <c r="B291" s="179">
        <v>4800</v>
      </c>
      <c r="C291" s="179">
        <v>4300</v>
      </c>
      <c r="D291" s="179"/>
      <c r="E291" s="179">
        <v>6025</v>
      </c>
      <c r="F291" s="179">
        <v>5275</v>
      </c>
      <c r="G291" s="179">
        <v>5075</v>
      </c>
      <c r="H291" s="179">
        <v>6250</v>
      </c>
      <c r="I291" s="179">
        <v>31725</v>
      </c>
      <c r="J291" s="97">
        <f t="shared" si="21"/>
        <v>0.16627265563435775</v>
      </c>
      <c r="L291" s="134" t="s">
        <v>257</v>
      </c>
      <c r="M291" s="98">
        <v>0.16627265563435775</v>
      </c>
      <c r="P291" s="97"/>
    </row>
    <row r="292" spans="1:16">
      <c r="A292" t="s">
        <v>3122</v>
      </c>
      <c r="B292" s="179">
        <v>44675</v>
      </c>
      <c r="C292" s="179">
        <v>61275</v>
      </c>
      <c r="D292" s="179">
        <v>10175</v>
      </c>
      <c r="E292" s="179">
        <v>134525</v>
      </c>
      <c r="F292" s="179">
        <v>144475</v>
      </c>
      <c r="G292" s="179">
        <v>75850</v>
      </c>
      <c r="H292" s="179">
        <v>77400</v>
      </c>
      <c r="I292" s="179">
        <v>548375</v>
      </c>
      <c r="J292" s="80">
        <f>AVERAGE(J277:J291)</f>
        <v>0.26281855927247938</v>
      </c>
    </row>
    <row r="298" spans="1:16">
      <c r="A298" t="s">
        <v>3220</v>
      </c>
    </row>
    <row r="300" spans="1:16">
      <c r="A300" s="51" t="s">
        <v>3189</v>
      </c>
      <c r="B300" s="51" t="s">
        <v>19</v>
      </c>
      <c r="C300"/>
      <c r="D300"/>
      <c r="E300"/>
      <c r="F300"/>
      <c r="G300"/>
      <c r="H300"/>
      <c r="I300"/>
    </row>
    <row r="301" spans="1:16">
      <c r="A301" s="51" t="s">
        <v>7</v>
      </c>
      <c r="B301" t="s">
        <v>166</v>
      </c>
      <c r="C301" t="s">
        <v>270</v>
      </c>
      <c r="D301" t="s">
        <v>362</v>
      </c>
      <c r="E301" t="s">
        <v>135</v>
      </c>
      <c r="F301" t="s">
        <v>87</v>
      </c>
      <c r="G301" t="s">
        <v>39</v>
      </c>
      <c r="H301" t="s">
        <v>205</v>
      </c>
      <c r="I301" t="s">
        <v>3122</v>
      </c>
    </row>
    <row r="302" spans="1:16">
      <c r="A302" t="s">
        <v>50</v>
      </c>
      <c r="B302" s="179">
        <v>13</v>
      </c>
      <c r="C302" s="179">
        <v>21</v>
      </c>
      <c r="D302" s="179">
        <v>1</v>
      </c>
      <c r="E302" s="179">
        <v>48</v>
      </c>
      <c r="F302" s="179">
        <v>49</v>
      </c>
      <c r="G302" s="179">
        <v>28</v>
      </c>
      <c r="H302" s="179">
        <v>25</v>
      </c>
      <c r="I302" s="179">
        <v>185</v>
      </c>
    </row>
    <row r="303" spans="1:16">
      <c r="A303" t="s">
        <v>62</v>
      </c>
      <c r="B303" s="179">
        <v>5</v>
      </c>
      <c r="C303" s="179">
        <v>13</v>
      </c>
      <c r="D303" s="179">
        <v>1</v>
      </c>
      <c r="E303" s="179">
        <v>41</v>
      </c>
      <c r="F303" s="179">
        <v>37</v>
      </c>
      <c r="G303" s="179">
        <v>23</v>
      </c>
      <c r="H303" s="179">
        <v>13</v>
      </c>
      <c r="I303" s="179">
        <v>133</v>
      </c>
    </row>
    <row r="304" spans="1:16">
      <c r="A304" t="s">
        <v>35</v>
      </c>
      <c r="B304" s="179">
        <v>6</v>
      </c>
      <c r="C304" s="179">
        <v>16</v>
      </c>
      <c r="D304" s="179">
        <v>2</v>
      </c>
      <c r="E304" s="179">
        <v>38</v>
      </c>
      <c r="F304" s="179">
        <v>35</v>
      </c>
      <c r="G304" s="179">
        <v>17</v>
      </c>
      <c r="H304" s="179">
        <v>19</v>
      </c>
      <c r="I304" s="179">
        <v>133</v>
      </c>
    </row>
    <row r="305" spans="1:9">
      <c r="A305" t="s">
        <v>163</v>
      </c>
      <c r="B305" s="179">
        <v>13</v>
      </c>
      <c r="C305" s="179">
        <v>6</v>
      </c>
      <c r="D305" s="179">
        <v>1</v>
      </c>
      <c r="E305" s="179">
        <v>22</v>
      </c>
      <c r="F305" s="179">
        <v>17</v>
      </c>
      <c r="G305" s="179">
        <v>12</v>
      </c>
      <c r="H305" s="179">
        <v>9</v>
      </c>
      <c r="I305" s="179">
        <v>80</v>
      </c>
    </row>
    <row r="306" spans="1:9">
      <c r="A306" t="s">
        <v>112</v>
      </c>
      <c r="B306" s="179">
        <v>16</v>
      </c>
      <c r="C306" s="179">
        <v>22</v>
      </c>
      <c r="D306" s="179">
        <v>7</v>
      </c>
      <c r="E306" s="179">
        <v>60</v>
      </c>
      <c r="F306" s="179">
        <v>50</v>
      </c>
      <c r="G306" s="179">
        <v>24</v>
      </c>
      <c r="H306" s="179">
        <v>19</v>
      </c>
      <c r="I306" s="179">
        <v>198</v>
      </c>
    </row>
    <row r="307" spans="1:9">
      <c r="A307" t="s">
        <v>153</v>
      </c>
      <c r="B307" s="179">
        <v>7</v>
      </c>
      <c r="C307" s="179">
        <v>15</v>
      </c>
      <c r="D307" s="179">
        <v>1</v>
      </c>
      <c r="E307" s="179">
        <v>41</v>
      </c>
      <c r="F307" s="179">
        <v>44</v>
      </c>
      <c r="G307" s="179">
        <v>20</v>
      </c>
      <c r="H307" s="179">
        <v>16</v>
      </c>
      <c r="I307" s="179">
        <v>144</v>
      </c>
    </row>
    <row r="308" spans="1:9">
      <c r="A308" t="s">
        <v>71</v>
      </c>
      <c r="B308" s="179">
        <v>7</v>
      </c>
      <c r="C308" s="179">
        <v>11</v>
      </c>
      <c r="D308" s="179">
        <v>1</v>
      </c>
      <c r="E308" s="179">
        <v>28</v>
      </c>
      <c r="F308" s="179">
        <v>36</v>
      </c>
      <c r="G308" s="179">
        <v>25</v>
      </c>
      <c r="H308" s="179">
        <v>19</v>
      </c>
      <c r="I308" s="179">
        <v>127</v>
      </c>
    </row>
    <row r="309" spans="1:9">
      <c r="A309" t="s">
        <v>3122</v>
      </c>
      <c r="B309" s="179">
        <v>67</v>
      </c>
      <c r="C309" s="179">
        <v>104</v>
      </c>
      <c r="D309" s="179">
        <v>14</v>
      </c>
      <c r="E309" s="179">
        <v>278</v>
      </c>
      <c r="F309" s="179">
        <v>268</v>
      </c>
      <c r="G309" s="179">
        <v>149</v>
      </c>
      <c r="H309" s="179">
        <v>120</v>
      </c>
      <c r="I309" s="179">
        <v>1000</v>
      </c>
    </row>
    <row r="310" spans="1:9">
      <c r="B310"/>
      <c r="C310"/>
      <c r="D310"/>
      <c r="E310"/>
      <c r="F310"/>
      <c r="G310"/>
      <c r="H310"/>
      <c r="I310"/>
    </row>
    <row r="311" spans="1:9">
      <c r="B311"/>
      <c r="C311"/>
      <c r="D311"/>
      <c r="E311"/>
      <c r="F311"/>
      <c r="G311"/>
      <c r="H311"/>
      <c r="I311" t="s">
        <v>3296</v>
      </c>
    </row>
    <row r="312" spans="1:9">
      <c r="B312"/>
      <c r="C312" t="s">
        <v>3284</v>
      </c>
      <c r="D312" s="80">
        <f>MAX(D316:D322)</f>
        <v>6.5902422381439785E-2</v>
      </c>
      <c r="E312" s="80">
        <f>MAX(E316:E322)</f>
        <v>0.26540258312723275</v>
      </c>
      <c r="F312" t="s">
        <v>3290</v>
      </c>
      <c r="G312"/>
      <c r="H312"/>
      <c r="I312" t="s">
        <v>3293</v>
      </c>
    </row>
    <row r="313" spans="1:9">
      <c r="B313"/>
      <c r="C313" t="s">
        <v>3285</v>
      </c>
      <c r="D313" s="80">
        <f>MIN(D316:D322)</f>
        <v>2.2274678111587985E-2</v>
      </c>
      <c r="E313" s="80">
        <f>MIN(E316:E322)</f>
        <v>0.10250068700192361</v>
      </c>
      <c r="F313" t="s">
        <v>3291</v>
      </c>
      <c r="G313" t="s">
        <v>3292</v>
      </c>
      <c r="H313"/>
      <c r="I313" t="s">
        <v>3294</v>
      </c>
    </row>
    <row r="314" spans="1:9">
      <c r="B314"/>
      <c r="C314"/>
      <c r="D314"/>
      <c r="E314"/>
      <c r="F314"/>
      <c r="G314"/>
      <c r="H314"/>
      <c r="I314" t="s">
        <v>3295</v>
      </c>
    </row>
    <row r="315" spans="1:9">
      <c r="A315" s="51" t="s">
        <v>7</v>
      </c>
      <c r="B315" t="s">
        <v>3143</v>
      </c>
      <c r="C315" t="s">
        <v>3153</v>
      </c>
      <c r="D315" t="s">
        <v>3289</v>
      </c>
      <c r="E315" t="s">
        <v>3256</v>
      </c>
      <c r="F315"/>
      <c r="G315"/>
      <c r="H315"/>
      <c r="I315" t="s">
        <v>3297</v>
      </c>
    </row>
    <row r="316" spans="1:9">
      <c r="A316" t="s">
        <v>50</v>
      </c>
      <c r="B316" s="179">
        <v>2673</v>
      </c>
      <c r="C316" s="179">
        <v>98000</v>
      </c>
      <c r="D316" s="96">
        <v>2.7275510204081633E-2</v>
      </c>
      <c r="E316" s="96">
        <v>0.14690849134377576</v>
      </c>
      <c r="F316" s="97">
        <f>B316/C316</f>
        <v>2.7275510204081633E-2</v>
      </c>
      <c r="G316" s="97">
        <f>B316/B323</f>
        <v>0.14690849134377576</v>
      </c>
      <c r="H316"/>
      <c r="I316" t="s">
        <v>3298</v>
      </c>
    </row>
    <row r="317" spans="1:9">
      <c r="A317" t="s">
        <v>62</v>
      </c>
      <c r="B317" s="179">
        <v>4829</v>
      </c>
      <c r="C317" s="179">
        <v>73275</v>
      </c>
      <c r="D317" s="96">
        <v>6.5902422381439785E-2</v>
      </c>
      <c r="E317" s="96">
        <v>0.26540258312723275</v>
      </c>
      <c r="F317"/>
      <c r="G317"/>
      <c r="H317"/>
      <c r="I317" t="s">
        <v>3299</v>
      </c>
    </row>
    <row r="318" spans="1:9">
      <c r="A318" t="s">
        <v>35</v>
      </c>
      <c r="B318" s="179">
        <v>2298</v>
      </c>
      <c r="C318" s="179">
        <v>68825</v>
      </c>
      <c r="D318" s="96">
        <v>3.3389030148928439E-2</v>
      </c>
      <c r="E318" s="96">
        <v>0.12629843363561419</v>
      </c>
      <c r="F318"/>
      <c r="G318"/>
      <c r="H318"/>
      <c r="I318" t="s">
        <v>3300</v>
      </c>
    </row>
    <row r="319" spans="1:9">
      <c r="A319" t="s">
        <v>163</v>
      </c>
      <c r="B319" s="179">
        <v>1935</v>
      </c>
      <c r="C319" s="179">
        <v>60050</v>
      </c>
      <c r="D319" s="96">
        <v>3.2223147377185679E-2</v>
      </c>
      <c r="E319" s="96">
        <v>0.10634789777411377</v>
      </c>
      <c r="F319"/>
      <c r="G319"/>
      <c r="H319"/>
      <c r="I319" t="s">
        <v>3301</v>
      </c>
    </row>
    <row r="320" spans="1:9">
      <c r="A320" t="s">
        <v>112</v>
      </c>
      <c r="B320" s="179">
        <v>2595</v>
      </c>
      <c r="C320" s="179">
        <v>116500</v>
      </c>
      <c r="D320" s="96">
        <v>2.2274678111587985E-2</v>
      </c>
      <c r="E320" s="96">
        <v>0.14262159934047816</v>
      </c>
      <c r="F320"/>
      <c r="G320"/>
      <c r="H320"/>
      <c r="I320"/>
    </row>
    <row r="321" spans="1:9">
      <c r="A321" t="s">
        <v>153</v>
      </c>
      <c r="B321" s="179">
        <v>2000</v>
      </c>
      <c r="C321" s="179">
        <v>64925</v>
      </c>
      <c r="D321" s="96">
        <v>3.0804774740084712E-2</v>
      </c>
      <c r="E321" s="96">
        <v>0.10992030777686178</v>
      </c>
      <c r="F321"/>
      <c r="H321"/>
      <c r="I321"/>
    </row>
    <row r="322" spans="1:9">
      <c r="A322" t="s">
        <v>71</v>
      </c>
      <c r="B322" s="179">
        <v>1865</v>
      </c>
      <c r="C322" s="179">
        <v>66800</v>
      </c>
      <c r="D322" s="96">
        <v>2.7919161676646705E-2</v>
      </c>
      <c r="E322" s="96">
        <v>0.10250068700192361</v>
      </c>
      <c r="F322" t="s">
        <v>3302</v>
      </c>
      <c r="H322"/>
      <c r="I322"/>
    </row>
    <row r="323" spans="1:9">
      <c r="A323" t="s">
        <v>3122</v>
      </c>
      <c r="B323" s="179">
        <v>18195</v>
      </c>
      <c r="C323" s="179">
        <v>548375</v>
      </c>
      <c r="D323" s="96">
        <v>3.3179849555504903E-2</v>
      </c>
      <c r="E323" s="96">
        <v>1</v>
      </c>
      <c r="F323" t="s">
        <v>3303</v>
      </c>
      <c r="G323"/>
      <c r="H323"/>
      <c r="I323"/>
    </row>
    <row r="324" spans="1:9">
      <c r="B324"/>
      <c r="C324"/>
      <c r="D324"/>
      <c r="E324"/>
      <c r="F324"/>
      <c r="G324"/>
      <c r="H324"/>
      <c r="I324"/>
    </row>
    <row r="329" spans="1:9">
      <c r="A329" t="s">
        <v>3223</v>
      </c>
      <c r="F329" s="23" t="s">
        <v>3224</v>
      </c>
    </row>
    <row r="330" spans="1:9">
      <c r="A330" s="51" t="s">
        <v>3</v>
      </c>
      <c r="B330" s="51" t="s">
        <v>4</v>
      </c>
      <c r="C330" s="23" t="s">
        <v>3149</v>
      </c>
      <c r="D330" s="23" t="s">
        <v>3150</v>
      </c>
      <c r="F330" s="51" t="s">
        <v>7</v>
      </c>
      <c r="G330" t="s">
        <v>3149</v>
      </c>
      <c r="H330" t="s">
        <v>3221</v>
      </c>
    </row>
    <row r="331" spans="1:9">
      <c r="A331" t="s">
        <v>151</v>
      </c>
      <c r="B331" t="s">
        <v>3844</v>
      </c>
      <c r="C331" s="179">
        <v>78</v>
      </c>
      <c r="D331" s="52">
        <v>3.437179487179487</v>
      </c>
      <c r="F331" t="s">
        <v>163</v>
      </c>
      <c r="G331" s="179">
        <v>80</v>
      </c>
      <c r="H331" s="52">
        <v>3.1225000000000001</v>
      </c>
    </row>
    <row r="332" spans="1:9">
      <c r="A332" t="s">
        <v>142</v>
      </c>
      <c r="B332" t="s">
        <v>3843</v>
      </c>
      <c r="C332" s="179">
        <v>53</v>
      </c>
      <c r="D332" s="52">
        <v>3.3150943396226413</v>
      </c>
      <c r="F332" t="s">
        <v>112</v>
      </c>
      <c r="G332" s="179">
        <v>198</v>
      </c>
      <c r="H332" s="52">
        <v>3.0176767676767673</v>
      </c>
    </row>
    <row r="333" spans="1:9">
      <c r="A333" t="s">
        <v>118</v>
      </c>
      <c r="B333" t="s">
        <v>3842</v>
      </c>
      <c r="C333" s="179">
        <v>65</v>
      </c>
      <c r="D333" s="52">
        <v>3.2153846153846155</v>
      </c>
      <c r="F333" t="s">
        <v>50</v>
      </c>
      <c r="G333" s="179">
        <v>185</v>
      </c>
      <c r="H333" s="52">
        <v>3.0102702702702708</v>
      </c>
    </row>
    <row r="334" spans="1:9">
      <c r="A334" t="s">
        <v>235</v>
      </c>
      <c r="B334" t="s">
        <v>3848</v>
      </c>
      <c r="C334" s="179">
        <v>74</v>
      </c>
      <c r="D334" s="52">
        <v>3.077027027027027</v>
      </c>
      <c r="F334" t="s">
        <v>62</v>
      </c>
      <c r="G334" s="179">
        <v>133</v>
      </c>
      <c r="H334" s="52">
        <v>3.0067669172932328</v>
      </c>
    </row>
    <row r="335" spans="1:9">
      <c r="A335" t="s">
        <v>162</v>
      </c>
      <c r="B335" t="s">
        <v>3847</v>
      </c>
      <c r="C335" s="179">
        <v>59</v>
      </c>
      <c r="D335" s="52">
        <v>3.0254237288135593</v>
      </c>
      <c r="F335" t="s">
        <v>35</v>
      </c>
      <c r="G335" s="179">
        <v>133</v>
      </c>
      <c r="H335" s="52">
        <v>2.9135338345864668</v>
      </c>
    </row>
    <row r="336" spans="1:9">
      <c r="A336" t="s">
        <v>100</v>
      </c>
      <c r="B336" t="s">
        <v>3841</v>
      </c>
      <c r="C336" s="179">
        <v>76</v>
      </c>
      <c r="D336" s="52">
        <v>2.9526315789473681</v>
      </c>
      <c r="F336" t="s">
        <v>71</v>
      </c>
      <c r="G336" s="179">
        <v>127</v>
      </c>
      <c r="H336" s="52">
        <v>2.8779527559055125</v>
      </c>
    </row>
    <row r="337" spans="1:17">
      <c r="A337" t="s">
        <v>32</v>
      </c>
      <c r="B337" t="s">
        <v>3835</v>
      </c>
      <c r="C337" s="179">
        <v>55</v>
      </c>
      <c r="D337" s="52">
        <v>2.9490909090909092</v>
      </c>
      <c r="F337" t="s">
        <v>153</v>
      </c>
      <c r="G337" s="179">
        <v>144</v>
      </c>
      <c r="H337" s="52">
        <v>2.8138888888888882</v>
      </c>
    </row>
    <row r="338" spans="1:17">
      <c r="A338" t="s">
        <v>80</v>
      </c>
      <c r="B338" t="s">
        <v>3839</v>
      </c>
      <c r="C338" s="179">
        <v>72</v>
      </c>
      <c r="D338" s="52">
        <v>2.9263888888888889</v>
      </c>
      <c r="F338" t="s">
        <v>3122</v>
      </c>
      <c r="G338" s="179">
        <v>1000</v>
      </c>
      <c r="H338" s="52">
        <v>2.9623000000000013</v>
      </c>
    </row>
    <row r="339" spans="1:17">
      <c r="A339" t="s">
        <v>48</v>
      </c>
      <c r="B339" t="s">
        <v>3836</v>
      </c>
      <c r="C339" s="179">
        <v>67</v>
      </c>
      <c r="D339" s="52">
        <v>2.8925373134328356</v>
      </c>
    </row>
    <row r="340" spans="1:17">
      <c r="A340" t="s">
        <v>256</v>
      </c>
      <c r="B340" t="s">
        <v>3849</v>
      </c>
      <c r="C340" s="179">
        <v>63</v>
      </c>
      <c r="D340" s="52">
        <v>2.8841269841269845</v>
      </c>
      <c r="F340" s="121" t="s">
        <v>3314</v>
      </c>
    </row>
    <row r="341" spans="1:17">
      <c r="A341" t="s">
        <v>215</v>
      </c>
      <c r="B341" t="s">
        <v>3846</v>
      </c>
      <c r="C341" s="179">
        <v>67</v>
      </c>
      <c r="D341" s="52">
        <v>2.8462686567164184</v>
      </c>
    </row>
    <row r="342" spans="1:17">
      <c r="A342" t="s">
        <v>60</v>
      </c>
      <c r="B342" t="s">
        <v>3837</v>
      </c>
      <c r="C342" s="179">
        <v>64</v>
      </c>
      <c r="D342" s="52">
        <v>2.8234374999999998</v>
      </c>
    </row>
    <row r="343" spans="1:17">
      <c r="A343" t="s">
        <v>69</v>
      </c>
      <c r="B343" t="s">
        <v>3838</v>
      </c>
      <c r="C343" s="179">
        <v>77</v>
      </c>
      <c r="D343" s="52">
        <v>2.80909090909091</v>
      </c>
    </row>
    <row r="344" spans="1:17">
      <c r="A344" t="s">
        <v>90</v>
      </c>
      <c r="B344" t="s">
        <v>3840</v>
      </c>
      <c r="C344" s="179">
        <v>61</v>
      </c>
      <c r="D344" s="52">
        <v>2.6852459016393446</v>
      </c>
      <c r="F344" s="121" t="s">
        <v>3315</v>
      </c>
    </row>
    <row r="345" spans="1:17">
      <c r="A345" t="s">
        <v>209</v>
      </c>
      <c r="B345" t="s">
        <v>3845</v>
      </c>
      <c r="C345" s="179">
        <v>69</v>
      </c>
      <c r="D345" s="52">
        <v>2.5942028985507237</v>
      </c>
    </row>
    <row r="346" spans="1:17">
      <c r="A346" t="s">
        <v>3122</v>
      </c>
      <c r="B346"/>
      <c r="C346" s="179">
        <v>1000</v>
      </c>
      <c r="D346" s="52">
        <v>2.9622999999999986</v>
      </c>
    </row>
    <row r="349" spans="1:17">
      <c r="A349" s="23" t="s">
        <v>3222</v>
      </c>
    </row>
    <row r="350" spans="1:17">
      <c r="A350" s="51" t="s">
        <v>3149</v>
      </c>
      <c r="B350" s="51" t="s">
        <v>4</v>
      </c>
      <c r="C350"/>
      <c r="D350"/>
      <c r="E350"/>
      <c r="F350"/>
      <c r="G350"/>
      <c r="H350"/>
      <c r="I350"/>
      <c r="J350"/>
      <c r="K350"/>
      <c r="L350"/>
      <c r="M350"/>
    </row>
    <row r="351" spans="1:17">
      <c r="A351" s="51" t="s">
        <v>5</v>
      </c>
      <c r="B351" t="s">
        <v>3835</v>
      </c>
      <c r="C351" t="s">
        <v>3836</v>
      </c>
      <c r="D351" t="s">
        <v>3837</v>
      </c>
      <c r="E351" t="s">
        <v>3838</v>
      </c>
      <c r="F351" t="s">
        <v>3839</v>
      </c>
      <c r="G351" t="s">
        <v>3840</v>
      </c>
      <c r="H351" t="s">
        <v>3841</v>
      </c>
      <c r="I351" t="s">
        <v>3842</v>
      </c>
      <c r="J351" t="s">
        <v>3843</v>
      </c>
      <c r="K351" t="s">
        <v>3844</v>
      </c>
      <c r="L351" t="s">
        <v>3847</v>
      </c>
      <c r="M351" t="s">
        <v>3845</v>
      </c>
      <c r="N351" t="s">
        <v>3846</v>
      </c>
      <c r="O351" t="s">
        <v>3848</v>
      </c>
      <c r="P351" t="s">
        <v>3849</v>
      </c>
      <c r="Q351" t="s">
        <v>3122</v>
      </c>
    </row>
    <row r="352" spans="1:17">
      <c r="A352" t="s">
        <v>702</v>
      </c>
      <c r="B352" s="179"/>
      <c r="C352" s="179">
        <v>1</v>
      </c>
      <c r="D352" s="179"/>
      <c r="E352" s="179"/>
      <c r="F352" s="179"/>
      <c r="G352" s="179"/>
      <c r="H352" s="179"/>
      <c r="I352" s="179"/>
      <c r="J352" s="179">
        <v>1</v>
      </c>
      <c r="K352" s="179">
        <v>1</v>
      </c>
      <c r="L352" s="179"/>
      <c r="M352" s="179"/>
      <c r="N352" s="179"/>
      <c r="O352" s="179"/>
      <c r="P352" s="179"/>
      <c r="Q352" s="179">
        <v>3</v>
      </c>
    </row>
    <row r="353" spans="1:17">
      <c r="A353" t="s">
        <v>133</v>
      </c>
      <c r="B353" s="179"/>
      <c r="C353" s="179"/>
      <c r="D353" s="179"/>
      <c r="E353" s="179"/>
      <c r="F353" s="179"/>
      <c r="G353" s="179">
        <v>59</v>
      </c>
      <c r="H353" s="179"/>
      <c r="I353" s="179"/>
      <c r="J353" s="179"/>
      <c r="K353" s="179"/>
      <c r="L353" s="179"/>
      <c r="M353" s="179">
        <v>1</v>
      </c>
      <c r="N353" s="179"/>
      <c r="O353" s="179"/>
      <c r="P353" s="179"/>
      <c r="Q353" s="179">
        <v>60</v>
      </c>
    </row>
    <row r="354" spans="1:17">
      <c r="A354" t="s">
        <v>479</v>
      </c>
      <c r="B354" s="179"/>
      <c r="C354" s="179"/>
      <c r="D354" s="179"/>
      <c r="E354" s="179"/>
      <c r="F354" s="179"/>
      <c r="G354" s="179"/>
      <c r="H354" s="179"/>
      <c r="I354" s="179"/>
      <c r="J354" s="179"/>
      <c r="K354" s="179"/>
      <c r="L354" s="179"/>
      <c r="M354" s="179"/>
      <c r="N354" s="179"/>
      <c r="O354" s="179">
        <v>71</v>
      </c>
      <c r="P354" s="179"/>
      <c r="Q354" s="179">
        <v>71</v>
      </c>
    </row>
    <row r="355" spans="1:17">
      <c r="A355" t="s">
        <v>316</v>
      </c>
      <c r="B355" s="179"/>
      <c r="C355" s="179"/>
      <c r="D355" s="179"/>
      <c r="E355" s="179"/>
      <c r="F355" s="179"/>
      <c r="G355" s="179"/>
      <c r="H355" s="179"/>
      <c r="I355" s="179">
        <v>1</v>
      </c>
      <c r="J355" s="179"/>
      <c r="K355" s="179"/>
      <c r="L355" s="179"/>
      <c r="M355" s="179">
        <v>68</v>
      </c>
      <c r="N355" s="179">
        <v>1</v>
      </c>
      <c r="O355" s="179"/>
      <c r="P355" s="179"/>
      <c r="Q355" s="179">
        <v>70</v>
      </c>
    </row>
    <row r="356" spans="1:17">
      <c r="A356" t="s">
        <v>258</v>
      </c>
      <c r="B356" s="179"/>
      <c r="C356" s="179"/>
      <c r="D356" s="179"/>
      <c r="E356" s="179"/>
      <c r="F356" s="179"/>
      <c r="G356" s="179"/>
      <c r="H356" s="179"/>
      <c r="I356" s="179"/>
      <c r="J356" s="179"/>
      <c r="K356" s="179"/>
      <c r="L356" s="179"/>
      <c r="M356" s="179"/>
      <c r="N356" s="179"/>
      <c r="O356" s="179"/>
      <c r="P356" s="179">
        <v>63</v>
      </c>
      <c r="Q356" s="179">
        <v>63</v>
      </c>
    </row>
    <row r="357" spans="1:17">
      <c r="A357" t="s">
        <v>102</v>
      </c>
      <c r="B357" s="179"/>
      <c r="C357" s="179">
        <v>64</v>
      </c>
      <c r="D357" s="179"/>
      <c r="E357" s="179"/>
      <c r="F357" s="179">
        <v>1</v>
      </c>
      <c r="G357" s="179">
        <v>1</v>
      </c>
      <c r="H357" s="179">
        <v>75</v>
      </c>
      <c r="I357" s="179"/>
      <c r="J357" s="179">
        <v>1</v>
      </c>
      <c r="K357" s="179"/>
      <c r="L357" s="179"/>
      <c r="M357" s="179"/>
      <c r="N357" s="179"/>
      <c r="O357" s="179">
        <v>3</v>
      </c>
      <c r="P357" s="179"/>
      <c r="Q357" s="179">
        <v>145</v>
      </c>
    </row>
    <row r="358" spans="1:17">
      <c r="A358" t="s">
        <v>169</v>
      </c>
      <c r="B358" s="179"/>
      <c r="C358" s="179"/>
      <c r="D358" s="179"/>
      <c r="E358" s="179"/>
      <c r="F358" s="179"/>
      <c r="G358" s="179"/>
      <c r="H358" s="179"/>
      <c r="I358" s="179"/>
      <c r="J358" s="179">
        <v>51</v>
      </c>
      <c r="K358" s="179"/>
      <c r="L358" s="179"/>
      <c r="M358" s="179"/>
      <c r="N358" s="179"/>
      <c r="O358" s="179"/>
      <c r="P358" s="179"/>
      <c r="Q358" s="179">
        <v>51</v>
      </c>
    </row>
    <row r="359" spans="1:17">
      <c r="A359" t="s">
        <v>152</v>
      </c>
      <c r="B359" s="179"/>
      <c r="C359" s="179"/>
      <c r="D359" s="179">
        <v>64</v>
      </c>
      <c r="E359" s="179"/>
      <c r="F359" s="179"/>
      <c r="G359" s="179">
        <v>1</v>
      </c>
      <c r="H359" s="179"/>
      <c r="I359" s="179"/>
      <c r="J359" s="179"/>
      <c r="K359" s="179">
        <v>77</v>
      </c>
      <c r="L359" s="179">
        <v>59</v>
      </c>
      <c r="M359" s="179"/>
      <c r="N359" s="179">
        <v>66</v>
      </c>
      <c r="O359" s="179"/>
      <c r="P359" s="179"/>
      <c r="Q359" s="179">
        <v>267</v>
      </c>
    </row>
    <row r="360" spans="1:17">
      <c r="A360" t="s">
        <v>82</v>
      </c>
      <c r="B360" s="179"/>
      <c r="C360" s="179"/>
      <c r="D360" s="179"/>
      <c r="E360" s="179"/>
      <c r="F360" s="179">
        <v>71</v>
      </c>
      <c r="G360" s="179"/>
      <c r="H360" s="179"/>
      <c r="I360" s="179"/>
      <c r="J360" s="179"/>
      <c r="K360" s="179"/>
      <c r="L360" s="179"/>
      <c r="M360" s="179"/>
      <c r="N360" s="179"/>
      <c r="O360" s="179"/>
      <c r="P360" s="179"/>
      <c r="Q360" s="179">
        <v>71</v>
      </c>
    </row>
    <row r="361" spans="1:17">
      <c r="A361" t="s">
        <v>301</v>
      </c>
      <c r="B361" s="179"/>
      <c r="C361" s="179">
        <v>2</v>
      </c>
      <c r="D361" s="179"/>
      <c r="E361" s="179"/>
      <c r="F361" s="179"/>
      <c r="G361" s="179"/>
      <c r="H361" s="179">
        <v>1</v>
      </c>
      <c r="I361" s="179">
        <v>64</v>
      </c>
      <c r="J361" s="179"/>
      <c r="K361" s="179"/>
      <c r="L361" s="179"/>
      <c r="M361" s="179"/>
      <c r="N361" s="179"/>
      <c r="O361" s="179"/>
      <c r="P361" s="179"/>
      <c r="Q361" s="179">
        <v>67</v>
      </c>
    </row>
    <row r="362" spans="1:17">
      <c r="A362" t="s">
        <v>177</v>
      </c>
      <c r="B362" s="179">
        <v>55</v>
      </c>
      <c r="C362" s="179"/>
      <c r="D362" s="179"/>
      <c r="E362" s="179"/>
      <c r="F362" s="179"/>
      <c r="G362" s="179"/>
      <c r="H362" s="179"/>
      <c r="I362" s="179"/>
      <c r="J362" s="179"/>
      <c r="K362" s="179"/>
      <c r="L362" s="179"/>
      <c r="M362" s="179"/>
      <c r="N362" s="179"/>
      <c r="O362" s="179"/>
      <c r="P362" s="179"/>
      <c r="Q362" s="179">
        <v>55</v>
      </c>
    </row>
    <row r="363" spans="1:17">
      <c r="A363" t="s">
        <v>194</v>
      </c>
      <c r="B363" s="179"/>
      <c r="C363" s="179"/>
      <c r="D363" s="179"/>
      <c r="E363" s="179">
        <v>77</v>
      </c>
      <c r="F363" s="179"/>
      <c r="G363" s="179"/>
      <c r="H363" s="179"/>
      <c r="I363" s="179"/>
      <c r="J363" s="179"/>
      <c r="K363" s="179"/>
      <c r="L363" s="179"/>
      <c r="M363" s="179"/>
      <c r="N363" s="179"/>
      <c r="O363" s="179"/>
      <c r="P363" s="179"/>
      <c r="Q363" s="179">
        <v>77</v>
      </c>
    </row>
    <row r="364" spans="1:17">
      <c r="A364" t="s">
        <v>3122</v>
      </c>
      <c r="B364" s="179">
        <v>55</v>
      </c>
      <c r="C364" s="179">
        <v>67</v>
      </c>
      <c r="D364" s="179">
        <v>64</v>
      </c>
      <c r="E364" s="179">
        <v>77</v>
      </c>
      <c r="F364" s="179">
        <v>72</v>
      </c>
      <c r="G364" s="179">
        <v>61</v>
      </c>
      <c r="H364" s="179">
        <v>76</v>
      </c>
      <c r="I364" s="179">
        <v>65</v>
      </c>
      <c r="J364" s="179">
        <v>53</v>
      </c>
      <c r="K364" s="179">
        <v>78</v>
      </c>
      <c r="L364" s="179">
        <v>59</v>
      </c>
      <c r="M364" s="179">
        <v>69</v>
      </c>
      <c r="N364" s="179">
        <v>67</v>
      </c>
      <c r="O364" s="179">
        <v>74</v>
      </c>
      <c r="P364" s="179">
        <v>63</v>
      </c>
      <c r="Q364" s="179">
        <v>1000</v>
      </c>
    </row>
    <row r="365" spans="1:17">
      <c r="B365"/>
      <c r="C365"/>
      <c r="D365"/>
      <c r="E365"/>
      <c r="F365"/>
      <c r="G365"/>
      <c r="H365"/>
      <c r="I365"/>
      <c r="J365"/>
      <c r="K365"/>
      <c r="L365"/>
      <c r="M365"/>
    </row>
    <row r="366" spans="1:17">
      <c r="B366"/>
      <c r="C366"/>
      <c r="D366"/>
    </row>
    <row r="368" spans="1:17">
      <c r="C368" s="23" t="s">
        <v>3306</v>
      </c>
    </row>
    <row r="369" spans="1:10">
      <c r="A369" t="s">
        <v>3225</v>
      </c>
      <c r="E369" s="104"/>
    </row>
    <row r="370" spans="1:10">
      <c r="A370" s="51" t="s">
        <v>5</v>
      </c>
      <c r="B370" s="23" t="s">
        <v>3149</v>
      </c>
      <c r="C370" t="s">
        <v>3153</v>
      </c>
      <c r="D370" s="92" t="s">
        <v>3141</v>
      </c>
      <c r="E370" s="23" t="s">
        <v>5</v>
      </c>
      <c r="F370" s="23" t="s">
        <v>3153</v>
      </c>
      <c r="G370" s="23" t="s">
        <v>3182</v>
      </c>
    </row>
    <row r="371" spans="1:10">
      <c r="A371" s="102" t="s">
        <v>152</v>
      </c>
      <c r="B371" s="179">
        <v>267</v>
      </c>
      <c r="C371" s="141">
        <v>165925</v>
      </c>
      <c r="D371" s="93">
        <v>25561272.383052509</v>
      </c>
      <c r="E371" s="23" t="s">
        <v>702</v>
      </c>
      <c r="F371" s="23">
        <f>GETPIVOTDATA("Sum of Order_Quantity",$A$370,"Supplier_Country","Africa Region")</f>
        <v>300</v>
      </c>
      <c r="G371" s="94">
        <f>GETPIVOTDATA("Sum of Ordered_Value in $",$A$370,"Supplier_Country","Africa Region")</f>
        <v>3477.5215099999996</v>
      </c>
      <c r="H371" s="23" t="s">
        <v>3284</v>
      </c>
      <c r="I371" s="23">
        <f>MAX(F371:F382)</f>
        <v>165925</v>
      </c>
      <c r="J371" s="139">
        <f>MAX(G371:G382)</f>
        <v>25561272.383052509</v>
      </c>
    </row>
    <row r="372" spans="1:10">
      <c r="A372" s="102" t="s">
        <v>102</v>
      </c>
      <c r="B372" s="179">
        <v>145</v>
      </c>
      <c r="C372" s="141">
        <v>79550</v>
      </c>
      <c r="D372" s="93">
        <v>16254125.093430003</v>
      </c>
      <c r="E372" s="23" t="s">
        <v>133</v>
      </c>
      <c r="F372" s="23">
        <f>GETPIVOTDATA("Sum of Order_Quantity",$A$370,"Supplier_Country","Egypt")</f>
        <v>32850</v>
      </c>
      <c r="G372" s="94">
        <f>GETPIVOTDATA("Sum of Ordered_Value in $",$A$370,"Supplier_Country","Egypt")</f>
        <v>3358102.8853000002</v>
      </c>
      <c r="H372" s="23" t="s">
        <v>3285</v>
      </c>
      <c r="I372" s="23">
        <f>MIN(F371:F383)</f>
        <v>300</v>
      </c>
      <c r="J372" s="139">
        <f>MIN(G371:G382)</f>
        <v>3477.5215099999996</v>
      </c>
    </row>
    <row r="373" spans="1:10">
      <c r="A373" t="s">
        <v>177</v>
      </c>
      <c r="B373" s="179">
        <v>55</v>
      </c>
      <c r="C373" s="91">
        <v>26875</v>
      </c>
      <c r="D373" s="93">
        <v>13053415.056550004</v>
      </c>
      <c r="E373" s="23" t="s">
        <v>479</v>
      </c>
      <c r="F373" s="23">
        <f>GETPIVOTDATA("Sum of Order_Quantity",$A$370,"Supplier_Country","Ethiopia")</f>
        <v>34025</v>
      </c>
      <c r="G373" s="94">
        <f>GETPIVOTDATA("Sum of Ordered_Value in $",$A$370,"Supplier_Country","Ethiopia")</f>
        <v>1834433.0083749997</v>
      </c>
    </row>
    <row r="374" spans="1:10">
      <c r="A374" t="s">
        <v>169</v>
      </c>
      <c r="B374" s="179">
        <v>51</v>
      </c>
      <c r="C374" s="91">
        <v>23100</v>
      </c>
      <c r="D374" s="93">
        <v>9744921.1633825041</v>
      </c>
      <c r="E374" s="23" t="s">
        <v>316</v>
      </c>
      <c r="F374" s="23">
        <f>GETPIVOTDATA("Sum of Order_Quantity",$A$370,"Supplier_Country","Ghana")</f>
        <v>35750</v>
      </c>
      <c r="G374" s="94">
        <f>GETPIVOTDATA("Sum of Ordered_Value in $",$A$370,"Supplier_Country","Ghana")</f>
        <v>1110816.5084800001</v>
      </c>
      <c r="H374" s="134" t="s">
        <v>3304</v>
      </c>
    </row>
    <row r="375" spans="1:10">
      <c r="A375" t="s">
        <v>194</v>
      </c>
      <c r="B375" s="179">
        <v>77</v>
      </c>
      <c r="C375" s="91">
        <v>41200</v>
      </c>
      <c r="D375" s="93">
        <v>6122900.9380600005</v>
      </c>
      <c r="E375" s="23" t="s">
        <v>258</v>
      </c>
      <c r="F375" s="23">
        <f>GETPIVOTDATA("Sum of Order_Quantity",$A$370,"Supplier_Country","Ivory Coast")</f>
        <v>31725</v>
      </c>
      <c r="G375" s="94">
        <f>GETPIVOTDATA("Sum of Ordered_Value in $",$A$370,"Supplier_Country","Ivory Coast")</f>
        <v>3811498.5393049992</v>
      </c>
    </row>
    <row r="376" spans="1:10">
      <c r="A376" s="102" t="s">
        <v>301</v>
      </c>
      <c r="B376" s="179">
        <v>67</v>
      </c>
      <c r="C376" s="141">
        <v>44425</v>
      </c>
      <c r="D376" s="93">
        <v>3992618.1281949999</v>
      </c>
      <c r="E376" s="23" t="s">
        <v>102</v>
      </c>
      <c r="F376" s="23">
        <f>GETPIVOTDATA("Sum of Order_Quantity",$A$370,"Supplier_Country","Kenya")</f>
        <v>79550</v>
      </c>
      <c r="G376" s="94">
        <f>GETPIVOTDATA("Sum of Ordered_Value in $",$A$370,"Supplier_Country","Kenya")</f>
        <v>16254125.093430003</v>
      </c>
    </row>
    <row r="377" spans="1:10">
      <c r="A377" t="s">
        <v>258</v>
      </c>
      <c r="B377" s="179">
        <v>63</v>
      </c>
      <c r="C377" s="91">
        <v>31725</v>
      </c>
      <c r="D377" s="93">
        <v>3811498.5393049992</v>
      </c>
      <c r="E377" s="23" t="s">
        <v>169</v>
      </c>
      <c r="F377" s="23">
        <f>GETPIVOTDATA("Sum of Order_Quantity",$A$370,"Supplier_Country","Morocco")</f>
        <v>23100</v>
      </c>
      <c r="G377" s="94">
        <f>GETPIVOTDATA("Sum of Ordered_Value in $",$A$370,"Supplier_Country","Morocco")</f>
        <v>9744921.1633825041</v>
      </c>
    </row>
    <row r="378" spans="1:10">
      <c r="A378" t="s">
        <v>133</v>
      </c>
      <c r="B378" s="179">
        <v>60</v>
      </c>
      <c r="C378" s="91">
        <v>32850</v>
      </c>
      <c r="D378" s="93">
        <v>3358102.8853000002</v>
      </c>
      <c r="E378" s="121" t="s">
        <v>152</v>
      </c>
      <c r="F378" s="121">
        <f>GETPIVOTDATA("Sum of Order_Quantity",$A$370,"Supplier_Country","Nigeria")</f>
        <v>165925</v>
      </c>
      <c r="G378" s="140">
        <f>GETPIVOTDATA("Sum of Ordered_Value in $",$A$370,"Supplier_Country","Nigeria")</f>
        <v>25561272.383052509</v>
      </c>
    </row>
    <row r="379" spans="1:10">
      <c r="A379" t="s">
        <v>82</v>
      </c>
      <c r="B379" s="179">
        <v>71</v>
      </c>
      <c r="C379" s="91">
        <v>32650</v>
      </c>
      <c r="D379" s="93">
        <v>2874915.2730149995</v>
      </c>
      <c r="E379" s="23" t="s">
        <v>82</v>
      </c>
      <c r="F379" s="23">
        <f>GETPIVOTDATA("Sum of Order_Quantity",$A$370,"Supplier_Country","Rwanda")</f>
        <v>32650</v>
      </c>
      <c r="G379" s="94">
        <f>GETPIVOTDATA("Sum of Ordered_Value in $",$A$370,"Supplier_Country","Rwanda")</f>
        <v>2874915.2730149995</v>
      </c>
    </row>
    <row r="380" spans="1:10">
      <c r="A380" t="s">
        <v>479</v>
      </c>
      <c r="B380" s="179">
        <v>71</v>
      </c>
      <c r="C380" s="91">
        <v>34025</v>
      </c>
      <c r="D380" s="93">
        <v>1834433.0083749997</v>
      </c>
      <c r="E380" s="23" t="s">
        <v>301</v>
      </c>
      <c r="F380" s="23">
        <f>GETPIVOTDATA("Sum of Order_Quantity",$A$370,"Supplier_Country","South Africa")</f>
        <v>44425</v>
      </c>
      <c r="G380" s="94">
        <f>GETPIVOTDATA("Sum of Ordered_Value in $",$A$370,"Supplier_Country","South Africa")</f>
        <v>3992618.1281949999</v>
      </c>
    </row>
    <row r="381" spans="1:10">
      <c r="A381" t="s">
        <v>316</v>
      </c>
      <c r="B381" s="179">
        <v>70</v>
      </c>
      <c r="C381" s="91">
        <v>35750</v>
      </c>
      <c r="D381" s="93">
        <v>1110816.5084800001</v>
      </c>
      <c r="E381" s="23" t="s">
        <v>177</v>
      </c>
      <c r="F381" s="23">
        <f>GETPIVOTDATA("Sum of Order_Quantity",$A$370,"Supplier_Country","Tanzania")</f>
        <v>26875</v>
      </c>
      <c r="G381" s="94">
        <f>GETPIVOTDATA("Sum of Ordered_Value in $",$A$370,"Supplier_Country","Tanzania")</f>
        <v>13053415.056550004</v>
      </c>
    </row>
    <row r="382" spans="1:10">
      <c r="A382" t="s">
        <v>702</v>
      </c>
      <c r="B382" s="179">
        <v>3</v>
      </c>
      <c r="C382" s="91">
        <v>300</v>
      </c>
      <c r="D382" s="93">
        <v>3477.5215099999996</v>
      </c>
      <c r="E382" s="23" t="s">
        <v>194</v>
      </c>
      <c r="F382" s="23">
        <f>GETPIVOTDATA("Sum of Order_Quantity",$A$370,"Supplier_Country","Uganda")</f>
        <v>41200</v>
      </c>
      <c r="G382" s="94">
        <f>GETPIVOTDATA("Sum of Ordered_Value in $",$A$370,"Supplier_Country","Uganda")</f>
        <v>6122900.9380600005</v>
      </c>
    </row>
    <row r="383" spans="1:10">
      <c r="A383" t="s">
        <v>3122</v>
      </c>
      <c r="B383" s="179">
        <v>1000</v>
      </c>
      <c r="C383" s="91">
        <v>548375</v>
      </c>
      <c r="D383" s="93">
        <v>87722496.498654976</v>
      </c>
    </row>
    <row r="384" spans="1:10">
      <c r="B384"/>
      <c r="C384"/>
      <c r="D384"/>
    </row>
    <row r="385" spans="1:9">
      <c r="B385"/>
      <c r="C385"/>
      <c r="D385"/>
    </row>
    <row r="386" spans="1:9">
      <c r="B386"/>
      <c r="C386"/>
      <c r="D386"/>
    </row>
    <row r="387" spans="1:9">
      <c r="D387" s="23" t="s">
        <v>3305</v>
      </c>
    </row>
    <row r="388" spans="1:9">
      <c r="F388" s="104"/>
    </row>
    <row r="389" spans="1:9">
      <c r="A389" s="11" t="s">
        <v>3</v>
      </c>
      <c r="B389" s="11" t="s">
        <v>4</v>
      </c>
      <c r="C389" s="8" t="s">
        <v>3140</v>
      </c>
      <c r="D389" s="15" t="s">
        <v>3141</v>
      </c>
      <c r="F389" s="11" t="s">
        <v>3</v>
      </c>
      <c r="G389" s="8" t="s">
        <v>3142</v>
      </c>
      <c r="H389" s="21" t="s">
        <v>3141</v>
      </c>
      <c r="I389" s="15" t="s">
        <v>3147</v>
      </c>
    </row>
    <row r="390" spans="1:9">
      <c r="A390" s="8" t="s">
        <v>32</v>
      </c>
      <c r="B390" s="8" t="s">
        <v>3835</v>
      </c>
      <c r="C390" s="161">
        <v>55</v>
      </c>
      <c r="D390" s="18">
        <v>13053415.056550004</v>
      </c>
      <c r="F390" s="8" t="s">
        <v>32</v>
      </c>
      <c r="G390" s="161">
        <v>55</v>
      </c>
      <c r="H390" s="142">
        <v>13053415.056550004</v>
      </c>
      <c r="I390" s="46">
        <v>0.14880350625623312</v>
      </c>
    </row>
    <row r="391" spans="1:9">
      <c r="A391" s="8" t="s">
        <v>162</v>
      </c>
      <c r="B391" s="8" t="s">
        <v>3847</v>
      </c>
      <c r="C391" s="161">
        <v>59</v>
      </c>
      <c r="D391" s="18">
        <v>12175266.2163925</v>
      </c>
      <c r="F391" s="13" t="s">
        <v>162</v>
      </c>
      <c r="G391" s="162">
        <v>59</v>
      </c>
      <c r="H391" s="143">
        <v>12175266.2163925</v>
      </c>
      <c r="I391" s="47">
        <v>0.13879297446327432</v>
      </c>
    </row>
    <row r="392" spans="1:9">
      <c r="A392" s="8" t="s">
        <v>142</v>
      </c>
      <c r="B392" s="8" t="s">
        <v>3843</v>
      </c>
      <c r="C392" s="161">
        <v>53</v>
      </c>
      <c r="D392" s="18">
        <v>9746578.696382504</v>
      </c>
      <c r="F392" s="13" t="s">
        <v>142</v>
      </c>
      <c r="G392" s="162">
        <v>53</v>
      </c>
      <c r="H392" s="143">
        <v>9746578.696382504</v>
      </c>
      <c r="I392" s="47">
        <v>0.11110694617009605</v>
      </c>
    </row>
    <row r="393" spans="1:9">
      <c r="A393" s="8" t="s">
        <v>48</v>
      </c>
      <c r="B393" s="8" t="s">
        <v>3836</v>
      </c>
      <c r="C393" s="161">
        <v>67</v>
      </c>
      <c r="D393" s="18">
        <v>9142387.641830001</v>
      </c>
      <c r="F393" s="13" t="s">
        <v>48</v>
      </c>
      <c r="G393" s="162">
        <v>67</v>
      </c>
      <c r="H393" s="44">
        <v>9142387.641830001</v>
      </c>
      <c r="I393" s="47">
        <v>0.10421941926801151</v>
      </c>
    </row>
    <row r="394" spans="1:9">
      <c r="A394" s="8" t="s">
        <v>60</v>
      </c>
      <c r="B394" s="8" t="s">
        <v>3837</v>
      </c>
      <c r="C394" s="161">
        <v>64</v>
      </c>
      <c r="D394" s="18">
        <v>7462599.8065099996</v>
      </c>
      <c r="F394" s="13" t="s">
        <v>60</v>
      </c>
      <c r="G394" s="162">
        <v>64</v>
      </c>
      <c r="H394" s="44">
        <v>7462599.8065099996</v>
      </c>
      <c r="I394" s="47">
        <v>8.5070536115264536E-2</v>
      </c>
    </row>
    <row r="395" spans="1:9">
      <c r="A395" s="8" t="s">
        <v>100</v>
      </c>
      <c r="B395" s="8" t="s">
        <v>3841</v>
      </c>
      <c r="C395" s="161">
        <v>76</v>
      </c>
      <c r="D395" s="18">
        <v>7157225.0562600009</v>
      </c>
      <c r="F395" s="13" t="s">
        <v>100</v>
      </c>
      <c r="G395" s="162">
        <v>76</v>
      </c>
      <c r="H395" s="44">
        <v>7157225.0562600009</v>
      </c>
      <c r="I395" s="47">
        <v>8.1589390885264373E-2</v>
      </c>
    </row>
    <row r="396" spans="1:9">
      <c r="A396" s="8" t="s">
        <v>69</v>
      </c>
      <c r="B396" s="8" t="s">
        <v>3838</v>
      </c>
      <c r="C396" s="161">
        <v>77</v>
      </c>
      <c r="D396" s="18">
        <v>6122900.9380600005</v>
      </c>
      <c r="F396" s="13" t="s">
        <v>69</v>
      </c>
      <c r="G396" s="162">
        <v>77</v>
      </c>
      <c r="H396" s="44">
        <v>6122900.9380600005</v>
      </c>
      <c r="I396" s="47">
        <v>6.9798525833722452E-2</v>
      </c>
    </row>
    <row r="397" spans="1:9">
      <c r="A397" s="8" t="s">
        <v>118</v>
      </c>
      <c r="B397" s="8" t="s">
        <v>3842</v>
      </c>
      <c r="C397" s="161">
        <v>65</v>
      </c>
      <c r="D397" s="18">
        <v>3939402.9666949995</v>
      </c>
      <c r="F397" s="13" t="s">
        <v>118</v>
      </c>
      <c r="G397" s="162">
        <v>65</v>
      </c>
      <c r="H397" s="44">
        <v>3939402.9666949995</v>
      </c>
      <c r="I397" s="47">
        <v>4.4907556487011273E-2</v>
      </c>
    </row>
    <row r="398" spans="1:9">
      <c r="A398" s="8" t="s">
        <v>256</v>
      </c>
      <c r="B398" s="8" t="s">
        <v>3849</v>
      </c>
      <c r="C398" s="161">
        <v>63</v>
      </c>
      <c r="D398" s="18">
        <v>3811498.5393049992</v>
      </c>
      <c r="F398" s="13" t="s">
        <v>256</v>
      </c>
      <c r="G398" s="162">
        <v>63</v>
      </c>
      <c r="H398" s="44">
        <v>3811498.5393049992</v>
      </c>
      <c r="I398" s="47">
        <v>4.3449499175658289E-2</v>
      </c>
    </row>
    <row r="399" spans="1:9">
      <c r="A399" s="8" t="s">
        <v>90</v>
      </c>
      <c r="B399" s="8" t="s">
        <v>3840</v>
      </c>
      <c r="C399" s="161">
        <v>61</v>
      </c>
      <c r="D399" s="18">
        <v>3360570.1484500002</v>
      </c>
      <c r="F399" s="13" t="s">
        <v>90</v>
      </c>
      <c r="G399" s="162">
        <v>61</v>
      </c>
      <c r="H399" s="44">
        <v>3360570.1484500002</v>
      </c>
      <c r="I399" s="47">
        <v>3.8309102939193304E-2</v>
      </c>
    </row>
    <row r="400" spans="1:9">
      <c r="A400" s="8" t="s">
        <v>151</v>
      </c>
      <c r="B400" s="8" t="s">
        <v>3844</v>
      </c>
      <c r="C400" s="161">
        <v>78</v>
      </c>
      <c r="D400" s="18">
        <v>3191425.3562400015</v>
      </c>
      <c r="F400" s="13" t="s">
        <v>151</v>
      </c>
      <c r="G400" s="162">
        <v>78</v>
      </c>
      <c r="H400" s="44">
        <v>3191425.3562400015</v>
      </c>
      <c r="I400" s="47">
        <v>3.6380922609617394E-2</v>
      </c>
    </row>
    <row r="401" spans="1:9">
      <c r="A401" s="8" t="s">
        <v>80</v>
      </c>
      <c r="B401" s="8" t="s">
        <v>3839</v>
      </c>
      <c r="C401" s="161">
        <v>72</v>
      </c>
      <c r="D401" s="18">
        <v>2883227.9620150002</v>
      </c>
      <c r="F401" s="13" t="s">
        <v>80</v>
      </c>
      <c r="G401" s="162">
        <v>72</v>
      </c>
      <c r="H401" s="44">
        <v>2883227.9620150002</v>
      </c>
      <c r="I401" s="47">
        <v>3.2867600411477182E-2</v>
      </c>
    </row>
    <row r="402" spans="1:9">
      <c r="A402" s="8" t="s">
        <v>215</v>
      </c>
      <c r="B402" s="8" t="s">
        <v>3846</v>
      </c>
      <c r="C402" s="161">
        <v>67</v>
      </c>
      <c r="D402" s="18">
        <v>2795577.3100099997</v>
      </c>
      <c r="F402" s="13" t="s">
        <v>215</v>
      </c>
      <c r="G402" s="162">
        <v>67</v>
      </c>
      <c r="H402" s="44">
        <v>2795577.3100099997</v>
      </c>
      <c r="I402" s="47">
        <v>3.1868419408844134E-2</v>
      </c>
    </row>
    <row r="403" spans="1:9">
      <c r="A403" s="8" t="s">
        <v>235</v>
      </c>
      <c r="B403" s="8" t="s">
        <v>3848</v>
      </c>
      <c r="C403" s="161">
        <v>74</v>
      </c>
      <c r="D403" s="18">
        <v>1843190.0297249998</v>
      </c>
      <c r="F403" s="13" t="s">
        <v>235</v>
      </c>
      <c r="G403" s="162">
        <v>74</v>
      </c>
      <c r="H403" s="44">
        <v>1843190.0297249998</v>
      </c>
      <c r="I403" s="47">
        <v>2.1011600254140735E-2</v>
      </c>
    </row>
    <row r="404" spans="1:9">
      <c r="A404" s="8" t="s">
        <v>209</v>
      </c>
      <c r="B404" s="8" t="s">
        <v>3845</v>
      </c>
      <c r="C404" s="161">
        <v>69</v>
      </c>
      <c r="D404" s="18">
        <v>1037230.77423</v>
      </c>
      <c r="F404" s="13" t="s">
        <v>209</v>
      </c>
      <c r="G404" s="162">
        <v>69</v>
      </c>
      <c r="H404" s="44">
        <v>1037230.77423</v>
      </c>
      <c r="I404" s="47">
        <v>1.182399972219102E-2</v>
      </c>
    </row>
    <row r="405" spans="1:9">
      <c r="A405" s="12" t="s">
        <v>3122</v>
      </c>
      <c r="B405" s="14"/>
      <c r="C405" s="163">
        <v>1000</v>
      </c>
      <c r="D405" s="19">
        <v>87722496.498655036</v>
      </c>
      <c r="F405" s="12" t="s">
        <v>3122</v>
      </c>
      <c r="G405" s="163">
        <v>1000</v>
      </c>
      <c r="H405" s="45">
        <v>87722496.498655036</v>
      </c>
      <c r="I405" s="48">
        <v>1</v>
      </c>
    </row>
    <row r="409" spans="1:9">
      <c r="A409" s="11" t="s">
        <v>5</v>
      </c>
      <c r="B409" s="8" t="s">
        <v>3142</v>
      </c>
      <c r="C409" s="15" t="s">
        <v>3141</v>
      </c>
    </row>
    <row r="410" spans="1:9">
      <c r="A410" s="8" t="s">
        <v>152</v>
      </c>
      <c r="B410" s="161">
        <v>267</v>
      </c>
      <c r="C410" s="18">
        <v>25561272.383052509</v>
      </c>
    </row>
    <row r="411" spans="1:9">
      <c r="A411" s="13" t="s">
        <v>102</v>
      </c>
      <c r="B411" s="162">
        <v>145</v>
      </c>
      <c r="C411" s="54">
        <v>16254125.093430003</v>
      </c>
    </row>
    <row r="412" spans="1:9">
      <c r="A412" s="13" t="s">
        <v>177</v>
      </c>
      <c r="B412" s="162">
        <v>55</v>
      </c>
      <c r="C412" s="54">
        <v>13053415.056550004</v>
      </c>
    </row>
    <row r="413" spans="1:9">
      <c r="A413" s="13" t="s">
        <v>169</v>
      </c>
      <c r="B413" s="162">
        <v>51</v>
      </c>
      <c r="C413" s="54">
        <v>9744921.1633825041</v>
      </c>
    </row>
    <row r="414" spans="1:9">
      <c r="A414" s="13" t="s">
        <v>194</v>
      </c>
      <c r="B414" s="162">
        <v>77</v>
      </c>
      <c r="C414" s="54">
        <v>6122900.9380600005</v>
      </c>
    </row>
    <row r="415" spans="1:9">
      <c r="A415" s="13" t="s">
        <v>301</v>
      </c>
      <c r="B415" s="162">
        <v>67</v>
      </c>
      <c r="C415" s="54">
        <v>3992618.1281949999</v>
      </c>
    </row>
    <row r="416" spans="1:9">
      <c r="A416" s="13" t="s">
        <v>258</v>
      </c>
      <c r="B416" s="162">
        <v>63</v>
      </c>
      <c r="C416" s="54">
        <v>3811498.5393049992</v>
      </c>
    </row>
    <row r="417" spans="1:3">
      <c r="A417" s="13" t="s">
        <v>133</v>
      </c>
      <c r="B417" s="162">
        <v>60</v>
      </c>
      <c r="C417" s="54">
        <v>3358102.8853000002</v>
      </c>
    </row>
    <row r="418" spans="1:3">
      <c r="A418" s="13" t="s">
        <v>82</v>
      </c>
      <c r="B418" s="162">
        <v>71</v>
      </c>
      <c r="C418" s="54">
        <v>2874915.2730149995</v>
      </c>
    </row>
    <row r="419" spans="1:3">
      <c r="A419" s="13" t="s">
        <v>479</v>
      </c>
      <c r="B419" s="162">
        <v>71</v>
      </c>
      <c r="C419" s="54">
        <v>1834433.0083749997</v>
      </c>
    </row>
    <row r="420" spans="1:3">
      <c r="A420" s="13" t="s">
        <v>316</v>
      </c>
      <c r="B420" s="162">
        <v>70</v>
      </c>
      <c r="C420" s="54">
        <v>1110816.5084800001</v>
      </c>
    </row>
    <row r="421" spans="1:3">
      <c r="A421" s="13" t="s">
        <v>702</v>
      </c>
      <c r="B421" s="162">
        <v>3</v>
      </c>
      <c r="C421" s="54">
        <v>3477.5215099999996</v>
      </c>
    </row>
    <row r="422" spans="1:3">
      <c r="A422" s="12" t="s">
        <v>3122</v>
      </c>
      <c r="B422" s="163">
        <v>1000</v>
      </c>
      <c r="C422" s="19">
        <v>87722496.498654976</v>
      </c>
    </row>
    <row r="426" spans="1:3">
      <c r="A426" s="11" t="s">
        <v>6</v>
      </c>
      <c r="B426" s="8" t="s">
        <v>3142</v>
      </c>
      <c r="C426" s="15" t="s">
        <v>3141</v>
      </c>
    </row>
    <row r="427" spans="1:3">
      <c r="A427" s="8" t="s">
        <v>70</v>
      </c>
      <c r="B427" s="161">
        <v>128</v>
      </c>
      <c r="C427" s="18">
        <v>15600424.99639</v>
      </c>
    </row>
    <row r="428" spans="1:3">
      <c r="A428" s="13" t="s">
        <v>34</v>
      </c>
      <c r="B428" s="162">
        <v>107</v>
      </c>
      <c r="C428" s="54">
        <v>14860355.486340009</v>
      </c>
    </row>
    <row r="429" spans="1:3">
      <c r="A429" s="13" t="s">
        <v>120</v>
      </c>
      <c r="B429" s="162">
        <v>103</v>
      </c>
      <c r="C429" s="54">
        <v>12433581.862520004</v>
      </c>
    </row>
    <row r="430" spans="1:3">
      <c r="A430" s="13" t="s">
        <v>241</v>
      </c>
      <c r="B430" s="162">
        <v>109</v>
      </c>
      <c r="C430" s="54">
        <v>9988404.6270350032</v>
      </c>
    </row>
    <row r="431" spans="1:3">
      <c r="A431" s="13" t="s">
        <v>178</v>
      </c>
      <c r="B431" s="162">
        <v>99</v>
      </c>
      <c r="C431" s="54">
        <v>9756592.9437499996</v>
      </c>
    </row>
    <row r="432" spans="1:3">
      <c r="A432" s="13" t="s">
        <v>92</v>
      </c>
      <c r="B432" s="162">
        <v>107</v>
      </c>
      <c r="C432" s="54">
        <v>9407387.2521700058</v>
      </c>
    </row>
    <row r="433" spans="1:13">
      <c r="A433" s="13" t="s">
        <v>61</v>
      </c>
      <c r="B433" s="162">
        <v>108</v>
      </c>
      <c r="C433" s="54">
        <v>6615827.2961125001</v>
      </c>
    </row>
    <row r="434" spans="1:13">
      <c r="A434" s="13" t="s">
        <v>83</v>
      </c>
      <c r="B434" s="162">
        <v>113</v>
      </c>
      <c r="C434" s="54">
        <v>4545694.5508150011</v>
      </c>
    </row>
    <row r="435" spans="1:13">
      <c r="A435" s="13" t="s">
        <v>49</v>
      </c>
      <c r="B435" s="162">
        <v>126</v>
      </c>
      <c r="C435" s="54">
        <v>4514227.4835225027</v>
      </c>
    </row>
    <row r="436" spans="1:13">
      <c r="A436" s="12" t="s">
        <v>3122</v>
      </c>
      <c r="B436" s="163">
        <v>1000</v>
      </c>
      <c r="C436" s="19">
        <v>87722496.498654962</v>
      </c>
    </row>
    <row r="437" spans="1:13">
      <c r="B437" t="s">
        <v>3194</v>
      </c>
    </row>
    <row r="438" spans="1:13">
      <c r="A438" s="134"/>
      <c r="B438" s="102" t="s">
        <v>3195</v>
      </c>
    </row>
    <row r="439" spans="1:13">
      <c r="A439" s="103"/>
      <c r="D439" s="23" t="s">
        <v>3307</v>
      </c>
    </row>
    <row r="440" spans="1:13">
      <c r="A440" s="11" t="s">
        <v>3</v>
      </c>
      <c r="B440" s="11" t="s">
        <v>4</v>
      </c>
      <c r="C440" s="8" t="s">
        <v>3142</v>
      </c>
      <c r="D440" s="21" t="s">
        <v>3153</v>
      </c>
      <c r="E440" s="21" t="s">
        <v>3143</v>
      </c>
      <c r="F440" s="21" t="s">
        <v>3148</v>
      </c>
      <c r="G440" s="15" t="s">
        <v>3144</v>
      </c>
      <c r="H440" s="121" t="s">
        <v>3197</v>
      </c>
      <c r="J440" s="23" t="s">
        <v>4</v>
      </c>
      <c r="K440" s="98" t="s">
        <v>3196</v>
      </c>
      <c r="L440" s="23" t="s">
        <v>3199</v>
      </c>
      <c r="M440" s="21" t="s">
        <v>3198</v>
      </c>
    </row>
    <row r="441" spans="1:13">
      <c r="A441" s="8" t="s">
        <v>118</v>
      </c>
      <c r="B441" s="8" t="s">
        <v>3842</v>
      </c>
      <c r="C441" s="161">
        <v>65</v>
      </c>
      <c r="D441" s="172">
        <v>43800</v>
      </c>
      <c r="E441" s="172">
        <v>4159</v>
      </c>
      <c r="F441" s="49">
        <v>0.22857928002198405</v>
      </c>
      <c r="G441" s="46">
        <v>1.9275384615384614E-2</v>
      </c>
      <c r="H441" s="98">
        <f t="shared" ref="H441:H455" si="22">E441/D441</f>
        <v>9.4954337899543384E-2</v>
      </c>
      <c r="J441" s="23" t="s">
        <v>3842</v>
      </c>
      <c r="K441" s="98">
        <v>1.9275384615384614E-2</v>
      </c>
      <c r="L441" s="98">
        <f>_xlfn.XLOOKUP($J441,$B$441:$B$455,$H$441:$H$455)</f>
        <v>9.4954337899543384E-2</v>
      </c>
      <c r="M441" s="98">
        <f t="shared" ref="M441:M455" si="23">_xlfn.XLOOKUP($J441,$B$441:$B$455,$F$441:$F$455)</f>
        <v>0.22857928002198405</v>
      </c>
    </row>
    <row r="442" spans="1:13">
      <c r="A442" s="8" t="s">
        <v>162</v>
      </c>
      <c r="B442" s="8" t="s">
        <v>3847</v>
      </c>
      <c r="C442" s="161">
        <v>59</v>
      </c>
      <c r="D442" s="172">
        <v>45600</v>
      </c>
      <c r="E442" s="172">
        <v>1543</v>
      </c>
      <c r="F442" s="49">
        <v>8.4803517449848861E-2</v>
      </c>
      <c r="G442" s="46">
        <v>1.690847457627119E-2</v>
      </c>
      <c r="H442" s="98">
        <f t="shared" si="22"/>
        <v>3.3837719298245611E-2</v>
      </c>
      <c r="J442" s="23" t="s">
        <v>3847</v>
      </c>
      <c r="K442" s="98">
        <v>1.690847457627119E-2</v>
      </c>
      <c r="L442" s="98">
        <f t="shared" ref="L442:L455" si="24">_xlfn.XLOOKUP($J442,$B$441:$B$455,$H$441:$H$455)</f>
        <v>3.3837719298245611E-2</v>
      </c>
      <c r="M442" s="98">
        <f t="shared" si="23"/>
        <v>8.4803517449848861E-2</v>
      </c>
    </row>
    <row r="443" spans="1:13">
      <c r="A443" s="8" t="s">
        <v>69</v>
      </c>
      <c r="B443" s="8" t="s">
        <v>3838</v>
      </c>
      <c r="C443" s="161">
        <v>77</v>
      </c>
      <c r="D443" s="172">
        <v>41200</v>
      </c>
      <c r="E443" s="172">
        <v>1284</v>
      </c>
      <c r="F443" s="49">
        <v>7.0568837592745265E-2</v>
      </c>
      <c r="G443" s="46">
        <v>2.9802597402597414E-2</v>
      </c>
      <c r="H443" s="98">
        <f t="shared" si="22"/>
        <v>3.116504854368932E-2</v>
      </c>
      <c r="J443" s="23" t="s">
        <v>3838</v>
      </c>
      <c r="K443" s="98">
        <v>2.9802597402597414E-2</v>
      </c>
      <c r="L443" s="98">
        <f t="shared" si="24"/>
        <v>3.116504854368932E-2</v>
      </c>
      <c r="M443" s="98">
        <f t="shared" si="23"/>
        <v>7.0568837592745265E-2</v>
      </c>
    </row>
    <row r="444" spans="1:13">
      <c r="A444" s="8" t="s">
        <v>32</v>
      </c>
      <c r="B444" s="8" t="s">
        <v>3835</v>
      </c>
      <c r="C444" s="161">
        <v>55</v>
      </c>
      <c r="D444" s="172">
        <v>26875</v>
      </c>
      <c r="E444" s="172">
        <v>1206</v>
      </c>
      <c r="F444" s="49">
        <v>6.6281945589447652E-2</v>
      </c>
      <c r="G444" s="46">
        <v>3.9534545454545461E-2</v>
      </c>
      <c r="H444" s="98">
        <f t="shared" si="22"/>
        <v>4.4874418604651162E-2</v>
      </c>
      <c r="J444" s="23" t="s">
        <v>3835</v>
      </c>
      <c r="K444" s="98">
        <v>3.9534545454545461E-2</v>
      </c>
      <c r="L444" s="98">
        <f t="shared" si="24"/>
        <v>4.4874418604651162E-2</v>
      </c>
      <c r="M444" s="98">
        <f t="shared" si="23"/>
        <v>6.6281945589447652E-2</v>
      </c>
    </row>
    <row r="445" spans="1:13">
      <c r="A445" s="8" t="s">
        <v>256</v>
      </c>
      <c r="B445" s="8" t="s">
        <v>3849</v>
      </c>
      <c r="C445" s="161">
        <v>63</v>
      </c>
      <c r="D445" s="172">
        <v>31725</v>
      </c>
      <c r="E445" s="172">
        <v>1164</v>
      </c>
      <c r="F445" s="49">
        <v>6.3973619126133557E-2</v>
      </c>
      <c r="G445" s="46">
        <v>4.0217460317460325E-2</v>
      </c>
      <c r="H445" s="98">
        <f t="shared" si="22"/>
        <v>3.6690307328605204E-2</v>
      </c>
      <c r="J445" s="23" t="s">
        <v>3849</v>
      </c>
      <c r="K445" s="98">
        <v>4.0217460317460325E-2</v>
      </c>
      <c r="L445" s="98">
        <f t="shared" si="24"/>
        <v>3.6690307328605204E-2</v>
      </c>
      <c r="M445" s="98">
        <f t="shared" si="23"/>
        <v>6.3973619126133557E-2</v>
      </c>
    </row>
    <row r="446" spans="1:13">
      <c r="A446" s="8" t="s">
        <v>100</v>
      </c>
      <c r="B446" s="8" t="s">
        <v>3841</v>
      </c>
      <c r="C446" s="161">
        <v>76</v>
      </c>
      <c r="D446" s="172">
        <v>38525</v>
      </c>
      <c r="E446" s="172">
        <v>1146</v>
      </c>
      <c r="F446" s="49">
        <v>6.2984336356141798E-2</v>
      </c>
      <c r="G446" s="46">
        <v>2.4989473684210541E-2</v>
      </c>
      <c r="H446" s="98">
        <f t="shared" si="22"/>
        <v>2.9746917585983128E-2</v>
      </c>
      <c r="J446" s="23" t="s">
        <v>3841</v>
      </c>
      <c r="K446" s="98">
        <v>2.4989473684210541E-2</v>
      </c>
      <c r="L446" s="98">
        <f t="shared" si="24"/>
        <v>2.9746917585983128E-2</v>
      </c>
      <c r="M446" s="98">
        <f t="shared" si="23"/>
        <v>6.2984336356141798E-2</v>
      </c>
    </row>
    <row r="447" spans="1:13">
      <c r="A447" s="8" t="s">
        <v>235</v>
      </c>
      <c r="B447" s="8" t="s">
        <v>3848</v>
      </c>
      <c r="C447" s="161">
        <v>74</v>
      </c>
      <c r="D447" s="172">
        <v>35875</v>
      </c>
      <c r="E447" s="172">
        <v>1079</v>
      </c>
      <c r="F447" s="49">
        <v>5.9302006045616924E-2</v>
      </c>
      <c r="G447" s="46">
        <v>2.9379729729729739E-2</v>
      </c>
      <c r="H447" s="98">
        <f t="shared" si="22"/>
        <v>3.0076655052264808E-2</v>
      </c>
      <c r="J447" s="23" t="s">
        <v>3848</v>
      </c>
      <c r="K447" s="98">
        <v>2.9379729729729739E-2</v>
      </c>
      <c r="L447" s="98">
        <f t="shared" si="24"/>
        <v>3.0076655052264808E-2</v>
      </c>
      <c r="M447" s="98">
        <f t="shared" si="23"/>
        <v>5.9302006045616924E-2</v>
      </c>
    </row>
    <row r="448" spans="1:13">
      <c r="A448" s="8" t="s">
        <v>80</v>
      </c>
      <c r="B448" s="8" t="s">
        <v>3839</v>
      </c>
      <c r="C448" s="161">
        <v>72</v>
      </c>
      <c r="D448" s="172">
        <v>32650</v>
      </c>
      <c r="E448" s="172">
        <v>1030</v>
      </c>
      <c r="F448" s="49">
        <v>5.6608958505083816E-2</v>
      </c>
      <c r="G448" s="46">
        <v>1.6555555555555559E-2</v>
      </c>
      <c r="H448" s="98">
        <f t="shared" si="22"/>
        <v>3.1546707503828486E-2</v>
      </c>
      <c r="J448" s="23" t="s">
        <v>3839</v>
      </c>
      <c r="K448" s="98">
        <v>1.6555555555555559E-2</v>
      </c>
      <c r="L448" s="98">
        <f t="shared" si="24"/>
        <v>3.1546707503828486E-2</v>
      </c>
      <c r="M448" s="98">
        <f t="shared" si="23"/>
        <v>5.6608958505083816E-2</v>
      </c>
    </row>
    <row r="449" spans="1:13">
      <c r="A449" s="8" t="s">
        <v>209</v>
      </c>
      <c r="B449" s="8" t="s">
        <v>3845</v>
      </c>
      <c r="C449" s="161">
        <v>69</v>
      </c>
      <c r="D449" s="172">
        <v>33625</v>
      </c>
      <c r="E449" s="172">
        <v>1008</v>
      </c>
      <c r="F449" s="49">
        <v>5.5399835119538332E-2</v>
      </c>
      <c r="G449" s="46">
        <v>2.7650724637681166E-2</v>
      </c>
      <c r="H449" s="98">
        <f t="shared" si="22"/>
        <v>2.9977695167286246E-2</v>
      </c>
      <c r="J449" s="23" t="s">
        <v>3845</v>
      </c>
      <c r="K449" s="98">
        <v>2.7650724637681166E-2</v>
      </c>
      <c r="L449" s="98">
        <f t="shared" si="24"/>
        <v>2.9977695167286246E-2</v>
      </c>
      <c r="M449" s="98">
        <f t="shared" si="23"/>
        <v>5.5399835119538332E-2</v>
      </c>
    </row>
    <row r="450" spans="1:13">
      <c r="A450" s="8" t="s">
        <v>90</v>
      </c>
      <c r="B450" s="8" t="s">
        <v>3840</v>
      </c>
      <c r="C450" s="161">
        <v>61</v>
      </c>
      <c r="D450" s="172">
        <v>34275</v>
      </c>
      <c r="E450" s="172">
        <v>993</v>
      </c>
      <c r="F450" s="49">
        <v>5.4575432811211869E-2</v>
      </c>
      <c r="G450" s="46">
        <v>3.3906557377049187E-2</v>
      </c>
      <c r="H450" s="98">
        <f t="shared" si="22"/>
        <v>2.8971553610503284E-2</v>
      </c>
      <c r="J450" s="23" t="s">
        <v>3840</v>
      </c>
      <c r="K450" s="98">
        <v>3.3906557377049187E-2</v>
      </c>
      <c r="L450" s="98">
        <f t="shared" si="24"/>
        <v>2.8971553610503284E-2</v>
      </c>
      <c r="M450" s="98">
        <f t="shared" si="23"/>
        <v>5.4575432811211869E-2</v>
      </c>
    </row>
    <row r="451" spans="1:13">
      <c r="A451" s="8" t="s">
        <v>48</v>
      </c>
      <c r="B451" s="8" t="s">
        <v>3836</v>
      </c>
      <c r="C451" s="161">
        <v>67</v>
      </c>
      <c r="D451" s="172">
        <v>39050</v>
      </c>
      <c r="E451" s="172">
        <v>958</v>
      </c>
      <c r="F451" s="49">
        <v>5.2651827425116787E-2</v>
      </c>
      <c r="G451" s="46">
        <v>2.8371641791044781E-2</v>
      </c>
      <c r="H451" s="98">
        <f t="shared" si="22"/>
        <v>2.4532650448143407E-2</v>
      </c>
      <c r="J451" s="23" t="s">
        <v>3836</v>
      </c>
      <c r="K451" s="98">
        <v>2.8371641791044781E-2</v>
      </c>
      <c r="L451" s="98">
        <f t="shared" si="24"/>
        <v>2.4532650448143407E-2</v>
      </c>
      <c r="M451" s="98">
        <f t="shared" si="23"/>
        <v>5.2651827425116787E-2</v>
      </c>
    </row>
    <row r="452" spans="1:13">
      <c r="A452" s="8" t="s">
        <v>60</v>
      </c>
      <c r="B452" s="8" t="s">
        <v>3837</v>
      </c>
      <c r="C452" s="161">
        <v>64</v>
      </c>
      <c r="D452" s="172">
        <v>33100</v>
      </c>
      <c r="E452" s="172">
        <v>757</v>
      </c>
      <c r="F452" s="49">
        <v>4.1604836493542179E-2</v>
      </c>
      <c r="G452" s="46">
        <v>2.3195312499999999E-2</v>
      </c>
      <c r="H452" s="98">
        <f t="shared" si="22"/>
        <v>2.2870090634441089E-2</v>
      </c>
      <c r="J452" s="23" t="s">
        <v>3837</v>
      </c>
      <c r="K452" s="98">
        <v>2.3195312499999999E-2</v>
      </c>
      <c r="L452" s="98">
        <f t="shared" si="24"/>
        <v>2.2870090634441089E-2</v>
      </c>
      <c r="M452" s="98">
        <f t="shared" si="23"/>
        <v>4.1604836493542179E-2</v>
      </c>
    </row>
    <row r="453" spans="1:13">
      <c r="A453" s="8" t="s">
        <v>215</v>
      </c>
      <c r="B453" s="8" t="s">
        <v>3846</v>
      </c>
      <c r="C453" s="161">
        <v>67</v>
      </c>
      <c r="D453" s="172">
        <v>41975</v>
      </c>
      <c r="E453" s="172">
        <v>741</v>
      </c>
      <c r="F453" s="49">
        <v>4.0725474031327286E-2</v>
      </c>
      <c r="G453" s="46">
        <v>2.2116417910447772E-2</v>
      </c>
      <c r="H453" s="98">
        <f t="shared" si="22"/>
        <v>1.7653365098272783E-2</v>
      </c>
      <c r="J453" s="23" t="s">
        <v>3846</v>
      </c>
      <c r="K453" s="98">
        <v>2.2116417910447772E-2</v>
      </c>
      <c r="L453" s="98">
        <f t="shared" si="24"/>
        <v>1.7653365098272783E-2</v>
      </c>
      <c r="M453" s="98">
        <f t="shared" si="23"/>
        <v>4.0725474031327286E-2</v>
      </c>
    </row>
    <row r="454" spans="1:13">
      <c r="A454" s="8" t="s">
        <v>142</v>
      </c>
      <c r="B454" s="8" t="s">
        <v>3843</v>
      </c>
      <c r="C454" s="161">
        <v>53</v>
      </c>
      <c r="D454" s="172">
        <v>23300</v>
      </c>
      <c r="E454" s="172">
        <v>617</v>
      </c>
      <c r="F454" s="49">
        <v>3.391041494916186E-2</v>
      </c>
      <c r="G454" s="46">
        <v>1.8926415094339632E-2</v>
      </c>
      <c r="H454" s="98">
        <f t="shared" si="22"/>
        <v>2.648068669527897E-2</v>
      </c>
      <c r="J454" s="23" t="s">
        <v>3843</v>
      </c>
      <c r="K454" s="98">
        <v>1.8926415094339632E-2</v>
      </c>
      <c r="L454" s="98">
        <f t="shared" si="24"/>
        <v>2.648068669527897E-2</v>
      </c>
      <c r="M454" s="98">
        <f t="shared" si="23"/>
        <v>3.391041494916186E-2</v>
      </c>
    </row>
    <row r="455" spans="1:13">
      <c r="A455" s="8" t="s">
        <v>151</v>
      </c>
      <c r="B455" s="8" t="s">
        <v>3844</v>
      </c>
      <c r="C455" s="161">
        <v>78</v>
      </c>
      <c r="D455" s="172">
        <v>46800</v>
      </c>
      <c r="E455" s="172">
        <v>510</v>
      </c>
      <c r="F455" s="49">
        <v>2.8029678483099753E-2</v>
      </c>
      <c r="G455" s="46">
        <v>1.1247435897435902E-2</v>
      </c>
      <c r="H455" s="98">
        <f t="shared" si="22"/>
        <v>1.0897435897435897E-2</v>
      </c>
      <c r="J455" s="23" t="s">
        <v>3844</v>
      </c>
      <c r="K455" s="98">
        <v>1.1247435897435902E-2</v>
      </c>
      <c r="L455" s="98">
        <f t="shared" si="24"/>
        <v>1.0897435897435897E-2</v>
      </c>
      <c r="M455" s="98">
        <f t="shared" si="23"/>
        <v>2.8029678483099753E-2</v>
      </c>
    </row>
    <row r="456" spans="1:13">
      <c r="A456" s="12" t="s">
        <v>3122</v>
      </c>
      <c r="B456" s="14"/>
      <c r="C456" s="163">
        <v>1000</v>
      </c>
      <c r="D456" s="173">
        <v>548375</v>
      </c>
      <c r="E456" s="173">
        <v>18195</v>
      </c>
      <c r="F456" s="50">
        <v>1</v>
      </c>
      <c r="G456" s="48">
        <v>2.5242499999999949E-2</v>
      </c>
    </row>
    <row r="461" spans="1:13">
      <c r="A461" s="103"/>
      <c r="B461" s="23" t="s">
        <v>3193</v>
      </c>
      <c r="I461" s="121">
        <v>46800</v>
      </c>
    </row>
    <row r="462" spans="1:13">
      <c r="A462" s="11" t="s">
        <v>3</v>
      </c>
      <c r="B462" s="11" t="s">
        <v>4</v>
      </c>
      <c r="C462" s="8" t="s">
        <v>3153</v>
      </c>
      <c r="D462" s="21" t="s">
        <v>3143</v>
      </c>
      <c r="E462" s="21" t="s">
        <v>3142</v>
      </c>
      <c r="F462" s="21" t="s">
        <v>3154</v>
      </c>
      <c r="G462" s="144" t="s">
        <v>3148</v>
      </c>
      <c r="H462"/>
      <c r="I462" s="121">
        <v>45600</v>
      </c>
    </row>
    <row r="463" spans="1:13">
      <c r="A463" s="8" t="s">
        <v>118</v>
      </c>
      <c r="B463" s="8" t="s">
        <v>3842</v>
      </c>
      <c r="C463" s="161">
        <v>43800</v>
      </c>
      <c r="D463" s="172">
        <v>4159</v>
      </c>
      <c r="E463" s="172">
        <v>65</v>
      </c>
      <c r="F463" s="49">
        <v>9.4954337899543384E-2</v>
      </c>
      <c r="G463" s="46">
        <v>0.22857928002198405</v>
      </c>
      <c r="H463"/>
      <c r="I463" s="121">
        <v>43800</v>
      </c>
    </row>
    <row r="464" spans="1:13">
      <c r="A464" s="8" t="s">
        <v>162</v>
      </c>
      <c r="B464" s="8" t="s">
        <v>3847</v>
      </c>
      <c r="C464" s="161">
        <v>45600</v>
      </c>
      <c r="D464" s="172">
        <v>1543</v>
      </c>
      <c r="E464" s="172">
        <v>59</v>
      </c>
      <c r="F464" s="49">
        <v>3.3837719298245611E-2</v>
      </c>
      <c r="G464" s="46">
        <v>8.4803517449848861E-2</v>
      </c>
      <c r="H464"/>
      <c r="I464" s="121">
        <v>41975</v>
      </c>
    </row>
    <row r="465" spans="1:9">
      <c r="A465" s="8" t="s">
        <v>69</v>
      </c>
      <c r="B465" s="8" t="s">
        <v>3838</v>
      </c>
      <c r="C465" s="161">
        <v>41200</v>
      </c>
      <c r="D465" s="172">
        <v>1284</v>
      </c>
      <c r="E465" s="172">
        <v>77</v>
      </c>
      <c r="F465" s="49">
        <v>3.116504854368932E-2</v>
      </c>
      <c r="G465" s="46">
        <v>7.0568837592745265E-2</v>
      </c>
      <c r="H465"/>
      <c r="I465" s="121">
        <v>41200</v>
      </c>
    </row>
    <row r="466" spans="1:9">
      <c r="A466" s="8" t="s">
        <v>32</v>
      </c>
      <c r="B466" s="8" t="s">
        <v>3835</v>
      </c>
      <c r="C466" s="161">
        <v>26875</v>
      </c>
      <c r="D466" s="172">
        <v>1206</v>
      </c>
      <c r="E466" s="172">
        <v>55</v>
      </c>
      <c r="F466" s="49">
        <v>4.4874418604651162E-2</v>
      </c>
      <c r="G466" s="46">
        <v>6.6281945589447652E-2</v>
      </c>
      <c r="H466"/>
      <c r="I466" s="121">
        <v>39050</v>
      </c>
    </row>
    <row r="467" spans="1:9">
      <c r="A467" s="8" t="s">
        <v>256</v>
      </c>
      <c r="B467" s="8" t="s">
        <v>3849</v>
      </c>
      <c r="C467" s="161">
        <v>31725</v>
      </c>
      <c r="D467" s="172">
        <v>1164</v>
      </c>
      <c r="E467" s="172">
        <v>63</v>
      </c>
      <c r="F467" s="49">
        <v>3.6690307328605204E-2</v>
      </c>
      <c r="G467" s="46">
        <v>6.3973619126133557E-2</v>
      </c>
      <c r="H467"/>
      <c r="I467" s="121">
        <v>38525</v>
      </c>
    </row>
    <row r="468" spans="1:9">
      <c r="A468" s="8" t="s">
        <v>100</v>
      </c>
      <c r="B468" s="8" t="s">
        <v>3841</v>
      </c>
      <c r="C468" s="161">
        <v>38525</v>
      </c>
      <c r="D468" s="172">
        <v>1146</v>
      </c>
      <c r="E468" s="172">
        <v>76</v>
      </c>
      <c r="F468" s="49">
        <v>2.9746917585983128E-2</v>
      </c>
      <c r="G468" s="46">
        <v>6.2984336356141798E-2</v>
      </c>
      <c r="H468"/>
      <c r="I468" s="121">
        <v>35875</v>
      </c>
    </row>
    <row r="469" spans="1:9">
      <c r="A469" s="8" t="s">
        <v>235</v>
      </c>
      <c r="B469" s="8" t="s">
        <v>3848</v>
      </c>
      <c r="C469" s="161">
        <v>35875</v>
      </c>
      <c r="D469" s="172">
        <v>1079</v>
      </c>
      <c r="E469" s="172">
        <v>74</v>
      </c>
      <c r="F469" s="49">
        <v>3.0076655052264808E-2</v>
      </c>
      <c r="G469" s="46">
        <v>5.9302006045616924E-2</v>
      </c>
      <c r="H469"/>
      <c r="I469" s="121">
        <v>34275</v>
      </c>
    </row>
    <row r="470" spans="1:9">
      <c r="A470" s="8" t="s">
        <v>80</v>
      </c>
      <c r="B470" s="8" t="s">
        <v>3839</v>
      </c>
      <c r="C470" s="161">
        <v>32650</v>
      </c>
      <c r="D470" s="172">
        <v>1030</v>
      </c>
      <c r="E470" s="172">
        <v>72</v>
      </c>
      <c r="F470" s="49">
        <v>3.1546707503828486E-2</v>
      </c>
      <c r="G470" s="46">
        <v>5.6608958505083816E-2</v>
      </c>
      <c r="H470"/>
      <c r="I470" s="121">
        <v>33625</v>
      </c>
    </row>
    <row r="471" spans="1:9">
      <c r="A471" s="8" t="s">
        <v>209</v>
      </c>
      <c r="B471" s="8" t="s">
        <v>3845</v>
      </c>
      <c r="C471" s="161">
        <v>33625</v>
      </c>
      <c r="D471" s="172">
        <v>1008</v>
      </c>
      <c r="E471" s="172">
        <v>69</v>
      </c>
      <c r="F471" s="49">
        <v>2.9977695167286246E-2</v>
      </c>
      <c r="G471" s="46">
        <v>5.5399835119538332E-2</v>
      </c>
      <c r="H471"/>
      <c r="I471" s="121">
        <v>33100</v>
      </c>
    </row>
    <row r="472" spans="1:9">
      <c r="A472" s="8" t="s">
        <v>90</v>
      </c>
      <c r="B472" s="8" t="s">
        <v>3840</v>
      </c>
      <c r="C472" s="161">
        <v>34275</v>
      </c>
      <c r="D472" s="172">
        <v>993</v>
      </c>
      <c r="E472" s="172">
        <v>61</v>
      </c>
      <c r="F472" s="49">
        <v>2.8971553610503284E-2</v>
      </c>
      <c r="G472" s="46">
        <v>5.4575432811211869E-2</v>
      </c>
      <c r="H472"/>
      <c r="I472" s="121">
        <v>32650</v>
      </c>
    </row>
    <row r="473" spans="1:9">
      <c r="A473" s="8" t="s">
        <v>48</v>
      </c>
      <c r="B473" s="8" t="s">
        <v>3836</v>
      </c>
      <c r="C473" s="161">
        <v>39050</v>
      </c>
      <c r="D473" s="172">
        <v>958</v>
      </c>
      <c r="E473" s="172">
        <v>67</v>
      </c>
      <c r="F473" s="49">
        <v>2.4532650448143407E-2</v>
      </c>
      <c r="G473" s="46">
        <v>5.2651827425116787E-2</v>
      </c>
      <c r="H473"/>
      <c r="I473" s="121">
        <v>31725</v>
      </c>
    </row>
    <row r="474" spans="1:9">
      <c r="A474" s="8" t="s">
        <v>60</v>
      </c>
      <c r="B474" s="8" t="s">
        <v>3837</v>
      </c>
      <c r="C474" s="161">
        <v>33100</v>
      </c>
      <c r="D474" s="172">
        <v>757</v>
      </c>
      <c r="E474" s="172">
        <v>64</v>
      </c>
      <c r="F474" s="49">
        <v>2.2870090634441089E-2</v>
      </c>
      <c r="G474" s="46">
        <v>4.1604836493542179E-2</v>
      </c>
      <c r="H474"/>
      <c r="I474" s="121">
        <v>26875</v>
      </c>
    </row>
    <row r="475" spans="1:9">
      <c r="A475" s="8" t="s">
        <v>215</v>
      </c>
      <c r="B475" s="8" t="s">
        <v>3846</v>
      </c>
      <c r="C475" s="161">
        <v>41975</v>
      </c>
      <c r="D475" s="172">
        <v>741</v>
      </c>
      <c r="E475" s="172">
        <v>67</v>
      </c>
      <c r="F475" s="49">
        <v>1.7653365098272783E-2</v>
      </c>
      <c r="G475" s="46">
        <v>4.0725474031327286E-2</v>
      </c>
      <c r="H475"/>
      <c r="I475" s="121">
        <v>23300</v>
      </c>
    </row>
    <row r="476" spans="1:9">
      <c r="A476" s="8" t="s">
        <v>142</v>
      </c>
      <c r="B476" s="8" t="s">
        <v>3843</v>
      </c>
      <c r="C476" s="161">
        <v>23300</v>
      </c>
      <c r="D476" s="172">
        <v>617</v>
      </c>
      <c r="E476" s="172">
        <v>53</v>
      </c>
      <c r="F476" s="49">
        <v>2.648068669527897E-2</v>
      </c>
      <c r="G476" s="46">
        <v>3.391041494916186E-2</v>
      </c>
      <c r="H476" t="s">
        <v>3308</v>
      </c>
    </row>
    <row r="477" spans="1:9">
      <c r="A477" s="8" t="s">
        <v>151</v>
      </c>
      <c r="B477" s="8" t="s">
        <v>3844</v>
      </c>
      <c r="C477" s="161">
        <v>46800</v>
      </c>
      <c r="D477" s="172">
        <v>510</v>
      </c>
      <c r="E477" s="172">
        <v>78</v>
      </c>
      <c r="F477" s="49">
        <v>1.0897435897435897E-2</v>
      </c>
      <c r="G477" s="46">
        <v>2.8029678483099753E-2</v>
      </c>
      <c r="H477" t="s">
        <v>3309</v>
      </c>
    </row>
    <row r="478" spans="1:9">
      <c r="A478" s="12" t="s">
        <v>3122</v>
      </c>
      <c r="B478" s="14"/>
      <c r="C478" s="163">
        <v>548375</v>
      </c>
      <c r="D478" s="173">
        <v>18195</v>
      </c>
      <c r="E478" s="173">
        <v>1000</v>
      </c>
      <c r="F478" s="50">
        <v>3.3179849555504903E-2</v>
      </c>
      <c r="G478" s="48">
        <v>1</v>
      </c>
      <c r="H478"/>
    </row>
    <row r="482" spans="1:7">
      <c r="B482" s="155" t="s">
        <v>3313</v>
      </c>
    </row>
    <row r="484" spans="1:7">
      <c r="A484" s="103"/>
    </row>
    <row r="485" spans="1:7">
      <c r="A485" s="11" t="s">
        <v>3</v>
      </c>
      <c r="B485" s="11" t="s">
        <v>4</v>
      </c>
      <c r="C485" s="8" t="s">
        <v>3142</v>
      </c>
      <c r="D485" s="21" t="s">
        <v>3145</v>
      </c>
      <c r="E485" s="15" t="s">
        <v>3146</v>
      </c>
    </row>
    <row r="486" spans="1:7">
      <c r="A486" s="8" t="s">
        <v>209</v>
      </c>
      <c r="B486" s="8" t="s">
        <v>3845</v>
      </c>
      <c r="C486" s="161">
        <v>69</v>
      </c>
      <c r="D486" s="172">
        <v>200</v>
      </c>
      <c r="E486" s="16">
        <v>2.9850746268656718</v>
      </c>
    </row>
    <row r="487" spans="1:7">
      <c r="A487" s="8" t="s">
        <v>48</v>
      </c>
      <c r="B487" s="8" t="s">
        <v>3836</v>
      </c>
      <c r="C487" s="161">
        <v>67</v>
      </c>
      <c r="D487" s="172">
        <v>198</v>
      </c>
      <c r="E487" s="16">
        <v>2.955223880597015</v>
      </c>
    </row>
    <row r="488" spans="1:7">
      <c r="A488" s="8" t="s">
        <v>162</v>
      </c>
      <c r="B488" s="8" t="s">
        <v>3847</v>
      </c>
      <c r="C488" s="161">
        <v>59</v>
      </c>
      <c r="D488" s="172">
        <v>166</v>
      </c>
      <c r="E488" s="16">
        <v>2.8620689655172415</v>
      </c>
      <c r="G488" s="23" t="s">
        <v>3155</v>
      </c>
    </row>
    <row r="489" spans="1:7">
      <c r="A489" s="8" t="s">
        <v>118</v>
      </c>
      <c r="B489" s="8" t="s">
        <v>3842</v>
      </c>
      <c r="C489" s="161">
        <v>65</v>
      </c>
      <c r="D489" s="172">
        <v>137</v>
      </c>
      <c r="E489" s="16">
        <v>2.140625</v>
      </c>
    </row>
    <row r="490" spans="1:7">
      <c r="A490" s="8" t="s">
        <v>80</v>
      </c>
      <c r="B490" s="8" t="s">
        <v>3839</v>
      </c>
      <c r="C490" s="161">
        <v>72</v>
      </c>
      <c r="D490" s="172">
        <v>139</v>
      </c>
      <c r="E490" s="16">
        <v>2.0441176470588234</v>
      </c>
    </row>
    <row r="491" spans="1:7">
      <c r="A491" s="8" t="s">
        <v>69</v>
      </c>
      <c r="B491" s="8" t="s">
        <v>3838</v>
      </c>
      <c r="C491" s="161">
        <v>77</v>
      </c>
      <c r="D491" s="172">
        <v>141</v>
      </c>
      <c r="E491" s="16">
        <v>1.9583333333333333</v>
      </c>
    </row>
    <row r="492" spans="1:7">
      <c r="A492" s="8" t="s">
        <v>60</v>
      </c>
      <c r="B492" s="8" t="s">
        <v>3837</v>
      </c>
      <c r="C492" s="161">
        <v>64</v>
      </c>
      <c r="D492" s="172">
        <v>123</v>
      </c>
      <c r="E492" s="16">
        <v>1.9523809523809523</v>
      </c>
    </row>
    <row r="493" spans="1:7">
      <c r="A493" s="8" t="s">
        <v>100</v>
      </c>
      <c r="B493" s="8" t="s">
        <v>3841</v>
      </c>
      <c r="C493" s="161">
        <v>76</v>
      </c>
      <c r="D493" s="172">
        <v>137</v>
      </c>
      <c r="E493" s="16">
        <v>1.8767123287671232</v>
      </c>
    </row>
    <row r="494" spans="1:7">
      <c r="A494" s="8" t="s">
        <v>90</v>
      </c>
      <c r="B494" s="8" t="s">
        <v>3840</v>
      </c>
      <c r="C494" s="161">
        <v>61</v>
      </c>
      <c r="D494" s="172">
        <v>114</v>
      </c>
      <c r="E494" s="16">
        <v>1.8688524590163935</v>
      </c>
    </row>
    <row r="495" spans="1:7">
      <c r="A495" s="8" t="s">
        <v>142</v>
      </c>
      <c r="B495" s="8" t="s">
        <v>3843</v>
      </c>
      <c r="C495" s="161">
        <v>53</v>
      </c>
      <c r="D495" s="172">
        <v>96</v>
      </c>
      <c r="E495" s="16">
        <v>1.8461538461538463</v>
      </c>
    </row>
    <row r="496" spans="1:7">
      <c r="A496" s="8" t="s">
        <v>151</v>
      </c>
      <c r="B496" s="8" t="s">
        <v>3844</v>
      </c>
      <c r="C496" s="161">
        <v>78</v>
      </c>
      <c r="D496" s="172">
        <v>131</v>
      </c>
      <c r="E496" s="16">
        <v>1.8450704225352113</v>
      </c>
    </row>
    <row r="497" spans="1:10">
      <c r="A497" s="8" t="s">
        <v>215</v>
      </c>
      <c r="B497" s="8" t="s">
        <v>3846</v>
      </c>
      <c r="C497" s="161">
        <v>67</v>
      </c>
      <c r="D497" s="172">
        <v>115</v>
      </c>
      <c r="E497" s="16">
        <v>1.7424242424242424</v>
      </c>
    </row>
    <row r="498" spans="1:10">
      <c r="A498" s="8" t="s">
        <v>256</v>
      </c>
      <c r="B498" s="8" t="s">
        <v>3849</v>
      </c>
      <c r="C498" s="161">
        <v>63</v>
      </c>
      <c r="D498" s="172">
        <v>97</v>
      </c>
      <c r="E498" s="16">
        <v>1.6440677966101696</v>
      </c>
    </row>
    <row r="499" spans="1:10">
      <c r="A499" s="8" t="s">
        <v>235</v>
      </c>
      <c r="B499" s="8" t="s">
        <v>3848</v>
      </c>
      <c r="C499" s="161">
        <v>74</v>
      </c>
      <c r="D499" s="172">
        <v>101</v>
      </c>
      <c r="E499" s="16">
        <v>1.4027777777777777</v>
      </c>
    </row>
    <row r="500" spans="1:10">
      <c r="A500" s="8" t="s">
        <v>32</v>
      </c>
      <c r="B500" s="8" t="s">
        <v>3835</v>
      </c>
      <c r="C500" s="161">
        <v>55</v>
      </c>
      <c r="D500" s="172">
        <v>58</v>
      </c>
      <c r="E500" s="16">
        <v>1.1372549019607843</v>
      </c>
    </row>
    <row r="501" spans="1:10">
      <c r="A501" s="12" t="s">
        <v>3122</v>
      </c>
      <c r="B501" s="14"/>
      <c r="C501" s="163">
        <v>1000</v>
      </c>
      <c r="D501" s="173">
        <v>1953</v>
      </c>
      <c r="E501" s="17">
        <v>2.0259336099585061</v>
      </c>
    </row>
    <row r="507" spans="1:10">
      <c r="A507" s="11" t="s">
        <v>3145</v>
      </c>
      <c r="B507" s="9"/>
      <c r="C507" s="11" t="s">
        <v>7</v>
      </c>
      <c r="D507" s="9"/>
      <c r="E507" s="9"/>
      <c r="F507" s="9"/>
      <c r="G507" s="9"/>
      <c r="H507" s="9"/>
      <c r="I507" s="9"/>
      <c r="J507" s="20"/>
    </row>
    <row r="508" spans="1:10">
      <c r="A508" s="11" t="s">
        <v>3</v>
      </c>
      <c r="B508" s="11" t="s">
        <v>4</v>
      </c>
      <c r="C508" s="8" t="s">
        <v>50</v>
      </c>
      <c r="D508" s="21" t="s">
        <v>62</v>
      </c>
      <c r="E508" s="21" t="s">
        <v>35</v>
      </c>
      <c r="F508" s="21" t="s">
        <v>163</v>
      </c>
      <c r="G508" s="21" t="s">
        <v>112</v>
      </c>
      <c r="H508" s="21" t="s">
        <v>153</v>
      </c>
      <c r="I508" s="21" t="s">
        <v>71</v>
      </c>
      <c r="J508" s="53" t="s">
        <v>3122</v>
      </c>
    </row>
    <row r="509" spans="1:10">
      <c r="A509" s="8" t="s">
        <v>162</v>
      </c>
      <c r="B509" s="8" t="s">
        <v>3847</v>
      </c>
      <c r="C509" s="164">
        <v>4</v>
      </c>
      <c r="D509" s="174">
        <v>2</v>
      </c>
      <c r="E509" s="174">
        <v>17</v>
      </c>
      <c r="F509" s="174">
        <v>133</v>
      </c>
      <c r="G509" s="174"/>
      <c r="H509" s="174">
        <v>1</v>
      </c>
      <c r="I509" s="174">
        <v>9</v>
      </c>
      <c r="J509" s="175">
        <v>166</v>
      </c>
    </row>
    <row r="510" spans="1:10">
      <c r="A510" s="8" t="s">
        <v>100</v>
      </c>
      <c r="B510" s="8" t="s">
        <v>3841</v>
      </c>
      <c r="C510" s="164">
        <v>90</v>
      </c>
      <c r="D510" s="174">
        <v>7</v>
      </c>
      <c r="E510" s="174">
        <v>5</v>
      </c>
      <c r="F510" s="174"/>
      <c r="G510" s="174">
        <v>20</v>
      </c>
      <c r="H510" s="174">
        <v>15</v>
      </c>
      <c r="I510" s="174"/>
      <c r="J510" s="175">
        <v>137</v>
      </c>
    </row>
    <row r="511" spans="1:10">
      <c r="A511" s="8" t="s">
        <v>151</v>
      </c>
      <c r="B511" s="8" t="s">
        <v>3844</v>
      </c>
      <c r="C511" s="164">
        <v>1</v>
      </c>
      <c r="D511" s="174">
        <v>20</v>
      </c>
      <c r="E511" s="174">
        <v>-5</v>
      </c>
      <c r="F511" s="174">
        <v>-1</v>
      </c>
      <c r="G511" s="174">
        <v>112</v>
      </c>
      <c r="H511" s="174">
        <v>4</v>
      </c>
      <c r="I511" s="174"/>
      <c r="J511" s="175">
        <v>131</v>
      </c>
    </row>
    <row r="512" spans="1:10">
      <c r="A512" s="8" t="s">
        <v>90</v>
      </c>
      <c r="B512" s="8" t="s">
        <v>3840</v>
      </c>
      <c r="C512" s="164">
        <v>18</v>
      </c>
      <c r="D512" s="174">
        <v>-10</v>
      </c>
      <c r="E512" s="174">
        <v>0</v>
      </c>
      <c r="F512" s="174">
        <v>11</v>
      </c>
      <c r="G512" s="174"/>
      <c r="H512" s="174">
        <v>8</v>
      </c>
      <c r="I512" s="174">
        <v>87</v>
      </c>
      <c r="J512" s="175">
        <v>114</v>
      </c>
    </row>
    <row r="513" spans="1:10">
      <c r="A513" s="8" t="s">
        <v>118</v>
      </c>
      <c r="B513" s="8" t="s">
        <v>3842</v>
      </c>
      <c r="C513" s="164">
        <v>5</v>
      </c>
      <c r="D513" s="174">
        <v>108</v>
      </c>
      <c r="E513" s="174">
        <v>-3</v>
      </c>
      <c r="F513" s="174">
        <v>19</v>
      </c>
      <c r="G513" s="174">
        <v>-10</v>
      </c>
      <c r="H513" s="174">
        <v>18</v>
      </c>
      <c r="I513" s="174"/>
      <c r="J513" s="175">
        <v>137</v>
      </c>
    </row>
    <row r="514" spans="1:10">
      <c r="A514" s="8" t="s">
        <v>209</v>
      </c>
      <c r="B514" s="8" t="s">
        <v>3845</v>
      </c>
      <c r="C514" s="164">
        <v>2</v>
      </c>
      <c r="D514" s="174">
        <v>4</v>
      </c>
      <c r="E514" s="174"/>
      <c r="F514" s="174">
        <v>19</v>
      </c>
      <c r="G514" s="174">
        <v>0</v>
      </c>
      <c r="H514" s="174">
        <v>180</v>
      </c>
      <c r="I514" s="174">
        <v>-5</v>
      </c>
      <c r="J514" s="175">
        <v>200</v>
      </c>
    </row>
    <row r="515" spans="1:10">
      <c r="A515" s="8" t="s">
        <v>32</v>
      </c>
      <c r="B515" s="8" t="s">
        <v>3835</v>
      </c>
      <c r="C515" s="164">
        <v>14</v>
      </c>
      <c r="D515" s="174">
        <v>-6</v>
      </c>
      <c r="E515" s="174">
        <v>50</v>
      </c>
      <c r="F515" s="174"/>
      <c r="G515" s="174">
        <v>7</v>
      </c>
      <c r="H515" s="174">
        <v>2</v>
      </c>
      <c r="I515" s="174">
        <v>-9</v>
      </c>
      <c r="J515" s="175">
        <v>58</v>
      </c>
    </row>
    <row r="516" spans="1:10">
      <c r="A516" s="8" t="s">
        <v>215</v>
      </c>
      <c r="B516" s="8" t="s">
        <v>3846</v>
      </c>
      <c r="C516" s="164">
        <v>2</v>
      </c>
      <c r="D516" s="174">
        <v>10</v>
      </c>
      <c r="E516" s="174">
        <v>7</v>
      </c>
      <c r="F516" s="174">
        <v>10</v>
      </c>
      <c r="G516" s="174">
        <v>70</v>
      </c>
      <c r="H516" s="174">
        <v>-5</v>
      </c>
      <c r="I516" s="174">
        <v>21</v>
      </c>
      <c r="J516" s="175">
        <v>115</v>
      </c>
    </row>
    <row r="517" spans="1:10">
      <c r="A517" s="8" t="s">
        <v>48</v>
      </c>
      <c r="B517" s="8" t="s">
        <v>3836</v>
      </c>
      <c r="C517" s="164">
        <v>160</v>
      </c>
      <c r="D517" s="174">
        <v>5</v>
      </c>
      <c r="E517" s="174"/>
      <c r="F517" s="174">
        <v>13</v>
      </c>
      <c r="G517" s="174">
        <v>7</v>
      </c>
      <c r="H517" s="174">
        <v>-20</v>
      </c>
      <c r="I517" s="174">
        <v>33</v>
      </c>
      <c r="J517" s="175">
        <v>198</v>
      </c>
    </row>
    <row r="518" spans="1:10">
      <c r="A518" s="8" t="s">
        <v>235</v>
      </c>
      <c r="B518" s="8" t="s">
        <v>3848</v>
      </c>
      <c r="C518" s="164">
        <v>2</v>
      </c>
      <c r="D518" s="174">
        <v>6</v>
      </c>
      <c r="E518" s="174">
        <v>1</v>
      </c>
      <c r="F518" s="174">
        <v>-11</v>
      </c>
      <c r="G518" s="174">
        <v>0</v>
      </c>
      <c r="H518" s="174">
        <v>-7</v>
      </c>
      <c r="I518" s="174">
        <v>110</v>
      </c>
      <c r="J518" s="175">
        <v>101</v>
      </c>
    </row>
    <row r="519" spans="1:10">
      <c r="A519" s="8" t="s">
        <v>80</v>
      </c>
      <c r="B519" s="8" t="s">
        <v>3839</v>
      </c>
      <c r="C519" s="164">
        <v>7</v>
      </c>
      <c r="D519" s="174">
        <v>-2</v>
      </c>
      <c r="E519" s="174">
        <v>103</v>
      </c>
      <c r="F519" s="174">
        <v>5</v>
      </c>
      <c r="G519" s="174">
        <v>-2</v>
      </c>
      <c r="H519" s="174">
        <v>24</v>
      </c>
      <c r="I519" s="174">
        <v>4</v>
      </c>
      <c r="J519" s="175">
        <v>139</v>
      </c>
    </row>
    <row r="520" spans="1:10">
      <c r="A520" s="8" t="s">
        <v>256</v>
      </c>
      <c r="B520" s="8" t="s">
        <v>3849</v>
      </c>
      <c r="C520" s="164">
        <v>2</v>
      </c>
      <c r="D520" s="174">
        <v>9</v>
      </c>
      <c r="E520" s="174">
        <v>16</v>
      </c>
      <c r="F520" s="174">
        <v>5</v>
      </c>
      <c r="G520" s="174"/>
      <c r="H520" s="174">
        <v>51</v>
      </c>
      <c r="I520" s="174">
        <v>14</v>
      </c>
      <c r="J520" s="175">
        <v>97</v>
      </c>
    </row>
    <row r="521" spans="1:10">
      <c r="A521" s="8" t="s">
        <v>142</v>
      </c>
      <c r="B521" s="8" t="s">
        <v>3843</v>
      </c>
      <c r="C521" s="164">
        <v>69</v>
      </c>
      <c r="D521" s="174">
        <v>-5</v>
      </c>
      <c r="E521" s="174">
        <v>3</v>
      </c>
      <c r="F521" s="174">
        <v>7</v>
      </c>
      <c r="G521" s="174"/>
      <c r="H521" s="174">
        <v>21</v>
      </c>
      <c r="I521" s="174">
        <v>1</v>
      </c>
      <c r="J521" s="175">
        <v>96</v>
      </c>
    </row>
    <row r="522" spans="1:10">
      <c r="A522" s="8" t="s">
        <v>60</v>
      </c>
      <c r="B522" s="8" t="s">
        <v>3837</v>
      </c>
      <c r="C522" s="164"/>
      <c r="D522" s="174">
        <v>134</v>
      </c>
      <c r="E522" s="174">
        <v>-7</v>
      </c>
      <c r="F522" s="174">
        <v>2</v>
      </c>
      <c r="G522" s="174">
        <v>-4</v>
      </c>
      <c r="H522" s="174">
        <v>-2</v>
      </c>
      <c r="I522" s="174">
        <v>0</v>
      </c>
      <c r="J522" s="175">
        <v>123</v>
      </c>
    </row>
    <row r="523" spans="1:10">
      <c r="A523" s="8" t="s">
        <v>69</v>
      </c>
      <c r="B523" s="8" t="s">
        <v>3838</v>
      </c>
      <c r="C523" s="164">
        <v>-18</v>
      </c>
      <c r="D523" s="174">
        <v>6</v>
      </c>
      <c r="E523" s="174">
        <v>3</v>
      </c>
      <c r="F523" s="174">
        <v>9</v>
      </c>
      <c r="G523" s="174">
        <v>156</v>
      </c>
      <c r="H523" s="174">
        <v>-16</v>
      </c>
      <c r="I523" s="174">
        <v>1</v>
      </c>
      <c r="J523" s="175">
        <v>141</v>
      </c>
    </row>
    <row r="524" spans="1:10">
      <c r="A524" s="12" t="s">
        <v>3122</v>
      </c>
      <c r="B524" s="14"/>
      <c r="C524" s="168">
        <v>358</v>
      </c>
      <c r="D524" s="176">
        <v>288</v>
      </c>
      <c r="E524" s="176">
        <v>190</v>
      </c>
      <c r="F524" s="176">
        <v>221</v>
      </c>
      <c r="G524" s="176">
        <v>356</v>
      </c>
      <c r="H524" s="176">
        <v>274</v>
      </c>
      <c r="I524" s="176">
        <v>266</v>
      </c>
      <c r="J524" s="177">
        <v>1953</v>
      </c>
    </row>
    <row r="528" spans="1:10">
      <c r="A528" s="103"/>
    </row>
    <row r="529" spans="1:10">
      <c r="A529" s="11" t="s">
        <v>3146</v>
      </c>
      <c r="B529" s="9"/>
      <c r="C529" s="11" t="s">
        <v>7</v>
      </c>
      <c r="D529" s="9"/>
      <c r="E529" s="9"/>
      <c r="F529" s="9"/>
      <c r="G529" s="9"/>
      <c r="H529" s="9"/>
      <c r="I529" s="9"/>
      <c r="J529" s="20"/>
    </row>
    <row r="530" spans="1:10">
      <c r="A530" s="11" t="s">
        <v>3</v>
      </c>
      <c r="B530" s="11" t="s">
        <v>4</v>
      </c>
      <c r="C530" s="22" t="s">
        <v>50</v>
      </c>
      <c r="D530" s="25" t="s">
        <v>62</v>
      </c>
      <c r="E530" s="25" t="s">
        <v>35</v>
      </c>
      <c r="F530" s="25" t="s">
        <v>163</v>
      </c>
      <c r="G530" s="25" t="s">
        <v>112</v>
      </c>
      <c r="H530" s="25" t="s">
        <v>153</v>
      </c>
      <c r="I530" s="25" t="s">
        <v>71</v>
      </c>
      <c r="J530" s="26" t="s">
        <v>3122</v>
      </c>
    </row>
    <row r="531" spans="1:10">
      <c r="A531" s="8" t="s">
        <v>162</v>
      </c>
      <c r="B531" s="8" t="s">
        <v>3847</v>
      </c>
      <c r="C531" s="27">
        <v>1</v>
      </c>
      <c r="D531" s="28">
        <v>2</v>
      </c>
      <c r="E531" s="28">
        <v>5.666666666666667</v>
      </c>
      <c r="F531" s="28">
        <v>2.8297872340425534</v>
      </c>
      <c r="G531" s="28"/>
      <c r="H531" s="28">
        <v>1</v>
      </c>
      <c r="I531" s="28">
        <v>4.5</v>
      </c>
      <c r="J531" s="29">
        <v>2.8620689655172415</v>
      </c>
    </row>
    <row r="532" spans="1:10">
      <c r="A532" s="8" t="s">
        <v>100</v>
      </c>
      <c r="B532" s="8" t="s">
        <v>3841</v>
      </c>
      <c r="C532" s="27">
        <v>1.5789473684210527</v>
      </c>
      <c r="D532" s="28">
        <v>3.5</v>
      </c>
      <c r="E532" s="28">
        <v>1.6666666666666667</v>
      </c>
      <c r="F532" s="28"/>
      <c r="G532" s="28">
        <v>2.8571428571428572</v>
      </c>
      <c r="H532" s="28">
        <v>3.75</v>
      </c>
      <c r="I532" s="28"/>
      <c r="J532" s="29">
        <v>1.8767123287671232</v>
      </c>
    </row>
    <row r="533" spans="1:10">
      <c r="A533" s="8" t="s">
        <v>151</v>
      </c>
      <c r="B533" s="8" t="s">
        <v>3844</v>
      </c>
      <c r="C533" s="27">
        <v>1</v>
      </c>
      <c r="D533" s="28">
        <v>10</v>
      </c>
      <c r="E533" s="28">
        <v>-2.5</v>
      </c>
      <c r="F533" s="28">
        <v>-0.5</v>
      </c>
      <c r="G533" s="28">
        <v>1.8360655737704918</v>
      </c>
      <c r="H533" s="28">
        <v>1.3333333333333333</v>
      </c>
      <c r="I533" s="28"/>
      <c r="J533" s="29">
        <v>1.8450704225352113</v>
      </c>
    </row>
    <row r="534" spans="1:10">
      <c r="A534" s="8" t="s">
        <v>90</v>
      </c>
      <c r="B534" s="8" t="s">
        <v>3840</v>
      </c>
      <c r="C534" s="27">
        <v>3</v>
      </c>
      <c r="D534" s="28">
        <v>-3.3333333333333335</v>
      </c>
      <c r="E534" s="28">
        <v>0</v>
      </c>
      <c r="F534" s="28">
        <v>11</v>
      </c>
      <c r="G534" s="28"/>
      <c r="H534" s="28">
        <v>8</v>
      </c>
      <c r="I534" s="28">
        <v>1.8510638297872339</v>
      </c>
      <c r="J534" s="29">
        <v>1.8688524590163935</v>
      </c>
    </row>
    <row r="535" spans="1:10">
      <c r="A535" s="8" t="s">
        <v>118</v>
      </c>
      <c r="B535" s="8" t="s">
        <v>3842</v>
      </c>
      <c r="C535" s="27">
        <v>2.5</v>
      </c>
      <c r="D535" s="28">
        <v>2.204081632653061</v>
      </c>
      <c r="E535" s="28">
        <v>-3</v>
      </c>
      <c r="F535" s="28">
        <v>3.1666666666666665</v>
      </c>
      <c r="G535" s="28">
        <v>-2.5</v>
      </c>
      <c r="H535" s="28">
        <v>9</v>
      </c>
      <c r="I535" s="28"/>
      <c r="J535" s="29">
        <v>2.140625</v>
      </c>
    </row>
    <row r="536" spans="1:10">
      <c r="A536" s="8" t="s">
        <v>209</v>
      </c>
      <c r="B536" s="8" t="s">
        <v>3845</v>
      </c>
      <c r="C536" s="27">
        <v>2</v>
      </c>
      <c r="D536" s="28">
        <v>1.3333333333333333</v>
      </c>
      <c r="E536" s="28"/>
      <c r="F536" s="28">
        <v>9.5</v>
      </c>
      <c r="G536" s="28">
        <v>0</v>
      </c>
      <c r="H536" s="28">
        <v>3.1578947368421053</v>
      </c>
      <c r="I536" s="28">
        <v>-5</v>
      </c>
      <c r="J536" s="29">
        <v>2.9850746268656718</v>
      </c>
    </row>
    <row r="537" spans="1:10">
      <c r="A537" s="8" t="s">
        <v>32</v>
      </c>
      <c r="B537" s="8" t="s">
        <v>3835</v>
      </c>
      <c r="C537" s="27">
        <v>14</v>
      </c>
      <c r="D537" s="28">
        <v>-2</v>
      </c>
      <c r="E537" s="28">
        <v>1.25</v>
      </c>
      <c r="F537" s="28"/>
      <c r="G537" s="28">
        <v>3.5</v>
      </c>
      <c r="H537" s="28">
        <v>0.5</v>
      </c>
      <c r="I537" s="28">
        <v>-9</v>
      </c>
      <c r="J537" s="29">
        <v>1.1372549019607843</v>
      </c>
    </row>
    <row r="538" spans="1:10">
      <c r="A538" s="8" t="s">
        <v>215</v>
      </c>
      <c r="B538" s="8" t="s">
        <v>3846</v>
      </c>
      <c r="C538" s="27">
        <v>1</v>
      </c>
      <c r="D538" s="28">
        <v>10</v>
      </c>
      <c r="E538" s="28">
        <v>2.3333333333333335</v>
      </c>
      <c r="F538" s="28">
        <v>3.3333333333333335</v>
      </c>
      <c r="G538" s="28">
        <v>1.4</v>
      </c>
      <c r="H538" s="28">
        <v>-2.5</v>
      </c>
      <c r="I538" s="28">
        <v>4.2</v>
      </c>
      <c r="J538" s="29">
        <v>1.7424242424242424</v>
      </c>
    </row>
    <row r="539" spans="1:10">
      <c r="A539" s="8" t="s">
        <v>48</v>
      </c>
      <c r="B539" s="8" t="s">
        <v>3836</v>
      </c>
      <c r="C539" s="27">
        <v>3.0188679245283021</v>
      </c>
      <c r="D539" s="28">
        <v>2.5</v>
      </c>
      <c r="E539" s="28"/>
      <c r="F539" s="28">
        <v>4.333333333333333</v>
      </c>
      <c r="G539" s="28">
        <v>1.75</v>
      </c>
      <c r="H539" s="28">
        <v>-6.666666666666667</v>
      </c>
      <c r="I539" s="28">
        <v>16.5</v>
      </c>
      <c r="J539" s="29">
        <v>2.955223880597015</v>
      </c>
    </row>
    <row r="540" spans="1:10">
      <c r="A540" s="8" t="s">
        <v>235</v>
      </c>
      <c r="B540" s="8" t="s">
        <v>3848</v>
      </c>
      <c r="C540" s="27">
        <v>0.5</v>
      </c>
      <c r="D540" s="28">
        <v>1.2</v>
      </c>
      <c r="E540" s="28">
        <v>1</v>
      </c>
      <c r="F540" s="28">
        <v>-11</v>
      </c>
      <c r="G540" s="28">
        <v>0</v>
      </c>
      <c r="H540" s="28">
        <v>-1.75</v>
      </c>
      <c r="I540" s="28">
        <v>2</v>
      </c>
      <c r="J540" s="29">
        <v>1.4027777777777777</v>
      </c>
    </row>
    <row r="541" spans="1:10">
      <c r="A541" s="8" t="s">
        <v>80</v>
      </c>
      <c r="B541" s="8" t="s">
        <v>3839</v>
      </c>
      <c r="C541" s="27">
        <v>3.5</v>
      </c>
      <c r="D541" s="28">
        <v>-1</v>
      </c>
      <c r="E541" s="28">
        <v>1.9807692307692308</v>
      </c>
      <c r="F541" s="28">
        <v>1.6666666666666667</v>
      </c>
      <c r="G541" s="28">
        <v>-1</v>
      </c>
      <c r="H541" s="28">
        <v>4</v>
      </c>
      <c r="I541" s="28">
        <v>4</v>
      </c>
      <c r="J541" s="29">
        <v>2.0441176470588234</v>
      </c>
    </row>
    <row r="542" spans="1:10">
      <c r="A542" s="8" t="s">
        <v>256</v>
      </c>
      <c r="B542" s="8" t="s">
        <v>3849</v>
      </c>
      <c r="C542" s="27">
        <v>1</v>
      </c>
      <c r="D542" s="28">
        <v>2.25</v>
      </c>
      <c r="E542" s="28">
        <v>4</v>
      </c>
      <c r="F542" s="28">
        <v>1.6666666666666667</v>
      </c>
      <c r="G542" s="28"/>
      <c r="H542" s="28">
        <v>1.2142857142857142</v>
      </c>
      <c r="I542" s="28">
        <v>3.5</v>
      </c>
      <c r="J542" s="29">
        <v>1.6440677966101696</v>
      </c>
    </row>
    <row r="543" spans="1:10">
      <c r="A543" s="8" t="s">
        <v>142</v>
      </c>
      <c r="B543" s="8" t="s">
        <v>3843</v>
      </c>
      <c r="C543" s="27">
        <v>1.6428571428571428</v>
      </c>
      <c r="D543" s="28">
        <v>-5</v>
      </c>
      <c r="E543" s="28">
        <v>3</v>
      </c>
      <c r="F543" s="28">
        <v>1.75</v>
      </c>
      <c r="G543" s="28"/>
      <c r="H543" s="28">
        <v>7</v>
      </c>
      <c r="I543" s="28">
        <v>1</v>
      </c>
      <c r="J543" s="29">
        <v>1.8461538461538463</v>
      </c>
    </row>
    <row r="544" spans="1:10">
      <c r="A544" s="8" t="s">
        <v>60</v>
      </c>
      <c r="B544" s="8" t="s">
        <v>3837</v>
      </c>
      <c r="C544" s="27"/>
      <c r="D544" s="28">
        <v>2.8510638297872339</v>
      </c>
      <c r="E544" s="28">
        <v>-1.1666666666666667</v>
      </c>
      <c r="F544" s="28">
        <v>1</v>
      </c>
      <c r="G544" s="28">
        <v>-2</v>
      </c>
      <c r="H544" s="28">
        <v>-0.66666666666666663</v>
      </c>
      <c r="I544" s="28">
        <v>0</v>
      </c>
      <c r="J544" s="29">
        <v>1.9523809523809523</v>
      </c>
    </row>
    <row r="545" spans="1:14">
      <c r="A545" s="8" t="s">
        <v>69</v>
      </c>
      <c r="B545" s="8" t="s">
        <v>3838</v>
      </c>
      <c r="C545" s="27">
        <v>-6</v>
      </c>
      <c r="D545" s="28">
        <v>2</v>
      </c>
      <c r="E545" s="28">
        <v>0.42857142857142855</v>
      </c>
      <c r="F545" s="28">
        <v>4.5</v>
      </c>
      <c r="G545" s="28">
        <v>3.0588235294117645</v>
      </c>
      <c r="H545" s="28">
        <v>-4</v>
      </c>
      <c r="I545" s="28">
        <v>0.5</v>
      </c>
      <c r="J545" s="29">
        <v>1.9583333333333333</v>
      </c>
    </row>
    <row r="546" spans="1:14">
      <c r="A546" s="12" t="s">
        <v>3122</v>
      </c>
      <c r="B546" s="14"/>
      <c r="C546" s="30">
        <v>1.9888888888888889</v>
      </c>
      <c r="D546" s="31">
        <v>2.25</v>
      </c>
      <c r="E546" s="31">
        <v>1.5079365079365079</v>
      </c>
      <c r="F546" s="31">
        <v>2.7974683544303796</v>
      </c>
      <c r="G546" s="31">
        <v>1.8936170212765957</v>
      </c>
      <c r="H546" s="31">
        <v>1.9712230215827338</v>
      </c>
      <c r="I546" s="31">
        <v>2.1451612903225805</v>
      </c>
      <c r="J546" s="32">
        <v>2.0259336099585061</v>
      </c>
    </row>
    <row r="552" spans="1:14">
      <c r="A552" s="11" t="s">
        <v>3138</v>
      </c>
      <c r="B552" s="11" t="s">
        <v>5</v>
      </c>
      <c r="C552" s="9"/>
      <c r="D552" s="9"/>
      <c r="E552" s="9"/>
      <c r="F552" s="9"/>
      <c r="G552" s="9"/>
      <c r="H552" s="9"/>
      <c r="I552" s="9"/>
      <c r="J552" s="9"/>
      <c r="K552" s="9"/>
      <c r="L552" s="9"/>
      <c r="M552" s="9"/>
      <c r="N552" s="20"/>
    </row>
    <row r="553" spans="1:14">
      <c r="A553" s="43" t="s">
        <v>4</v>
      </c>
      <c r="B553" s="37" t="s">
        <v>702</v>
      </c>
      <c r="C553" s="38" t="s">
        <v>133</v>
      </c>
      <c r="D553" s="38" t="s">
        <v>479</v>
      </c>
      <c r="E553" s="38" t="s">
        <v>316</v>
      </c>
      <c r="F553" s="38" t="s">
        <v>258</v>
      </c>
      <c r="G553" s="38" t="s">
        <v>102</v>
      </c>
      <c r="H553" s="38" t="s">
        <v>169</v>
      </c>
      <c r="I553" s="38" t="s">
        <v>152</v>
      </c>
      <c r="J553" s="38" t="s">
        <v>82</v>
      </c>
      <c r="K553" s="38" t="s">
        <v>301</v>
      </c>
      <c r="L553" s="38" t="s">
        <v>177</v>
      </c>
      <c r="M553" s="38" t="s">
        <v>194</v>
      </c>
      <c r="N553" s="39" t="s">
        <v>3122</v>
      </c>
    </row>
    <row r="554" spans="1:14">
      <c r="A554" s="8" t="s">
        <v>3835</v>
      </c>
      <c r="B554" s="164"/>
      <c r="C554" s="174"/>
      <c r="D554" s="174"/>
      <c r="E554" s="174"/>
      <c r="F554" s="174"/>
      <c r="G554" s="174"/>
      <c r="H554" s="174"/>
      <c r="I554" s="174"/>
      <c r="J554" s="174"/>
      <c r="K554" s="174"/>
      <c r="L554" s="174">
        <v>55</v>
      </c>
      <c r="M554" s="174"/>
      <c r="N554" s="175">
        <v>55</v>
      </c>
    </row>
    <row r="555" spans="1:14">
      <c r="A555" s="13" t="s">
        <v>3836</v>
      </c>
      <c r="B555" s="166">
        <v>1</v>
      </c>
      <c r="C555" s="179"/>
      <c r="D555" s="179"/>
      <c r="E555" s="179"/>
      <c r="F555" s="179"/>
      <c r="G555" s="179">
        <v>64</v>
      </c>
      <c r="H555" s="179"/>
      <c r="I555" s="179"/>
      <c r="J555" s="179"/>
      <c r="K555" s="179">
        <v>2</v>
      </c>
      <c r="L555" s="179"/>
      <c r="M555" s="179"/>
      <c r="N555" s="180">
        <v>67</v>
      </c>
    </row>
    <row r="556" spans="1:14">
      <c r="A556" s="13" t="s">
        <v>3837</v>
      </c>
      <c r="B556" s="166"/>
      <c r="C556" s="179"/>
      <c r="D556" s="179"/>
      <c r="E556" s="179"/>
      <c r="F556" s="179"/>
      <c r="G556" s="179"/>
      <c r="H556" s="179"/>
      <c r="I556" s="179">
        <v>64</v>
      </c>
      <c r="J556" s="179"/>
      <c r="K556" s="179"/>
      <c r="L556" s="179"/>
      <c r="M556" s="179"/>
      <c r="N556" s="180">
        <v>64</v>
      </c>
    </row>
    <row r="557" spans="1:14">
      <c r="A557" s="13" t="s">
        <v>3838</v>
      </c>
      <c r="B557" s="166"/>
      <c r="C557" s="179"/>
      <c r="D557" s="179"/>
      <c r="E557" s="179"/>
      <c r="F557" s="179"/>
      <c r="G557" s="179"/>
      <c r="H557" s="179"/>
      <c r="I557" s="179"/>
      <c r="J557" s="179"/>
      <c r="K557" s="179"/>
      <c r="L557" s="179"/>
      <c r="M557" s="179">
        <v>77</v>
      </c>
      <c r="N557" s="180">
        <v>77</v>
      </c>
    </row>
    <row r="558" spans="1:14">
      <c r="A558" s="13" t="s">
        <v>3839</v>
      </c>
      <c r="B558" s="166"/>
      <c r="C558" s="179"/>
      <c r="D558" s="179"/>
      <c r="E558" s="179"/>
      <c r="F558" s="179"/>
      <c r="G558" s="179">
        <v>1</v>
      </c>
      <c r="H558" s="179"/>
      <c r="I558" s="179"/>
      <c r="J558" s="179">
        <v>71</v>
      </c>
      <c r="K558" s="179"/>
      <c r="L558" s="179"/>
      <c r="M558" s="179"/>
      <c r="N558" s="180">
        <v>72</v>
      </c>
    </row>
    <row r="559" spans="1:14">
      <c r="A559" s="13" t="s">
        <v>3840</v>
      </c>
      <c r="B559" s="166"/>
      <c r="C559" s="179">
        <v>59</v>
      </c>
      <c r="D559" s="179"/>
      <c r="E559" s="179"/>
      <c r="F559" s="179"/>
      <c r="G559" s="179">
        <v>1</v>
      </c>
      <c r="H559" s="179"/>
      <c r="I559" s="179">
        <v>1</v>
      </c>
      <c r="J559" s="179"/>
      <c r="K559" s="179"/>
      <c r="L559" s="179"/>
      <c r="M559" s="179"/>
      <c r="N559" s="180">
        <v>61</v>
      </c>
    </row>
    <row r="560" spans="1:14">
      <c r="A560" s="13" t="s">
        <v>3841</v>
      </c>
      <c r="B560" s="166"/>
      <c r="C560" s="179"/>
      <c r="D560" s="179"/>
      <c r="E560" s="179"/>
      <c r="F560" s="179"/>
      <c r="G560" s="179">
        <v>75</v>
      </c>
      <c r="H560" s="179"/>
      <c r="I560" s="179"/>
      <c r="J560" s="179"/>
      <c r="K560" s="179">
        <v>1</v>
      </c>
      <c r="L560" s="179"/>
      <c r="M560" s="179"/>
      <c r="N560" s="180">
        <v>76</v>
      </c>
    </row>
    <row r="561" spans="1:14">
      <c r="A561" s="13" t="s">
        <v>3842</v>
      </c>
      <c r="B561" s="166"/>
      <c r="C561" s="179"/>
      <c r="D561" s="179"/>
      <c r="E561" s="179">
        <v>1</v>
      </c>
      <c r="F561" s="179"/>
      <c r="G561" s="179"/>
      <c r="H561" s="179"/>
      <c r="I561" s="179"/>
      <c r="J561" s="179"/>
      <c r="K561" s="179">
        <v>64</v>
      </c>
      <c r="L561" s="179"/>
      <c r="M561" s="179"/>
      <c r="N561" s="180">
        <v>65</v>
      </c>
    </row>
    <row r="562" spans="1:14">
      <c r="A562" s="13" t="s">
        <v>3843</v>
      </c>
      <c r="B562" s="166">
        <v>1</v>
      </c>
      <c r="C562" s="179"/>
      <c r="D562" s="179"/>
      <c r="E562" s="179"/>
      <c r="F562" s="179"/>
      <c r="G562" s="179">
        <v>1</v>
      </c>
      <c r="H562" s="179">
        <v>51</v>
      </c>
      <c r="I562" s="179"/>
      <c r="J562" s="179"/>
      <c r="K562" s="179"/>
      <c r="L562" s="179"/>
      <c r="M562" s="179"/>
      <c r="N562" s="180">
        <v>53</v>
      </c>
    </row>
    <row r="563" spans="1:14">
      <c r="A563" s="13" t="s">
        <v>3844</v>
      </c>
      <c r="B563" s="166">
        <v>1</v>
      </c>
      <c r="C563" s="179"/>
      <c r="D563" s="179"/>
      <c r="E563" s="179"/>
      <c r="F563" s="179"/>
      <c r="G563" s="179"/>
      <c r="H563" s="179"/>
      <c r="I563" s="179">
        <v>77</v>
      </c>
      <c r="J563" s="179"/>
      <c r="K563" s="179"/>
      <c r="L563" s="179"/>
      <c r="M563" s="179"/>
      <c r="N563" s="180">
        <v>78</v>
      </c>
    </row>
    <row r="564" spans="1:14">
      <c r="A564" s="13" t="s">
        <v>3847</v>
      </c>
      <c r="B564" s="166"/>
      <c r="C564" s="179"/>
      <c r="D564" s="179"/>
      <c r="E564" s="179"/>
      <c r="F564" s="179"/>
      <c r="G564" s="179"/>
      <c r="H564" s="179"/>
      <c r="I564" s="179">
        <v>59</v>
      </c>
      <c r="J564" s="179"/>
      <c r="K564" s="179"/>
      <c r="L564" s="179"/>
      <c r="M564" s="179"/>
      <c r="N564" s="180">
        <v>59</v>
      </c>
    </row>
    <row r="565" spans="1:14">
      <c r="A565" s="13" t="s">
        <v>3845</v>
      </c>
      <c r="B565" s="166"/>
      <c r="C565" s="179">
        <v>1</v>
      </c>
      <c r="D565" s="179"/>
      <c r="E565" s="179">
        <v>68</v>
      </c>
      <c r="F565" s="179"/>
      <c r="G565" s="179"/>
      <c r="H565" s="179"/>
      <c r="I565" s="179"/>
      <c r="J565" s="179"/>
      <c r="K565" s="179"/>
      <c r="L565" s="179"/>
      <c r="M565" s="179"/>
      <c r="N565" s="180">
        <v>69</v>
      </c>
    </row>
    <row r="566" spans="1:14">
      <c r="A566" s="13" t="s">
        <v>3846</v>
      </c>
      <c r="B566" s="166"/>
      <c r="C566" s="179"/>
      <c r="D566" s="179"/>
      <c r="E566" s="179">
        <v>1</v>
      </c>
      <c r="F566" s="179"/>
      <c r="G566" s="179"/>
      <c r="H566" s="179"/>
      <c r="I566" s="179">
        <v>66</v>
      </c>
      <c r="J566" s="179"/>
      <c r="K566" s="179"/>
      <c r="L566" s="179"/>
      <c r="M566" s="179"/>
      <c r="N566" s="180">
        <v>67</v>
      </c>
    </row>
    <row r="567" spans="1:14">
      <c r="A567" s="13" t="s">
        <v>3848</v>
      </c>
      <c r="B567" s="166"/>
      <c r="C567" s="179"/>
      <c r="D567" s="179">
        <v>71</v>
      </c>
      <c r="E567" s="179"/>
      <c r="F567" s="179"/>
      <c r="G567" s="179">
        <v>3</v>
      </c>
      <c r="H567" s="179"/>
      <c r="I567" s="179"/>
      <c r="J567" s="179"/>
      <c r="K567" s="179"/>
      <c r="L567" s="179"/>
      <c r="M567" s="179"/>
      <c r="N567" s="180">
        <v>74</v>
      </c>
    </row>
    <row r="568" spans="1:14">
      <c r="A568" s="13" t="s">
        <v>3849</v>
      </c>
      <c r="B568" s="166"/>
      <c r="C568" s="179"/>
      <c r="D568" s="179"/>
      <c r="E568" s="179"/>
      <c r="F568" s="179">
        <v>63</v>
      </c>
      <c r="G568" s="179"/>
      <c r="H568" s="179"/>
      <c r="I568" s="179"/>
      <c r="J568" s="179"/>
      <c r="K568" s="179"/>
      <c r="L568" s="179"/>
      <c r="M568" s="179"/>
      <c r="N568" s="180">
        <v>63</v>
      </c>
    </row>
    <row r="569" spans="1:14">
      <c r="A569" s="42" t="s">
        <v>3122</v>
      </c>
      <c r="B569" s="170">
        <v>3</v>
      </c>
      <c r="C569" s="181">
        <v>60</v>
      </c>
      <c r="D569" s="181">
        <v>71</v>
      </c>
      <c r="E569" s="181">
        <v>70</v>
      </c>
      <c r="F569" s="181">
        <v>63</v>
      </c>
      <c r="G569" s="181">
        <v>145</v>
      </c>
      <c r="H569" s="181">
        <v>51</v>
      </c>
      <c r="I569" s="181">
        <v>267</v>
      </c>
      <c r="J569" s="181">
        <v>71</v>
      </c>
      <c r="K569" s="181">
        <v>67</v>
      </c>
      <c r="L569" s="181">
        <v>55</v>
      </c>
      <c r="M569" s="181">
        <v>77</v>
      </c>
      <c r="N569" s="182">
        <v>1000</v>
      </c>
    </row>
    <row r="576" spans="1:14">
      <c r="A576" t="s">
        <v>3226</v>
      </c>
      <c r="E576" s="136" t="s">
        <v>3227</v>
      </c>
    </row>
    <row r="578" spans="1:6">
      <c r="A578" s="11" t="s">
        <v>3</v>
      </c>
      <c r="B578" s="11" t="s">
        <v>4</v>
      </c>
      <c r="C578" s="11" t="s">
        <v>7</v>
      </c>
      <c r="D578" s="8" t="s">
        <v>3140</v>
      </c>
      <c r="E578" s="21" t="s">
        <v>3153</v>
      </c>
      <c r="F578" s="15" t="s">
        <v>3141</v>
      </c>
    </row>
    <row r="579" spans="1:6">
      <c r="A579" s="8" t="s">
        <v>162</v>
      </c>
      <c r="B579" s="8" t="s">
        <v>3847</v>
      </c>
      <c r="C579" s="8" t="s">
        <v>50</v>
      </c>
      <c r="D579" s="161">
        <v>4</v>
      </c>
      <c r="E579" s="172">
        <v>3850</v>
      </c>
      <c r="F579" s="33">
        <v>3804940.0041100001</v>
      </c>
    </row>
    <row r="580" spans="1:6">
      <c r="A580" s="10"/>
      <c r="B580" s="10"/>
      <c r="C580" s="13" t="s">
        <v>62</v>
      </c>
      <c r="D580" s="162">
        <v>1</v>
      </c>
      <c r="E580" s="178">
        <v>1000</v>
      </c>
      <c r="F580" s="34">
        <v>10771.289999999999</v>
      </c>
    </row>
    <row r="581" spans="1:6">
      <c r="A581" s="10"/>
      <c r="B581" s="10"/>
      <c r="C581" s="13" t="s">
        <v>35</v>
      </c>
      <c r="D581" s="162">
        <v>4</v>
      </c>
      <c r="E581" s="178">
        <v>1925</v>
      </c>
      <c r="F581" s="34">
        <v>131178.23649999997</v>
      </c>
    </row>
    <row r="582" spans="1:6">
      <c r="A582" s="10"/>
      <c r="B582" s="10"/>
      <c r="C582" s="13" t="s">
        <v>163</v>
      </c>
      <c r="D582" s="162">
        <v>47</v>
      </c>
      <c r="E582" s="178">
        <v>36950</v>
      </c>
      <c r="F582" s="34">
        <v>8220368.796882499</v>
      </c>
    </row>
    <row r="583" spans="1:6">
      <c r="A583" s="10"/>
      <c r="B583" s="10"/>
      <c r="C583" s="13" t="s">
        <v>153</v>
      </c>
      <c r="D583" s="162">
        <v>1</v>
      </c>
      <c r="E583" s="178">
        <v>75</v>
      </c>
      <c r="F583" s="34">
        <v>1371.8595</v>
      </c>
    </row>
    <row r="584" spans="1:6">
      <c r="A584" s="10"/>
      <c r="B584" s="10"/>
      <c r="C584" s="13" t="s">
        <v>71</v>
      </c>
      <c r="D584" s="162">
        <v>2</v>
      </c>
      <c r="E584" s="178">
        <v>1800</v>
      </c>
      <c r="F584" s="34">
        <v>6636.0294000000004</v>
      </c>
    </row>
    <row r="585" spans="1:6">
      <c r="A585" s="10"/>
      <c r="B585" s="8" t="s">
        <v>3850</v>
      </c>
      <c r="C585" s="9"/>
      <c r="D585" s="161">
        <v>59</v>
      </c>
      <c r="E585" s="172">
        <v>45600</v>
      </c>
      <c r="F585" s="33">
        <v>12175266.216392502</v>
      </c>
    </row>
    <row r="586" spans="1:6">
      <c r="A586" s="8" t="s">
        <v>3123</v>
      </c>
      <c r="B586" s="9"/>
      <c r="C586" s="9"/>
      <c r="D586" s="161">
        <v>59</v>
      </c>
      <c r="E586" s="172">
        <v>45600</v>
      </c>
      <c r="F586" s="33">
        <v>12175266.216392502</v>
      </c>
    </row>
    <row r="587" spans="1:6">
      <c r="A587" s="8" t="s">
        <v>100</v>
      </c>
      <c r="B587" s="8" t="s">
        <v>3841</v>
      </c>
      <c r="C587" s="8" t="s">
        <v>50</v>
      </c>
      <c r="D587" s="161">
        <v>59</v>
      </c>
      <c r="E587" s="172">
        <v>27125</v>
      </c>
      <c r="F587" s="33">
        <v>6516372.7143849991</v>
      </c>
    </row>
    <row r="588" spans="1:6">
      <c r="A588" s="10"/>
      <c r="B588" s="10"/>
      <c r="C588" s="13" t="s">
        <v>62</v>
      </c>
      <c r="D588" s="162">
        <v>2</v>
      </c>
      <c r="E588" s="178">
        <v>550</v>
      </c>
      <c r="F588" s="34">
        <v>254.86453499999999</v>
      </c>
    </row>
    <row r="589" spans="1:6">
      <c r="A589" s="10"/>
      <c r="B589" s="10"/>
      <c r="C589" s="13" t="s">
        <v>35</v>
      </c>
      <c r="D589" s="162">
        <v>3</v>
      </c>
      <c r="E589" s="178">
        <v>2650</v>
      </c>
      <c r="F589" s="34">
        <v>49385.801200000002</v>
      </c>
    </row>
    <row r="590" spans="1:6">
      <c r="A590" s="10"/>
      <c r="B590" s="10"/>
      <c r="C590" s="13" t="s">
        <v>112</v>
      </c>
      <c r="D590" s="162">
        <v>8</v>
      </c>
      <c r="E590" s="178">
        <v>6200</v>
      </c>
      <c r="F590" s="34">
        <v>20891.035389999997</v>
      </c>
    </row>
    <row r="591" spans="1:6">
      <c r="A591" s="10"/>
      <c r="B591" s="10"/>
      <c r="C591" s="13" t="s">
        <v>153</v>
      </c>
      <c r="D591" s="162">
        <v>4</v>
      </c>
      <c r="E591" s="178">
        <v>2000</v>
      </c>
      <c r="F591" s="34">
        <v>570320.6407499999</v>
      </c>
    </row>
    <row r="592" spans="1:6">
      <c r="A592" s="10"/>
      <c r="B592" s="8" t="s">
        <v>3851</v>
      </c>
      <c r="C592" s="9"/>
      <c r="D592" s="161">
        <v>76</v>
      </c>
      <c r="E592" s="172">
        <v>38525</v>
      </c>
      <c r="F592" s="33">
        <v>7157225.0562599991</v>
      </c>
    </row>
    <row r="593" spans="1:6">
      <c r="A593" s="8" t="s">
        <v>3124</v>
      </c>
      <c r="B593" s="9"/>
      <c r="C593" s="9"/>
      <c r="D593" s="161">
        <v>76</v>
      </c>
      <c r="E593" s="172">
        <v>38525</v>
      </c>
      <c r="F593" s="33">
        <v>7157225.0562599991</v>
      </c>
    </row>
    <row r="594" spans="1:6">
      <c r="A594" s="8" t="s">
        <v>151</v>
      </c>
      <c r="B594" s="8" t="s">
        <v>3844</v>
      </c>
      <c r="C594" s="8" t="s">
        <v>50</v>
      </c>
      <c r="D594" s="161">
        <v>1</v>
      </c>
      <c r="E594" s="172">
        <v>200</v>
      </c>
      <c r="F594" s="33">
        <v>294.76669999999996</v>
      </c>
    </row>
    <row r="595" spans="1:6">
      <c r="A595" s="10"/>
      <c r="B595" s="10"/>
      <c r="C595" s="13" t="s">
        <v>62</v>
      </c>
      <c r="D595" s="162">
        <v>2</v>
      </c>
      <c r="E595" s="178">
        <v>1050</v>
      </c>
      <c r="F595" s="34">
        <v>736961.86204000004</v>
      </c>
    </row>
    <row r="596" spans="1:6">
      <c r="A596" s="10"/>
      <c r="B596" s="10"/>
      <c r="C596" s="13" t="s">
        <v>35</v>
      </c>
      <c r="D596" s="162">
        <v>2</v>
      </c>
      <c r="E596" s="178">
        <v>1600</v>
      </c>
      <c r="F596" s="34">
        <v>44840.156909999998</v>
      </c>
    </row>
    <row r="597" spans="1:6">
      <c r="A597" s="10"/>
      <c r="B597" s="10"/>
      <c r="C597" s="13" t="s">
        <v>163</v>
      </c>
      <c r="D597" s="162">
        <v>2</v>
      </c>
      <c r="E597" s="178">
        <v>2500</v>
      </c>
      <c r="F597" s="34">
        <v>30042.062400000003</v>
      </c>
    </row>
    <row r="598" spans="1:6">
      <c r="A598" s="10"/>
      <c r="B598" s="10"/>
      <c r="C598" s="13" t="s">
        <v>112</v>
      </c>
      <c r="D598" s="162">
        <v>67</v>
      </c>
      <c r="E598" s="178">
        <v>38300</v>
      </c>
      <c r="F598" s="34">
        <v>2324617.2521000002</v>
      </c>
    </row>
    <row r="599" spans="1:6">
      <c r="A599" s="10"/>
      <c r="B599" s="10"/>
      <c r="C599" s="13" t="s">
        <v>153</v>
      </c>
      <c r="D599" s="162">
        <v>4</v>
      </c>
      <c r="E599" s="178">
        <v>3150</v>
      </c>
      <c r="F599" s="34">
        <v>54669.256090000003</v>
      </c>
    </row>
    <row r="600" spans="1:6">
      <c r="A600" s="10"/>
      <c r="B600" s="8" t="s">
        <v>3852</v>
      </c>
      <c r="C600" s="9"/>
      <c r="D600" s="161">
        <v>78</v>
      </c>
      <c r="E600" s="172">
        <v>46800</v>
      </c>
      <c r="F600" s="33">
        <v>3191425.3562400006</v>
      </c>
    </row>
    <row r="601" spans="1:6">
      <c r="A601" s="8" t="s">
        <v>3125</v>
      </c>
      <c r="B601" s="9"/>
      <c r="C601" s="9"/>
      <c r="D601" s="161">
        <v>78</v>
      </c>
      <c r="E601" s="172">
        <v>46800</v>
      </c>
      <c r="F601" s="33">
        <v>3191425.3562400006</v>
      </c>
    </row>
    <row r="602" spans="1:6">
      <c r="A602" s="8" t="s">
        <v>90</v>
      </c>
      <c r="B602" s="8" t="s">
        <v>3840</v>
      </c>
      <c r="C602" s="8" t="s">
        <v>50</v>
      </c>
      <c r="D602" s="161">
        <v>6</v>
      </c>
      <c r="E602" s="172">
        <v>4400</v>
      </c>
      <c r="F602" s="33">
        <v>507445.40109999996</v>
      </c>
    </row>
    <row r="603" spans="1:6">
      <c r="A603" s="10"/>
      <c r="B603" s="10"/>
      <c r="C603" s="13" t="s">
        <v>62</v>
      </c>
      <c r="D603" s="162">
        <v>3</v>
      </c>
      <c r="E603" s="178">
        <v>1750</v>
      </c>
      <c r="F603" s="34">
        <v>7922.62</v>
      </c>
    </row>
    <row r="604" spans="1:6">
      <c r="A604" s="10"/>
      <c r="B604" s="10"/>
      <c r="C604" s="13" t="s">
        <v>35</v>
      </c>
      <c r="D604" s="162">
        <v>3</v>
      </c>
      <c r="E604" s="178">
        <v>1300</v>
      </c>
      <c r="F604" s="34">
        <v>79480.955999999991</v>
      </c>
    </row>
    <row r="605" spans="1:6">
      <c r="A605" s="10"/>
      <c r="B605" s="10"/>
      <c r="C605" s="13" t="s">
        <v>163</v>
      </c>
      <c r="D605" s="162">
        <v>1</v>
      </c>
      <c r="E605" s="178">
        <v>1500</v>
      </c>
      <c r="F605" s="34">
        <v>20413.98</v>
      </c>
    </row>
    <row r="606" spans="1:6">
      <c r="A606" s="10"/>
      <c r="B606" s="10"/>
      <c r="C606" s="13" t="s">
        <v>153</v>
      </c>
      <c r="D606" s="162">
        <v>1</v>
      </c>
      <c r="E606" s="178">
        <v>200</v>
      </c>
      <c r="F606" s="34">
        <v>277.67199999999997</v>
      </c>
    </row>
    <row r="607" spans="1:6">
      <c r="A607" s="10"/>
      <c r="B607" s="10"/>
      <c r="C607" s="13" t="s">
        <v>71</v>
      </c>
      <c r="D607" s="162">
        <v>47</v>
      </c>
      <c r="E607" s="178">
        <v>25125</v>
      </c>
      <c r="F607" s="34">
        <v>2745029.5193500002</v>
      </c>
    </row>
    <row r="608" spans="1:6">
      <c r="A608" s="10"/>
      <c r="B608" s="8" t="s">
        <v>3853</v>
      </c>
      <c r="C608" s="9"/>
      <c r="D608" s="161">
        <v>61</v>
      </c>
      <c r="E608" s="172">
        <v>34275</v>
      </c>
      <c r="F608" s="33">
        <v>3360570.1484500007</v>
      </c>
    </row>
    <row r="609" spans="1:6">
      <c r="A609" s="8" t="s">
        <v>3126</v>
      </c>
      <c r="B609" s="9"/>
      <c r="C609" s="9"/>
      <c r="D609" s="161">
        <v>61</v>
      </c>
      <c r="E609" s="172">
        <v>34275</v>
      </c>
      <c r="F609" s="33">
        <v>3360570.1484500007</v>
      </c>
    </row>
    <row r="610" spans="1:6">
      <c r="A610" s="8" t="s">
        <v>118</v>
      </c>
      <c r="B610" s="8" t="s">
        <v>3842</v>
      </c>
      <c r="C610" s="8" t="s">
        <v>50</v>
      </c>
      <c r="D610" s="161">
        <v>2</v>
      </c>
      <c r="E610" s="172">
        <v>100</v>
      </c>
      <c r="F610" s="33">
        <v>475.06407999999999</v>
      </c>
    </row>
    <row r="611" spans="1:6">
      <c r="A611" s="10"/>
      <c r="B611" s="10"/>
      <c r="C611" s="13" t="s">
        <v>62</v>
      </c>
      <c r="D611" s="162">
        <v>50</v>
      </c>
      <c r="E611" s="178">
        <v>34500</v>
      </c>
      <c r="F611" s="34">
        <v>3375181.6304549994</v>
      </c>
    </row>
    <row r="612" spans="1:6">
      <c r="A612" s="10"/>
      <c r="B612" s="10"/>
      <c r="C612" s="13" t="s">
        <v>35</v>
      </c>
      <c r="D612" s="162">
        <v>1</v>
      </c>
      <c r="E612" s="178">
        <v>750</v>
      </c>
      <c r="F612" s="34">
        <v>142011.29249999998</v>
      </c>
    </row>
    <row r="613" spans="1:6">
      <c r="A613" s="10"/>
      <c r="B613" s="10"/>
      <c r="C613" s="13" t="s">
        <v>163</v>
      </c>
      <c r="D613" s="162">
        <v>6</v>
      </c>
      <c r="E613" s="178">
        <v>3750</v>
      </c>
      <c r="F613" s="34">
        <v>383952.57332999998</v>
      </c>
    </row>
    <row r="614" spans="1:6">
      <c r="A614" s="10"/>
      <c r="B614" s="10"/>
      <c r="C614" s="13" t="s">
        <v>112</v>
      </c>
      <c r="D614" s="162">
        <v>4</v>
      </c>
      <c r="E614" s="178">
        <v>2650</v>
      </c>
      <c r="F614" s="34">
        <v>15001.24833</v>
      </c>
    </row>
    <row r="615" spans="1:6">
      <c r="A615" s="10"/>
      <c r="B615" s="10"/>
      <c r="C615" s="13" t="s">
        <v>153</v>
      </c>
      <c r="D615" s="162">
        <v>2</v>
      </c>
      <c r="E615" s="178">
        <v>2050</v>
      </c>
      <c r="F615" s="34">
        <v>22781.157999999999</v>
      </c>
    </row>
    <row r="616" spans="1:6">
      <c r="A616" s="10"/>
      <c r="B616" s="8" t="s">
        <v>3854</v>
      </c>
      <c r="C616" s="9"/>
      <c r="D616" s="161">
        <v>65</v>
      </c>
      <c r="E616" s="172">
        <v>43800</v>
      </c>
      <c r="F616" s="33">
        <v>3939402.9666949995</v>
      </c>
    </row>
    <row r="617" spans="1:6">
      <c r="A617" s="8" t="s">
        <v>3127</v>
      </c>
      <c r="B617" s="9"/>
      <c r="C617" s="9"/>
      <c r="D617" s="161">
        <v>65</v>
      </c>
      <c r="E617" s="172">
        <v>43800</v>
      </c>
      <c r="F617" s="33">
        <v>3939402.9666949995</v>
      </c>
    </row>
    <row r="618" spans="1:6">
      <c r="A618" s="8" t="s">
        <v>209</v>
      </c>
      <c r="B618" s="8" t="s">
        <v>3845</v>
      </c>
      <c r="C618" s="8" t="s">
        <v>50</v>
      </c>
      <c r="D618" s="161">
        <v>1</v>
      </c>
      <c r="E618" s="172">
        <v>250</v>
      </c>
      <c r="F618" s="33">
        <v>6216.5149999999994</v>
      </c>
    </row>
    <row r="619" spans="1:6">
      <c r="A619" s="10"/>
      <c r="B619" s="10"/>
      <c r="C619" s="13" t="s">
        <v>62</v>
      </c>
      <c r="D619" s="162">
        <v>3</v>
      </c>
      <c r="E619" s="178">
        <v>525</v>
      </c>
      <c r="F619" s="34">
        <v>10074.209349999999</v>
      </c>
    </row>
    <row r="620" spans="1:6">
      <c r="A620" s="10"/>
      <c r="B620" s="10"/>
      <c r="C620" s="13" t="s">
        <v>35</v>
      </c>
      <c r="D620" s="162">
        <v>1</v>
      </c>
      <c r="E620" s="178">
        <v>75</v>
      </c>
      <c r="F620" s="34">
        <v>1495.1937</v>
      </c>
    </row>
    <row r="621" spans="1:6">
      <c r="A621" s="10"/>
      <c r="B621" s="10"/>
      <c r="C621" s="13" t="s">
        <v>163</v>
      </c>
      <c r="D621" s="162">
        <v>2</v>
      </c>
      <c r="E621" s="178">
        <v>2075</v>
      </c>
      <c r="F621" s="34">
        <v>21868.044999999998</v>
      </c>
    </row>
    <row r="622" spans="1:6">
      <c r="A622" s="10"/>
      <c r="B622" s="10"/>
      <c r="C622" s="13" t="s">
        <v>112</v>
      </c>
      <c r="D622" s="162">
        <v>3</v>
      </c>
      <c r="E622" s="178">
        <v>1675</v>
      </c>
      <c r="F622" s="34">
        <v>66435.675499999998</v>
      </c>
    </row>
    <row r="623" spans="1:6">
      <c r="A623" s="10"/>
      <c r="B623" s="10"/>
      <c r="C623" s="13" t="s">
        <v>153</v>
      </c>
      <c r="D623" s="162">
        <v>58</v>
      </c>
      <c r="E623" s="178">
        <v>28950</v>
      </c>
      <c r="F623" s="34">
        <v>931122.36080999987</v>
      </c>
    </row>
    <row r="624" spans="1:6">
      <c r="A624" s="10"/>
      <c r="B624" s="10"/>
      <c r="C624" s="13" t="s">
        <v>71</v>
      </c>
      <c r="D624" s="162">
        <v>1</v>
      </c>
      <c r="E624" s="178">
        <v>75</v>
      </c>
      <c r="F624" s="34">
        <v>18.77487</v>
      </c>
    </row>
    <row r="625" spans="1:6">
      <c r="A625" s="10"/>
      <c r="B625" s="8" t="s">
        <v>3855</v>
      </c>
      <c r="C625" s="9"/>
      <c r="D625" s="161">
        <v>69</v>
      </c>
      <c r="E625" s="172">
        <v>33625</v>
      </c>
      <c r="F625" s="33">
        <v>1037230.77423</v>
      </c>
    </row>
    <row r="626" spans="1:6">
      <c r="A626" s="8" t="s">
        <v>3128</v>
      </c>
      <c r="B626" s="9"/>
      <c r="C626" s="9"/>
      <c r="D626" s="161">
        <v>69</v>
      </c>
      <c r="E626" s="172">
        <v>33625</v>
      </c>
      <c r="F626" s="33">
        <v>1037230.77423</v>
      </c>
    </row>
    <row r="627" spans="1:6">
      <c r="A627" s="8" t="s">
        <v>32</v>
      </c>
      <c r="B627" s="8" t="s">
        <v>3835</v>
      </c>
      <c r="C627" s="8" t="s">
        <v>50</v>
      </c>
      <c r="D627" s="161">
        <v>2</v>
      </c>
      <c r="E627" s="172">
        <v>950</v>
      </c>
      <c r="F627" s="33">
        <v>1486173.1059999999</v>
      </c>
    </row>
    <row r="628" spans="1:6">
      <c r="A628" s="10"/>
      <c r="B628" s="10"/>
      <c r="C628" s="13" t="s">
        <v>62</v>
      </c>
      <c r="D628" s="162">
        <v>3</v>
      </c>
      <c r="E628" s="178">
        <v>1800</v>
      </c>
      <c r="F628" s="34">
        <v>19402.75675</v>
      </c>
    </row>
    <row r="629" spans="1:6">
      <c r="A629" s="10"/>
      <c r="B629" s="10"/>
      <c r="C629" s="13" t="s">
        <v>35</v>
      </c>
      <c r="D629" s="162">
        <v>43</v>
      </c>
      <c r="E629" s="178">
        <v>21575</v>
      </c>
      <c r="F629" s="34">
        <v>11311774.507250002</v>
      </c>
    </row>
    <row r="630" spans="1:6">
      <c r="A630" s="10"/>
      <c r="B630" s="10"/>
      <c r="C630" s="13" t="s">
        <v>112</v>
      </c>
      <c r="D630" s="162">
        <v>2</v>
      </c>
      <c r="E630" s="178">
        <v>1550</v>
      </c>
      <c r="F630" s="34">
        <v>388.51179999999999</v>
      </c>
    </row>
    <row r="631" spans="1:6">
      <c r="A631" s="10"/>
      <c r="B631" s="10"/>
      <c r="C631" s="13" t="s">
        <v>153</v>
      </c>
      <c r="D631" s="162">
        <v>4</v>
      </c>
      <c r="E631" s="178">
        <v>925</v>
      </c>
      <c r="F631" s="34">
        <v>184591.42474999998</v>
      </c>
    </row>
    <row r="632" spans="1:6">
      <c r="A632" s="10"/>
      <c r="B632" s="10"/>
      <c r="C632" s="13" t="s">
        <v>71</v>
      </c>
      <c r="D632" s="162">
        <v>1</v>
      </c>
      <c r="E632" s="178">
        <v>75</v>
      </c>
      <c r="F632" s="34">
        <v>51084.75</v>
      </c>
    </row>
    <row r="633" spans="1:6">
      <c r="A633" s="10"/>
      <c r="B633" s="8" t="s">
        <v>3856</v>
      </c>
      <c r="C633" s="9"/>
      <c r="D633" s="161">
        <v>55</v>
      </c>
      <c r="E633" s="172">
        <v>26875</v>
      </c>
      <c r="F633" s="33">
        <v>13053415.056550004</v>
      </c>
    </row>
    <row r="634" spans="1:6">
      <c r="A634" s="8" t="s">
        <v>3129</v>
      </c>
      <c r="B634" s="9"/>
      <c r="C634" s="9"/>
      <c r="D634" s="161">
        <v>55</v>
      </c>
      <c r="E634" s="172">
        <v>26875</v>
      </c>
      <c r="F634" s="33">
        <v>13053415.056550004</v>
      </c>
    </row>
    <row r="635" spans="1:6">
      <c r="A635" s="8" t="s">
        <v>215</v>
      </c>
      <c r="B635" s="8" t="s">
        <v>3846</v>
      </c>
      <c r="C635" s="8" t="s">
        <v>50</v>
      </c>
      <c r="D635" s="161">
        <v>2</v>
      </c>
      <c r="E635" s="172">
        <v>1250</v>
      </c>
      <c r="F635" s="33">
        <v>136917.41250000001</v>
      </c>
    </row>
    <row r="636" spans="1:6">
      <c r="A636" s="10"/>
      <c r="B636" s="10"/>
      <c r="C636" s="13" t="s">
        <v>62</v>
      </c>
      <c r="D636" s="162">
        <v>2</v>
      </c>
      <c r="E636" s="178">
        <v>250</v>
      </c>
      <c r="F636" s="34">
        <v>69765.604000000007</v>
      </c>
    </row>
    <row r="637" spans="1:6">
      <c r="A637" s="10"/>
      <c r="B637" s="10"/>
      <c r="C637" s="13" t="s">
        <v>35</v>
      </c>
      <c r="D637" s="162">
        <v>3</v>
      </c>
      <c r="E637" s="178">
        <v>550</v>
      </c>
      <c r="F637" s="34">
        <v>13529.681624999999</v>
      </c>
    </row>
    <row r="638" spans="1:6">
      <c r="A638" s="10"/>
      <c r="B638" s="10"/>
      <c r="C638" s="13" t="s">
        <v>163</v>
      </c>
      <c r="D638" s="162">
        <v>3</v>
      </c>
      <c r="E638" s="178">
        <v>2500</v>
      </c>
      <c r="F638" s="34">
        <v>76064.554000000004</v>
      </c>
    </row>
    <row r="639" spans="1:6">
      <c r="A639" s="10"/>
      <c r="B639" s="10"/>
      <c r="C639" s="13" t="s">
        <v>112</v>
      </c>
      <c r="D639" s="162">
        <v>50</v>
      </c>
      <c r="E639" s="178">
        <v>32625</v>
      </c>
      <c r="F639" s="34">
        <v>2483175.3424349995</v>
      </c>
    </row>
    <row r="640" spans="1:6">
      <c r="A640" s="10"/>
      <c r="B640" s="10"/>
      <c r="C640" s="13" t="s">
        <v>153</v>
      </c>
      <c r="D640" s="162">
        <v>2</v>
      </c>
      <c r="E640" s="178">
        <v>1500</v>
      </c>
      <c r="F640" s="34">
        <v>10113.130000000001</v>
      </c>
    </row>
    <row r="641" spans="1:6">
      <c r="A641" s="10"/>
      <c r="B641" s="10"/>
      <c r="C641" s="13" t="s">
        <v>71</v>
      </c>
      <c r="D641" s="162">
        <v>5</v>
      </c>
      <c r="E641" s="178">
        <v>3300</v>
      </c>
      <c r="F641" s="34">
        <v>6011.5854500000005</v>
      </c>
    </row>
    <row r="642" spans="1:6">
      <c r="A642" s="10"/>
      <c r="B642" s="8" t="s">
        <v>3857</v>
      </c>
      <c r="C642" s="9"/>
      <c r="D642" s="161">
        <v>67</v>
      </c>
      <c r="E642" s="172">
        <v>41975</v>
      </c>
      <c r="F642" s="33">
        <v>2795577.3100099997</v>
      </c>
    </row>
    <row r="643" spans="1:6">
      <c r="A643" s="8" t="s">
        <v>3130</v>
      </c>
      <c r="B643" s="9"/>
      <c r="C643" s="9"/>
      <c r="D643" s="161">
        <v>67</v>
      </c>
      <c r="E643" s="172">
        <v>41975</v>
      </c>
      <c r="F643" s="33">
        <v>2795577.3100099997</v>
      </c>
    </row>
    <row r="644" spans="1:6">
      <c r="A644" s="8" t="s">
        <v>48</v>
      </c>
      <c r="B644" s="8" t="s">
        <v>3836</v>
      </c>
      <c r="C644" s="8" t="s">
        <v>50</v>
      </c>
      <c r="D644" s="161">
        <v>53</v>
      </c>
      <c r="E644" s="172">
        <v>33150</v>
      </c>
      <c r="F644" s="33">
        <v>8710295.1617900003</v>
      </c>
    </row>
    <row r="645" spans="1:6">
      <c r="A645" s="10"/>
      <c r="B645" s="10"/>
      <c r="C645" s="13" t="s">
        <v>62</v>
      </c>
      <c r="D645" s="162">
        <v>2</v>
      </c>
      <c r="E645" s="178">
        <v>1075</v>
      </c>
      <c r="F645" s="34">
        <v>9944.8417499999996</v>
      </c>
    </row>
    <row r="646" spans="1:6">
      <c r="A646" s="10"/>
      <c r="B646" s="10"/>
      <c r="C646" s="13" t="s">
        <v>163</v>
      </c>
      <c r="D646" s="162">
        <v>3</v>
      </c>
      <c r="E646" s="178">
        <v>375</v>
      </c>
      <c r="F646" s="34">
        <v>17584.247499999998</v>
      </c>
    </row>
    <row r="647" spans="1:6">
      <c r="A647" s="10"/>
      <c r="B647" s="10"/>
      <c r="C647" s="13" t="s">
        <v>112</v>
      </c>
      <c r="D647" s="162">
        <v>4</v>
      </c>
      <c r="E647" s="178">
        <v>1825</v>
      </c>
      <c r="F647" s="34">
        <v>19036.075999999997</v>
      </c>
    </row>
    <row r="648" spans="1:6">
      <c r="A648" s="10"/>
      <c r="B648" s="10"/>
      <c r="C648" s="13" t="s">
        <v>153</v>
      </c>
      <c r="D648" s="162">
        <v>3</v>
      </c>
      <c r="E648" s="178">
        <v>550</v>
      </c>
      <c r="F648" s="34">
        <v>981.88103999999998</v>
      </c>
    </row>
    <row r="649" spans="1:6">
      <c r="A649" s="10"/>
      <c r="B649" s="10"/>
      <c r="C649" s="13" t="s">
        <v>71</v>
      </c>
      <c r="D649" s="162">
        <v>2</v>
      </c>
      <c r="E649" s="178">
        <v>2075</v>
      </c>
      <c r="F649" s="34">
        <v>384545.43375000003</v>
      </c>
    </row>
    <row r="650" spans="1:6">
      <c r="A650" s="10"/>
      <c r="B650" s="8" t="s">
        <v>3858</v>
      </c>
      <c r="C650" s="9"/>
      <c r="D650" s="161">
        <v>67</v>
      </c>
      <c r="E650" s="172">
        <v>39050</v>
      </c>
      <c r="F650" s="33">
        <v>9142387.641830001</v>
      </c>
    </row>
    <row r="651" spans="1:6">
      <c r="A651" s="8" t="s">
        <v>3131</v>
      </c>
      <c r="B651" s="9"/>
      <c r="C651" s="9"/>
      <c r="D651" s="161">
        <v>67</v>
      </c>
      <c r="E651" s="172">
        <v>39050</v>
      </c>
      <c r="F651" s="33">
        <v>9142387.641830001</v>
      </c>
    </row>
    <row r="652" spans="1:6">
      <c r="A652" s="8" t="s">
        <v>235</v>
      </c>
      <c r="B652" s="8" t="s">
        <v>3848</v>
      </c>
      <c r="C652" s="8" t="s">
        <v>50</v>
      </c>
      <c r="D652" s="161">
        <v>4</v>
      </c>
      <c r="E652" s="172">
        <v>1350</v>
      </c>
      <c r="F652" s="33">
        <v>174150.32084999999</v>
      </c>
    </row>
    <row r="653" spans="1:6">
      <c r="A653" s="10"/>
      <c r="B653" s="10"/>
      <c r="C653" s="13" t="s">
        <v>62</v>
      </c>
      <c r="D653" s="162">
        <v>5</v>
      </c>
      <c r="E653" s="178">
        <v>1200</v>
      </c>
      <c r="F653" s="34">
        <v>18174.724054999999</v>
      </c>
    </row>
    <row r="654" spans="1:6">
      <c r="A654" s="10"/>
      <c r="B654" s="10"/>
      <c r="C654" s="13" t="s">
        <v>35</v>
      </c>
      <c r="D654" s="162">
        <v>1</v>
      </c>
      <c r="E654" s="178">
        <v>250</v>
      </c>
      <c r="F654" s="34">
        <v>8388.6880000000001</v>
      </c>
    </row>
    <row r="655" spans="1:6">
      <c r="A655" s="10"/>
      <c r="B655" s="10"/>
      <c r="C655" s="13" t="s">
        <v>163</v>
      </c>
      <c r="D655" s="162">
        <v>1</v>
      </c>
      <c r="E655" s="178">
        <v>300</v>
      </c>
      <c r="F655" s="34">
        <v>160713</v>
      </c>
    </row>
    <row r="656" spans="1:6">
      <c r="A656" s="10"/>
      <c r="B656" s="10"/>
      <c r="C656" s="13" t="s">
        <v>112</v>
      </c>
      <c r="D656" s="162">
        <v>2</v>
      </c>
      <c r="E656" s="178">
        <v>3000</v>
      </c>
      <c r="F656" s="34">
        <v>46441.331850000002</v>
      </c>
    </row>
    <row r="657" spans="1:6">
      <c r="A657" s="10"/>
      <c r="B657" s="10"/>
      <c r="C657" s="13" t="s">
        <v>153</v>
      </c>
      <c r="D657" s="162">
        <v>4</v>
      </c>
      <c r="E657" s="178">
        <v>1900</v>
      </c>
      <c r="F657" s="34">
        <v>21194.804947500001</v>
      </c>
    </row>
    <row r="658" spans="1:6">
      <c r="A658" s="10"/>
      <c r="B658" s="10"/>
      <c r="C658" s="13" t="s">
        <v>71</v>
      </c>
      <c r="D658" s="162">
        <v>57</v>
      </c>
      <c r="E658" s="178">
        <v>27875</v>
      </c>
      <c r="F658" s="34">
        <v>1414127.1600224997</v>
      </c>
    </row>
    <row r="659" spans="1:6">
      <c r="A659" s="10"/>
      <c r="B659" s="8" t="s">
        <v>3859</v>
      </c>
      <c r="C659" s="9"/>
      <c r="D659" s="161">
        <v>74</v>
      </c>
      <c r="E659" s="172">
        <v>35875</v>
      </c>
      <c r="F659" s="33">
        <v>1843190.0297249996</v>
      </c>
    </row>
    <row r="660" spans="1:6">
      <c r="A660" s="8" t="s">
        <v>3132</v>
      </c>
      <c r="B660" s="9"/>
      <c r="C660" s="9"/>
      <c r="D660" s="161">
        <v>74</v>
      </c>
      <c r="E660" s="172">
        <v>35875</v>
      </c>
      <c r="F660" s="33">
        <v>1843190.0297249996</v>
      </c>
    </row>
    <row r="661" spans="1:6">
      <c r="A661" s="8" t="s">
        <v>80</v>
      </c>
      <c r="B661" s="8" t="s">
        <v>3839</v>
      </c>
      <c r="C661" s="8" t="s">
        <v>50</v>
      </c>
      <c r="D661" s="161">
        <v>3</v>
      </c>
      <c r="E661" s="172">
        <v>1850</v>
      </c>
      <c r="F661" s="33">
        <v>828.06995999999992</v>
      </c>
    </row>
    <row r="662" spans="1:6">
      <c r="A662" s="10"/>
      <c r="B662" s="10"/>
      <c r="C662" s="13" t="s">
        <v>62</v>
      </c>
      <c r="D662" s="162">
        <v>4</v>
      </c>
      <c r="E662" s="178">
        <v>525</v>
      </c>
      <c r="F662" s="34">
        <v>93034.939500000008</v>
      </c>
    </row>
    <row r="663" spans="1:6">
      <c r="A663" s="10"/>
      <c r="B663" s="10"/>
      <c r="C663" s="13" t="s">
        <v>35</v>
      </c>
      <c r="D663" s="162">
        <v>53</v>
      </c>
      <c r="E663" s="178">
        <v>24175</v>
      </c>
      <c r="F663" s="34">
        <v>2529931.8832599996</v>
      </c>
    </row>
    <row r="664" spans="1:6">
      <c r="A664" s="10"/>
      <c r="B664" s="10"/>
      <c r="C664" s="13" t="s">
        <v>163</v>
      </c>
      <c r="D664" s="162">
        <v>3</v>
      </c>
      <c r="E664" s="178">
        <v>4150</v>
      </c>
      <c r="F664" s="34">
        <v>172503.18159999998</v>
      </c>
    </row>
    <row r="665" spans="1:6">
      <c r="A665" s="10"/>
      <c r="B665" s="10"/>
      <c r="C665" s="13" t="s">
        <v>112</v>
      </c>
      <c r="D665" s="162">
        <v>2</v>
      </c>
      <c r="E665" s="178">
        <v>225</v>
      </c>
      <c r="F665" s="34">
        <v>5194.7827500000003</v>
      </c>
    </row>
    <row r="666" spans="1:6">
      <c r="A666" s="10"/>
      <c r="B666" s="10"/>
      <c r="C666" s="13" t="s">
        <v>153</v>
      </c>
      <c r="D666" s="162">
        <v>6</v>
      </c>
      <c r="E666" s="178">
        <v>1425</v>
      </c>
      <c r="F666" s="34">
        <v>63989.483945</v>
      </c>
    </row>
    <row r="667" spans="1:6">
      <c r="A667" s="10"/>
      <c r="B667" s="10"/>
      <c r="C667" s="13" t="s">
        <v>71</v>
      </c>
      <c r="D667" s="162">
        <v>1</v>
      </c>
      <c r="E667" s="178">
        <v>300</v>
      </c>
      <c r="F667" s="34">
        <v>17745.620999999999</v>
      </c>
    </row>
    <row r="668" spans="1:6">
      <c r="A668" s="10"/>
      <c r="B668" s="8" t="s">
        <v>3860</v>
      </c>
      <c r="C668" s="9"/>
      <c r="D668" s="161">
        <v>72</v>
      </c>
      <c r="E668" s="172">
        <v>32650</v>
      </c>
      <c r="F668" s="33">
        <v>2883227.9620149992</v>
      </c>
    </row>
    <row r="669" spans="1:6">
      <c r="A669" s="8" t="s">
        <v>3133</v>
      </c>
      <c r="B669" s="9"/>
      <c r="C669" s="9"/>
      <c r="D669" s="161">
        <v>72</v>
      </c>
      <c r="E669" s="172">
        <v>32650</v>
      </c>
      <c r="F669" s="33">
        <v>2883227.9620149992</v>
      </c>
    </row>
    <row r="670" spans="1:6">
      <c r="A670" s="8" t="s">
        <v>256</v>
      </c>
      <c r="B670" s="8" t="s">
        <v>3849</v>
      </c>
      <c r="C670" s="8" t="s">
        <v>50</v>
      </c>
      <c r="D670" s="161">
        <v>2</v>
      </c>
      <c r="E670" s="172">
        <v>2000</v>
      </c>
      <c r="F670" s="33">
        <v>6302.3000499999998</v>
      </c>
    </row>
    <row r="671" spans="1:6">
      <c r="A671" s="10"/>
      <c r="B671" s="10"/>
      <c r="C671" s="13" t="s">
        <v>62</v>
      </c>
      <c r="D671" s="162">
        <v>4</v>
      </c>
      <c r="E671" s="178">
        <v>1950</v>
      </c>
      <c r="F671" s="34">
        <v>32863.818599999999</v>
      </c>
    </row>
    <row r="672" spans="1:6">
      <c r="A672" s="10"/>
      <c r="B672" s="10"/>
      <c r="C672" s="13" t="s">
        <v>35</v>
      </c>
      <c r="D672" s="162">
        <v>5</v>
      </c>
      <c r="E672" s="178">
        <v>5550</v>
      </c>
      <c r="F672" s="34">
        <v>208223.24199999997</v>
      </c>
    </row>
    <row r="673" spans="1:6">
      <c r="A673" s="10"/>
      <c r="B673" s="10"/>
      <c r="C673" s="13" t="s">
        <v>163</v>
      </c>
      <c r="D673" s="162">
        <v>3</v>
      </c>
      <c r="E673" s="178">
        <v>1575</v>
      </c>
      <c r="F673" s="34">
        <v>260040.37035000001</v>
      </c>
    </row>
    <row r="674" spans="1:6">
      <c r="A674" s="10"/>
      <c r="B674" s="10"/>
      <c r="C674" s="13" t="s">
        <v>153</v>
      </c>
      <c r="D674" s="162">
        <v>45</v>
      </c>
      <c r="E674" s="178">
        <v>19550</v>
      </c>
      <c r="F674" s="34">
        <v>3189256.0578149995</v>
      </c>
    </row>
    <row r="675" spans="1:6">
      <c r="A675" s="10"/>
      <c r="B675" s="10"/>
      <c r="C675" s="13" t="s">
        <v>71</v>
      </c>
      <c r="D675" s="162">
        <v>4</v>
      </c>
      <c r="E675" s="178">
        <v>1100</v>
      </c>
      <c r="F675" s="34">
        <v>114812.75049000001</v>
      </c>
    </row>
    <row r="676" spans="1:6">
      <c r="A676" s="10"/>
      <c r="B676" s="8" t="s">
        <v>3861</v>
      </c>
      <c r="C676" s="9"/>
      <c r="D676" s="161">
        <v>63</v>
      </c>
      <c r="E676" s="172">
        <v>31725</v>
      </c>
      <c r="F676" s="33">
        <v>3811498.5393049992</v>
      </c>
    </row>
    <row r="677" spans="1:6">
      <c r="A677" s="8" t="s">
        <v>3134</v>
      </c>
      <c r="B677" s="9"/>
      <c r="C677" s="9"/>
      <c r="D677" s="161">
        <v>63</v>
      </c>
      <c r="E677" s="172">
        <v>31725</v>
      </c>
      <c r="F677" s="33">
        <v>3811498.5393049992</v>
      </c>
    </row>
    <row r="678" spans="1:6">
      <c r="A678" s="8" t="s">
        <v>142</v>
      </c>
      <c r="B678" s="8" t="s">
        <v>3843</v>
      </c>
      <c r="C678" s="8" t="s">
        <v>50</v>
      </c>
      <c r="D678" s="161">
        <v>42</v>
      </c>
      <c r="E678" s="172">
        <v>18700</v>
      </c>
      <c r="F678" s="33">
        <v>9301663.398632504</v>
      </c>
    </row>
    <row r="679" spans="1:6">
      <c r="A679" s="10"/>
      <c r="B679" s="10"/>
      <c r="C679" s="13" t="s">
        <v>62</v>
      </c>
      <c r="D679" s="162">
        <v>1</v>
      </c>
      <c r="E679" s="178">
        <v>50</v>
      </c>
      <c r="F679" s="34">
        <v>296.495</v>
      </c>
    </row>
    <row r="680" spans="1:6">
      <c r="A680" s="10"/>
      <c r="B680" s="10"/>
      <c r="C680" s="13" t="s">
        <v>35</v>
      </c>
      <c r="D680" s="162">
        <v>1</v>
      </c>
      <c r="E680" s="178">
        <v>750</v>
      </c>
      <c r="F680" s="34">
        <v>220080</v>
      </c>
    </row>
    <row r="681" spans="1:6">
      <c r="A681" s="10"/>
      <c r="B681" s="10"/>
      <c r="C681" s="13" t="s">
        <v>163</v>
      </c>
      <c r="D681" s="162">
        <v>5</v>
      </c>
      <c r="E681" s="178">
        <v>3100</v>
      </c>
      <c r="F681" s="34">
        <v>106788.01300000001</v>
      </c>
    </row>
    <row r="682" spans="1:6">
      <c r="A682" s="10"/>
      <c r="B682" s="10"/>
      <c r="C682" s="13" t="s">
        <v>153</v>
      </c>
      <c r="D682" s="162">
        <v>3</v>
      </c>
      <c r="E682" s="178">
        <v>400</v>
      </c>
      <c r="F682" s="34">
        <v>8208.7897499999999</v>
      </c>
    </row>
    <row r="683" spans="1:6">
      <c r="A683" s="10"/>
      <c r="B683" s="10"/>
      <c r="C683" s="13" t="s">
        <v>71</v>
      </c>
      <c r="D683" s="162">
        <v>1</v>
      </c>
      <c r="E683" s="178">
        <v>300</v>
      </c>
      <c r="F683" s="34">
        <v>109542</v>
      </c>
    </row>
    <row r="684" spans="1:6">
      <c r="A684" s="10"/>
      <c r="B684" s="8" t="s">
        <v>3862</v>
      </c>
      <c r="C684" s="9"/>
      <c r="D684" s="161">
        <v>53</v>
      </c>
      <c r="E684" s="172">
        <v>23300</v>
      </c>
      <c r="F684" s="33">
        <v>9746578.6963825021</v>
      </c>
    </row>
    <row r="685" spans="1:6">
      <c r="A685" s="8" t="s">
        <v>3135</v>
      </c>
      <c r="B685" s="9"/>
      <c r="C685" s="9"/>
      <c r="D685" s="161">
        <v>53</v>
      </c>
      <c r="E685" s="172">
        <v>23300</v>
      </c>
      <c r="F685" s="33">
        <v>9746578.6963825021</v>
      </c>
    </row>
    <row r="686" spans="1:6">
      <c r="A686" s="8" t="s">
        <v>60</v>
      </c>
      <c r="B686" s="8" t="s">
        <v>3837</v>
      </c>
      <c r="C686" s="8" t="s">
        <v>62</v>
      </c>
      <c r="D686" s="161">
        <v>48</v>
      </c>
      <c r="E686" s="172">
        <v>25850</v>
      </c>
      <c r="F686" s="33">
        <v>2225344.4752600002</v>
      </c>
    </row>
    <row r="687" spans="1:6">
      <c r="A687" s="10"/>
      <c r="B687" s="10"/>
      <c r="C687" s="13" t="s">
        <v>35</v>
      </c>
      <c r="D687" s="162">
        <v>6</v>
      </c>
      <c r="E687" s="178">
        <v>3225</v>
      </c>
      <c r="F687" s="34">
        <v>4895421.3357499996</v>
      </c>
    </row>
    <row r="688" spans="1:6">
      <c r="A688" s="10"/>
      <c r="B688" s="10"/>
      <c r="C688" s="13" t="s">
        <v>163</v>
      </c>
      <c r="D688" s="162">
        <v>2</v>
      </c>
      <c r="E688" s="178">
        <v>575</v>
      </c>
      <c r="F688" s="34">
        <v>6598.8452500000003</v>
      </c>
    </row>
    <row r="689" spans="1:6">
      <c r="A689" s="10"/>
      <c r="B689" s="10"/>
      <c r="C689" s="13" t="s">
        <v>112</v>
      </c>
      <c r="D689" s="162">
        <v>2</v>
      </c>
      <c r="E689" s="178">
        <v>750</v>
      </c>
      <c r="F689" s="34">
        <v>11.754824999999999</v>
      </c>
    </row>
    <row r="690" spans="1:6">
      <c r="A690" s="10"/>
      <c r="B690" s="10"/>
      <c r="C690" s="13" t="s">
        <v>153</v>
      </c>
      <c r="D690" s="162">
        <v>3</v>
      </c>
      <c r="E690" s="178">
        <v>1000</v>
      </c>
      <c r="F690" s="34">
        <v>4627.1484799999998</v>
      </c>
    </row>
    <row r="691" spans="1:6">
      <c r="A691" s="10"/>
      <c r="B691" s="10"/>
      <c r="C691" s="13" t="s">
        <v>71</v>
      </c>
      <c r="D691" s="162">
        <v>3</v>
      </c>
      <c r="E691" s="178">
        <v>1700</v>
      </c>
      <c r="F691" s="34">
        <v>330596.24694500002</v>
      </c>
    </row>
    <row r="692" spans="1:6">
      <c r="A692" s="10"/>
      <c r="B692" s="8" t="s">
        <v>3863</v>
      </c>
      <c r="C692" s="9"/>
      <c r="D692" s="161">
        <v>64</v>
      </c>
      <c r="E692" s="172">
        <v>33100</v>
      </c>
      <c r="F692" s="33">
        <v>7462599.8065099986</v>
      </c>
    </row>
    <row r="693" spans="1:6">
      <c r="A693" s="8" t="s">
        <v>3136</v>
      </c>
      <c r="B693" s="9"/>
      <c r="C693" s="9"/>
      <c r="D693" s="161">
        <v>64</v>
      </c>
      <c r="E693" s="172">
        <v>33100</v>
      </c>
      <c r="F693" s="33">
        <v>7462599.8065099986</v>
      </c>
    </row>
    <row r="694" spans="1:6">
      <c r="A694" s="8" t="s">
        <v>69</v>
      </c>
      <c r="B694" s="8" t="s">
        <v>3838</v>
      </c>
      <c r="C694" s="8" t="s">
        <v>50</v>
      </c>
      <c r="D694" s="161">
        <v>4</v>
      </c>
      <c r="E694" s="172">
        <v>2825</v>
      </c>
      <c r="F694" s="33">
        <v>2150857.6287500001</v>
      </c>
    </row>
    <row r="695" spans="1:6">
      <c r="A695" s="10"/>
      <c r="B695" s="10"/>
      <c r="C695" s="13" t="s">
        <v>62</v>
      </c>
      <c r="D695" s="162">
        <v>3</v>
      </c>
      <c r="E695" s="178">
        <v>1200</v>
      </c>
      <c r="F695" s="34">
        <v>62356.614099999999</v>
      </c>
    </row>
    <row r="696" spans="1:6">
      <c r="A696" s="10"/>
      <c r="B696" s="10"/>
      <c r="C696" s="13" t="s">
        <v>35</v>
      </c>
      <c r="D696" s="162">
        <v>7</v>
      </c>
      <c r="E696" s="178">
        <v>4450</v>
      </c>
      <c r="F696" s="34">
        <v>325470.15794999996</v>
      </c>
    </row>
    <row r="697" spans="1:6">
      <c r="A697" s="10"/>
      <c r="B697" s="10"/>
      <c r="C697" s="13" t="s">
        <v>163</v>
      </c>
      <c r="D697" s="162">
        <v>2</v>
      </c>
      <c r="E697" s="178">
        <v>700</v>
      </c>
      <c r="F697" s="34">
        <v>356928.62599999999</v>
      </c>
    </row>
    <row r="698" spans="1:6">
      <c r="A698" s="10"/>
      <c r="B698" s="10"/>
      <c r="C698" s="13" t="s">
        <v>112</v>
      </c>
      <c r="D698" s="162">
        <v>54</v>
      </c>
      <c r="E698" s="178">
        <v>27700</v>
      </c>
      <c r="F698" s="34">
        <v>2555164.3477300005</v>
      </c>
    </row>
    <row r="699" spans="1:6">
      <c r="A699" s="10"/>
      <c r="B699" s="10"/>
      <c r="C699" s="13" t="s">
        <v>153</v>
      </c>
      <c r="D699" s="162">
        <v>4</v>
      </c>
      <c r="E699" s="178">
        <v>1250</v>
      </c>
      <c r="F699" s="34">
        <v>220129.23963</v>
      </c>
    </row>
    <row r="700" spans="1:6">
      <c r="A700" s="10"/>
      <c r="B700" s="10"/>
      <c r="C700" s="13" t="s">
        <v>71</v>
      </c>
      <c r="D700" s="162">
        <v>3</v>
      </c>
      <c r="E700" s="178">
        <v>3075</v>
      </c>
      <c r="F700" s="34">
        <v>451994.32390000002</v>
      </c>
    </row>
    <row r="701" spans="1:6">
      <c r="A701" s="10"/>
      <c r="B701" s="8" t="s">
        <v>3864</v>
      </c>
      <c r="C701" s="9"/>
      <c r="D701" s="161">
        <v>77</v>
      </c>
      <c r="E701" s="172">
        <v>41200</v>
      </c>
      <c r="F701" s="33">
        <v>6122900.9380599996</v>
      </c>
    </row>
    <row r="702" spans="1:6">
      <c r="A702" s="8" t="s">
        <v>3137</v>
      </c>
      <c r="B702" s="9"/>
      <c r="C702" s="9"/>
      <c r="D702" s="161">
        <v>77</v>
      </c>
      <c r="E702" s="172">
        <v>41200</v>
      </c>
      <c r="F702" s="33">
        <v>6122900.9380599996</v>
      </c>
    </row>
    <row r="703" spans="1:6">
      <c r="A703" s="12" t="s">
        <v>3122</v>
      </c>
      <c r="B703" s="14"/>
      <c r="C703" s="14"/>
      <c r="D703" s="163">
        <v>1000</v>
      </c>
      <c r="E703" s="173">
        <v>548375</v>
      </c>
      <c r="F703" s="35">
        <v>87722496.498655036</v>
      </c>
    </row>
    <row r="707" spans="1:13">
      <c r="A707" s="156" t="s">
        <v>3230</v>
      </c>
      <c r="B707" s="121"/>
    </row>
    <row r="708" spans="1:13">
      <c r="A708" s="157" t="s">
        <v>3817</v>
      </c>
    </row>
    <row r="709" spans="1:13">
      <c r="A709" s="11" t="s">
        <v>3149</v>
      </c>
      <c r="B709" s="11" t="s">
        <v>19</v>
      </c>
      <c r="C709" s="9"/>
      <c r="D709" s="9"/>
      <c r="E709" s="9"/>
      <c r="F709" s="9"/>
      <c r="G709" s="9"/>
      <c r="H709" s="9"/>
      <c r="I709" s="20"/>
      <c r="J709"/>
      <c r="K709"/>
      <c r="L709"/>
      <c r="M709"/>
    </row>
    <row r="710" spans="1:13">
      <c r="A710" s="11" t="s">
        <v>4</v>
      </c>
      <c r="B710" s="22" t="s">
        <v>270</v>
      </c>
      <c r="C710" s="25" t="s">
        <v>87</v>
      </c>
      <c r="D710" s="25" t="s">
        <v>166</v>
      </c>
      <c r="E710" s="25" t="s">
        <v>135</v>
      </c>
      <c r="F710" s="25" t="s">
        <v>205</v>
      </c>
      <c r="G710" s="25" t="s">
        <v>39</v>
      </c>
      <c r="H710" s="25" t="s">
        <v>362</v>
      </c>
      <c r="I710" s="26" t="s">
        <v>3122</v>
      </c>
      <c r="J710"/>
      <c r="K710"/>
      <c r="L710"/>
      <c r="M710"/>
    </row>
    <row r="711" spans="1:13">
      <c r="A711" s="8" t="s">
        <v>3844</v>
      </c>
      <c r="B711" s="164">
        <v>8</v>
      </c>
      <c r="C711" s="174">
        <v>20</v>
      </c>
      <c r="D711" s="174">
        <v>4</v>
      </c>
      <c r="E711" s="174">
        <v>25</v>
      </c>
      <c r="F711" s="174">
        <v>5</v>
      </c>
      <c r="G711" s="174">
        <v>12</v>
      </c>
      <c r="H711" s="174">
        <v>4</v>
      </c>
      <c r="I711" s="175">
        <v>78</v>
      </c>
      <c r="J711"/>
      <c r="K711"/>
      <c r="L711"/>
      <c r="M711"/>
    </row>
    <row r="712" spans="1:13">
      <c r="A712" s="13" t="s">
        <v>3838</v>
      </c>
      <c r="B712" s="166">
        <v>8</v>
      </c>
      <c r="C712" s="179">
        <v>18</v>
      </c>
      <c r="D712" s="179">
        <v>4</v>
      </c>
      <c r="E712" s="179">
        <v>27</v>
      </c>
      <c r="F712" s="179">
        <v>10</v>
      </c>
      <c r="G712" s="179">
        <v>8</v>
      </c>
      <c r="H712" s="179">
        <v>2</v>
      </c>
      <c r="I712" s="180">
        <v>77</v>
      </c>
      <c r="J712"/>
      <c r="K712"/>
      <c r="L712"/>
      <c r="M712"/>
    </row>
    <row r="713" spans="1:13">
      <c r="A713" s="13" t="s">
        <v>3841</v>
      </c>
      <c r="B713" s="166">
        <v>5</v>
      </c>
      <c r="C713" s="179">
        <v>25</v>
      </c>
      <c r="D713" s="179">
        <v>6</v>
      </c>
      <c r="E713" s="179">
        <v>20</v>
      </c>
      <c r="F713" s="179">
        <v>9</v>
      </c>
      <c r="G713" s="179">
        <v>11</v>
      </c>
      <c r="H713" s="179"/>
      <c r="I713" s="180">
        <v>76</v>
      </c>
      <c r="J713"/>
      <c r="K713"/>
      <c r="L713"/>
      <c r="M713"/>
    </row>
    <row r="714" spans="1:13">
      <c r="A714" s="13" t="s">
        <v>3848</v>
      </c>
      <c r="B714" s="166">
        <v>7</v>
      </c>
      <c r="C714" s="179">
        <v>21</v>
      </c>
      <c r="D714" s="179">
        <v>3</v>
      </c>
      <c r="E714" s="179">
        <v>20</v>
      </c>
      <c r="F714" s="179">
        <v>9</v>
      </c>
      <c r="G714" s="179">
        <v>14</v>
      </c>
      <c r="H714" s="179"/>
      <c r="I714" s="180">
        <v>74</v>
      </c>
      <c r="J714"/>
      <c r="K714"/>
      <c r="L714"/>
      <c r="M714"/>
    </row>
    <row r="715" spans="1:13">
      <c r="A715" s="13" t="s">
        <v>3839</v>
      </c>
      <c r="B715" s="166">
        <v>7</v>
      </c>
      <c r="C715" s="179">
        <v>17</v>
      </c>
      <c r="D715" s="179">
        <v>2</v>
      </c>
      <c r="E715" s="179">
        <v>22</v>
      </c>
      <c r="F715" s="179">
        <v>15</v>
      </c>
      <c r="G715" s="179">
        <v>9</v>
      </c>
      <c r="H715" s="179"/>
      <c r="I715" s="180">
        <v>72</v>
      </c>
      <c r="J715"/>
      <c r="K715"/>
      <c r="L715"/>
      <c r="M715"/>
    </row>
    <row r="716" spans="1:13">
      <c r="A716" s="13" t="s">
        <v>3845</v>
      </c>
      <c r="B716" s="166">
        <v>6</v>
      </c>
      <c r="C716" s="179">
        <v>17</v>
      </c>
      <c r="D716" s="179">
        <v>2</v>
      </c>
      <c r="E716" s="179">
        <v>22</v>
      </c>
      <c r="F716" s="179">
        <v>9</v>
      </c>
      <c r="G716" s="179">
        <v>12</v>
      </c>
      <c r="H716" s="179">
        <v>1</v>
      </c>
      <c r="I716" s="180">
        <v>69</v>
      </c>
      <c r="J716"/>
      <c r="K716"/>
      <c r="L716"/>
      <c r="M716"/>
    </row>
    <row r="717" spans="1:13">
      <c r="A717" s="13" t="s">
        <v>3846</v>
      </c>
      <c r="B717" s="166">
        <v>11</v>
      </c>
      <c r="C717" s="179">
        <v>15</v>
      </c>
      <c r="D717" s="179">
        <v>8</v>
      </c>
      <c r="E717" s="179">
        <v>13</v>
      </c>
      <c r="F717" s="179">
        <v>5</v>
      </c>
      <c r="G717" s="179">
        <v>12</v>
      </c>
      <c r="H717" s="179">
        <v>3</v>
      </c>
      <c r="I717" s="180">
        <v>67</v>
      </c>
      <c r="J717"/>
      <c r="K717"/>
      <c r="L717"/>
      <c r="M717"/>
    </row>
    <row r="718" spans="1:13">
      <c r="A718" s="13" t="s">
        <v>3836</v>
      </c>
      <c r="B718" s="166">
        <v>10</v>
      </c>
      <c r="C718" s="179">
        <v>16</v>
      </c>
      <c r="D718" s="179">
        <v>4</v>
      </c>
      <c r="E718" s="179">
        <v>14</v>
      </c>
      <c r="F718" s="179">
        <v>9</v>
      </c>
      <c r="G718" s="179">
        <v>14</v>
      </c>
      <c r="H718" s="179"/>
      <c r="I718" s="180">
        <v>67</v>
      </c>
      <c r="J718"/>
      <c r="K718"/>
      <c r="L718"/>
      <c r="M718"/>
    </row>
    <row r="719" spans="1:13">
      <c r="A719" s="13" t="s">
        <v>3842</v>
      </c>
      <c r="B719" s="166">
        <v>7</v>
      </c>
      <c r="C719" s="179">
        <v>18</v>
      </c>
      <c r="D719" s="179">
        <v>5</v>
      </c>
      <c r="E719" s="179">
        <v>17</v>
      </c>
      <c r="F719" s="179">
        <v>10</v>
      </c>
      <c r="G719" s="179">
        <v>8</v>
      </c>
      <c r="H719" s="179"/>
      <c r="I719" s="180">
        <v>65</v>
      </c>
    </row>
    <row r="720" spans="1:13">
      <c r="A720" s="13" t="s">
        <v>3837</v>
      </c>
      <c r="B720" s="166">
        <v>4</v>
      </c>
      <c r="C720" s="179">
        <v>16</v>
      </c>
      <c r="D720" s="179">
        <v>5</v>
      </c>
      <c r="E720" s="179">
        <v>25</v>
      </c>
      <c r="F720" s="179">
        <v>3</v>
      </c>
      <c r="G720" s="179">
        <v>8</v>
      </c>
      <c r="H720" s="179">
        <v>3</v>
      </c>
      <c r="I720" s="180">
        <v>64</v>
      </c>
    </row>
    <row r="721" spans="1:13">
      <c r="A721" s="13" t="s">
        <v>3849</v>
      </c>
      <c r="B721" s="166">
        <v>8</v>
      </c>
      <c r="C721" s="179">
        <v>19</v>
      </c>
      <c r="D721" s="179">
        <v>4</v>
      </c>
      <c r="E721" s="179">
        <v>14</v>
      </c>
      <c r="F721" s="179">
        <v>11</v>
      </c>
      <c r="G721" s="179">
        <v>7</v>
      </c>
      <c r="H721" s="179"/>
      <c r="I721" s="180">
        <v>63</v>
      </c>
    </row>
    <row r="722" spans="1:13">
      <c r="A722" s="13" t="s">
        <v>3840</v>
      </c>
      <c r="B722" s="166">
        <v>4</v>
      </c>
      <c r="C722" s="179">
        <v>23</v>
      </c>
      <c r="D722" s="179">
        <v>4</v>
      </c>
      <c r="E722" s="179">
        <v>12</v>
      </c>
      <c r="F722" s="179">
        <v>8</v>
      </c>
      <c r="G722" s="179">
        <v>10</v>
      </c>
      <c r="H722" s="179"/>
      <c r="I722" s="180">
        <v>61</v>
      </c>
    </row>
    <row r="723" spans="1:13">
      <c r="A723" s="13" t="s">
        <v>3847</v>
      </c>
      <c r="B723" s="166">
        <v>7</v>
      </c>
      <c r="C723" s="179">
        <v>11</v>
      </c>
      <c r="D723" s="179">
        <v>7</v>
      </c>
      <c r="E723" s="179">
        <v>16</v>
      </c>
      <c r="F723" s="179">
        <v>6</v>
      </c>
      <c r="G723" s="179">
        <v>11</v>
      </c>
      <c r="H723" s="179">
        <v>1</v>
      </c>
      <c r="I723" s="180">
        <v>59</v>
      </c>
    </row>
    <row r="724" spans="1:13">
      <c r="A724" s="13" t="s">
        <v>3835</v>
      </c>
      <c r="B724" s="166">
        <v>5</v>
      </c>
      <c r="C724" s="179">
        <v>22</v>
      </c>
      <c r="D724" s="179">
        <v>3</v>
      </c>
      <c r="E724" s="179">
        <v>14</v>
      </c>
      <c r="F724" s="179">
        <v>5</v>
      </c>
      <c r="G724" s="179">
        <v>6</v>
      </c>
      <c r="H724" s="179"/>
      <c r="I724" s="180">
        <v>55</v>
      </c>
    </row>
    <row r="725" spans="1:13">
      <c r="A725" s="13" t="s">
        <v>3843</v>
      </c>
      <c r="B725" s="166">
        <v>7</v>
      </c>
      <c r="C725" s="179">
        <v>10</v>
      </c>
      <c r="D725" s="179">
        <v>6</v>
      </c>
      <c r="E725" s="179">
        <v>17</v>
      </c>
      <c r="F725" s="179">
        <v>6</v>
      </c>
      <c r="G725" s="179">
        <v>7</v>
      </c>
      <c r="H725" s="179"/>
      <c r="I725" s="180">
        <v>53</v>
      </c>
    </row>
    <row r="726" spans="1:13" s="40" customFormat="1">
      <c r="A726" s="42" t="s">
        <v>3122</v>
      </c>
      <c r="B726" s="170">
        <v>104</v>
      </c>
      <c r="C726" s="181">
        <v>268</v>
      </c>
      <c r="D726" s="181">
        <v>67</v>
      </c>
      <c r="E726" s="181">
        <v>278</v>
      </c>
      <c r="F726" s="181">
        <v>120</v>
      </c>
      <c r="G726" s="181">
        <v>149</v>
      </c>
      <c r="H726" s="181">
        <v>14</v>
      </c>
      <c r="I726" s="182">
        <v>1000</v>
      </c>
      <c r="J726" s="41"/>
      <c r="K726" s="41"/>
      <c r="L726" s="41"/>
      <c r="M726" s="41"/>
    </row>
    <row r="732" spans="1:13">
      <c r="A732" s="158" t="s">
        <v>3816</v>
      </c>
    </row>
    <row r="733" spans="1:13">
      <c r="A733" s="11" t="s">
        <v>3153</v>
      </c>
      <c r="B733" s="11" t="s">
        <v>19</v>
      </c>
      <c r="C733" s="9"/>
      <c r="D733" s="9"/>
      <c r="E733" s="9"/>
      <c r="F733" s="9"/>
      <c r="G733" s="9"/>
      <c r="H733" s="9"/>
      <c r="I733" s="20"/>
    </row>
    <row r="734" spans="1:13">
      <c r="A734" s="11" t="s">
        <v>4</v>
      </c>
      <c r="B734" s="22" t="s">
        <v>270</v>
      </c>
      <c r="C734" s="25" t="s">
        <v>87</v>
      </c>
      <c r="D734" s="25" t="s">
        <v>166</v>
      </c>
      <c r="E734" s="25" t="s">
        <v>135</v>
      </c>
      <c r="F734" s="25" t="s">
        <v>205</v>
      </c>
      <c r="G734" s="25" t="s">
        <v>39</v>
      </c>
      <c r="H734" s="25" t="s">
        <v>362</v>
      </c>
      <c r="I734" s="26" t="s">
        <v>3122</v>
      </c>
      <c r="J734" s="121" t="s">
        <v>4</v>
      </c>
      <c r="K734" s="121" t="s">
        <v>3209</v>
      </c>
    </row>
    <row r="735" spans="1:13">
      <c r="A735" s="8" t="s">
        <v>3835</v>
      </c>
      <c r="B735" s="164">
        <v>2000</v>
      </c>
      <c r="C735" s="174">
        <v>7750</v>
      </c>
      <c r="D735" s="174">
        <v>925</v>
      </c>
      <c r="E735" s="174">
        <v>10300</v>
      </c>
      <c r="F735" s="174">
        <v>3250</v>
      </c>
      <c r="G735" s="174">
        <v>2650</v>
      </c>
      <c r="H735" s="174"/>
      <c r="I735" s="175">
        <v>26875</v>
      </c>
      <c r="J735" s="121" t="s">
        <v>257</v>
      </c>
      <c r="K735" s="122">
        <f t="shared" ref="K735:K749" si="25">B735/I735</f>
        <v>7.441860465116279E-2</v>
      </c>
      <c r="L735" s="23">
        <f>RANK(K735,K735:K749)</f>
        <v>12</v>
      </c>
    </row>
    <row r="736" spans="1:13">
      <c r="A736" s="13" t="s">
        <v>3836</v>
      </c>
      <c r="B736" s="166">
        <v>7200</v>
      </c>
      <c r="C736" s="179">
        <v>6875</v>
      </c>
      <c r="D736" s="179">
        <v>2500</v>
      </c>
      <c r="E736" s="179">
        <v>6225</v>
      </c>
      <c r="F736" s="179">
        <v>8525</v>
      </c>
      <c r="G736" s="179">
        <v>7725</v>
      </c>
      <c r="H736" s="179"/>
      <c r="I736" s="180">
        <v>39050</v>
      </c>
      <c r="J736" s="121" t="s">
        <v>210</v>
      </c>
      <c r="K736" s="122">
        <f t="shared" si="25"/>
        <v>0.18437900128040974</v>
      </c>
      <c r="L736" s="23">
        <f t="shared" ref="L736:L738" si="26">RANK(K736,K736:K750)</f>
        <v>2</v>
      </c>
    </row>
    <row r="737" spans="1:12">
      <c r="A737" s="13" t="s">
        <v>3837</v>
      </c>
      <c r="B737" s="166">
        <v>3700</v>
      </c>
      <c r="C737" s="179">
        <v>8750</v>
      </c>
      <c r="D737" s="179">
        <v>4500</v>
      </c>
      <c r="E737" s="179">
        <v>11550</v>
      </c>
      <c r="F737" s="179">
        <v>300</v>
      </c>
      <c r="G737" s="179">
        <v>3750</v>
      </c>
      <c r="H737" s="179">
        <v>550</v>
      </c>
      <c r="I737" s="180">
        <v>33100</v>
      </c>
      <c r="J737" s="121" t="s">
        <v>236</v>
      </c>
      <c r="K737" s="122">
        <f t="shared" si="25"/>
        <v>0.11178247734138973</v>
      </c>
      <c r="L737" s="23">
        <f t="shared" si="26"/>
        <v>7</v>
      </c>
    </row>
    <row r="738" spans="1:12">
      <c r="A738" s="13" t="s">
        <v>3838</v>
      </c>
      <c r="B738" s="166">
        <v>5500</v>
      </c>
      <c r="C738" s="179">
        <v>8600</v>
      </c>
      <c r="D738" s="179">
        <v>3575</v>
      </c>
      <c r="E738" s="179">
        <v>8325</v>
      </c>
      <c r="F738" s="179">
        <v>7900</v>
      </c>
      <c r="G738" s="179">
        <v>6225</v>
      </c>
      <c r="H738" s="179">
        <v>1075</v>
      </c>
      <c r="I738" s="180">
        <v>41200</v>
      </c>
      <c r="J738" s="121" t="s">
        <v>119</v>
      </c>
      <c r="K738" s="122">
        <f t="shared" si="25"/>
        <v>0.13349514563106796</v>
      </c>
      <c r="L738" s="23">
        <f t="shared" si="26"/>
        <v>6</v>
      </c>
    </row>
    <row r="739" spans="1:12">
      <c r="A739" s="13" t="s">
        <v>3839</v>
      </c>
      <c r="B739" s="166">
        <v>5075</v>
      </c>
      <c r="C739" s="179">
        <v>9675</v>
      </c>
      <c r="D739" s="179">
        <v>1300</v>
      </c>
      <c r="E739" s="179">
        <v>6125</v>
      </c>
      <c r="F739" s="179">
        <v>8350</v>
      </c>
      <c r="G739" s="179">
        <v>2125</v>
      </c>
      <c r="H739" s="179"/>
      <c r="I739" s="180">
        <v>32650</v>
      </c>
      <c r="J739" s="121" t="s">
        <v>143</v>
      </c>
      <c r="K739" s="122">
        <f t="shared" si="25"/>
        <v>0.1554364471669219</v>
      </c>
      <c r="L739" s="23">
        <f t="shared" ref="L739:L750" si="27">RANK(K739,K739:K802)</f>
        <v>3</v>
      </c>
    </row>
    <row r="740" spans="1:12">
      <c r="A740" s="13" t="s">
        <v>3840</v>
      </c>
      <c r="B740" s="166">
        <v>725</v>
      </c>
      <c r="C740" s="179">
        <v>12025</v>
      </c>
      <c r="D740" s="179">
        <v>1800</v>
      </c>
      <c r="E740" s="179">
        <v>8925</v>
      </c>
      <c r="F740" s="179">
        <v>5075</v>
      </c>
      <c r="G740" s="179">
        <v>5725</v>
      </c>
      <c r="H740" s="179"/>
      <c r="I740" s="180">
        <v>34275</v>
      </c>
      <c r="J740" s="121" t="s">
        <v>33</v>
      </c>
      <c r="K740" s="122">
        <f t="shared" si="25"/>
        <v>2.1152443471918306E-2</v>
      </c>
      <c r="L740" s="23">
        <f t="shared" si="27"/>
        <v>17</v>
      </c>
    </row>
    <row r="741" spans="1:12">
      <c r="A741" s="13" t="s">
        <v>3841</v>
      </c>
      <c r="B741" s="166">
        <v>1400</v>
      </c>
      <c r="C741" s="179">
        <v>15250</v>
      </c>
      <c r="D741" s="179">
        <v>2800</v>
      </c>
      <c r="E741" s="179">
        <v>12050</v>
      </c>
      <c r="F741" s="179">
        <v>3650</v>
      </c>
      <c r="G741" s="179">
        <v>3375</v>
      </c>
      <c r="H741" s="179"/>
      <c r="I741" s="180">
        <v>38525</v>
      </c>
      <c r="J741" s="121" t="s">
        <v>111</v>
      </c>
      <c r="K741" s="122">
        <f t="shared" si="25"/>
        <v>3.6340038935756006E-2</v>
      </c>
      <c r="L741" s="23">
        <f t="shared" si="27"/>
        <v>13</v>
      </c>
    </row>
    <row r="742" spans="1:12">
      <c r="A742" s="13" t="s">
        <v>3842</v>
      </c>
      <c r="B742" s="166">
        <v>3775</v>
      </c>
      <c r="C742" s="179">
        <v>12550</v>
      </c>
      <c r="D742" s="179">
        <v>2600</v>
      </c>
      <c r="E742" s="179">
        <v>10625</v>
      </c>
      <c r="F742" s="179">
        <v>9850</v>
      </c>
      <c r="G742" s="179">
        <v>4400</v>
      </c>
      <c r="H742" s="179"/>
      <c r="I742" s="180">
        <v>43800</v>
      </c>
      <c r="J742" s="121" t="s">
        <v>466</v>
      </c>
      <c r="K742" s="122">
        <f t="shared" si="25"/>
        <v>8.6187214611872148E-2</v>
      </c>
      <c r="L742" s="23">
        <f t="shared" si="27"/>
        <v>8</v>
      </c>
    </row>
    <row r="743" spans="1:12">
      <c r="A743" s="13" t="s">
        <v>3843</v>
      </c>
      <c r="B743" s="166">
        <v>4350</v>
      </c>
      <c r="C743" s="179">
        <v>4650</v>
      </c>
      <c r="D743" s="179">
        <v>5000</v>
      </c>
      <c r="E743" s="179">
        <v>4450</v>
      </c>
      <c r="F743" s="179">
        <v>3350</v>
      </c>
      <c r="G743" s="179">
        <v>1500</v>
      </c>
      <c r="H743" s="179"/>
      <c r="I743" s="180">
        <v>23300</v>
      </c>
      <c r="J743" s="121" t="s">
        <v>101</v>
      </c>
      <c r="K743" s="122">
        <f t="shared" si="25"/>
        <v>0.18669527896995708</v>
      </c>
      <c r="L743" s="23">
        <f t="shared" si="27"/>
        <v>2</v>
      </c>
    </row>
    <row r="744" spans="1:12">
      <c r="A744" s="13" t="s">
        <v>3844</v>
      </c>
      <c r="B744" s="166">
        <v>6425</v>
      </c>
      <c r="C744" s="179">
        <v>12200</v>
      </c>
      <c r="D744" s="179">
        <v>2275</v>
      </c>
      <c r="E744" s="179">
        <v>11625</v>
      </c>
      <c r="F744" s="179">
        <v>3400</v>
      </c>
      <c r="G744" s="179">
        <v>8275</v>
      </c>
      <c r="H744" s="179">
        <v>2600</v>
      </c>
      <c r="I744" s="180">
        <v>46800</v>
      </c>
      <c r="J744" s="121" t="s">
        <v>81</v>
      </c>
      <c r="K744" s="122">
        <f t="shared" si="25"/>
        <v>0.1372863247863248</v>
      </c>
      <c r="L744" s="23">
        <f t="shared" si="27"/>
        <v>3</v>
      </c>
    </row>
    <row r="745" spans="1:12">
      <c r="A745" s="13" t="s">
        <v>3847</v>
      </c>
      <c r="B745" s="166">
        <v>4925</v>
      </c>
      <c r="C745" s="179">
        <v>8425</v>
      </c>
      <c r="D745" s="179">
        <v>5650</v>
      </c>
      <c r="E745" s="179">
        <v>13775</v>
      </c>
      <c r="F745" s="179">
        <v>7100</v>
      </c>
      <c r="G745" s="179">
        <v>5425</v>
      </c>
      <c r="H745" s="179">
        <v>300</v>
      </c>
      <c r="I745" s="180">
        <v>45600</v>
      </c>
      <c r="J745" s="121" t="s">
        <v>216</v>
      </c>
      <c r="K745" s="122">
        <f t="shared" si="25"/>
        <v>0.10800438596491228</v>
      </c>
      <c r="L745" s="23">
        <f t="shared" si="27"/>
        <v>5</v>
      </c>
    </row>
    <row r="746" spans="1:12">
      <c r="A746" s="13" t="s">
        <v>3845</v>
      </c>
      <c r="B746" s="166">
        <v>1525</v>
      </c>
      <c r="C746" s="179">
        <v>8750</v>
      </c>
      <c r="D746" s="179">
        <v>2150</v>
      </c>
      <c r="E746" s="179">
        <v>9125</v>
      </c>
      <c r="F746" s="179">
        <v>4425</v>
      </c>
      <c r="G746" s="179">
        <v>7500</v>
      </c>
      <c r="H746" s="179">
        <v>150</v>
      </c>
      <c r="I746" s="180">
        <v>33625</v>
      </c>
      <c r="J746" s="121" t="s">
        <v>232</v>
      </c>
      <c r="K746" s="122">
        <f t="shared" si="25"/>
        <v>4.5353159851301117E-2</v>
      </c>
      <c r="L746" s="23">
        <f t="shared" si="27"/>
        <v>8</v>
      </c>
    </row>
    <row r="747" spans="1:12">
      <c r="A747" s="13" t="s">
        <v>3846</v>
      </c>
      <c r="B747" s="166">
        <v>6425</v>
      </c>
      <c r="C747" s="179">
        <v>14050</v>
      </c>
      <c r="D747" s="179">
        <v>3350</v>
      </c>
      <c r="E747" s="179">
        <v>5525</v>
      </c>
      <c r="F747" s="179">
        <v>1850</v>
      </c>
      <c r="G747" s="179">
        <v>5275</v>
      </c>
      <c r="H747" s="179">
        <v>5500</v>
      </c>
      <c r="I747" s="180">
        <v>41975</v>
      </c>
      <c r="J747" s="121" t="s">
        <v>91</v>
      </c>
      <c r="K747" s="122">
        <f t="shared" si="25"/>
        <v>0.15306730196545562</v>
      </c>
      <c r="L747" s="23">
        <f t="shared" si="27"/>
        <v>2</v>
      </c>
    </row>
    <row r="748" spans="1:12">
      <c r="A748" s="13" t="s">
        <v>3848</v>
      </c>
      <c r="B748" s="166">
        <v>3950</v>
      </c>
      <c r="C748" s="179">
        <v>9650</v>
      </c>
      <c r="D748" s="179">
        <v>1450</v>
      </c>
      <c r="E748" s="179">
        <v>9875</v>
      </c>
      <c r="F748" s="179">
        <v>4125</v>
      </c>
      <c r="G748" s="179">
        <v>6825</v>
      </c>
      <c r="H748" s="179"/>
      <c r="I748" s="180">
        <v>35875</v>
      </c>
      <c r="J748" s="121" t="s">
        <v>3082</v>
      </c>
      <c r="K748" s="122">
        <f t="shared" si="25"/>
        <v>0.11010452961672473</v>
      </c>
      <c r="L748" s="23">
        <f t="shared" si="27"/>
        <v>3</v>
      </c>
    </row>
    <row r="749" spans="1:12">
      <c r="A749" s="13" t="s">
        <v>3849</v>
      </c>
      <c r="B749" s="166">
        <v>4300</v>
      </c>
      <c r="C749" s="179">
        <v>5275</v>
      </c>
      <c r="D749" s="179">
        <v>4800</v>
      </c>
      <c r="E749" s="179">
        <v>6025</v>
      </c>
      <c r="F749" s="179">
        <v>6250</v>
      </c>
      <c r="G749" s="179">
        <v>5075</v>
      </c>
      <c r="H749" s="179"/>
      <c r="I749" s="180">
        <v>31725</v>
      </c>
      <c r="J749" s="121" t="s">
        <v>244</v>
      </c>
      <c r="K749" s="122">
        <f t="shared" si="25"/>
        <v>0.1355397951142632</v>
      </c>
      <c r="L749" s="23">
        <f t="shared" si="27"/>
        <v>2</v>
      </c>
    </row>
    <row r="750" spans="1:12">
      <c r="A750" s="42" t="s">
        <v>3122</v>
      </c>
      <c r="B750" s="170">
        <v>61275</v>
      </c>
      <c r="C750" s="181">
        <v>144475</v>
      </c>
      <c r="D750" s="181">
        <v>44675</v>
      </c>
      <c r="E750" s="181">
        <v>134525</v>
      </c>
      <c r="F750" s="181">
        <v>77400</v>
      </c>
      <c r="G750" s="181">
        <v>75850</v>
      </c>
      <c r="H750" s="181">
        <v>10175</v>
      </c>
      <c r="I750" s="182">
        <v>548375</v>
      </c>
      <c r="K750" s="105"/>
      <c r="L750" s="23" t="e">
        <f t="shared" si="27"/>
        <v>#N/A</v>
      </c>
    </row>
    <row r="755" spans="1:17">
      <c r="A755" s="158" t="s">
        <v>3815</v>
      </c>
    </row>
    <row r="756" spans="1:17">
      <c r="A756" s="8"/>
      <c r="B756" s="11" t="s">
        <v>7</v>
      </c>
      <c r="C756" s="123" t="s">
        <v>3210</v>
      </c>
      <c r="D756" s="9"/>
      <c r="E756" s="9"/>
      <c r="F756" s="9"/>
      <c r="G756" s="9"/>
      <c r="H756" s="9"/>
      <c r="I756" s="9"/>
      <c r="J756" s="9"/>
      <c r="K756" s="9"/>
      <c r="L756" s="9"/>
      <c r="M756" s="9"/>
      <c r="N756" s="9"/>
      <c r="O756" s="9"/>
      <c r="P756" s="9"/>
      <c r="Q756" s="20"/>
    </row>
    <row r="757" spans="1:17">
      <c r="A757" s="10"/>
      <c r="B757" s="8" t="s">
        <v>50</v>
      </c>
      <c r="C757" s="9"/>
      <c r="D757" s="8" t="s">
        <v>62</v>
      </c>
      <c r="E757" s="9"/>
      <c r="F757" s="8" t="s">
        <v>35</v>
      </c>
      <c r="G757" s="9"/>
      <c r="H757" s="8" t="s">
        <v>163</v>
      </c>
      <c r="I757" s="9"/>
      <c r="J757" s="8" t="s">
        <v>112</v>
      </c>
      <c r="K757" s="9"/>
      <c r="L757" s="8" t="s">
        <v>153</v>
      </c>
      <c r="M757" s="9"/>
      <c r="N757" s="8" t="s">
        <v>71</v>
      </c>
      <c r="O757" s="9"/>
      <c r="P757" s="22" t="s">
        <v>3211</v>
      </c>
      <c r="Q757" s="26" t="s">
        <v>3212</v>
      </c>
    </row>
    <row r="758" spans="1:17">
      <c r="A758" s="11" t="s">
        <v>19</v>
      </c>
      <c r="B758" s="8" t="s">
        <v>3153</v>
      </c>
      <c r="C758" s="21" t="s">
        <v>3213</v>
      </c>
      <c r="D758" s="8" t="s">
        <v>3153</v>
      </c>
      <c r="E758" s="21" t="s">
        <v>3213</v>
      </c>
      <c r="F758" s="8" t="s">
        <v>3153</v>
      </c>
      <c r="G758" s="21" t="s">
        <v>3213</v>
      </c>
      <c r="H758" s="8" t="s">
        <v>3153</v>
      </c>
      <c r="I758" s="21" t="s">
        <v>3213</v>
      </c>
      <c r="J758" s="8" t="s">
        <v>3153</v>
      </c>
      <c r="K758" s="21" t="s">
        <v>3213</v>
      </c>
      <c r="L758" s="8" t="s">
        <v>3153</v>
      </c>
      <c r="M758" s="21" t="s">
        <v>3213</v>
      </c>
      <c r="N758" s="8" t="s">
        <v>3153</v>
      </c>
      <c r="O758" s="21" t="s">
        <v>3213</v>
      </c>
      <c r="P758" s="125"/>
      <c r="Q758" s="124"/>
    </row>
    <row r="759" spans="1:17">
      <c r="A759" s="22" t="s">
        <v>270</v>
      </c>
      <c r="B759" s="164">
        <v>14375</v>
      </c>
      <c r="C759" s="126">
        <v>2.6213813540004557E-2</v>
      </c>
      <c r="D759" s="164">
        <v>5875</v>
      </c>
      <c r="E759" s="126">
        <v>1.0713471620697515E-2</v>
      </c>
      <c r="F759" s="164">
        <v>11250</v>
      </c>
      <c r="G759" s="126">
        <v>2.0515158422612263E-2</v>
      </c>
      <c r="H759" s="164">
        <v>5300</v>
      </c>
      <c r="I759" s="126">
        <v>9.6649190790973338E-3</v>
      </c>
      <c r="J759" s="164">
        <v>12275</v>
      </c>
      <c r="K759" s="126">
        <v>2.2384317301116938E-2</v>
      </c>
      <c r="L759" s="164">
        <v>6500</v>
      </c>
      <c r="M759" s="126">
        <v>1.1853202644175975E-2</v>
      </c>
      <c r="N759" s="164">
        <v>5700</v>
      </c>
      <c r="O759" s="126">
        <v>1.0394346934123546E-2</v>
      </c>
      <c r="P759" s="164">
        <v>61275</v>
      </c>
      <c r="Q759" s="127">
        <v>0.11173922954182813</v>
      </c>
    </row>
    <row r="760" spans="1:17">
      <c r="A760" s="24" t="s">
        <v>87</v>
      </c>
      <c r="B760" s="166">
        <v>24975</v>
      </c>
      <c r="C760" s="96">
        <v>4.5543651698199225E-2</v>
      </c>
      <c r="D760" s="166">
        <v>20250</v>
      </c>
      <c r="E760" s="96">
        <v>3.6927285160702074E-2</v>
      </c>
      <c r="F760" s="166">
        <v>20675</v>
      </c>
      <c r="G760" s="96">
        <v>3.7702302256667423E-2</v>
      </c>
      <c r="H760" s="166">
        <v>12075</v>
      </c>
      <c r="I760" s="96">
        <v>2.2019603373603831E-2</v>
      </c>
      <c r="J760" s="166">
        <v>33050</v>
      </c>
      <c r="K760" s="96">
        <v>6.0268976521540917E-2</v>
      </c>
      <c r="L760" s="166">
        <v>15075</v>
      </c>
      <c r="M760" s="96">
        <v>2.7490312286300434E-2</v>
      </c>
      <c r="N760" s="166">
        <v>18375</v>
      </c>
      <c r="O760" s="96">
        <v>3.35080920902667E-2</v>
      </c>
      <c r="P760" s="166">
        <v>144475</v>
      </c>
      <c r="Q760" s="128">
        <v>0.26346022338728059</v>
      </c>
    </row>
    <row r="761" spans="1:17">
      <c r="A761" s="24" t="s">
        <v>166</v>
      </c>
      <c r="B761" s="166">
        <v>6150</v>
      </c>
      <c r="C761" s="96">
        <v>1.1214953271028037E-2</v>
      </c>
      <c r="D761" s="166">
        <v>4650</v>
      </c>
      <c r="E761" s="96">
        <v>8.4795988146797348E-3</v>
      </c>
      <c r="F761" s="166">
        <v>2975</v>
      </c>
      <c r="G761" s="96">
        <v>5.4251196717574656E-3</v>
      </c>
      <c r="H761" s="166">
        <v>10050</v>
      </c>
      <c r="I761" s="96">
        <v>1.832687485753362E-2</v>
      </c>
      <c r="J761" s="166">
        <v>8350</v>
      </c>
      <c r="K761" s="96">
        <v>1.5226806473672213E-2</v>
      </c>
      <c r="L761" s="166">
        <v>7950</v>
      </c>
      <c r="M761" s="96">
        <v>1.4497378618645999E-2</v>
      </c>
      <c r="N761" s="166">
        <v>4550</v>
      </c>
      <c r="O761" s="96">
        <v>8.2972418509231829E-3</v>
      </c>
      <c r="P761" s="166">
        <v>44675</v>
      </c>
      <c r="Q761" s="128">
        <v>8.1467973558240259E-2</v>
      </c>
    </row>
    <row r="762" spans="1:17">
      <c r="A762" s="24" t="s">
        <v>135</v>
      </c>
      <c r="B762" s="166">
        <v>21975</v>
      </c>
      <c r="C762" s="96">
        <v>4.0072942785502622E-2</v>
      </c>
      <c r="D762" s="166">
        <v>21125</v>
      </c>
      <c r="E762" s="96">
        <v>3.8522908593571915E-2</v>
      </c>
      <c r="F762" s="166">
        <v>16200</v>
      </c>
      <c r="G762" s="96">
        <v>2.954182812856166E-2</v>
      </c>
      <c r="H762" s="166">
        <v>14525</v>
      </c>
      <c r="I762" s="96">
        <v>2.648734898563939E-2</v>
      </c>
      <c r="J762" s="166">
        <v>27450</v>
      </c>
      <c r="K762" s="96">
        <v>5.0056986551173924E-2</v>
      </c>
      <c r="L762" s="166">
        <v>17150</v>
      </c>
      <c r="M762" s="96">
        <v>3.1274219284248915E-2</v>
      </c>
      <c r="N762" s="166">
        <v>16100</v>
      </c>
      <c r="O762" s="96">
        <v>2.9359471164805105E-2</v>
      </c>
      <c r="P762" s="166">
        <v>134525</v>
      </c>
      <c r="Q762" s="128">
        <v>0.24531570549350354</v>
      </c>
    </row>
    <row r="763" spans="1:17">
      <c r="A763" s="24" t="s">
        <v>205</v>
      </c>
      <c r="B763" s="166">
        <v>15775</v>
      </c>
      <c r="C763" s="96">
        <v>2.8766811032596307E-2</v>
      </c>
      <c r="D763" s="166">
        <v>10300</v>
      </c>
      <c r="E763" s="96">
        <v>1.8782767266925005E-2</v>
      </c>
      <c r="F763" s="166">
        <v>10050</v>
      </c>
      <c r="G763" s="96">
        <v>1.832687485753362E-2</v>
      </c>
      <c r="H763" s="166">
        <v>12700</v>
      </c>
      <c r="I763" s="96">
        <v>2.3159334397082287E-2</v>
      </c>
      <c r="J763" s="166">
        <v>12500</v>
      </c>
      <c r="K763" s="96">
        <v>2.279462046956918E-2</v>
      </c>
      <c r="L763" s="166">
        <v>6075</v>
      </c>
      <c r="M763" s="96">
        <v>1.1078185548210622E-2</v>
      </c>
      <c r="N763" s="166">
        <v>10000</v>
      </c>
      <c r="O763" s="96">
        <v>1.8235696375655346E-2</v>
      </c>
      <c r="P763" s="166">
        <v>77400</v>
      </c>
      <c r="Q763" s="128">
        <v>0.14114428994757236</v>
      </c>
    </row>
    <row r="764" spans="1:17">
      <c r="A764" s="24" t="s">
        <v>39</v>
      </c>
      <c r="B764" s="166">
        <v>14675</v>
      </c>
      <c r="C764" s="96">
        <v>2.676088443127422E-2</v>
      </c>
      <c r="D764" s="166">
        <v>10775</v>
      </c>
      <c r="E764" s="96">
        <v>1.9648962844768636E-2</v>
      </c>
      <c r="F764" s="166">
        <v>7475</v>
      </c>
      <c r="G764" s="96">
        <v>1.363118304080237E-2</v>
      </c>
      <c r="H764" s="166">
        <v>5100</v>
      </c>
      <c r="I764" s="96">
        <v>9.3002051515842267E-3</v>
      </c>
      <c r="J764" s="166">
        <v>13875</v>
      </c>
      <c r="K764" s="96">
        <v>2.5302028721221791E-2</v>
      </c>
      <c r="L764" s="166">
        <v>12025</v>
      </c>
      <c r="M764" s="96">
        <v>2.1928424891725553E-2</v>
      </c>
      <c r="N764" s="166">
        <v>11925</v>
      </c>
      <c r="O764" s="96">
        <v>2.1746067927968998E-2</v>
      </c>
      <c r="P764" s="166">
        <v>75850</v>
      </c>
      <c r="Q764" s="128">
        <v>0.13831775700934579</v>
      </c>
    </row>
    <row r="765" spans="1:17">
      <c r="A765" s="24" t="s">
        <v>362</v>
      </c>
      <c r="B765" s="166">
        <v>75</v>
      </c>
      <c r="C765" s="96">
        <v>1.3676772281741509E-4</v>
      </c>
      <c r="D765" s="166">
        <v>300</v>
      </c>
      <c r="E765" s="96">
        <v>5.4707089126966037E-4</v>
      </c>
      <c r="F765" s="166">
        <v>200</v>
      </c>
      <c r="G765" s="96">
        <v>3.6471392751310692E-4</v>
      </c>
      <c r="H765" s="166">
        <v>300</v>
      </c>
      <c r="I765" s="96">
        <v>5.4707089126966037E-4</v>
      </c>
      <c r="J765" s="166">
        <v>9000</v>
      </c>
      <c r="K765" s="96">
        <v>1.6412126738089811E-2</v>
      </c>
      <c r="L765" s="166">
        <v>150</v>
      </c>
      <c r="M765" s="96">
        <v>2.7353544563483019E-4</v>
      </c>
      <c r="N765" s="166">
        <v>150</v>
      </c>
      <c r="O765" s="96">
        <v>2.7353544563483019E-4</v>
      </c>
      <c r="P765" s="166">
        <v>10175</v>
      </c>
      <c r="Q765" s="128">
        <v>1.8554821062229315E-2</v>
      </c>
    </row>
    <row r="766" spans="1:17">
      <c r="A766" s="42" t="s">
        <v>3122</v>
      </c>
      <c r="B766" s="170">
        <v>98000</v>
      </c>
      <c r="C766" s="129">
        <v>0.17870982448142239</v>
      </c>
      <c r="D766" s="170">
        <v>73275</v>
      </c>
      <c r="E766" s="129">
        <v>0.13362206519261455</v>
      </c>
      <c r="F766" s="170">
        <v>68825</v>
      </c>
      <c r="G766" s="129">
        <v>0.12550718030544791</v>
      </c>
      <c r="H766" s="170">
        <v>60050</v>
      </c>
      <c r="I766" s="129">
        <v>0.10950535673581036</v>
      </c>
      <c r="J766" s="170">
        <v>116500</v>
      </c>
      <c r="K766" s="129">
        <v>0.21244586277638478</v>
      </c>
      <c r="L766" s="170">
        <v>64925</v>
      </c>
      <c r="M766" s="129">
        <v>0.11839525871894233</v>
      </c>
      <c r="N766" s="170">
        <v>66800</v>
      </c>
      <c r="O766" s="129">
        <v>0.12181445178937771</v>
      </c>
      <c r="P766" s="170">
        <v>548375</v>
      </c>
      <c r="Q766" s="130">
        <v>1</v>
      </c>
    </row>
    <row r="772" spans="1:17">
      <c r="A772" s="158" t="s">
        <v>3818</v>
      </c>
    </row>
    <row r="773" spans="1:17">
      <c r="A773" s="8"/>
      <c r="B773" s="11" t="s">
        <v>3210</v>
      </c>
      <c r="C773" s="123" t="s">
        <v>19</v>
      </c>
      <c r="D773" s="9"/>
      <c r="E773" s="9"/>
      <c r="F773" s="9"/>
      <c r="G773" s="9"/>
      <c r="H773" s="9"/>
      <c r="I773" s="9"/>
      <c r="J773" s="9"/>
      <c r="K773" s="9"/>
      <c r="L773" s="9"/>
      <c r="M773" s="9"/>
      <c r="N773" s="9"/>
      <c r="O773" s="9"/>
      <c r="P773" s="9"/>
      <c r="Q773" s="20"/>
    </row>
    <row r="774" spans="1:17">
      <c r="A774" s="10"/>
      <c r="B774" s="8" t="s">
        <v>3153</v>
      </c>
      <c r="C774" s="9"/>
      <c r="D774" s="9"/>
      <c r="E774" s="9"/>
      <c r="F774" s="9"/>
      <c r="G774" s="9"/>
      <c r="H774" s="9"/>
      <c r="I774" s="8" t="s">
        <v>3213</v>
      </c>
      <c r="J774" s="9"/>
      <c r="K774" s="9"/>
      <c r="L774" s="9"/>
      <c r="M774" s="9"/>
      <c r="N774" s="9"/>
      <c r="O774" s="9"/>
      <c r="P774" s="22" t="s">
        <v>3211</v>
      </c>
      <c r="Q774" s="26" t="s">
        <v>3212</v>
      </c>
    </row>
    <row r="775" spans="1:17">
      <c r="A775" s="11" t="s">
        <v>7</v>
      </c>
      <c r="B775" s="22" t="s">
        <v>270</v>
      </c>
      <c r="C775" s="25" t="s">
        <v>87</v>
      </c>
      <c r="D775" s="25" t="s">
        <v>166</v>
      </c>
      <c r="E775" s="25" t="s">
        <v>135</v>
      </c>
      <c r="F775" s="25" t="s">
        <v>205</v>
      </c>
      <c r="G775" s="25" t="s">
        <v>39</v>
      </c>
      <c r="H775" s="25" t="s">
        <v>362</v>
      </c>
      <c r="I775" s="22" t="s">
        <v>270</v>
      </c>
      <c r="J775" s="25" t="s">
        <v>87</v>
      </c>
      <c r="K775" s="25" t="s">
        <v>166</v>
      </c>
      <c r="L775" s="25" t="s">
        <v>135</v>
      </c>
      <c r="M775" s="25" t="s">
        <v>205</v>
      </c>
      <c r="N775" s="25" t="s">
        <v>39</v>
      </c>
      <c r="O775" s="25" t="s">
        <v>362</v>
      </c>
      <c r="P775" s="125"/>
      <c r="Q775" s="124"/>
    </row>
    <row r="776" spans="1:17">
      <c r="A776" s="8" t="s">
        <v>50</v>
      </c>
      <c r="B776" s="164">
        <v>14375</v>
      </c>
      <c r="C776" s="174">
        <v>24975</v>
      </c>
      <c r="D776" s="174">
        <v>6150</v>
      </c>
      <c r="E776" s="174">
        <v>21975</v>
      </c>
      <c r="F776" s="174">
        <v>15775</v>
      </c>
      <c r="G776" s="174">
        <v>14675</v>
      </c>
      <c r="H776" s="174">
        <v>75</v>
      </c>
      <c r="I776" s="132">
        <v>2.6213813540004557E-2</v>
      </c>
      <c r="J776" s="126">
        <v>4.5543651698199225E-2</v>
      </c>
      <c r="K776" s="126">
        <v>1.1214953271028037E-2</v>
      </c>
      <c r="L776" s="126">
        <v>4.0072942785502622E-2</v>
      </c>
      <c r="M776" s="126">
        <v>2.8766811032596307E-2</v>
      </c>
      <c r="N776" s="126">
        <v>2.676088443127422E-2</v>
      </c>
      <c r="O776" s="126">
        <v>1.3676772281741509E-4</v>
      </c>
      <c r="P776" s="164">
        <v>98000</v>
      </c>
      <c r="Q776" s="127">
        <v>0.17870982448142239</v>
      </c>
    </row>
    <row r="777" spans="1:17">
      <c r="A777" s="13" t="s">
        <v>62</v>
      </c>
      <c r="B777" s="166">
        <v>5875</v>
      </c>
      <c r="C777" s="179">
        <v>20250</v>
      </c>
      <c r="D777" s="179">
        <v>4650</v>
      </c>
      <c r="E777" s="179">
        <v>21125</v>
      </c>
      <c r="F777" s="179">
        <v>10300</v>
      </c>
      <c r="G777" s="179">
        <v>10775</v>
      </c>
      <c r="H777" s="179">
        <v>300</v>
      </c>
      <c r="I777" s="133">
        <v>1.0713471620697515E-2</v>
      </c>
      <c r="J777" s="96">
        <v>3.6927285160702074E-2</v>
      </c>
      <c r="K777" s="96">
        <v>8.4795988146797348E-3</v>
      </c>
      <c r="L777" s="96">
        <v>3.8522908593571915E-2</v>
      </c>
      <c r="M777" s="96">
        <v>1.8782767266925005E-2</v>
      </c>
      <c r="N777" s="96">
        <v>1.9648962844768636E-2</v>
      </c>
      <c r="O777" s="96">
        <v>5.4707089126966037E-4</v>
      </c>
      <c r="P777" s="166">
        <v>73275</v>
      </c>
      <c r="Q777" s="128">
        <v>0.13362206519261455</v>
      </c>
    </row>
    <row r="778" spans="1:17">
      <c r="A778" s="13" t="s">
        <v>35</v>
      </c>
      <c r="B778" s="166">
        <v>11250</v>
      </c>
      <c r="C778" s="179">
        <v>20675</v>
      </c>
      <c r="D778" s="179">
        <v>2975</v>
      </c>
      <c r="E778" s="179">
        <v>16200</v>
      </c>
      <c r="F778" s="179">
        <v>10050</v>
      </c>
      <c r="G778" s="179">
        <v>7475</v>
      </c>
      <c r="H778" s="179">
        <v>200</v>
      </c>
      <c r="I778" s="133">
        <v>2.0515158422612263E-2</v>
      </c>
      <c r="J778" s="96">
        <v>3.7702302256667423E-2</v>
      </c>
      <c r="K778" s="96">
        <v>5.4251196717574656E-3</v>
      </c>
      <c r="L778" s="96">
        <v>2.954182812856166E-2</v>
      </c>
      <c r="M778" s="96">
        <v>1.832687485753362E-2</v>
      </c>
      <c r="N778" s="96">
        <v>1.363118304080237E-2</v>
      </c>
      <c r="O778" s="96">
        <v>3.6471392751310692E-4</v>
      </c>
      <c r="P778" s="166">
        <v>68825</v>
      </c>
      <c r="Q778" s="128">
        <v>0.12550718030544791</v>
      </c>
    </row>
    <row r="779" spans="1:17">
      <c r="A779" s="13" t="s">
        <v>163</v>
      </c>
      <c r="B779" s="166">
        <v>5300</v>
      </c>
      <c r="C779" s="179">
        <v>12075</v>
      </c>
      <c r="D779" s="179">
        <v>10050</v>
      </c>
      <c r="E779" s="179">
        <v>14525</v>
      </c>
      <c r="F779" s="179">
        <v>12700</v>
      </c>
      <c r="G779" s="179">
        <v>5100</v>
      </c>
      <c r="H779" s="179">
        <v>300</v>
      </c>
      <c r="I779" s="133">
        <v>9.6649190790973338E-3</v>
      </c>
      <c r="J779" s="96">
        <v>2.2019603373603831E-2</v>
      </c>
      <c r="K779" s="96">
        <v>1.832687485753362E-2</v>
      </c>
      <c r="L779" s="96">
        <v>2.648734898563939E-2</v>
      </c>
      <c r="M779" s="96">
        <v>2.3159334397082287E-2</v>
      </c>
      <c r="N779" s="96">
        <v>9.3002051515842267E-3</v>
      </c>
      <c r="O779" s="96">
        <v>5.4707089126966037E-4</v>
      </c>
      <c r="P779" s="166">
        <v>60050</v>
      </c>
      <c r="Q779" s="128">
        <v>0.10950535673581036</v>
      </c>
    </row>
    <row r="780" spans="1:17">
      <c r="A780" s="13" t="s">
        <v>112</v>
      </c>
      <c r="B780" s="166">
        <v>12275</v>
      </c>
      <c r="C780" s="179">
        <v>33050</v>
      </c>
      <c r="D780" s="179">
        <v>8350</v>
      </c>
      <c r="E780" s="179">
        <v>27450</v>
      </c>
      <c r="F780" s="179">
        <v>12500</v>
      </c>
      <c r="G780" s="179">
        <v>13875</v>
      </c>
      <c r="H780" s="179">
        <v>9000</v>
      </c>
      <c r="I780" s="133">
        <v>2.2384317301116938E-2</v>
      </c>
      <c r="J780" s="96">
        <v>6.0268976521540917E-2</v>
      </c>
      <c r="K780" s="96">
        <v>1.5226806473672213E-2</v>
      </c>
      <c r="L780" s="96">
        <v>5.0056986551173924E-2</v>
      </c>
      <c r="M780" s="96">
        <v>2.279462046956918E-2</v>
      </c>
      <c r="N780" s="96">
        <v>2.5302028721221791E-2</v>
      </c>
      <c r="O780" s="96">
        <v>1.6412126738089811E-2</v>
      </c>
      <c r="P780" s="166">
        <v>116500</v>
      </c>
      <c r="Q780" s="128">
        <v>0.21244586277638478</v>
      </c>
    </row>
    <row r="781" spans="1:17">
      <c r="A781" s="13" t="s">
        <v>153</v>
      </c>
      <c r="B781" s="166">
        <v>6500</v>
      </c>
      <c r="C781" s="179">
        <v>15075</v>
      </c>
      <c r="D781" s="179">
        <v>7950</v>
      </c>
      <c r="E781" s="179">
        <v>17150</v>
      </c>
      <c r="F781" s="179">
        <v>6075</v>
      </c>
      <c r="G781" s="179">
        <v>12025</v>
      </c>
      <c r="H781" s="179">
        <v>150</v>
      </c>
      <c r="I781" s="133">
        <v>1.1853202644175975E-2</v>
      </c>
      <c r="J781" s="96">
        <v>2.7490312286300434E-2</v>
      </c>
      <c r="K781" s="96">
        <v>1.4497378618645999E-2</v>
      </c>
      <c r="L781" s="96">
        <v>3.1274219284248915E-2</v>
      </c>
      <c r="M781" s="96">
        <v>1.1078185548210622E-2</v>
      </c>
      <c r="N781" s="96">
        <v>2.1928424891725553E-2</v>
      </c>
      <c r="O781" s="96">
        <v>2.7353544563483019E-4</v>
      </c>
      <c r="P781" s="166">
        <v>64925</v>
      </c>
      <c r="Q781" s="128">
        <v>0.11839525871894233</v>
      </c>
    </row>
    <row r="782" spans="1:17">
      <c r="A782" s="13" t="s">
        <v>71</v>
      </c>
      <c r="B782" s="166">
        <v>5700</v>
      </c>
      <c r="C782" s="179">
        <v>18375</v>
      </c>
      <c r="D782" s="179">
        <v>4550</v>
      </c>
      <c r="E782" s="179">
        <v>16100</v>
      </c>
      <c r="F782" s="179">
        <v>10000</v>
      </c>
      <c r="G782" s="179">
        <v>11925</v>
      </c>
      <c r="H782" s="179">
        <v>150</v>
      </c>
      <c r="I782" s="133">
        <v>1.0394346934123546E-2</v>
      </c>
      <c r="J782" s="96">
        <v>3.35080920902667E-2</v>
      </c>
      <c r="K782" s="96">
        <v>8.2972418509231829E-3</v>
      </c>
      <c r="L782" s="96">
        <v>2.9359471164805105E-2</v>
      </c>
      <c r="M782" s="96">
        <v>1.8235696375655346E-2</v>
      </c>
      <c r="N782" s="96">
        <v>2.1746067927968998E-2</v>
      </c>
      <c r="O782" s="96">
        <v>2.7353544563483019E-4</v>
      </c>
      <c r="P782" s="166">
        <v>66800</v>
      </c>
      <c r="Q782" s="128">
        <v>0.12181445178937771</v>
      </c>
    </row>
    <row r="783" spans="1:17">
      <c r="A783" s="42" t="s">
        <v>3122</v>
      </c>
      <c r="B783" s="170">
        <v>61275</v>
      </c>
      <c r="C783" s="181">
        <v>144475</v>
      </c>
      <c r="D783" s="181">
        <v>44675</v>
      </c>
      <c r="E783" s="181">
        <v>134525</v>
      </c>
      <c r="F783" s="181">
        <v>77400</v>
      </c>
      <c r="G783" s="181">
        <v>75850</v>
      </c>
      <c r="H783" s="181">
        <v>10175</v>
      </c>
      <c r="I783" s="131">
        <v>0.11173922954182813</v>
      </c>
      <c r="J783" s="129">
        <v>0.26346022338728059</v>
      </c>
      <c r="K783" s="129">
        <v>8.1467973558240259E-2</v>
      </c>
      <c r="L783" s="129">
        <v>0.24531570549350354</v>
      </c>
      <c r="M783" s="129">
        <v>0.14114428994757236</v>
      </c>
      <c r="N783" s="129">
        <v>0.13831775700934579</v>
      </c>
      <c r="O783" s="129">
        <v>1.8554821062229315E-2</v>
      </c>
      <c r="P783" s="170">
        <v>548375</v>
      </c>
      <c r="Q783" s="130">
        <v>1</v>
      </c>
    </row>
    <row r="788" spans="1:4">
      <c r="A788" t="s">
        <v>7</v>
      </c>
      <c r="B788" s="23" t="s">
        <v>3310</v>
      </c>
      <c r="C788" s="23" t="s">
        <v>166</v>
      </c>
      <c r="D788" s="23" t="s">
        <v>3311</v>
      </c>
    </row>
    <row r="789" spans="1:4">
      <c r="A789" t="s">
        <v>50</v>
      </c>
      <c r="B789" s="23">
        <f>$B776+$C776</f>
        <v>39350</v>
      </c>
      <c r="C789" s="23">
        <f>$D776+$E776+$F776+$G776</f>
        <v>58575</v>
      </c>
      <c r="D789" s="23">
        <f>$H776</f>
        <v>75</v>
      </c>
    </row>
    <row r="790" spans="1:4">
      <c r="A790" t="s">
        <v>62</v>
      </c>
      <c r="B790" s="23">
        <f t="shared" ref="B790:B795" si="28">$B777+$C777</f>
        <v>26125</v>
      </c>
      <c r="C790" s="23">
        <f t="shared" ref="C790:C795" si="29">$D777+$E777+$F777+$G777</f>
        <v>46850</v>
      </c>
      <c r="D790" s="23">
        <f t="shared" ref="D790:D795" si="30">$H777</f>
        <v>300</v>
      </c>
    </row>
    <row r="791" spans="1:4">
      <c r="A791" t="s">
        <v>35</v>
      </c>
      <c r="B791" s="23">
        <f t="shared" si="28"/>
        <v>31925</v>
      </c>
      <c r="C791" s="23">
        <f t="shared" si="29"/>
        <v>36700</v>
      </c>
      <c r="D791" s="23">
        <f t="shared" si="30"/>
        <v>200</v>
      </c>
    </row>
    <row r="792" spans="1:4">
      <c r="A792" t="s">
        <v>163</v>
      </c>
      <c r="B792" s="23">
        <f t="shared" si="28"/>
        <v>17375</v>
      </c>
      <c r="C792" s="23">
        <f t="shared" si="29"/>
        <v>42375</v>
      </c>
      <c r="D792" s="23">
        <f t="shared" si="30"/>
        <v>300</v>
      </c>
    </row>
    <row r="793" spans="1:4">
      <c r="A793" t="s">
        <v>112</v>
      </c>
      <c r="B793" s="23">
        <f t="shared" si="28"/>
        <v>45325</v>
      </c>
      <c r="C793" s="23">
        <f t="shared" si="29"/>
        <v>62175</v>
      </c>
      <c r="D793" s="23">
        <f t="shared" si="30"/>
        <v>9000</v>
      </c>
    </row>
    <row r="794" spans="1:4">
      <c r="A794" t="s">
        <v>153</v>
      </c>
      <c r="B794" s="23">
        <f t="shared" si="28"/>
        <v>21575</v>
      </c>
      <c r="C794" s="23">
        <f t="shared" si="29"/>
        <v>43200</v>
      </c>
      <c r="D794" s="23">
        <f t="shared" si="30"/>
        <v>150</v>
      </c>
    </row>
    <row r="795" spans="1:4">
      <c r="A795" t="s">
        <v>71</v>
      </c>
      <c r="B795" s="23">
        <f t="shared" si="28"/>
        <v>24075</v>
      </c>
      <c r="C795" s="23">
        <f t="shared" si="29"/>
        <v>42575</v>
      </c>
      <c r="D795" s="23">
        <f t="shared" si="30"/>
        <v>150</v>
      </c>
    </row>
    <row r="804" spans="1:13">
      <c r="A804" s="103"/>
      <c r="B804" s="23" t="s">
        <v>3191</v>
      </c>
      <c r="C804" s="23" t="s">
        <v>3192</v>
      </c>
      <c r="F804" s="136"/>
    </row>
    <row r="805" spans="1:13">
      <c r="A805" s="40" t="s">
        <v>3827</v>
      </c>
    </row>
    <row r="806" spans="1:13">
      <c r="A806" s="11" t="s">
        <v>3149</v>
      </c>
      <c r="B806" s="11" t="s">
        <v>20</v>
      </c>
      <c r="C806" s="9"/>
      <c r="D806" s="9"/>
      <c r="E806" s="9"/>
      <c r="F806" s="9"/>
      <c r="G806" s="9"/>
      <c r="H806" s="20"/>
      <c r="I806"/>
    </row>
    <row r="807" spans="1:13" s="40" customFormat="1">
      <c r="A807" s="36" t="s">
        <v>4</v>
      </c>
      <c r="B807" s="37" t="s">
        <v>40</v>
      </c>
      <c r="C807" s="38" t="s">
        <v>404</v>
      </c>
      <c r="D807" s="38" t="s">
        <v>74</v>
      </c>
      <c r="E807" s="38" t="s">
        <v>366</v>
      </c>
      <c r="F807" s="38" t="s">
        <v>420</v>
      </c>
      <c r="G807" s="38" t="s">
        <v>3088</v>
      </c>
      <c r="H807" s="39" t="s">
        <v>3122</v>
      </c>
      <c r="J807" s="41"/>
      <c r="K807" s="41"/>
      <c r="L807" s="41"/>
      <c r="M807" s="41"/>
    </row>
    <row r="808" spans="1:13">
      <c r="A808" s="8" t="s">
        <v>3835</v>
      </c>
      <c r="B808" s="164">
        <v>31</v>
      </c>
      <c r="C808" s="174">
        <v>1</v>
      </c>
      <c r="D808" s="174">
        <v>13</v>
      </c>
      <c r="E808" s="174">
        <v>1</v>
      </c>
      <c r="F808" s="174">
        <v>8</v>
      </c>
      <c r="G808" s="174">
        <v>1</v>
      </c>
      <c r="H808" s="175">
        <v>55</v>
      </c>
      <c r="I808"/>
    </row>
    <row r="809" spans="1:13">
      <c r="A809" s="13" t="s">
        <v>3836</v>
      </c>
      <c r="B809" s="166">
        <v>45</v>
      </c>
      <c r="C809" s="179">
        <v>1</v>
      </c>
      <c r="D809" s="179">
        <v>10</v>
      </c>
      <c r="E809" s="179">
        <v>2</v>
      </c>
      <c r="F809" s="179">
        <v>7</v>
      </c>
      <c r="G809" s="179">
        <v>2</v>
      </c>
      <c r="H809" s="180">
        <v>67</v>
      </c>
      <c r="I809"/>
    </row>
    <row r="810" spans="1:13">
      <c r="A810" s="13" t="s">
        <v>3837</v>
      </c>
      <c r="B810" s="166">
        <v>52</v>
      </c>
      <c r="C810" s="179"/>
      <c r="D810" s="179">
        <v>4</v>
      </c>
      <c r="E810" s="179">
        <v>3</v>
      </c>
      <c r="F810" s="179">
        <v>4</v>
      </c>
      <c r="G810" s="179">
        <v>1</v>
      </c>
      <c r="H810" s="180">
        <v>64</v>
      </c>
      <c r="I810"/>
    </row>
    <row r="811" spans="1:13">
      <c r="A811" s="13" t="s">
        <v>3838</v>
      </c>
      <c r="B811" s="166">
        <v>52</v>
      </c>
      <c r="C811" s="179">
        <v>1</v>
      </c>
      <c r="D811" s="179">
        <v>9</v>
      </c>
      <c r="E811" s="179">
        <v>8</v>
      </c>
      <c r="F811" s="179">
        <v>6</v>
      </c>
      <c r="G811" s="179">
        <v>1</v>
      </c>
      <c r="H811" s="180">
        <v>77</v>
      </c>
      <c r="I811"/>
    </row>
    <row r="812" spans="1:13">
      <c r="A812" s="13" t="s">
        <v>3839</v>
      </c>
      <c r="B812" s="166">
        <v>64</v>
      </c>
      <c r="C812" s="179">
        <v>2</v>
      </c>
      <c r="D812" s="179">
        <v>2</v>
      </c>
      <c r="E812" s="179">
        <v>3</v>
      </c>
      <c r="F812" s="179"/>
      <c r="G812" s="179">
        <v>1</v>
      </c>
      <c r="H812" s="180">
        <v>72</v>
      </c>
      <c r="I812"/>
    </row>
    <row r="813" spans="1:13">
      <c r="A813" s="13" t="s">
        <v>3840</v>
      </c>
      <c r="B813" s="166">
        <v>32</v>
      </c>
      <c r="C813" s="179">
        <v>1</v>
      </c>
      <c r="D813" s="179">
        <v>18</v>
      </c>
      <c r="E813" s="179">
        <v>3</v>
      </c>
      <c r="F813" s="179">
        <v>6</v>
      </c>
      <c r="G813" s="179">
        <v>1</v>
      </c>
      <c r="H813" s="180">
        <v>61</v>
      </c>
      <c r="I813"/>
    </row>
    <row r="814" spans="1:13">
      <c r="A814" s="13" t="s">
        <v>3841</v>
      </c>
      <c r="B814" s="166">
        <v>58</v>
      </c>
      <c r="C814" s="179">
        <v>2</v>
      </c>
      <c r="D814" s="179">
        <v>4</v>
      </c>
      <c r="E814" s="179">
        <v>3</v>
      </c>
      <c r="F814" s="179">
        <v>7</v>
      </c>
      <c r="G814" s="179">
        <v>2</v>
      </c>
      <c r="H814" s="180">
        <v>76</v>
      </c>
      <c r="I814"/>
    </row>
    <row r="815" spans="1:13">
      <c r="A815" s="13" t="s">
        <v>3842</v>
      </c>
      <c r="B815" s="166">
        <v>58</v>
      </c>
      <c r="C815" s="179">
        <v>3</v>
      </c>
      <c r="D815" s="179">
        <v>1</v>
      </c>
      <c r="E815" s="179">
        <v>3</v>
      </c>
      <c r="F815" s="179"/>
      <c r="G815" s="179"/>
      <c r="H815" s="180">
        <v>65</v>
      </c>
      <c r="I815"/>
    </row>
    <row r="816" spans="1:13">
      <c r="A816" s="13" t="s">
        <v>3843</v>
      </c>
      <c r="B816" s="166">
        <v>49</v>
      </c>
      <c r="C816" s="179"/>
      <c r="D816" s="179">
        <v>1</v>
      </c>
      <c r="E816" s="179"/>
      <c r="F816" s="179">
        <v>2</v>
      </c>
      <c r="G816" s="179">
        <v>1</v>
      </c>
      <c r="H816" s="180">
        <v>53</v>
      </c>
      <c r="I816"/>
    </row>
    <row r="817" spans="1:16">
      <c r="A817" s="13" t="s">
        <v>3844</v>
      </c>
      <c r="B817" s="166">
        <v>73</v>
      </c>
      <c r="C817" s="179">
        <v>1</v>
      </c>
      <c r="D817" s="179">
        <v>1</v>
      </c>
      <c r="E817" s="179"/>
      <c r="F817" s="179">
        <v>1</v>
      </c>
      <c r="G817" s="179">
        <v>2</v>
      </c>
      <c r="H817" s="180">
        <v>78</v>
      </c>
      <c r="I817"/>
    </row>
    <row r="818" spans="1:16">
      <c r="A818" s="13" t="s">
        <v>3847</v>
      </c>
      <c r="B818" s="166">
        <v>54</v>
      </c>
      <c r="C818" s="179"/>
      <c r="D818" s="179">
        <v>2</v>
      </c>
      <c r="E818" s="179">
        <v>1</v>
      </c>
      <c r="F818" s="179"/>
      <c r="G818" s="179">
        <v>2</v>
      </c>
      <c r="H818" s="180">
        <v>59</v>
      </c>
      <c r="I818"/>
    </row>
    <row r="819" spans="1:16">
      <c r="A819" s="13" t="s">
        <v>3845</v>
      </c>
      <c r="B819" s="166">
        <v>50</v>
      </c>
      <c r="C819" s="179">
        <v>2</v>
      </c>
      <c r="D819" s="179">
        <v>11</v>
      </c>
      <c r="E819" s="179">
        <v>3</v>
      </c>
      <c r="F819" s="179">
        <v>2</v>
      </c>
      <c r="G819" s="179">
        <v>1</v>
      </c>
      <c r="H819" s="180">
        <v>69</v>
      </c>
      <c r="I819"/>
    </row>
    <row r="820" spans="1:16">
      <c r="A820" s="13" t="s">
        <v>3846</v>
      </c>
      <c r="B820" s="166">
        <v>55</v>
      </c>
      <c r="C820" s="179"/>
      <c r="D820" s="179">
        <v>3</v>
      </c>
      <c r="E820" s="179">
        <v>6</v>
      </c>
      <c r="F820" s="179">
        <v>2</v>
      </c>
      <c r="G820" s="179">
        <v>1</v>
      </c>
      <c r="H820" s="180">
        <v>67</v>
      </c>
      <c r="I820"/>
    </row>
    <row r="821" spans="1:16">
      <c r="A821" s="13" t="s">
        <v>3848</v>
      </c>
      <c r="B821" s="166">
        <v>49</v>
      </c>
      <c r="C821" s="179">
        <v>3</v>
      </c>
      <c r="D821" s="179">
        <v>12</v>
      </c>
      <c r="E821" s="179">
        <v>3</v>
      </c>
      <c r="F821" s="179">
        <v>3</v>
      </c>
      <c r="G821" s="179">
        <v>4</v>
      </c>
      <c r="H821" s="180">
        <v>74</v>
      </c>
      <c r="I821"/>
    </row>
    <row r="822" spans="1:16">
      <c r="A822" s="13" t="s">
        <v>3849</v>
      </c>
      <c r="B822" s="166">
        <v>31</v>
      </c>
      <c r="C822" s="179">
        <v>2</v>
      </c>
      <c r="D822" s="179">
        <v>15</v>
      </c>
      <c r="E822" s="179">
        <v>11</v>
      </c>
      <c r="F822" s="179">
        <v>3</v>
      </c>
      <c r="G822" s="179">
        <v>1</v>
      </c>
      <c r="H822" s="180">
        <v>63</v>
      </c>
      <c r="I822"/>
    </row>
    <row r="823" spans="1:16" s="40" customFormat="1">
      <c r="A823" s="42" t="s">
        <v>3122</v>
      </c>
      <c r="B823" s="170">
        <v>753</v>
      </c>
      <c r="C823" s="181">
        <v>19</v>
      </c>
      <c r="D823" s="181">
        <v>106</v>
      </c>
      <c r="E823" s="181">
        <v>50</v>
      </c>
      <c r="F823" s="181">
        <v>51</v>
      </c>
      <c r="G823" s="181">
        <v>21</v>
      </c>
      <c r="H823" s="182">
        <v>1000</v>
      </c>
      <c r="J823" s="41"/>
      <c r="K823" s="41"/>
      <c r="L823" s="41"/>
      <c r="M823" s="41"/>
    </row>
    <row r="826" spans="1:16">
      <c r="A826" s="40" t="s">
        <v>3826</v>
      </c>
      <c r="F826" s="136"/>
    </row>
    <row r="827" spans="1:16" ht="14.5" thickBot="1">
      <c r="A827" s="11" t="s">
        <v>3153</v>
      </c>
      <c r="B827" s="11" t="s">
        <v>20</v>
      </c>
      <c r="C827" s="9"/>
      <c r="D827" s="9"/>
      <c r="E827" s="9"/>
      <c r="F827" s="9"/>
      <c r="G827" s="9"/>
      <c r="H827" s="20"/>
    </row>
    <row r="828" spans="1:16" ht="14.5" thickBot="1">
      <c r="A828" s="36" t="s">
        <v>4</v>
      </c>
      <c r="B828" s="37" t="s">
        <v>40</v>
      </c>
      <c r="C828" s="38" t="s">
        <v>74</v>
      </c>
      <c r="D828" s="38" t="s">
        <v>366</v>
      </c>
      <c r="E828" s="38" t="s">
        <v>404</v>
      </c>
      <c r="F828" s="38" t="s">
        <v>420</v>
      </c>
      <c r="G828" s="38" t="s">
        <v>3088</v>
      </c>
      <c r="H828" s="39" t="s">
        <v>3122</v>
      </c>
      <c r="J828" s="23" t="s">
        <v>4</v>
      </c>
      <c r="K828" s="23" t="s">
        <v>40</v>
      </c>
      <c r="L828" s="23" t="s">
        <v>3122</v>
      </c>
      <c r="M828" s="23" t="s">
        <v>3206</v>
      </c>
      <c r="O828" s="154" t="s">
        <v>4</v>
      </c>
      <c r="P828" s="120" t="s">
        <v>3207</v>
      </c>
    </row>
    <row r="829" spans="1:16">
      <c r="A829" s="8" t="s">
        <v>3835</v>
      </c>
      <c r="B829" s="145">
        <v>13900</v>
      </c>
      <c r="C829" s="146">
        <v>8300</v>
      </c>
      <c r="D829" s="146">
        <v>750</v>
      </c>
      <c r="E829" s="146">
        <v>75</v>
      </c>
      <c r="F829" s="146">
        <v>3550</v>
      </c>
      <c r="G829" s="146">
        <v>300</v>
      </c>
      <c r="H829" s="147">
        <v>26875</v>
      </c>
      <c r="J829" s="23" t="s">
        <v>244</v>
      </c>
      <c r="K829" s="23">
        <v>36875</v>
      </c>
      <c r="L829" s="23">
        <v>37300</v>
      </c>
      <c r="M829" s="105">
        <f t="shared" ref="M829:M844" si="31">K829/L829</f>
        <v>0.98860589812332444</v>
      </c>
      <c r="O829" s="118" t="s">
        <v>3844</v>
      </c>
      <c r="P829" s="106">
        <v>0.98860589812332444</v>
      </c>
    </row>
    <row r="830" spans="1:16">
      <c r="A830" s="13" t="s">
        <v>3836</v>
      </c>
      <c r="B830" s="148">
        <v>26150</v>
      </c>
      <c r="C830" s="149">
        <v>6200</v>
      </c>
      <c r="D830" s="149">
        <v>350</v>
      </c>
      <c r="E830" s="149">
        <v>1500</v>
      </c>
      <c r="F830" s="149">
        <v>2100</v>
      </c>
      <c r="G830" s="149">
        <v>2750</v>
      </c>
      <c r="H830" s="150">
        <v>39050</v>
      </c>
      <c r="J830" s="23" t="s">
        <v>143</v>
      </c>
      <c r="K830" s="23">
        <v>22200</v>
      </c>
      <c r="L830" s="23">
        <v>23100</v>
      </c>
      <c r="M830" s="105">
        <f t="shared" si="31"/>
        <v>0.96103896103896103</v>
      </c>
      <c r="O830" s="118" t="s">
        <v>3843</v>
      </c>
      <c r="P830" s="106">
        <v>0.96103896103896103</v>
      </c>
    </row>
    <row r="831" spans="1:16">
      <c r="A831" s="13" t="s">
        <v>3837</v>
      </c>
      <c r="B831" s="148">
        <v>26025</v>
      </c>
      <c r="C831" s="149">
        <v>2150</v>
      </c>
      <c r="D831" s="149">
        <v>1800</v>
      </c>
      <c r="E831" s="149"/>
      <c r="F831" s="149">
        <v>3050</v>
      </c>
      <c r="G831" s="149">
        <v>75</v>
      </c>
      <c r="H831" s="150">
        <v>33100</v>
      </c>
      <c r="J831" s="23" t="s">
        <v>81</v>
      </c>
      <c r="K831" s="23">
        <v>31275</v>
      </c>
      <c r="L831" s="23">
        <v>32550</v>
      </c>
      <c r="M831" s="105">
        <f t="shared" si="31"/>
        <v>0.96082949308755761</v>
      </c>
      <c r="O831" s="118" t="s">
        <v>3839</v>
      </c>
      <c r="P831" s="106">
        <v>0.96082949308755761</v>
      </c>
    </row>
    <row r="832" spans="1:16">
      <c r="A832" s="13" t="s">
        <v>3838</v>
      </c>
      <c r="B832" s="148">
        <v>27150</v>
      </c>
      <c r="C832" s="149">
        <v>5200</v>
      </c>
      <c r="D832" s="149">
        <v>3800</v>
      </c>
      <c r="E832" s="149">
        <v>1500</v>
      </c>
      <c r="F832" s="149">
        <v>3400</v>
      </c>
      <c r="G832" s="149">
        <v>150</v>
      </c>
      <c r="H832" s="150">
        <v>41200</v>
      </c>
      <c r="J832" s="23" t="s">
        <v>3082</v>
      </c>
      <c r="K832" s="23">
        <v>40125</v>
      </c>
      <c r="L832" s="23">
        <v>42600</v>
      </c>
      <c r="M832" s="105">
        <f t="shared" si="31"/>
        <v>0.94190140845070425</v>
      </c>
      <c r="O832" s="118" t="s">
        <v>3847</v>
      </c>
      <c r="P832" s="106">
        <v>0.94190140845070425</v>
      </c>
    </row>
    <row r="833" spans="1:16">
      <c r="A833" s="13" t="s">
        <v>3839</v>
      </c>
      <c r="B833" s="148">
        <v>31375</v>
      </c>
      <c r="C833" s="149">
        <v>75</v>
      </c>
      <c r="D833" s="149">
        <v>525</v>
      </c>
      <c r="E833" s="149">
        <v>375</v>
      </c>
      <c r="F833" s="149"/>
      <c r="G833" s="149">
        <v>300</v>
      </c>
      <c r="H833" s="150">
        <v>32650</v>
      </c>
      <c r="J833" s="23" t="s">
        <v>119</v>
      </c>
      <c r="K833" s="23">
        <v>37950</v>
      </c>
      <c r="L833" s="23">
        <v>41300</v>
      </c>
      <c r="M833" s="105">
        <f t="shared" si="31"/>
        <v>0.91888619854721554</v>
      </c>
      <c r="O833" s="118" t="s">
        <v>3842</v>
      </c>
      <c r="P833" s="106">
        <v>0.91888619854721554</v>
      </c>
    </row>
    <row r="834" spans="1:16">
      <c r="A834" s="13" t="s">
        <v>3840</v>
      </c>
      <c r="B834" s="148">
        <v>19275</v>
      </c>
      <c r="C834" s="149">
        <v>9925</v>
      </c>
      <c r="D834" s="149">
        <v>1175</v>
      </c>
      <c r="E834" s="149">
        <v>1000</v>
      </c>
      <c r="F834" s="149">
        <v>2900</v>
      </c>
      <c r="G834" s="149">
        <v>0</v>
      </c>
      <c r="H834" s="150">
        <v>34275</v>
      </c>
      <c r="J834" s="23" t="s">
        <v>216</v>
      </c>
      <c r="K834" s="23">
        <v>35725</v>
      </c>
      <c r="L834" s="23">
        <v>39975</v>
      </c>
      <c r="M834" s="105">
        <f t="shared" si="31"/>
        <v>0.89368355222013762</v>
      </c>
      <c r="O834" s="118" t="s">
        <v>3846</v>
      </c>
      <c r="P834" s="106">
        <v>0.89368355222013762</v>
      </c>
    </row>
    <row r="835" spans="1:16">
      <c r="A835" s="13" t="s">
        <v>3841</v>
      </c>
      <c r="B835" s="148">
        <v>31775</v>
      </c>
      <c r="C835" s="149">
        <v>900</v>
      </c>
      <c r="D835" s="149">
        <v>800</v>
      </c>
      <c r="E835" s="149">
        <v>1000</v>
      </c>
      <c r="F835" s="149">
        <v>3550</v>
      </c>
      <c r="G835" s="149">
        <v>500</v>
      </c>
      <c r="H835" s="150">
        <v>38525</v>
      </c>
      <c r="J835" s="23" t="s">
        <v>101</v>
      </c>
      <c r="K835" s="23">
        <v>31275</v>
      </c>
      <c r="L835" s="23">
        <v>36025</v>
      </c>
      <c r="M835" s="105">
        <f t="shared" si="31"/>
        <v>0.86814712005551697</v>
      </c>
      <c r="O835" s="118" t="s">
        <v>3841</v>
      </c>
      <c r="P835" s="106">
        <v>0.86814712005551697</v>
      </c>
    </row>
    <row r="836" spans="1:16">
      <c r="A836" s="13" t="s">
        <v>3842</v>
      </c>
      <c r="B836" s="148">
        <v>40450</v>
      </c>
      <c r="C836" s="149">
        <v>150</v>
      </c>
      <c r="D836" s="149">
        <v>1500</v>
      </c>
      <c r="E836" s="149">
        <v>1700</v>
      </c>
      <c r="F836" s="149"/>
      <c r="G836" s="149"/>
      <c r="H836" s="150">
        <v>43800</v>
      </c>
      <c r="J836" s="23" t="s">
        <v>466</v>
      </c>
      <c r="K836" s="23">
        <v>24325</v>
      </c>
      <c r="L836" s="23">
        <v>31400</v>
      </c>
      <c r="M836" s="105">
        <f t="shared" si="31"/>
        <v>0.77468152866242035</v>
      </c>
      <c r="O836" s="118" t="s">
        <v>3873</v>
      </c>
      <c r="P836" s="106">
        <v>0.77468152866242035</v>
      </c>
    </row>
    <row r="837" spans="1:16">
      <c r="A837" s="13" t="s">
        <v>3843</v>
      </c>
      <c r="B837" s="148">
        <v>22400</v>
      </c>
      <c r="C837" s="149">
        <v>250</v>
      </c>
      <c r="D837" s="149"/>
      <c r="E837" s="149"/>
      <c r="F837" s="149">
        <v>350</v>
      </c>
      <c r="G837" s="149">
        <v>300</v>
      </c>
      <c r="H837" s="150">
        <v>23300</v>
      </c>
      <c r="J837" s="23" t="s">
        <v>3122</v>
      </c>
      <c r="K837" s="23">
        <v>397325</v>
      </c>
      <c r="L837" s="23">
        <v>514525</v>
      </c>
      <c r="M837" s="105">
        <f t="shared" si="31"/>
        <v>0.77221709343569311</v>
      </c>
      <c r="O837" s="118" t="s">
        <v>3836</v>
      </c>
      <c r="P837" s="106">
        <v>0.66965428937259919</v>
      </c>
    </row>
    <row r="838" spans="1:16">
      <c r="A838" s="13" t="s">
        <v>3844</v>
      </c>
      <c r="B838" s="148">
        <v>46375</v>
      </c>
      <c r="C838" s="149">
        <v>75</v>
      </c>
      <c r="D838" s="149"/>
      <c r="E838" s="149">
        <v>100</v>
      </c>
      <c r="F838" s="149">
        <v>50</v>
      </c>
      <c r="G838" s="149">
        <v>200</v>
      </c>
      <c r="H838" s="150">
        <v>46800</v>
      </c>
      <c r="J838" s="23" t="s">
        <v>232</v>
      </c>
      <c r="K838" s="23">
        <v>26150</v>
      </c>
      <c r="L838" s="23">
        <v>39050</v>
      </c>
      <c r="M838" s="105">
        <f t="shared" si="31"/>
        <v>0.66965428937259919</v>
      </c>
      <c r="O838" s="118" t="s">
        <v>3845</v>
      </c>
      <c r="P838" s="106">
        <v>0.66394052044609664</v>
      </c>
    </row>
    <row r="839" spans="1:16">
      <c r="A839" s="13" t="s">
        <v>3847</v>
      </c>
      <c r="B839" s="148">
        <v>43125</v>
      </c>
      <c r="C839" s="149">
        <v>600</v>
      </c>
      <c r="D839" s="149">
        <v>300</v>
      </c>
      <c r="E839" s="149"/>
      <c r="F839" s="149"/>
      <c r="G839" s="149">
        <v>1575</v>
      </c>
      <c r="H839" s="150">
        <v>45600</v>
      </c>
      <c r="J839" s="23" t="s">
        <v>210</v>
      </c>
      <c r="K839" s="23">
        <v>22325</v>
      </c>
      <c r="L839" s="23">
        <v>33625</v>
      </c>
      <c r="M839" s="105">
        <f t="shared" si="31"/>
        <v>0.66394052044609664</v>
      </c>
      <c r="O839" s="118" t="s">
        <v>3848</v>
      </c>
      <c r="P839" s="106">
        <v>0.6630851880276285</v>
      </c>
    </row>
    <row r="840" spans="1:16">
      <c r="A840" s="13" t="s">
        <v>3845</v>
      </c>
      <c r="B840" s="148">
        <v>22325</v>
      </c>
      <c r="C840" s="149">
        <v>7100</v>
      </c>
      <c r="D840" s="149">
        <v>1800</v>
      </c>
      <c r="E840" s="149">
        <v>1650</v>
      </c>
      <c r="F840" s="149">
        <v>500</v>
      </c>
      <c r="G840" s="149">
        <v>250</v>
      </c>
      <c r="H840" s="150">
        <v>33625</v>
      </c>
      <c r="J840" s="23" t="s">
        <v>236</v>
      </c>
      <c r="K840" s="23">
        <v>21600</v>
      </c>
      <c r="L840" s="23">
        <v>32575</v>
      </c>
      <c r="M840" s="105">
        <f t="shared" si="31"/>
        <v>0.6630851880276285</v>
      </c>
      <c r="O840" s="118" t="s">
        <v>3838</v>
      </c>
      <c r="P840" s="106">
        <v>0.646095717884131</v>
      </c>
    </row>
    <row r="841" spans="1:16">
      <c r="A841" s="13" t="s">
        <v>3846</v>
      </c>
      <c r="B841" s="148">
        <v>37725</v>
      </c>
      <c r="C841" s="149">
        <v>150</v>
      </c>
      <c r="D841" s="149">
        <v>3750</v>
      </c>
      <c r="E841" s="149"/>
      <c r="F841" s="149">
        <v>150</v>
      </c>
      <c r="G841" s="149">
        <v>200</v>
      </c>
      <c r="H841" s="150">
        <v>41975</v>
      </c>
      <c r="J841" s="23" t="s">
        <v>111</v>
      </c>
      <c r="K841" s="23">
        <v>25650</v>
      </c>
      <c r="L841" s="23">
        <v>39700</v>
      </c>
      <c r="M841" s="105">
        <f t="shared" si="31"/>
        <v>0.646095717884131</v>
      </c>
      <c r="O841" s="118" t="s">
        <v>3840</v>
      </c>
      <c r="P841" s="106">
        <v>0.56043956043956045</v>
      </c>
    </row>
    <row r="842" spans="1:16">
      <c r="A842" s="13" t="s">
        <v>3848</v>
      </c>
      <c r="B842" s="148">
        <v>24900</v>
      </c>
      <c r="C842" s="149">
        <v>6050</v>
      </c>
      <c r="D842" s="149">
        <v>2250</v>
      </c>
      <c r="E842" s="149">
        <v>225</v>
      </c>
      <c r="F842" s="149">
        <v>550</v>
      </c>
      <c r="G842" s="149">
        <v>1900</v>
      </c>
      <c r="H842" s="150">
        <v>35875</v>
      </c>
      <c r="J842" s="23" t="s">
        <v>91</v>
      </c>
      <c r="K842" s="23">
        <v>19125</v>
      </c>
      <c r="L842" s="23">
        <v>34125</v>
      </c>
      <c r="M842" s="105">
        <f t="shared" si="31"/>
        <v>0.56043956043956045</v>
      </c>
      <c r="O842" s="118" t="s">
        <v>3849</v>
      </c>
      <c r="P842" s="106">
        <v>0.50518754988028736</v>
      </c>
    </row>
    <row r="843" spans="1:16" ht="14.5" thickBot="1">
      <c r="A843" s="13" t="s">
        <v>3849</v>
      </c>
      <c r="B843" s="148">
        <v>15825</v>
      </c>
      <c r="C843" s="149">
        <v>2875</v>
      </c>
      <c r="D843" s="149">
        <v>8200</v>
      </c>
      <c r="E843" s="149">
        <v>2075</v>
      </c>
      <c r="F843" s="149">
        <v>2700</v>
      </c>
      <c r="G843" s="149">
        <v>50</v>
      </c>
      <c r="H843" s="150">
        <v>31725</v>
      </c>
      <c r="J843" s="23" t="s">
        <v>257</v>
      </c>
      <c r="K843" s="23">
        <v>15825</v>
      </c>
      <c r="L843" s="23">
        <v>31325</v>
      </c>
      <c r="M843" s="105">
        <f t="shared" si="31"/>
        <v>0.50518754988028736</v>
      </c>
      <c r="O843" s="119" t="s">
        <v>3874</v>
      </c>
      <c r="P843" s="107">
        <v>0.3471698113207547</v>
      </c>
    </row>
    <row r="844" spans="1:16" ht="14.5" thickBot="1">
      <c r="A844" s="42" t="s">
        <v>3122</v>
      </c>
      <c r="B844" s="151">
        <v>428775</v>
      </c>
      <c r="C844" s="152">
        <v>50000</v>
      </c>
      <c r="D844" s="152">
        <v>27000</v>
      </c>
      <c r="E844" s="152">
        <v>11200</v>
      </c>
      <c r="F844" s="152">
        <v>22850</v>
      </c>
      <c r="G844" s="152">
        <v>8550</v>
      </c>
      <c r="H844" s="153">
        <v>548375</v>
      </c>
      <c r="J844" s="23" t="s">
        <v>33</v>
      </c>
      <c r="K844" s="23">
        <v>6900</v>
      </c>
      <c r="L844" s="23">
        <v>19875</v>
      </c>
      <c r="M844" s="105">
        <f t="shared" si="31"/>
        <v>0.3471698113207547</v>
      </c>
      <c r="O844" s="119"/>
      <c r="P844" s="107"/>
    </row>
    <row r="853" spans="1:11">
      <c r="A853" s="102"/>
    </row>
    <row r="854" spans="1:11">
      <c r="A854" s="40" t="s">
        <v>3872</v>
      </c>
    </row>
    <row r="855" spans="1:11">
      <c r="A855" s="11" t="s">
        <v>3138</v>
      </c>
      <c r="B855" s="11" t="s">
        <v>21</v>
      </c>
      <c r="C855" s="9"/>
      <c r="D855" s="9"/>
      <c r="E855" s="9"/>
      <c r="F855" s="9"/>
      <c r="G855" s="20"/>
      <c r="H855"/>
      <c r="I855" s="23" t="s">
        <v>3875</v>
      </c>
      <c r="J855" s="23" t="s">
        <v>3149</v>
      </c>
      <c r="K855" s="23" t="s">
        <v>3878</v>
      </c>
    </row>
    <row r="856" spans="1:11">
      <c r="A856" s="43" t="s">
        <v>4</v>
      </c>
      <c r="B856" s="37" t="s">
        <v>105</v>
      </c>
      <c r="C856" s="38" t="s">
        <v>41</v>
      </c>
      <c r="D856" s="38" t="s">
        <v>127</v>
      </c>
      <c r="E856" s="38" t="s">
        <v>146</v>
      </c>
      <c r="F856" s="38" t="s">
        <v>3088</v>
      </c>
      <c r="G856" s="39" t="s">
        <v>3122</v>
      </c>
      <c r="H856"/>
      <c r="I856" s="23" t="str" cm="1">
        <f t="array" ref="I856:I860">TRANSPOSE(B856:F856)</f>
        <v>Matched</v>
      </c>
      <c r="J856" s="23" cm="1">
        <f t="array" ref="J856:J860">TRANSPOSE(B872:F872)</f>
        <v>442</v>
      </c>
      <c r="K856" s="105">
        <f>$J856/$J$861</f>
        <v>0.442</v>
      </c>
    </row>
    <row r="857" spans="1:11">
      <c r="A857" s="8" t="s">
        <v>3835</v>
      </c>
      <c r="B857" s="164">
        <v>23</v>
      </c>
      <c r="C857" s="174">
        <v>16</v>
      </c>
      <c r="D857" s="174">
        <v>7</v>
      </c>
      <c r="E857" s="174">
        <v>2</v>
      </c>
      <c r="F857" s="174">
        <v>7</v>
      </c>
      <c r="G857" s="175">
        <v>55</v>
      </c>
      <c r="H857"/>
      <c r="I857" s="23" t="str">
        <v>Pending</v>
      </c>
      <c r="J857" s="23">
        <v>230</v>
      </c>
      <c r="K857" s="105">
        <f t="shared" ref="K857:K860" si="32">$J857/$J$861</f>
        <v>0.23</v>
      </c>
    </row>
    <row r="858" spans="1:11">
      <c r="A858" s="13" t="s">
        <v>3836</v>
      </c>
      <c r="B858" s="166">
        <v>29</v>
      </c>
      <c r="C858" s="179">
        <v>18</v>
      </c>
      <c r="D858" s="179">
        <v>7</v>
      </c>
      <c r="E858" s="179">
        <v>6</v>
      </c>
      <c r="F858" s="179">
        <v>7</v>
      </c>
      <c r="G858" s="180">
        <v>67</v>
      </c>
      <c r="H858"/>
      <c r="I858" s="23" t="str">
        <v>Disputed</v>
      </c>
      <c r="J858" s="23">
        <v>114</v>
      </c>
      <c r="K858" s="105">
        <f t="shared" si="32"/>
        <v>0.114</v>
      </c>
    </row>
    <row r="859" spans="1:11">
      <c r="A859" s="13" t="s">
        <v>3837</v>
      </c>
      <c r="B859" s="166">
        <v>32</v>
      </c>
      <c r="C859" s="179">
        <v>13</v>
      </c>
      <c r="D859" s="179">
        <v>7</v>
      </c>
      <c r="E859" s="179">
        <v>7</v>
      </c>
      <c r="F859" s="179">
        <v>5</v>
      </c>
      <c r="G859" s="180">
        <v>64</v>
      </c>
      <c r="H859"/>
      <c r="I859" s="23" t="str">
        <v>Missing Invoice</v>
      </c>
      <c r="J859" s="23">
        <v>99</v>
      </c>
      <c r="K859" s="105">
        <f t="shared" si="32"/>
        <v>9.9000000000000005E-2</v>
      </c>
    </row>
    <row r="860" spans="1:11">
      <c r="A860" s="13" t="s">
        <v>3838</v>
      </c>
      <c r="B860" s="166">
        <v>44</v>
      </c>
      <c r="C860" s="179">
        <v>13</v>
      </c>
      <c r="D860" s="179">
        <v>5</v>
      </c>
      <c r="E860" s="179">
        <v>7</v>
      </c>
      <c r="F860" s="179">
        <v>8</v>
      </c>
      <c r="G860" s="180">
        <v>77</v>
      </c>
      <c r="H860"/>
      <c r="I860" s="23" t="str">
        <v>Not Stated</v>
      </c>
      <c r="J860" s="23">
        <v>115</v>
      </c>
      <c r="K860" s="105">
        <f t="shared" si="32"/>
        <v>0.115</v>
      </c>
    </row>
    <row r="861" spans="1:11">
      <c r="A861" s="13" t="s">
        <v>3839</v>
      </c>
      <c r="B861" s="166">
        <v>44</v>
      </c>
      <c r="C861" s="179">
        <v>15</v>
      </c>
      <c r="D861" s="179">
        <v>4</v>
      </c>
      <c r="E861" s="179">
        <v>2</v>
      </c>
      <c r="F861" s="179">
        <v>7</v>
      </c>
      <c r="G861" s="180">
        <v>72</v>
      </c>
      <c r="H861"/>
      <c r="I861" s="23" t="s">
        <v>3239</v>
      </c>
      <c r="J861" s="23">
        <f>SUM(_xlfn.ANCHORARRAY(J856))</f>
        <v>1000</v>
      </c>
      <c r="K861" s="105"/>
    </row>
    <row r="862" spans="1:11">
      <c r="A862" s="13" t="s">
        <v>3840</v>
      </c>
      <c r="B862" s="166">
        <v>24</v>
      </c>
      <c r="C862" s="179">
        <v>12</v>
      </c>
      <c r="D862" s="179">
        <v>8</v>
      </c>
      <c r="E862" s="179">
        <v>10</v>
      </c>
      <c r="F862" s="179">
        <v>7</v>
      </c>
      <c r="G862" s="180">
        <v>61</v>
      </c>
      <c r="H862"/>
      <c r="K862" s="105"/>
    </row>
    <row r="863" spans="1:11">
      <c r="A863" s="13" t="s">
        <v>3841</v>
      </c>
      <c r="B863" s="166">
        <v>34</v>
      </c>
      <c r="C863" s="179">
        <v>19</v>
      </c>
      <c r="D863" s="179">
        <v>9</v>
      </c>
      <c r="E863" s="179">
        <v>8</v>
      </c>
      <c r="F863" s="179">
        <v>6</v>
      </c>
      <c r="G863" s="180">
        <v>76</v>
      </c>
      <c r="H863"/>
      <c r="I863" s="23" t="s">
        <v>3877</v>
      </c>
      <c r="J863" s="23">
        <f>J861-J856</f>
        <v>558</v>
      </c>
      <c r="K863" s="105">
        <f>J863/J861</f>
        <v>0.55800000000000005</v>
      </c>
    </row>
    <row r="864" spans="1:11">
      <c r="A864" s="13" t="s">
        <v>3842</v>
      </c>
      <c r="B864" s="166">
        <v>24</v>
      </c>
      <c r="C864" s="179">
        <v>16</v>
      </c>
      <c r="D864" s="179">
        <v>10</v>
      </c>
      <c r="E864" s="179">
        <v>5</v>
      </c>
      <c r="F864" s="179">
        <v>10</v>
      </c>
      <c r="G864" s="180">
        <v>65</v>
      </c>
      <c r="H864"/>
    </row>
    <row r="865" spans="1:12">
      <c r="A865" s="13" t="s">
        <v>3843</v>
      </c>
      <c r="B865" s="166">
        <v>20</v>
      </c>
      <c r="C865" s="179">
        <v>12</v>
      </c>
      <c r="D865" s="179">
        <v>8</v>
      </c>
      <c r="E865" s="179">
        <v>6</v>
      </c>
      <c r="F865" s="179">
        <v>7</v>
      </c>
      <c r="G865" s="180">
        <v>53</v>
      </c>
      <c r="H865"/>
    </row>
    <row r="866" spans="1:12">
      <c r="A866" s="13" t="s">
        <v>3844</v>
      </c>
      <c r="B866" s="166">
        <v>32</v>
      </c>
      <c r="C866" s="179">
        <v>19</v>
      </c>
      <c r="D866" s="179">
        <v>12</v>
      </c>
      <c r="E866" s="179">
        <v>7</v>
      </c>
      <c r="F866" s="179">
        <v>8</v>
      </c>
      <c r="G866" s="180">
        <v>78</v>
      </c>
      <c r="H866"/>
    </row>
    <row r="867" spans="1:12">
      <c r="A867" s="13" t="s">
        <v>3847</v>
      </c>
      <c r="B867" s="166">
        <v>23</v>
      </c>
      <c r="C867" s="179">
        <v>13</v>
      </c>
      <c r="D867" s="179">
        <v>6</v>
      </c>
      <c r="E867" s="179">
        <v>6</v>
      </c>
      <c r="F867" s="179">
        <v>11</v>
      </c>
      <c r="G867" s="180">
        <v>59</v>
      </c>
      <c r="H867"/>
    </row>
    <row r="868" spans="1:12">
      <c r="A868" s="13" t="s">
        <v>3845</v>
      </c>
      <c r="B868" s="166">
        <v>30</v>
      </c>
      <c r="C868" s="179">
        <v>20</v>
      </c>
      <c r="D868" s="179">
        <v>6</v>
      </c>
      <c r="E868" s="179">
        <v>6</v>
      </c>
      <c r="F868" s="179">
        <v>7</v>
      </c>
      <c r="G868" s="180">
        <v>69</v>
      </c>
      <c r="H868"/>
    </row>
    <row r="869" spans="1:12">
      <c r="A869" s="13" t="s">
        <v>3846</v>
      </c>
      <c r="B869" s="166">
        <v>30</v>
      </c>
      <c r="C869" s="179">
        <v>13</v>
      </c>
      <c r="D869" s="179">
        <v>8</v>
      </c>
      <c r="E869" s="179">
        <v>11</v>
      </c>
      <c r="F869" s="179">
        <v>5</v>
      </c>
      <c r="G869" s="180">
        <v>67</v>
      </c>
      <c r="H869"/>
    </row>
    <row r="870" spans="1:12">
      <c r="A870" s="13" t="s">
        <v>3848</v>
      </c>
      <c r="B870" s="166">
        <v>33</v>
      </c>
      <c r="C870" s="179">
        <v>16</v>
      </c>
      <c r="D870" s="179">
        <v>10</v>
      </c>
      <c r="E870" s="179">
        <v>6</v>
      </c>
      <c r="F870" s="179">
        <v>9</v>
      </c>
      <c r="G870" s="180">
        <v>74</v>
      </c>
      <c r="H870"/>
    </row>
    <row r="871" spans="1:12">
      <c r="A871" s="13" t="s">
        <v>3849</v>
      </c>
      <c r="B871" s="166">
        <v>20</v>
      </c>
      <c r="C871" s="179">
        <v>15</v>
      </c>
      <c r="D871" s="179">
        <v>7</v>
      </c>
      <c r="E871" s="179">
        <v>10</v>
      </c>
      <c r="F871" s="179">
        <v>11</v>
      </c>
      <c r="G871" s="180">
        <v>63</v>
      </c>
      <c r="H871"/>
    </row>
    <row r="872" spans="1:12">
      <c r="A872" s="42" t="s">
        <v>3122</v>
      </c>
      <c r="B872" s="170">
        <v>442</v>
      </c>
      <c r="C872" s="181">
        <v>230</v>
      </c>
      <c r="D872" s="181">
        <v>114</v>
      </c>
      <c r="E872" s="181">
        <v>99</v>
      </c>
      <c r="F872" s="181">
        <v>115</v>
      </c>
      <c r="G872" s="182">
        <v>1000</v>
      </c>
      <c r="H872"/>
    </row>
    <row r="878" spans="1:12">
      <c r="A878" s="40" t="s">
        <v>3825</v>
      </c>
    </row>
    <row r="879" spans="1:12">
      <c r="A879" s="11" t="s">
        <v>3138</v>
      </c>
      <c r="B879" s="11" t="s">
        <v>22</v>
      </c>
      <c r="C879" s="9"/>
      <c r="D879" s="9"/>
      <c r="E879" s="9"/>
      <c r="F879" s="9"/>
      <c r="G879" s="9"/>
      <c r="H879" s="20"/>
    </row>
    <row r="880" spans="1:12">
      <c r="A880" s="43" t="s">
        <v>4</v>
      </c>
      <c r="B880" s="22" t="s">
        <v>212</v>
      </c>
      <c r="C880" s="25" t="s">
        <v>190</v>
      </c>
      <c r="D880" s="25" t="s">
        <v>66</v>
      </c>
      <c r="E880" s="25" t="s">
        <v>106</v>
      </c>
      <c r="F880" s="25" t="s">
        <v>42</v>
      </c>
      <c r="G880" s="25" t="s">
        <v>3088</v>
      </c>
      <c r="H880" s="39" t="s">
        <v>3122</v>
      </c>
      <c r="J880" s="23" t="s">
        <v>3876</v>
      </c>
      <c r="K880" s="23" t="s">
        <v>3149</v>
      </c>
      <c r="L880" s="23" t="s">
        <v>3879</v>
      </c>
    </row>
    <row r="881" spans="1:12">
      <c r="A881" s="8" t="s">
        <v>3835</v>
      </c>
      <c r="B881" s="164">
        <v>7</v>
      </c>
      <c r="C881" s="174">
        <v>9</v>
      </c>
      <c r="D881" s="174">
        <v>7</v>
      </c>
      <c r="E881" s="174">
        <v>15</v>
      </c>
      <c r="F881" s="174">
        <v>8</v>
      </c>
      <c r="G881" s="174">
        <v>9</v>
      </c>
      <c r="H881" s="175">
        <v>55</v>
      </c>
      <c r="J881" s="23" t="str" cm="1">
        <f t="array" ref="J881:J886">TRANSPOSE(B880:G880)</f>
        <v>50% Advance / 50% Delivery</v>
      </c>
      <c r="K881" s="23" cm="1">
        <f t="array" ref="K881:K886">TRANSPOSE(B896:G896)</f>
        <v>149</v>
      </c>
      <c r="L881" s="105">
        <f>$K881/$K$887</f>
        <v>0.14899999999999999</v>
      </c>
    </row>
    <row r="882" spans="1:12">
      <c r="A882" s="13" t="s">
        <v>3836</v>
      </c>
      <c r="B882" s="166">
        <v>10</v>
      </c>
      <c r="C882" s="179">
        <v>8</v>
      </c>
      <c r="D882" s="179">
        <v>12</v>
      </c>
      <c r="E882" s="179">
        <v>17</v>
      </c>
      <c r="F882" s="179">
        <v>8</v>
      </c>
      <c r="G882" s="179">
        <v>12</v>
      </c>
      <c r="H882" s="180">
        <v>67</v>
      </c>
      <c r="J882" s="23" t="str">
        <v>Advance</v>
      </c>
      <c r="K882" s="23">
        <v>149</v>
      </c>
      <c r="L882" s="105">
        <f t="shared" ref="L882:L887" si="33">$K882/$K$887</f>
        <v>0.14899999999999999</v>
      </c>
    </row>
    <row r="883" spans="1:12">
      <c r="A883" s="13" t="s">
        <v>3837</v>
      </c>
      <c r="B883" s="166">
        <v>8</v>
      </c>
      <c r="C883" s="179">
        <v>11</v>
      </c>
      <c r="D883" s="179">
        <v>8</v>
      </c>
      <c r="E883" s="179">
        <v>20</v>
      </c>
      <c r="F883" s="179">
        <v>9</v>
      </c>
      <c r="G883" s="179">
        <v>8</v>
      </c>
      <c r="H883" s="180">
        <v>64</v>
      </c>
      <c r="J883" s="23" t="str">
        <v>COD</v>
      </c>
      <c r="K883" s="23">
        <v>137</v>
      </c>
      <c r="L883" s="105">
        <f t="shared" si="33"/>
        <v>0.13700000000000001</v>
      </c>
    </row>
    <row r="884" spans="1:12">
      <c r="A884" s="13" t="s">
        <v>3838</v>
      </c>
      <c r="B884" s="166">
        <v>12</v>
      </c>
      <c r="C884" s="179">
        <v>5</v>
      </c>
      <c r="D884" s="179">
        <v>8</v>
      </c>
      <c r="E884" s="179">
        <v>24</v>
      </c>
      <c r="F884" s="179">
        <v>13</v>
      </c>
      <c r="G884" s="179">
        <v>15</v>
      </c>
      <c r="H884" s="180">
        <v>77</v>
      </c>
      <c r="J884" s="23" t="str">
        <v>Net 30</v>
      </c>
      <c r="K884" s="23">
        <v>276</v>
      </c>
      <c r="L884" s="105">
        <f t="shared" si="33"/>
        <v>0.27600000000000002</v>
      </c>
    </row>
    <row r="885" spans="1:12">
      <c r="A885" s="13" t="s">
        <v>3839</v>
      </c>
      <c r="B885" s="166">
        <v>14</v>
      </c>
      <c r="C885" s="179">
        <v>16</v>
      </c>
      <c r="D885" s="179">
        <v>11</v>
      </c>
      <c r="E885" s="179">
        <v>15</v>
      </c>
      <c r="F885" s="179">
        <v>13</v>
      </c>
      <c r="G885" s="179">
        <v>3</v>
      </c>
      <c r="H885" s="180">
        <v>72</v>
      </c>
      <c r="J885" s="23" t="str">
        <v>Net 45</v>
      </c>
      <c r="K885" s="23">
        <v>141</v>
      </c>
      <c r="L885" s="105">
        <f t="shared" si="33"/>
        <v>0.14099999999999999</v>
      </c>
    </row>
    <row r="886" spans="1:12">
      <c r="A886" s="13" t="s">
        <v>3840</v>
      </c>
      <c r="B886" s="166">
        <v>11</v>
      </c>
      <c r="C886" s="179">
        <v>11</v>
      </c>
      <c r="D886" s="179">
        <v>11</v>
      </c>
      <c r="E886" s="179">
        <v>15</v>
      </c>
      <c r="F886" s="179">
        <v>8</v>
      </c>
      <c r="G886" s="179">
        <v>5</v>
      </c>
      <c r="H886" s="180">
        <v>61</v>
      </c>
      <c r="J886" s="23" t="str">
        <v>Not Stated</v>
      </c>
      <c r="K886" s="23">
        <v>148</v>
      </c>
      <c r="L886" s="105">
        <f t="shared" si="33"/>
        <v>0.14799999999999999</v>
      </c>
    </row>
    <row r="887" spans="1:12">
      <c r="A887" s="13" t="s">
        <v>3841</v>
      </c>
      <c r="B887" s="166">
        <v>9</v>
      </c>
      <c r="C887" s="179">
        <v>9</v>
      </c>
      <c r="D887" s="179">
        <v>11</v>
      </c>
      <c r="E887" s="179">
        <v>14</v>
      </c>
      <c r="F887" s="179">
        <v>16</v>
      </c>
      <c r="G887" s="179">
        <v>17</v>
      </c>
      <c r="H887" s="180">
        <v>76</v>
      </c>
      <c r="J887" s="23" t="s">
        <v>3239</v>
      </c>
      <c r="K887" s="23">
        <f>SUM(_xlfn.ANCHORARRAY(K881))</f>
        <v>1000</v>
      </c>
      <c r="L887" s="105">
        <f t="shared" si="33"/>
        <v>1</v>
      </c>
    </row>
    <row r="888" spans="1:12">
      <c r="A888" s="13" t="s">
        <v>3842</v>
      </c>
      <c r="B888" s="166">
        <v>12</v>
      </c>
      <c r="C888" s="179">
        <v>10</v>
      </c>
      <c r="D888" s="179">
        <v>7</v>
      </c>
      <c r="E888" s="179">
        <v>18</v>
      </c>
      <c r="F888" s="179">
        <v>6</v>
      </c>
      <c r="G888" s="179">
        <v>12</v>
      </c>
      <c r="H888" s="180">
        <v>65</v>
      </c>
    </row>
    <row r="889" spans="1:12">
      <c r="A889" s="13" t="s">
        <v>3843</v>
      </c>
      <c r="B889" s="166">
        <v>9</v>
      </c>
      <c r="C889" s="179">
        <v>8</v>
      </c>
      <c r="D889" s="179">
        <v>3</v>
      </c>
      <c r="E889" s="179">
        <v>18</v>
      </c>
      <c r="F889" s="179">
        <v>6</v>
      </c>
      <c r="G889" s="179">
        <v>9</v>
      </c>
      <c r="H889" s="180">
        <v>53</v>
      </c>
    </row>
    <row r="890" spans="1:12">
      <c r="A890" s="13" t="s">
        <v>3844</v>
      </c>
      <c r="B890" s="166">
        <v>9</v>
      </c>
      <c r="C890" s="179">
        <v>11</v>
      </c>
      <c r="D890" s="179">
        <v>10</v>
      </c>
      <c r="E890" s="179">
        <v>21</v>
      </c>
      <c r="F890" s="179">
        <v>9</v>
      </c>
      <c r="G890" s="179">
        <v>18</v>
      </c>
      <c r="H890" s="180">
        <v>78</v>
      </c>
    </row>
    <row r="891" spans="1:12">
      <c r="A891" s="13" t="s">
        <v>3847</v>
      </c>
      <c r="B891" s="166">
        <v>10</v>
      </c>
      <c r="C891" s="179">
        <v>6</v>
      </c>
      <c r="D891" s="179">
        <v>12</v>
      </c>
      <c r="E891" s="179">
        <v>15</v>
      </c>
      <c r="F891" s="179">
        <v>7</v>
      </c>
      <c r="G891" s="179">
        <v>9</v>
      </c>
      <c r="H891" s="180">
        <v>59</v>
      </c>
    </row>
    <row r="892" spans="1:12">
      <c r="A892" s="13" t="s">
        <v>3845</v>
      </c>
      <c r="B892" s="166">
        <v>10</v>
      </c>
      <c r="C892" s="179">
        <v>11</v>
      </c>
      <c r="D892" s="179">
        <v>14</v>
      </c>
      <c r="E892" s="179">
        <v>21</v>
      </c>
      <c r="F892" s="179">
        <v>12</v>
      </c>
      <c r="G892" s="179">
        <v>1</v>
      </c>
      <c r="H892" s="180">
        <v>69</v>
      </c>
    </row>
    <row r="893" spans="1:12">
      <c r="A893" s="13" t="s">
        <v>3846</v>
      </c>
      <c r="B893" s="166">
        <v>9</v>
      </c>
      <c r="C893" s="179">
        <v>12</v>
      </c>
      <c r="D893" s="179">
        <v>8</v>
      </c>
      <c r="E893" s="179">
        <v>20</v>
      </c>
      <c r="F893" s="179">
        <v>8</v>
      </c>
      <c r="G893" s="179">
        <v>10</v>
      </c>
      <c r="H893" s="180">
        <v>67</v>
      </c>
    </row>
    <row r="894" spans="1:12">
      <c r="A894" s="13" t="s">
        <v>3848</v>
      </c>
      <c r="B894" s="166">
        <v>13</v>
      </c>
      <c r="C894" s="179">
        <v>8</v>
      </c>
      <c r="D894" s="179">
        <v>10</v>
      </c>
      <c r="E894" s="179">
        <v>17</v>
      </c>
      <c r="F894" s="179">
        <v>13</v>
      </c>
      <c r="G894" s="179">
        <v>13</v>
      </c>
      <c r="H894" s="180">
        <v>74</v>
      </c>
    </row>
    <row r="895" spans="1:12">
      <c r="A895" s="13" t="s">
        <v>3849</v>
      </c>
      <c r="B895" s="166">
        <v>6</v>
      </c>
      <c r="C895" s="179">
        <v>14</v>
      </c>
      <c r="D895" s="179">
        <v>5</v>
      </c>
      <c r="E895" s="179">
        <v>26</v>
      </c>
      <c r="F895" s="179">
        <v>5</v>
      </c>
      <c r="G895" s="179">
        <v>7</v>
      </c>
      <c r="H895" s="180">
        <v>63</v>
      </c>
    </row>
    <row r="896" spans="1:12">
      <c r="A896" s="42" t="s">
        <v>3122</v>
      </c>
      <c r="B896" s="170">
        <v>149</v>
      </c>
      <c r="C896" s="181">
        <v>149</v>
      </c>
      <c r="D896" s="181">
        <v>137</v>
      </c>
      <c r="E896" s="181">
        <v>276</v>
      </c>
      <c r="F896" s="181">
        <v>141</v>
      </c>
      <c r="G896" s="181">
        <v>148</v>
      </c>
      <c r="H896" s="182">
        <v>1000</v>
      </c>
    </row>
    <row r="904" spans="1:8">
      <c r="A904" s="40" t="s">
        <v>3824</v>
      </c>
    </row>
    <row r="905" spans="1:8">
      <c r="A905" s="11" t="s">
        <v>3138</v>
      </c>
      <c r="B905" s="11" t="s">
        <v>23</v>
      </c>
      <c r="C905" s="9"/>
      <c r="D905" s="9"/>
      <c r="E905" s="9"/>
      <c r="F905" s="9"/>
      <c r="G905" s="9"/>
      <c r="H905" s="20"/>
    </row>
    <row r="906" spans="1:8">
      <c r="A906" s="43" t="s">
        <v>4</v>
      </c>
      <c r="B906" s="8" t="s">
        <v>128</v>
      </c>
      <c r="C906" s="21" t="s">
        <v>107</v>
      </c>
      <c r="D906" s="21" t="s">
        <v>3088</v>
      </c>
      <c r="E906" s="21" t="s">
        <v>54</v>
      </c>
      <c r="F906" s="21" t="s">
        <v>173</v>
      </c>
      <c r="G906" s="21" t="s">
        <v>43</v>
      </c>
      <c r="H906" s="39" t="s">
        <v>3122</v>
      </c>
    </row>
    <row r="907" spans="1:8">
      <c r="A907" s="8" t="s">
        <v>3835</v>
      </c>
      <c r="B907" s="164">
        <v>8</v>
      </c>
      <c r="C907" s="174">
        <v>6</v>
      </c>
      <c r="D907" s="174">
        <v>5</v>
      </c>
      <c r="E907" s="174">
        <v>7</v>
      </c>
      <c r="F907" s="174">
        <v>17</v>
      </c>
      <c r="G907" s="174">
        <v>12</v>
      </c>
      <c r="H907" s="175">
        <v>55</v>
      </c>
    </row>
    <row r="908" spans="1:8">
      <c r="A908" s="13" t="s">
        <v>3836</v>
      </c>
      <c r="B908" s="166">
        <v>10</v>
      </c>
      <c r="C908" s="179">
        <v>10</v>
      </c>
      <c r="D908" s="179">
        <v>7</v>
      </c>
      <c r="E908" s="179">
        <v>11</v>
      </c>
      <c r="F908" s="179">
        <v>14</v>
      </c>
      <c r="G908" s="179">
        <v>15</v>
      </c>
      <c r="H908" s="180">
        <v>67</v>
      </c>
    </row>
    <row r="909" spans="1:8">
      <c r="A909" s="13" t="s">
        <v>3837</v>
      </c>
      <c r="B909" s="166">
        <v>12</v>
      </c>
      <c r="C909" s="179">
        <v>10</v>
      </c>
      <c r="D909" s="179">
        <v>12</v>
      </c>
      <c r="E909" s="179">
        <v>4</v>
      </c>
      <c r="F909" s="179">
        <v>10</v>
      </c>
      <c r="G909" s="179">
        <v>16</v>
      </c>
      <c r="H909" s="180">
        <v>64</v>
      </c>
    </row>
    <row r="910" spans="1:8">
      <c r="A910" s="13" t="s">
        <v>3838</v>
      </c>
      <c r="B910" s="166">
        <v>10</v>
      </c>
      <c r="C910" s="179">
        <v>11</v>
      </c>
      <c r="D910" s="179">
        <v>6</v>
      </c>
      <c r="E910" s="179">
        <v>12</v>
      </c>
      <c r="F910" s="179">
        <v>17</v>
      </c>
      <c r="G910" s="179">
        <v>21</v>
      </c>
      <c r="H910" s="180">
        <v>77</v>
      </c>
    </row>
    <row r="911" spans="1:8">
      <c r="A911" s="13" t="s">
        <v>3839</v>
      </c>
      <c r="B911" s="166">
        <v>9</v>
      </c>
      <c r="C911" s="179">
        <v>11</v>
      </c>
      <c r="D911" s="179">
        <v>10</v>
      </c>
      <c r="E911" s="179">
        <v>11</v>
      </c>
      <c r="F911" s="179">
        <v>19</v>
      </c>
      <c r="G911" s="179">
        <v>12</v>
      </c>
      <c r="H911" s="180">
        <v>72</v>
      </c>
    </row>
    <row r="912" spans="1:8">
      <c r="A912" s="13" t="s">
        <v>3840</v>
      </c>
      <c r="B912" s="166">
        <v>5</v>
      </c>
      <c r="C912" s="179">
        <v>4</v>
      </c>
      <c r="D912" s="179">
        <v>13</v>
      </c>
      <c r="E912" s="179">
        <v>12</v>
      </c>
      <c r="F912" s="179">
        <v>15</v>
      </c>
      <c r="G912" s="179">
        <v>12</v>
      </c>
      <c r="H912" s="180">
        <v>61</v>
      </c>
    </row>
    <row r="913" spans="1:8">
      <c r="A913" s="13" t="s">
        <v>3841</v>
      </c>
      <c r="B913" s="166">
        <v>7</v>
      </c>
      <c r="C913" s="179">
        <v>14</v>
      </c>
      <c r="D913" s="179">
        <v>8</v>
      </c>
      <c r="E913" s="179">
        <v>12</v>
      </c>
      <c r="F913" s="179">
        <v>12</v>
      </c>
      <c r="G913" s="179">
        <v>23</v>
      </c>
      <c r="H913" s="180">
        <v>76</v>
      </c>
    </row>
    <row r="914" spans="1:8">
      <c r="A914" s="13" t="s">
        <v>3842</v>
      </c>
      <c r="B914" s="166">
        <v>7</v>
      </c>
      <c r="C914" s="179">
        <v>5</v>
      </c>
      <c r="D914" s="179">
        <v>9</v>
      </c>
      <c r="E914" s="179">
        <v>7</v>
      </c>
      <c r="F914" s="179">
        <v>23</v>
      </c>
      <c r="G914" s="179">
        <v>14</v>
      </c>
      <c r="H914" s="180">
        <v>65</v>
      </c>
    </row>
    <row r="915" spans="1:8">
      <c r="A915" s="13" t="s">
        <v>3843</v>
      </c>
      <c r="B915" s="166">
        <v>4</v>
      </c>
      <c r="C915" s="179">
        <v>12</v>
      </c>
      <c r="D915" s="179">
        <v>9</v>
      </c>
      <c r="E915" s="179">
        <v>3</v>
      </c>
      <c r="F915" s="179">
        <v>18</v>
      </c>
      <c r="G915" s="179">
        <v>7</v>
      </c>
      <c r="H915" s="180">
        <v>53</v>
      </c>
    </row>
    <row r="916" spans="1:8">
      <c r="A916" s="13" t="s">
        <v>3844</v>
      </c>
      <c r="B916" s="166">
        <v>11</v>
      </c>
      <c r="C916" s="179">
        <v>13</v>
      </c>
      <c r="D916" s="179">
        <v>7</v>
      </c>
      <c r="E916" s="179">
        <v>9</v>
      </c>
      <c r="F916" s="179">
        <v>16</v>
      </c>
      <c r="G916" s="179">
        <v>22</v>
      </c>
      <c r="H916" s="180">
        <v>78</v>
      </c>
    </row>
    <row r="917" spans="1:8">
      <c r="A917" s="13" t="s">
        <v>3847</v>
      </c>
      <c r="B917" s="166">
        <v>7</v>
      </c>
      <c r="C917" s="179">
        <v>8</v>
      </c>
      <c r="D917" s="179">
        <v>5</v>
      </c>
      <c r="E917" s="179">
        <v>9</v>
      </c>
      <c r="F917" s="179">
        <v>13</v>
      </c>
      <c r="G917" s="179">
        <v>17</v>
      </c>
      <c r="H917" s="180">
        <v>59</v>
      </c>
    </row>
    <row r="918" spans="1:8">
      <c r="A918" s="13" t="s">
        <v>3845</v>
      </c>
      <c r="B918" s="166">
        <v>8</v>
      </c>
      <c r="C918" s="179">
        <v>12</v>
      </c>
      <c r="D918" s="179">
        <v>10</v>
      </c>
      <c r="E918" s="179">
        <v>10</v>
      </c>
      <c r="F918" s="179">
        <v>16</v>
      </c>
      <c r="G918" s="179">
        <v>13</v>
      </c>
      <c r="H918" s="180">
        <v>69</v>
      </c>
    </row>
    <row r="919" spans="1:8">
      <c r="A919" s="13" t="s">
        <v>3846</v>
      </c>
      <c r="B919" s="166">
        <v>15</v>
      </c>
      <c r="C919" s="179">
        <v>8</v>
      </c>
      <c r="D919" s="179">
        <v>10</v>
      </c>
      <c r="E919" s="179">
        <v>6</v>
      </c>
      <c r="F919" s="179">
        <v>13</v>
      </c>
      <c r="G919" s="179">
        <v>15</v>
      </c>
      <c r="H919" s="180">
        <v>67</v>
      </c>
    </row>
    <row r="920" spans="1:8">
      <c r="A920" s="13" t="s">
        <v>3848</v>
      </c>
      <c r="B920" s="166">
        <v>8</v>
      </c>
      <c r="C920" s="179">
        <v>8</v>
      </c>
      <c r="D920" s="179">
        <v>10</v>
      </c>
      <c r="E920" s="179">
        <v>11</v>
      </c>
      <c r="F920" s="179">
        <v>16</v>
      </c>
      <c r="G920" s="179">
        <v>21</v>
      </c>
      <c r="H920" s="180">
        <v>74</v>
      </c>
    </row>
    <row r="921" spans="1:8">
      <c r="A921" s="13" t="s">
        <v>3849</v>
      </c>
      <c r="B921" s="166">
        <v>9</v>
      </c>
      <c r="C921" s="179">
        <v>9</v>
      </c>
      <c r="D921" s="179">
        <v>5</v>
      </c>
      <c r="E921" s="179">
        <v>9</v>
      </c>
      <c r="F921" s="179">
        <v>16</v>
      </c>
      <c r="G921" s="179">
        <v>15</v>
      </c>
      <c r="H921" s="180">
        <v>63</v>
      </c>
    </row>
    <row r="922" spans="1:8">
      <c r="A922" s="42" t="s">
        <v>3122</v>
      </c>
      <c r="B922" s="170">
        <v>130</v>
      </c>
      <c r="C922" s="181">
        <v>141</v>
      </c>
      <c r="D922" s="181">
        <v>126</v>
      </c>
      <c r="E922" s="181">
        <v>133</v>
      </c>
      <c r="F922" s="181">
        <v>235</v>
      </c>
      <c r="G922" s="181">
        <v>235</v>
      </c>
      <c r="H922" s="182">
        <v>1000</v>
      </c>
    </row>
    <row r="927" spans="1:8">
      <c r="A927" s="102" t="s">
        <v>3205</v>
      </c>
    </row>
    <row r="928" spans="1:8">
      <c r="A928" s="40" t="s">
        <v>3823</v>
      </c>
    </row>
    <row r="929" spans="1:9">
      <c r="A929" s="11" t="s">
        <v>3138</v>
      </c>
      <c r="B929" s="11" t="s">
        <v>24</v>
      </c>
      <c r="C929" s="9"/>
      <c r="D929" s="9"/>
      <c r="E929" s="9"/>
      <c r="F929" s="9"/>
      <c r="G929" s="9"/>
      <c r="H929" s="9"/>
      <c r="I929" s="20"/>
    </row>
    <row r="930" spans="1:9">
      <c r="A930" s="43" t="s">
        <v>4</v>
      </c>
      <c r="B930" s="8" t="s">
        <v>88</v>
      </c>
      <c r="C930" s="21" t="s">
        <v>129</v>
      </c>
      <c r="D930" s="21" t="s">
        <v>206</v>
      </c>
      <c r="E930" s="21" t="s">
        <v>55</v>
      </c>
      <c r="F930" s="21" t="s">
        <v>174</v>
      </c>
      <c r="G930" s="21" t="s">
        <v>136</v>
      </c>
      <c r="H930" s="21" t="s">
        <v>3112</v>
      </c>
      <c r="I930" s="39" t="s">
        <v>3122</v>
      </c>
    </row>
    <row r="931" spans="1:9">
      <c r="A931" s="8" t="s">
        <v>3835</v>
      </c>
      <c r="B931" s="164">
        <v>6</v>
      </c>
      <c r="C931" s="174">
        <v>18</v>
      </c>
      <c r="D931" s="174">
        <v>3</v>
      </c>
      <c r="E931" s="174">
        <v>3</v>
      </c>
      <c r="F931" s="174">
        <v>7</v>
      </c>
      <c r="G931" s="174">
        <v>4</v>
      </c>
      <c r="H931" s="174">
        <v>14</v>
      </c>
      <c r="I931" s="175">
        <v>55</v>
      </c>
    </row>
    <row r="932" spans="1:9">
      <c r="A932" s="13" t="s">
        <v>3836</v>
      </c>
      <c r="B932" s="166">
        <v>13</v>
      </c>
      <c r="C932" s="179">
        <v>11</v>
      </c>
      <c r="D932" s="179">
        <v>4</v>
      </c>
      <c r="E932" s="179">
        <v>10</v>
      </c>
      <c r="F932" s="179">
        <v>6</v>
      </c>
      <c r="G932" s="179">
        <v>11</v>
      </c>
      <c r="H932" s="179">
        <v>12</v>
      </c>
      <c r="I932" s="180">
        <v>67</v>
      </c>
    </row>
    <row r="933" spans="1:9">
      <c r="A933" s="13" t="s">
        <v>3837</v>
      </c>
      <c r="B933" s="166">
        <v>11</v>
      </c>
      <c r="C933" s="179">
        <v>4</v>
      </c>
      <c r="D933" s="179">
        <v>9</v>
      </c>
      <c r="E933" s="179">
        <v>4</v>
      </c>
      <c r="F933" s="179">
        <v>9</v>
      </c>
      <c r="G933" s="179">
        <v>6</v>
      </c>
      <c r="H933" s="179">
        <v>21</v>
      </c>
      <c r="I933" s="180">
        <v>64</v>
      </c>
    </row>
    <row r="934" spans="1:9">
      <c r="A934" s="13" t="s">
        <v>3838</v>
      </c>
      <c r="B934" s="166">
        <v>13</v>
      </c>
      <c r="C934" s="179">
        <v>10</v>
      </c>
      <c r="D934" s="179">
        <v>7</v>
      </c>
      <c r="E934" s="179">
        <v>7</v>
      </c>
      <c r="F934" s="179">
        <v>10</v>
      </c>
      <c r="G934" s="179">
        <v>6</v>
      </c>
      <c r="H934" s="179">
        <v>24</v>
      </c>
      <c r="I934" s="180">
        <v>77</v>
      </c>
    </row>
    <row r="935" spans="1:9">
      <c r="A935" s="13" t="s">
        <v>3839</v>
      </c>
      <c r="B935" s="166">
        <v>13</v>
      </c>
      <c r="C935" s="179">
        <v>6</v>
      </c>
      <c r="D935" s="179">
        <v>8</v>
      </c>
      <c r="E935" s="179">
        <v>4</v>
      </c>
      <c r="F935" s="179">
        <v>5</v>
      </c>
      <c r="G935" s="179">
        <v>11</v>
      </c>
      <c r="H935" s="179">
        <v>25</v>
      </c>
      <c r="I935" s="180">
        <v>72</v>
      </c>
    </row>
    <row r="936" spans="1:9">
      <c r="A936" s="13" t="s">
        <v>3840</v>
      </c>
      <c r="B936" s="166">
        <v>10</v>
      </c>
      <c r="C936" s="179">
        <v>7</v>
      </c>
      <c r="D936" s="179">
        <v>9</v>
      </c>
      <c r="E936" s="179">
        <v>5</v>
      </c>
      <c r="F936" s="179">
        <v>4</v>
      </c>
      <c r="G936" s="179">
        <v>14</v>
      </c>
      <c r="H936" s="179">
        <v>12</v>
      </c>
      <c r="I936" s="180">
        <v>61</v>
      </c>
    </row>
    <row r="937" spans="1:9">
      <c r="A937" s="13" t="s">
        <v>3841</v>
      </c>
      <c r="B937" s="166">
        <v>7</v>
      </c>
      <c r="C937" s="179">
        <v>9</v>
      </c>
      <c r="D937" s="179">
        <v>11</v>
      </c>
      <c r="E937" s="179">
        <v>13</v>
      </c>
      <c r="F937" s="179">
        <v>9</v>
      </c>
      <c r="G937" s="179">
        <v>10</v>
      </c>
      <c r="H937" s="179">
        <v>17</v>
      </c>
      <c r="I937" s="180">
        <v>76</v>
      </c>
    </row>
    <row r="938" spans="1:9">
      <c r="A938" s="13" t="s">
        <v>3842</v>
      </c>
      <c r="B938" s="166">
        <v>5</v>
      </c>
      <c r="C938" s="179">
        <v>5</v>
      </c>
      <c r="D938" s="179">
        <v>12</v>
      </c>
      <c r="E938" s="179">
        <v>7</v>
      </c>
      <c r="F938" s="179">
        <v>7</v>
      </c>
      <c r="G938" s="179">
        <v>12</v>
      </c>
      <c r="H938" s="179">
        <v>17</v>
      </c>
      <c r="I938" s="180">
        <v>65</v>
      </c>
    </row>
    <row r="939" spans="1:9">
      <c r="A939" s="13" t="s">
        <v>3843</v>
      </c>
      <c r="B939" s="166">
        <v>3</v>
      </c>
      <c r="C939" s="179">
        <v>6</v>
      </c>
      <c r="D939" s="179">
        <v>6</v>
      </c>
      <c r="E939" s="179">
        <v>4</v>
      </c>
      <c r="F939" s="179">
        <v>14</v>
      </c>
      <c r="G939" s="179">
        <v>6</v>
      </c>
      <c r="H939" s="179">
        <v>14</v>
      </c>
      <c r="I939" s="180">
        <v>53</v>
      </c>
    </row>
    <row r="940" spans="1:9">
      <c r="A940" s="13" t="s">
        <v>3844</v>
      </c>
      <c r="B940" s="166">
        <v>11</v>
      </c>
      <c r="C940" s="179">
        <v>18</v>
      </c>
      <c r="D940" s="179">
        <v>7</v>
      </c>
      <c r="E940" s="179">
        <v>9</v>
      </c>
      <c r="F940" s="179">
        <v>9</v>
      </c>
      <c r="G940" s="179">
        <v>12</v>
      </c>
      <c r="H940" s="179">
        <v>12</v>
      </c>
      <c r="I940" s="180">
        <v>78</v>
      </c>
    </row>
    <row r="941" spans="1:9">
      <c r="A941" s="13" t="s">
        <v>3847</v>
      </c>
      <c r="B941" s="166">
        <v>9</v>
      </c>
      <c r="C941" s="179">
        <v>9</v>
      </c>
      <c r="D941" s="179">
        <v>11</v>
      </c>
      <c r="E941" s="179">
        <v>2</v>
      </c>
      <c r="F941" s="179">
        <v>5</v>
      </c>
      <c r="G941" s="179">
        <v>6</v>
      </c>
      <c r="H941" s="179">
        <v>17</v>
      </c>
      <c r="I941" s="180">
        <v>59</v>
      </c>
    </row>
    <row r="942" spans="1:9">
      <c r="A942" s="13" t="s">
        <v>3845</v>
      </c>
      <c r="B942" s="166">
        <v>9</v>
      </c>
      <c r="C942" s="179">
        <v>17</v>
      </c>
      <c r="D942" s="179">
        <v>10</v>
      </c>
      <c r="E942" s="179">
        <v>6</v>
      </c>
      <c r="F942" s="179">
        <v>11</v>
      </c>
      <c r="G942" s="179">
        <v>5</v>
      </c>
      <c r="H942" s="179">
        <v>11</v>
      </c>
      <c r="I942" s="180">
        <v>69</v>
      </c>
    </row>
    <row r="943" spans="1:9">
      <c r="A943" s="13" t="s">
        <v>3846</v>
      </c>
      <c r="B943" s="166">
        <v>12</v>
      </c>
      <c r="C943" s="179">
        <v>7</v>
      </c>
      <c r="D943" s="179">
        <v>4</v>
      </c>
      <c r="E943" s="179">
        <v>8</v>
      </c>
      <c r="F943" s="179">
        <v>9</v>
      </c>
      <c r="G943" s="179">
        <v>11</v>
      </c>
      <c r="H943" s="179">
        <v>16</v>
      </c>
      <c r="I943" s="180">
        <v>67</v>
      </c>
    </row>
    <row r="944" spans="1:9">
      <c r="A944" s="13" t="s">
        <v>3848</v>
      </c>
      <c r="B944" s="166">
        <v>8</v>
      </c>
      <c r="C944" s="179">
        <v>7</v>
      </c>
      <c r="D944" s="179">
        <v>9</v>
      </c>
      <c r="E944" s="179">
        <v>8</v>
      </c>
      <c r="F944" s="179">
        <v>7</v>
      </c>
      <c r="G944" s="179">
        <v>11</v>
      </c>
      <c r="H944" s="179">
        <v>24</v>
      </c>
      <c r="I944" s="180">
        <v>74</v>
      </c>
    </row>
    <row r="945" spans="1:9">
      <c r="A945" s="13" t="s">
        <v>3849</v>
      </c>
      <c r="B945" s="166">
        <v>6</v>
      </c>
      <c r="C945" s="179">
        <v>8</v>
      </c>
      <c r="D945" s="179">
        <v>10</v>
      </c>
      <c r="E945" s="179">
        <v>7</v>
      </c>
      <c r="F945" s="179">
        <v>8</v>
      </c>
      <c r="G945" s="179">
        <v>8</v>
      </c>
      <c r="H945" s="179">
        <v>16</v>
      </c>
      <c r="I945" s="180">
        <v>63</v>
      </c>
    </row>
    <row r="946" spans="1:9">
      <c r="A946" s="42" t="s">
        <v>3122</v>
      </c>
      <c r="B946" s="170">
        <v>136</v>
      </c>
      <c r="C946" s="181">
        <v>142</v>
      </c>
      <c r="D946" s="181">
        <v>120</v>
      </c>
      <c r="E946" s="181">
        <v>97</v>
      </c>
      <c r="F946" s="181">
        <v>120</v>
      </c>
      <c r="G946" s="181">
        <v>133</v>
      </c>
      <c r="H946" s="181">
        <v>252</v>
      </c>
      <c r="I946" s="182">
        <v>1000</v>
      </c>
    </row>
    <row r="952" spans="1:9">
      <c r="A952" s="40" t="s">
        <v>3822</v>
      </c>
    </row>
    <row r="953" spans="1:9">
      <c r="A953" s="11" t="s">
        <v>3138</v>
      </c>
      <c r="B953" s="11" t="s">
        <v>25</v>
      </c>
      <c r="C953" s="9"/>
      <c r="D953" s="9"/>
      <c r="E953" s="9"/>
      <c r="F953" s="9"/>
      <c r="G953" s="9"/>
      <c r="H953" s="20"/>
      <c r="I953"/>
    </row>
    <row r="954" spans="1:9">
      <c r="A954" s="43" t="s">
        <v>4</v>
      </c>
      <c r="B954" s="37" t="s">
        <v>137</v>
      </c>
      <c r="C954" s="38" t="s">
        <v>191</v>
      </c>
      <c r="D954" s="38" t="s">
        <v>44</v>
      </c>
      <c r="E954" s="38" t="s">
        <v>56</v>
      </c>
      <c r="F954" s="38" t="s">
        <v>95</v>
      </c>
      <c r="G954" s="38" t="s">
        <v>138</v>
      </c>
      <c r="H954" s="39" t="s">
        <v>3122</v>
      </c>
      <c r="I954"/>
    </row>
    <row r="955" spans="1:9">
      <c r="A955" s="8" t="s">
        <v>3835</v>
      </c>
      <c r="B955" s="164">
        <v>11</v>
      </c>
      <c r="C955" s="174">
        <v>9</v>
      </c>
      <c r="D955" s="174">
        <v>8</v>
      </c>
      <c r="E955" s="174">
        <v>4</v>
      </c>
      <c r="F955" s="174">
        <v>12</v>
      </c>
      <c r="G955" s="174">
        <v>11</v>
      </c>
      <c r="H955" s="175">
        <v>55</v>
      </c>
      <c r="I955"/>
    </row>
    <row r="956" spans="1:9">
      <c r="A956" s="13" t="s">
        <v>3836</v>
      </c>
      <c r="B956" s="166">
        <v>7</v>
      </c>
      <c r="C956" s="179">
        <v>8</v>
      </c>
      <c r="D956" s="179">
        <v>10</v>
      </c>
      <c r="E956" s="179">
        <v>10</v>
      </c>
      <c r="F956" s="179">
        <v>24</v>
      </c>
      <c r="G956" s="179">
        <v>8</v>
      </c>
      <c r="H956" s="180">
        <v>67</v>
      </c>
      <c r="I956"/>
    </row>
    <row r="957" spans="1:9">
      <c r="A957" s="13" t="s">
        <v>3837</v>
      </c>
      <c r="B957" s="166">
        <v>9</v>
      </c>
      <c r="C957" s="179">
        <v>8</v>
      </c>
      <c r="D957" s="179">
        <v>8</v>
      </c>
      <c r="E957" s="179">
        <v>8</v>
      </c>
      <c r="F957" s="179">
        <v>19</v>
      </c>
      <c r="G957" s="179">
        <v>12</v>
      </c>
      <c r="H957" s="180">
        <v>64</v>
      </c>
      <c r="I957"/>
    </row>
    <row r="958" spans="1:9">
      <c r="A958" s="13" t="s">
        <v>3838</v>
      </c>
      <c r="B958" s="166">
        <v>10</v>
      </c>
      <c r="C958" s="179">
        <v>10</v>
      </c>
      <c r="D958" s="179">
        <v>11</v>
      </c>
      <c r="E958" s="179">
        <v>7</v>
      </c>
      <c r="F958" s="179">
        <v>31</v>
      </c>
      <c r="G958" s="179">
        <v>8</v>
      </c>
      <c r="H958" s="180">
        <v>77</v>
      </c>
      <c r="I958"/>
    </row>
    <row r="959" spans="1:9">
      <c r="A959" s="13" t="s">
        <v>3839</v>
      </c>
      <c r="B959" s="166">
        <v>8</v>
      </c>
      <c r="C959" s="179">
        <v>10</v>
      </c>
      <c r="D959" s="179">
        <v>11</v>
      </c>
      <c r="E959" s="179">
        <v>14</v>
      </c>
      <c r="F959" s="179">
        <v>19</v>
      </c>
      <c r="G959" s="179">
        <v>10</v>
      </c>
      <c r="H959" s="180">
        <v>72</v>
      </c>
      <c r="I959"/>
    </row>
    <row r="960" spans="1:9">
      <c r="A960" s="13" t="s">
        <v>3840</v>
      </c>
      <c r="B960" s="166">
        <v>12</v>
      </c>
      <c r="C960" s="179">
        <v>7</v>
      </c>
      <c r="D960" s="179">
        <v>7</v>
      </c>
      <c r="E960" s="179">
        <v>7</v>
      </c>
      <c r="F960" s="179">
        <v>20</v>
      </c>
      <c r="G960" s="179">
        <v>8</v>
      </c>
      <c r="H960" s="180">
        <v>61</v>
      </c>
      <c r="I960"/>
    </row>
    <row r="961" spans="1:9">
      <c r="A961" s="13" t="s">
        <v>3841</v>
      </c>
      <c r="B961" s="166">
        <v>11</v>
      </c>
      <c r="C961" s="179">
        <v>9</v>
      </c>
      <c r="D961" s="179">
        <v>7</v>
      </c>
      <c r="E961" s="179">
        <v>9</v>
      </c>
      <c r="F961" s="179">
        <v>24</v>
      </c>
      <c r="G961" s="179">
        <v>16</v>
      </c>
      <c r="H961" s="180">
        <v>76</v>
      </c>
      <c r="I961"/>
    </row>
    <row r="962" spans="1:9">
      <c r="A962" s="13" t="s">
        <v>3842</v>
      </c>
      <c r="B962" s="166">
        <v>13</v>
      </c>
      <c r="C962" s="179">
        <v>13</v>
      </c>
      <c r="D962" s="179">
        <v>8</v>
      </c>
      <c r="E962" s="179">
        <v>11</v>
      </c>
      <c r="F962" s="179">
        <v>13</v>
      </c>
      <c r="G962" s="179">
        <v>7</v>
      </c>
      <c r="H962" s="180">
        <v>65</v>
      </c>
      <c r="I962"/>
    </row>
    <row r="963" spans="1:9">
      <c r="A963" s="13" t="s">
        <v>3843</v>
      </c>
      <c r="B963" s="166">
        <v>12</v>
      </c>
      <c r="C963" s="179">
        <v>5</v>
      </c>
      <c r="D963" s="179">
        <v>5</v>
      </c>
      <c r="E963" s="179">
        <v>8</v>
      </c>
      <c r="F963" s="179">
        <v>19</v>
      </c>
      <c r="G963" s="179">
        <v>4</v>
      </c>
      <c r="H963" s="180">
        <v>53</v>
      </c>
      <c r="I963"/>
    </row>
    <row r="964" spans="1:9">
      <c r="A964" s="13" t="s">
        <v>3844</v>
      </c>
      <c r="B964" s="166">
        <v>12</v>
      </c>
      <c r="C964" s="179">
        <v>13</v>
      </c>
      <c r="D964" s="179">
        <v>12</v>
      </c>
      <c r="E964" s="179">
        <v>6</v>
      </c>
      <c r="F964" s="179">
        <v>22</v>
      </c>
      <c r="G964" s="179">
        <v>13</v>
      </c>
      <c r="H964" s="180">
        <v>78</v>
      </c>
      <c r="I964"/>
    </row>
    <row r="965" spans="1:9">
      <c r="A965" s="13" t="s">
        <v>3847</v>
      </c>
      <c r="B965" s="166">
        <v>4</v>
      </c>
      <c r="C965" s="179">
        <v>10</v>
      </c>
      <c r="D965" s="179">
        <v>9</v>
      </c>
      <c r="E965" s="179">
        <v>10</v>
      </c>
      <c r="F965" s="179">
        <v>16</v>
      </c>
      <c r="G965" s="179">
        <v>10</v>
      </c>
      <c r="H965" s="180">
        <v>59</v>
      </c>
      <c r="I965"/>
    </row>
    <row r="966" spans="1:9">
      <c r="A966" s="13" t="s">
        <v>3845</v>
      </c>
      <c r="B966" s="166">
        <v>9</v>
      </c>
      <c r="C966" s="179">
        <v>11</v>
      </c>
      <c r="D966" s="179">
        <v>9</v>
      </c>
      <c r="E966" s="179">
        <v>9</v>
      </c>
      <c r="F966" s="179">
        <v>19</v>
      </c>
      <c r="G966" s="179">
        <v>12</v>
      </c>
      <c r="H966" s="180">
        <v>69</v>
      </c>
      <c r="I966"/>
    </row>
    <row r="967" spans="1:9">
      <c r="A967" s="13" t="s">
        <v>3846</v>
      </c>
      <c r="B967" s="166">
        <v>9</v>
      </c>
      <c r="C967" s="179">
        <v>14</v>
      </c>
      <c r="D967" s="179">
        <v>10</v>
      </c>
      <c r="E967" s="179">
        <v>13</v>
      </c>
      <c r="F967" s="179">
        <v>12</v>
      </c>
      <c r="G967" s="179">
        <v>9</v>
      </c>
      <c r="H967" s="180">
        <v>67</v>
      </c>
      <c r="I967"/>
    </row>
    <row r="968" spans="1:9">
      <c r="A968" s="13" t="s">
        <v>3848</v>
      </c>
      <c r="B968" s="166">
        <v>7</v>
      </c>
      <c r="C968" s="179">
        <v>7</v>
      </c>
      <c r="D968" s="179">
        <v>10</v>
      </c>
      <c r="E968" s="179">
        <v>11</v>
      </c>
      <c r="F968" s="179">
        <v>28</v>
      </c>
      <c r="G968" s="179">
        <v>11</v>
      </c>
      <c r="H968" s="180">
        <v>74</v>
      </c>
      <c r="I968"/>
    </row>
    <row r="969" spans="1:9">
      <c r="A969" s="13" t="s">
        <v>3849</v>
      </c>
      <c r="B969" s="166">
        <v>5</v>
      </c>
      <c r="C969" s="179">
        <v>10</v>
      </c>
      <c r="D969" s="179">
        <v>9</v>
      </c>
      <c r="E969" s="179">
        <v>7</v>
      </c>
      <c r="F969" s="179">
        <v>17</v>
      </c>
      <c r="G969" s="179">
        <v>15</v>
      </c>
      <c r="H969" s="180">
        <v>63</v>
      </c>
      <c r="I969"/>
    </row>
    <row r="970" spans="1:9">
      <c r="A970" s="42" t="s">
        <v>3122</v>
      </c>
      <c r="B970" s="170">
        <v>139</v>
      </c>
      <c r="C970" s="181">
        <v>144</v>
      </c>
      <c r="D970" s="181">
        <v>134</v>
      </c>
      <c r="E970" s="181">
        <v>134</v>
      </c>
      <c r="F970" s="181">
        <v>295</v>
      </c>
      <c r="G970" s="181">
        <v>154</v>
      </c>
      <c r="H970" s="182">
        <v>1000</v>
      </c>
      <c r="I970"/>
    </row>
    <row r="976" spans="1:9">
      <c r="A976" s="40" t="s">
        <v>3821</v>
      </c>
    </row>
    <row r="977" spans="1:8">
      <c r="A977" s="11" t="s">
        <v>3138</v>
      </c>
      <c r="B977" s="11" t="s">
        <v>26</v>
      </c>
      <c r="C977" s="9"/>
      <c r="D977" s="9"/>
      <c r="E977" s="9"/>
      <c r="F977" s="9"/>
      <c r="G977" s="9"/>
      <c r="H977" s="20"/>
    </row>
    <row r="978" spans="1:8">
      <c r="A978" s="43" t="s">
        <v>4</v>
      </c>
      <c r="B978" s="37" t="s">
        <v>75</v>
      </c>
      <c r="C978" s="38" t="s">
        <v>283</v>
      </c>
      <c r="D978" s="38" t="s">
        <v>373</v>
      </c>
      <c r="E978" s="38" t="s">
        <v>96</v>
      </c>
      <c r="F978" s="38" t="s">
        <v>138</v>
      </c>
      <c r="G978" s="38" t="s">
        <v>183</v>
      </c>
      <c r="H978" s="39" t="s">
        <v>3122</v>
      </c>
    </row>
    <row r="979" spans="1:8">
      <c r="A979" s="8" t="s">
        <v>3835</v>
      </c>
      <c r="B979" s="164">
        <v>6</v>
      </c>
      <c r="C979" s="174">
        <v>5</v>
      </c>
      <c r="D979" s="174">
        <v>3</v>
      </c>
      <c r="E979" s="174">
        <v>4</v>
      </c>
      <c r="F979" s="174">
        <v>33</v>
      </c>
      <c r="G979" s="174">
        <v>4</v>
      </c>
      <c r="H979" s="175">
        <v>55</v>
      </c>
    </row>
    <row r="980" spans="1:8">
      <c r="A980" s="13" t="s">
        <v>3836</v>
      </c>
      <c r="B980" s="166">
        <v>2</v>
      </c>
      <c r="C980" s="179">
        <v>6</v>
      </c>
      <c r="D980" s="179">
        <v>4</v>
      </c>
      <c r="E980" s="179">
        <v>3</v>
      </c>
      <c r="F980" s="179">
        <v>48</v>
      </c>
      <c r="G980" s="179">
        <v>4</v>
      </c>
      <c r="H980" s="180">
        <v>67</v>
      </c>
    </row>
    <row r="981" spans="1:8">
      <c r="A981" s="13" t="s">
        <v>3837</v>
      </c>
      <c r="B981" s="166"/>
      <c r="C981" s="179">
        <v>5</v>
      </c>
      <c r="D981" s="179">
        <v>5</v>
      </c>
      <c r="E981" s="179">
        <v>1</v>
      </c>
      <c r="F981" s="179">
        <v>53</v>
      </c>
      <c r="G981" s="179"/>
      <c r="H981" s="180">
        <v>64</v>
      </c>
    </row>
    <row r="982" spans="1:8">
      <c r="A982" s="13" t="s">
        <v>3838</v>
      </c>
      <c r="B982" s="166">
        <v>6</v>
      </c>
      <c r="C982" s="179">
        <v>3</v>
      </c>
      <c r="D982" s="179">
        <v>3</v>
      </c>
      <c r="E982" s="179">
        <v>5</v>
      </c>
      <c r="F982" s="179">
        <v>54</v>
      </c>
      <c r="G982" s="179">
        <v>6</v>
      </c>
      <c r="H982" s="180">
        <v>77</v>
      </c>
    </row>
    <row r="983" spans="1:8">
      <c r="A983" s="13" t="s">
        <v>3839</v>
      </c>
      <c r="B983" s="166">
        <v>2</v>
      </c>
      <c r="C983" s="179"/>
      <c r="D983" s="179">
        <v>2</v>
      </c>
      <c r="E983" s="179">
        <v>1</v>
      </c>
      <c r="F983" s="179">
        <v>67</v>
      </c>
      <c r="G983" s="179"/>
      <c r="H983" s="180">
        <v>72</v>
      </c>
    </row>
    <row r="984" spans="1:8">
      <c r="A984" s="13" t="s">
        <v>3840</v>
      </c>
      <c r="B984" s="166">
        <v>3</v>
      </c>
      <c r="C984" s="179">
        <v>6</v>
      </c>
      <c r="D984" s="179">
        <v>5</v>
      </c>
      <c r="E984" s="179">
        <v>4</v>
      </c>
      <c r="F984" s="179">
        <v>34</v>
      </c>
      <c r="G984" s="179">
        <v>9</v>
      </c>
      <c r="H984" s="180">
        <v>61</v>
      </c>
    </row>
    <row r="985" spans="1:8">
      <c r="A985" s="13" t="s">
        <v>3841</v>
      </c>
      <c r="B985" s="166">
        <v>1</v>
      </c>
      <c r="C985" s="179"/>
      <c r="D985" s="179">
        <v>5</v>
      </c>
      <c r="E985" s="179">
        <v>2</v>
      </c>
      <c r="F985" s="179">
        <v>62</v>
      </c>
      <c r="G985" s="179">
        <v>6</v>
      </c>
      <c r="H985" s="180">
        <v>76</v>
      </c>
    </row>
    <row r="986" spans="1:8">
      <c r="A986" s="13" t="s">
        <v>3842</v>
      </c>
      <c r="B986" s="166">
        <v>1</v>
      </c>
      <c r="C986" s="179">
        <v>2</v>
      </c>
      <c r="D986" s="179"/>
      <c r="E986" s="179">
        <v>1</v>
      </c>
      <c r="F986" s="179">
        <v>61</v>
      </c>
      <c r="G986" s="179"/>
      <c r="H986" s="180">
        <v>65</v>
      </c>
    </row>
    <row r="987" spans="1:8">
      <c r="A987" s="13" t="s">
        <v>3843</v>
      </c>
      <c r="B987" s="166"/>
      <c r="C987" s="179"/>
      <c r="D987" s="179">
        <v>2</v>
      </c>
      <c r="E987" s="179"/>
      <c r="F987" s="179">
        <v>50</v>
      </c>
      <c r="G987" s="179">
        <v>1</v>
      </c>
      <c r="H987" s="180">
        <v>53</v>
      </c>
    </row>
    <row r="988" spans="1:8">
      <c r="A988" s="13" t="s">
        <v>3844</v>
      </c>
      <c r="B988" s="166"/>
      <c r="C988" s="179"/>
      <c r="D988" s="179"/>
      <c r="E988" s="179">
        <v>2</v>
      </c>
      <c r="F988" s="179">
        <v>76</v>
      </c>
      <c r="G988" s="179"/>
      <c r="H988" s="180">
        <v>78</v>
      </c>
    </row>
    <row r="989" spans="1:8">
      <c r="A989" s="13" t="s">
        <v>3847</v>
      </c>
      <c r="B989" s="166">
        <v>1</v>
      </c>
      <c r="C989" s="179"/>
      <c r="D989" s="179"/>
      <c r="E989" s="179">
        <v>1</v>
      </c>
      <c r="F989" s="179">
        <v>56</v>
      </c>
      <c r="G989" s="179">
        <v>1</v>
      </c>
      <c r="H989" s="180">
        <v>59</v>
      </c>
    </row>
    <row r="990" spans="1:8">
      <c r="A990" s="13" t="s">
        <v>3845</v>
      </c>
      <c r="B990" s="166">
        <v>2</v>
      </c>
      <c r="C990" s="179">
        <v>6</v>
      </c>
      <c r="D990" s="179">
        <v>2</v>
      </c>
      <c r="E990" s="179">
        <v>3</v>
      </c>
      <c r="F990" s="179">
        <v>53</v>
      </c>
      <c r="G990" s="179">
        <v>3</v>
      </c>
      <c r="H990" s="180">
        <v>69</v>
      </c>
    </row>
    <row r="991" spans="1:8">
      <c r="A991" s="13" t="s">
        <v>3846</v>
      </c>
      <c r="B991" s="166">
        <v>1</v>
      </c>
      <c r="C991" s="179">
        <v>2</v>
      </c>
      <c r="D991" s="179">
        <v>3</v>
      </c>
      <c r="E991" s="179">
        <v>4</v>
      </c>
      <c r="F991" s="179">
        <v>56</v>
      </c>
      <c r="G991" s="179">
        <v>1</v>
      </c>
      <c r="H991" s="180">
        <v>67</v>
      </c>
    </row>
    <row r="992" spans="1:8">
      <c r="A992" s="13" t="s">
        <v>3848</v>
      </c>
      <c r="B992" s="166">
        <v>5</v>
      </c>
      <c r="C992" s="179">
        <v>4</v>
      </c>
      <c r="D992" s="179">
        <v>3</v>
      </c>
      <c r="E992" s="179">
        <v>3</v>
      </c>
      <c r="F992" s="179">
        <v>56</v>
      </c>
      <c r="G992" s="179">
        <v>3</v>
      </c>
      <c r="H992" s="180">
        <v>74</v>
      </c>
    </row>
    <row r="993" spans="1:9">
      <c r="A993" s="13" t="s">
        <v>3849</v>
      </c>
      <c r="B993" s="166">
        <v>6</v>
      </c>
      <c r="C993" s="179">
        <v>6</v>
      </c>
      <c r="D993" s="179">
        <v>6</v>
      </c>
      <c r="E993" s="179">
        <v>8</v>
      </c>
      <c r="F993" s="179">
        <v>34</v>
      </c>
      <c r="G993" s="179">
        <v>3</v>
      </c>
      <c r="H993" s="180">
        <v>63</v>
      </c>
    </row>
    <row r="994" spans="1:9">
      <c r="A994" s="42" t="s">
        <v>3122</v>
      </c>
      <c r="B994" s="170">
        <v>36</v>
      </c>
      <c r="C994" s="181">
        <v>45</v>
      </c>
      <c r="D994" s="181">
        <v>43</v>
      </c>
      <c r="E994" s="181">
        <v>42</v>
      </c>
      <c r="F994" s="181">
        <v>793</v>
      </c>
      <c r="G994" s="181">
        <v>41</v>
      </c>
      <c r="H994" s="182">
        <v>1000</v>
      </c>
    </row>
    <row r="999" spans="1:9">
      <c r="A999" s="40" t="s">
        <v>3820</v>
      </c>
    </row>
    <row r="1000" spans="1:9">
      <c r="A1000" s="11" t="s">
        <v>3138</v>
      </c>
      <c r="B1000" s="11" t="s">
        <v>28</v>
      </c>
      <c r="C1000" s="9"/>
      <c r="D1000" s="9"/>
      <c r="E1000" s="9"/>
      <c r="F1000" s="9"/>
      <c r="G1000" s="9"/>
      <c r="H1000" s="9"/>
      <c r="I1000" s="20"/>
    </row>
    <row r="1001" spans="1:9">
      <c r="A1001" s="43" t="s">
        <v>4</v>
      </c>
      <c r="B1001" s="37" t="s">
        <v>115</v>
      </c>
      <c r="C1001" s="38" t="s">
        <v>76</v>
      </c>
      <c r="D1001" s="38" t="s">
        <v>108</v>
      </c>
      <c r="E1001" s="38" t="s">
        <v>57</v>
      </c>
      <c r="F1001" s="38" t="s">
        <v>139</v>
      </c>
      <c r="G1001" s="38" t="s">
        <v>45</v>
      </c>
      <c r="H1001" s="38" t="s">
        <v>184</v>
      </c>
      <c r="I1001" s="39" t="s">
        <v>3122</v>
      </c>
    </row>
    <row r="1002" spans="1:9">
      <c r="A1002" s="8" t="s">
        <v>3835</v>
      </c>
      <c r="B1002" s="164">
        <v>6</v>
      </c>
      <c r="C1002" s="174">
        <v>10</v>
      </c>
      <c r="D1002" s="174">
        <v>7</v>
      </c>
      <c r="E1002" s="174">
        <v>14</v>
      </c>
      <c r="F1002" s="174">
        <v>5</v>
      </c>
      <c r="G1002" s="174">
        <v>5</v>
      </c>
      <c r="H1002" s="174">
        <v>8</v>
      </c>
      <c r="I1002" s="175">
        <v>55</v>
      </c>
    </row>
    <row r="1003" spans="1:9">
      <c r="A1003" s="13" t="s">
        <v>3836</v>
      </c>
      <c r="B1003" s="166">
        <v>12</v>
      </c>
      <c r="C1003" s="179">
        <v>10</v>
      </c>
      <c r="D1003" s="179">
        <v>6</v>
      </c>
      <c r="E1003" s="179">
        <v>9</v>
      </c>
      <c r="F1003" s="179">
        <v>14</v>
      </c>
      <c r="G1003" s="179">
        <v>7</v>
      </c>
      <c r="H1003" s="179">
        <v>9</v>
      </c>
      <c r="I1003" s="180">
        <v>67</v>
      </c>
    </row>
    <row r="1004" spans="1:9">
      <c r="A1004" s="13" t="s">
        <v>3837</v>
      </c>
      <c r="B1004" s="166">
        <v>13</v>
      </c>
      <c r="C1004" s="179">
        <v>11</v>
      </c>
      <c r="D1004" s="179">
        <v>8</v>
      </c>
      <c r="E1004" s="179">
        <v>3</v>
      </c>
      <c r="F1004" s="179">
        <v>8</v>
      </c>
      <c r="G1004" s="179">
        <v>10</v>
      </c>
      <c r="H1004" s="179">
        <v>11</v>
      </c>
      <c r="I1004" s="180">
        <v>64</v>
      </c>
    </row>
    <row r="1005" spans="1:9">
      <c r="A1005" s="13" t="s">
        <v>3838</v>
      </c>
      <c r="B1005" s="166">
        <v>21</v>
      </c>
      <c r="C1005" s="179">
        <v>9</v>
      </c>
      <c r="D1005" s="179">
        <v>8</v>
      </c>
      <c r="E1005" s="179">
        <v>9</v>
      </c>
      <c r="F1005" s="179">
        <v>9</v>
      </c>
      <c r="G1005" s="179">
        <v>14</v>
      </c>
      <c r="H1005" s="179">
        <v>7</v>
      </c>
      <c r="I1005" s="180">
        <v>77</v>
      </c>
    </row>
    <row r="1006" spans="1:9">
      <c r="A1006" s="13" t="s">
        <v>3839</v>
      </c>
      <c r="B1006" s="166">
        <v>10</v>
      </c>
      <c r="C1006" s="179">
        <v>12</v>
      </c>
      <c r="D1006" s="179">
        <v>6</v>
      </c>
      <c r="E1006" s="179">
        <v>15</v>
      </c>
      <c r="F1006" s="179">
        <v>12</v>
      </c>
      <c r="G1006" s="179">
        <v>14</v>
      </c>
      <c r="H1006" s="179">
        <v>3</v>
      </c>
      <c r="I1006" s="180">
        <v>72</v>
      </c>
    </row>
    <row r="1007" spans="1:9">
      <c r="A1007" s="13" t="s">
        <v>3840</v>
      </c>
      <c r="B1007" s="166">
        <v>4</v>
      </c>
      <c r="C1007" s="179">
        <v>10</v>
      </c>
      <c r="D1007" s="179">
        <v>11</v>
      </c>
      <c r="E1007" s="179">
        <v>8</v>
      </c>
      <c r="F1007" s="179">
        <v>12</v>
      </c>
      <c r="G1007" s="179">
        <v>8</v>
      </c>
      <c r="H1007" s="179">
        <v>8</v>
      </c>
      <c r="I1007" s="180">
        <v>61</v>
      </c>
    </row>
    <row r="1008" spans="1:9">
      <c r="A1008" s="13" t="s">
        <v>3841</v>
      </c>
      <c r="B1008" s="166">
        <v>10</v>
      </c>
      <c r="C1008" s="179">
        <v>13</v>
      </c>
      <c r="D1008" s="179">
        <v>12</v>
      </c>
      <c r="E1008" s="179">
        <v>11</v>
      </c>
      <c r="F1008" s="179">
        <v>7</v>
      </c>
      <c r="G1008" s="179">
        <v>12</v>
      </c>
      <c r="H1008" s="179">
        <v>11</v>
      </c>
      <c r="I1008" s="180">
        <v>76</v>
      </c>
    </row>
    <row r="1009" spans="1:18">
      <c r="A1009" s="13" t="s">
        <v>3842</v>
      </c>
      <c r="B1009" s="166">
        <v>12</v>
      </c>
      <c r="C1009" s="179">
        <v>10</v>
      </c>
      <c r="D1009" s="179">
        <v>10</v>
      </c>
      <c r="E1009" s="179">
        <v>5</v>
      </c>
      <c r="F1009" s="179">
        <v>11</v>
      </c>
      <c r="G1009" s="179">
        <v>10</v>
      </c>
      <c r="H1009" s="179">
        <v>7</v>
      </c>
      <c r="I1009" s="180">
        <v>65</v>
      </c>
    </row>
    <row r="1010" spans="1:18">
      <c r="A1010" s="13" t="s">
        <v>3843</v>
      </c>
      <c r="B1010" s="166">
        <v>9</v>
      </c>
      <c r="C1010" s="179">
        <v>5</v>
      </c>
      <c r="D1010" s="179">
        <v>12</v>
      </c>
      <c r="E1010" s="179">
        <v>4</v>
      </c>
      <c r="F1010" s="179">
        <v>8</v>
      </c>
      <c r="G1010" s="179">
        <v>9</v>
      </c>
      <c r="H1010" s="179">
        <v>6</v>
      </c>
      <c r="I1010" s="180">
        <v>53</v>
      </c>
    </row>
    <row r="1011" spans="1:18">
      <c r="A1011" s="13" t="s">
        <v>3844</v>
      </c>
      <c r="B1011" s="166">
        <v>11</v>
      </c>
      <c r="C1011" s="179">
        <v>13</v>
      </c>
      <c r="D1011" s="179">
        <v>11</v>
      </c>
      <c r="E1011" s="179">
        <v>9</v>
      </c>
      <c r="F1011" s="179">
        <v>12</v>
      </c>
      <c r="G1011" s="179">
        <v>14</v>
      </c>
      <c r="H1011" s="179">
        <v>8</v>
      </c>
      <c r="I1011" s="180">
        <v>78</v>
      </c>
    </row>
    <row r="1012" spans="1:18">
      <c r="A1012" s="13" t="s">
        <v>3847</v>
      </c>
      <c r="B1012" s="166">
        <v>7</v>
      </c>
      <c r="C1012" s="179">
        <v>11</v>
      </c>
      <c r="D1012" s="179">
        <v>3</v>
      </c>
      <c r="E1012" s="179">
        <v>6</v>
      </c>
      <c r="F1012" s="179">
        <v>11</v>
      </c>
      <c r="G1012" s="179">
        <v>11</v>
      </c>
      <c r="H1012" s="179">
        <v>10</v>
      </c>
      <c r="I1012" s="180">
        <v>59</v>
      </c>
    </row>
    <row r="1013" spans="1:18">
      <c r="A1013" s="13" t="s">
        <v>3845</v>
      </c>
      <c r="B1013" s="166">
        <v>12</v>
      </c>
      <c r="C1013" s="179">
        <v>15</v>
      </c>
      <c r="D1013" s="179">
        <v>6</v>
      </c>
      <c r="E1013" s="179">
        <v>13</v>
      </c>
      <c r="F1013" s="179">
        <v>5</v>
      </c>
      <c r="G1013" s="179">
        <v>7</v>
      </c>
      <c r="H1013" s="179">
        <v>11</v>
      </c>
      <c r="I1013" s="180">
        <v>69</v>
      </c>
    </row>
    <row r="1014" spans="1:18">
      <c r="A1014" s="13" t="s">
        <v>3846</v>
      </c>
      <c r="B1014" s="166">
        <v>8</v>
      </c>
      <c r="C1014" s="179">
        <v>11</v>
      </c>
      <c r="D1014" s="179">
        <v>6</v>
      </c>
      <c r="E1014" s="179">
        <v>8</v>
      </c>
      <c r="F1014" s="179">
        <v>12</v>
      </c>
      <c r="G1014" s="179">
        <v>15</v>
      </c>
      <c r="H1014" s="179">
        <v>7</v>
      </c>
      <c r="I1014" s="180">
        <v>67</v>
      </c>
    </row>
    <row r="1015" spans="1:18">
      <c r="A1015" s="13" t="s">
        <v>3848</v>
      </c>
      <c r="B1015" s="166">
        <v>10</v>
      </c>
      <c r="C1015" s="179">
        <v>10</v>
      </c>
      <c r="D1015" s="179">
        <v>12</v>
      </c>
      <c r="E1015" s="179">
        <v>6</v>
      </c>
      <c r="F1015" s="179">
        <v>9</v>
      </c>
      <c r="G1015" s="179">
        <v>16</v>
      </c>
      <c r="H1015" s="179">
        <v>11</v>
      </c>
      <c r="I1015" s="180">
        <v>74</v>
      </c>
    </row>
    <row r="1016" spans="1:18">
      <c r="A1016" s="13" t="s">
        <v>3849</v>
      </c>
      <c r="B1016" s="166">
        <v>12</v>
      </c>
      <c r="C1016" s="179">
        <v>11</v>
      </c>
      <c r="D1016" s="179">
        <v>8</v>
      </c>
      <c r="E1016" s="179">
        <v>9</v>
      </c>
      <c r="F1016" s="179">
        <v>6</v>
      </c>
      <c r="G1016" s="179">
        <v>6</v>
      </c>
      <c r="H1016" s="179">
        <v>11</v>
      </c>
      <c r="I1016" s="180">
        <v>63</v>
      </c>
    </row>
    <row r="1017" spans="1:18">
      <c r="A1017" s="42" t="s">
        <v>3122</v>
      </c>
      <c r="B1017" s="170">
        <v>157</v>
      </c>
      <c r="C1017" s="181">
        <v>161</v>
      </c>
      <c r="D1017" s="181">
        <v>126</v>
      </c>
      <c r="E1017" s="181">
        <v>129</v>
      </c>
      <c r="F1017" s="181">
        <v>141</v>
      </c>
      <c r="G1017" s="181">
        <v>158</v>
      </c>
      <c r="H1017" s="181">
        <v>128</v>
      </c>
      <c r="I1017" s="182">
        <v>1000</v>
      </c>
    </row>
    <row r="1021" spans="1:18">
      <c r="A1021" s="40" t="s">
        <v>3819</v>
      </c>
      <c r="B1021" s="136"/>
    </row>
    <row r="1022" spans="1:18">
      <c r="A1022" s="11" t="s">
        <v>3138</v>
      </c>
      <c r="B1022" s="11" t="s">
        <v>29</v>
      </c>
      <c r="C1022" s="9"/>
      <c r="D1022" s="9"/>
      <c r="E1022" s="9"/>
      <c r="F1022" s="9"/>
      <c r="G1022" s="9"/>
      <c r="H1022" s="9"/>
      <c r="I1022" s="9"/>
      <c r="J1022" s="9"/>
      <c r="K1022" s="9"/>
      <c r="L1022" s="9"/>
      <c r="M1022" s="9"/>
      <c r="N1022" s="9"/>
      <c r="O1022" s="9"/>
      <c r="P1022" s="9"/>
      <c r="Q1022" s="9"/>
      <c r="R1022" s="20"/>
    </row>
    <row r="1023" spans="1:18">
      <c r="A1023" s="43" t="s">
        <v>4</v>
      </c>
      <c r="B1023" s="22" t="s">
        <v>130</v>
      </c>
      <c r="C1023" s="25" t="s">
        <v>46</v>
      </c>
      <c r="D1023" s="25" t="s">
        <v>148</v>
      </c>
      <c r="E1023" s="25" t="s">
        <v>77</v>
      </c>
      <c r="F1023" s="25" t="s">
        <v>185</v>
      </c>
      <c r="G1023" s="25" t="s">
        <v>619</v>
      </c>
      <c r="H1023" s="25" t="s">
        <v>1308</v>
      </c>
      <c r="I1023" s="25" t="s">
        <v>386</v>
      </c>
      <c r="J1023" s="25" t="s">
        <v>196</v>
      </c>
      <c r="K1023" s="25" t="s">
        <v>394</v>
      </c>
      <c r="L1023" s="25" t="s">
        <v>1416</v>
      </c>
      <c r="M1023" s="25" t="s">
        <v>1758</v>
      </c>
      <c r="N1023" s="25" t="s">
        <v>1614</v>
      </c>
      <c r="O1023" s="25" t="s">
        <v>138</v>
      </c>
      <c r="P1023" s="25" t="s">
        <v>97</v>
      </c>
      <c r="Q1023" s="25" t="s">
        <v>284</v>
      </c>
      <c r="R1023" s="39" t="s">
        <v>3122</v>
      </c>
    </row>
    <row r="1024" spans="1:18">
      <c r="A1024" s="8" t="s">
        <v>3835</v>
      </c>
      <c r="B1024" s="164">
        <v>5</v>
      </c>
      <c r="C1024" s="174">
        <v>12</v>
      </c>
      <c r="D1024" s="174">
        <v>4</v>
      </c>
      <c r="E1024" s="174">
        <v>7</v>
      </c>
      <c r="F1024" s="174">
        <v>3</v>
      </c>
      <c r="G1024" s="174"/>
      <c r="H1024" s="174"/>
      <c r="I1024" s="174">
        <v>1</v>
      </c>
      <c r="J1024" s="174"/>
      <c r="K1024" s="174"/>
      <c r="L1024" s="174">
        <v>1</v>
      </c>
      <c r="M1024" s="174">
        <v>1</v>
      </c>
      <c r="N1024" s="174"/>
      <c r="O1024" s="174">
        <v>11</v>
      </c>
      <c r="P1024" s="174">
        <v>7</v>
      </c>
      <c r="Q1024" s="174">
        <v>3</v>
      </c>
      <c r="R1024" s="175">
        <v>55</v>
      </c>
    </row>
    <row r="1025" spans="1:18">
      <c r="A1025" s="13" t="s">
        <v>3836</v>
      </c>
      <c r="B1025" s="166">
        <v>5</v>
      </c>
      <c r="C1025" s="179">
        <v>21</v>
      </c>
      <c r="D1025" s="179">
        <v>7</v>
      </c>
      <c r="E1025" s="179">
        <v>7</v>
      </c>
      <c r="F1025" s="179">
        <v>5</v>
      </c>
      <c r="G1025" s="179">
        <v>1</v>
      </c>
      <c r="H1025" s="179"/>
      <c r="I1025" s="179">
        <v>1</v>
      </c>
      <c r="J1025" s="179"/>
      <c r="K1025" s="179"/>
      <c r="L1025" s="179"/>
      <c r="M1025" s="179">
        <v>1</v>
      </c>
      <c r="N1025" s="179">
        <v>1</v>
      </c>
      <c r="O1025" s="179">
        <v>13</v>
      </c>
      <c r="P1025" s="179">
        <v>3</v>
      </c>
      <c r="Q1025" s="179">
        <v>2</v>
      </c>
      <c r="R1025" s="180">
        <v>67</v>
      </c>
    </row>
    <row r="1026" spans="1:18">
      <c r="A1026" s="13" t="s">
        <v>3837</v>
      </c>
      <c r="B1026" s="166">
        <v>3</v>
      </c>
      <c r="C1026" s="179">
        <v>23</v>
      </c>
      <c r="D1026" s="179">
        <v>13</v>
      </c>
      <c r="E1026" s="179">
        <v>4</v>
      </c>
      <c r="F1026" s="179">
        <v>1</v>
      </c>
      <c r="G1026" s="179"/>
      <c r="H1026" s="179"/>
      <c r="I1026" s="179"/>
      <c r="J1026" s="179"/>
      <c r="K1026" s="179"/>
      <c r="L1026" s="179"/>
      <c r="M1026" s="179"/>
      <c r="N1026" s="179"/>
      <c r="O1026" s="179">
        <v>14</v>
      </c>
      <c r="P1026" s="179">
        <v>4</v>
      </c>
      <c r="Q1026" s="179">
        <v>2</v>
      </c>
      <c r="R1026" s="180">
        <v>64</v>
      </c>
    </row>
    <row r="1027" spans="1:18">
      <c r="A1027" s="13" t="s">
        <v>3838</v>
      </c>
      <c r="B1027" s="166">
        <v>3</v>
      </c>
      <c r="C1027" s="179">
        <v>24</v>
      </c>
      <c r="D1027" s="179">
        <v>10</v>
      </c>
      <c r="E1027" s="179">
        <v>7</v>
      </c>
      <c r="F1027" s="179">
        <v>4</v>
      </c>
      <c r="G1027" s="179"/>
      <c r="H1027" s="179"/>
      <c r="I1027" s="179">
        <v>3</v>
      </c>
      <c r="J1027" s="179">
        <v>1</v>
      </c>
      <c r="K1027" s="179"/>
      <c r="L1027" s="179"/>
      <c r="M1027" s="179"/>
      <c r="N1027" s="179"/>
      <c r="O1027" s="179">
        <v>13</v>
      </c>
      <c r="P1027" s="179">
        <v>10</v>
      </c>
      <c r="Q1027" s="179">
        <v>2</v>
      </c>
      <c r="R1027" s="180">
        <v>77</v>
      </c>
    </row>
    <row r="1028" spans="1:18">
      <c r="A1028" s="13" t="s">
        <v>3839</v>
      </c>
      <c r="B1028" s="166">
        <v>5</v>
      </c>
      <c r="C1028" s="179">
        <v>36</v>
      </c>
      <c r="D1028" s="179">
        <v>7</v>
      </c>
      <c r="E1028" s="179">
        <v>3</v>
      </c>
      <c r="F1028" s="179">
        <v>1</v>
      </c>
      <c r="G1028" s="179">
        <v>1</v>
      </c>
      <c r="H1028" s="179"/>
      <c r="I1028" s="179">
        <v>1</v>
      </c>
      <c r="J1028" s="179"/>
      <c r="K1028" s="179"/>
      <c r="L1028" s="179"/>
      <c r="M1028" s="179"/>
      <c r="N1028" s="179"/>
      <c r="O1028" s="179">
        <v>17</v>
      </c>
      <c r="P1028" s="179">
        <v>1</v>
      </c>
      <c r="Q1028" s="179"/>
      <c r="R1028" s="180">
        <v>72</v>
      </c>
    </row>
    <row r="1029" spans="1:18">
      <c r="A1029" s="13" t="s">
        <v>3840</v>
      </c>
      <c r="B1029" s="166">
        <v>5</v>
      </c>
      <c r="C1029" s="179">
        <v>11</v>
      </c>
      <c r="D1029" s="179">
        <v>9</v>
      </c>
      <c r="E1029" s="179">
        <v>6</v>
      </c>
      <c r="F1029" s="179">
        <v>7</v>
      </c>
      <c r="G1029" s="179"/>
      <c r="H1029" s="179"/>
      <c r="I1029" s="179"/>
      <c r="J1029" s="179"/>
      <c r="K1029" s="179">
        <v>1</v>
      </c>
      <c r="L1029" s="179"/>
      <c r="M1029" s="179">
        <v>1</v>
      </c>
      <c r="N1029" s="179"/>
      <c r="O1029" s="179">
        <v>9</v>
      </c>
      <c r="P1029" s="179">
        <v>8</v>
      </c>
      <c r="Q1029" s="179">
        <v>4</v>
      </c>
      <c r="R1029" s="180">
        <v>61</v>
      </c>
    </row>
    <row r="1030" spans="1:18">
      <c r="A1030" s="13" t="s">
        <v>3841</v>
      </c>
      <c r="B1030" s="166">
        <v>10</v>
      </c>
      <c r="C1030" s="179">
        <v>26</v>
      </c>
      <c r="D1030" s="179">
        <v>10</v>
      </c>
      <c r="E1030" s="179">
        <v>8</v>
      </c>
      <c r="F1030" s="179">
        <v>2</v>
      </c>
      <c r="G1030" s="179"/>
      <c r="H1030" s="179"/>
      <c r="I1030" s="179"/>
      <c r="J1030" s="179"/>
      <c r="K1030" s="179"/>
      <c r="L1030" s="179"/>
      <c r="M1030" s="179"/>
      <c r="N1030" s="179"/>
      <c r="O1030" s="179">
        <v>16</v>
      </c>
      <c r="P1030" s="179">
        <v>3</v>
      </c>
      <c r="Q1030" s="179">
        <v>1</v>
      </c>
      <c r="R1030" s="180">
        <v>76</v>
      </c>
    </row>
    <row r="1031" spans="1:18">
      <c r="A1031" s="13" t="s">
        <v>3842</v>
      </c>
      <c r="B1031" s="166">
        <v>12</v>
      </c>
      <c r="C1031" s="179">
        <v>25</v>
      </c>
      <c r="D1031" s="179">
        <v>10</v>
      </c>
      <c r="E1031" s="179">
        <v>2</v>
      </c>
      <c r="F1031" s="179">
        <v>2</v>
      </c>
      <c r="G1031" s="179">
        <v>1</v>
      </c>
      <c r="H1031" s="179"/>
      <c r="I1031" s="179"/>
      <c r="J1031" s="179">
        <v>1</v>
      </c>
      <c r="K1031" s="179"/>
      <c r="L1031" s="179"/>
      <c r="M1031" s="179"/>
      <c r="N1031" s="179"/>
      <c r="O1031" s="179">
        <v>12</v>
      </c>
      <c r="P1031" s="179"/>
      <c r="Q1031" s="179"/>
      <c r="R1031" s="180">
        <v>65</v>
      </c>
    </row>
    <row r="1032" spans="1:18">
      <c r="A1032" s="13" t="s">
        <v>3843</v>
      </c>
      <c r="B1032" s="166">
        <v>7</v>
      </c>
      <c r="C1032" s="179">
        <v>20</v>
      </c>
      <c r="D1032" s="179">
        <v>11</v>
      </c>
      <c r="E1032" s="179">
        <v>1</v>
      </c>
      <c r="F1032" s="179">
        <v>2</v>
      </c>
      <c r="G1032" s="179">
        <v>1</v>
      </c>
      <c r="H1032" s="179">
        <v>1</v>
      </c>
      <c r="I1032" s="179">
        <v>2</v>
      </c>
      <c r="J1032" s="179"/>
      <c r="K1032" s="179"/>
      <c r="L1032" s="179"/>
      <c r="M1032" s="179"/>
      <c r="N1032" s="179"/>
      <c r="O1032" s="179">
        <v>8</v>
      </c>
      <c r="P1032" s="179"/>
      <c r="Q1032" s="179"/>
      <c r="R1032" s="180">
        <v>53</v>
      </c>
    </row>
    <row r="1033" spans="1:18">
      <c r="A1033" s="13" t="s">
        <v>3844</v>
      </c>
      <c r="B1033" s="166">
        <v>14</v>
      </c>
      <c r="C1033" s="179">
        <v>31</v>
      </c>
      <c r="D1033" s="179">
        <v>12</v>
      </c>
      <c r="E1033" s="179"/>
      <c r="F1033" s="179"/>
      <c r="G1033" s="179">
        <v>1</v>
      </c>
      <c r="H1033" s="179"/>
      <c r="I1033" s="179">
        <v>1</v>
      </c>
      <c r="J1033" s="179">
        <v>1</v>
      </c>
      <c r="K1033" s="179">
        <v>1</v>
      </c>
      <c r="L1033" s="179"/>
      <c r="M1033" s="179"/>
      <c r="N1033" s="179"/>
      <c r="O1033" s="179">
        <v>16</v>
      </c>
      <c r="P1033" s="179">
        <v>1</v>
      </c>
      <c r="Q1033" s="179"/>
      <c r="R1033" s="180">
        <v>78</v>
      </c>
    </row>
    <row r="1034" spans="1:18">
      <c r="A1034" s="13" t="s">
        <v>3847</v>
      </c>
      <c r="B1034" s="166">
        <v>8</v>
      </c>
      <c r="C1034" s="179">
        <v>24</v>
      </c>
      <c r="D1034" s="179">
        <v>13</v>
      </c>
      <c r="E1034" s="179">
        <v>1</v>
      </c>
      <c r="F1034" s="179">
        <v>2</v>
      </c>
      <c r="G1034" s="179">
        <v>1</v>
      </c>
      <c r="H1034" s="179"/>
      <c r="I1034" s="179"/>
      <c r="J1034" s="179"/>
      <c r="K1034" s="179"/>
      <c r="L1034" s="179"/>
      <c r="M1034" s="179"/>
      <c r="N1034" s="179"/>
      <c r="O1034" s="179">
        <v>10</v>
      </c>
      <c r="P1034" s="179"/>
      <c r="Q1034" s="179"/>
      <c r="R1034" s="180">
        <v>59</v>
      </c>
    </row>
    <row r="1035" spans="1:18">
      <c r="A1035" s="13" t="s">
        <v>3845</v>
      </c>
      <c r="B1035" s="166">
        <v>7</v>
      </c>
      <c r="C1035" s="179">
        <v>25</v>
      </c>
      <c r="D1035" s="179">
        <v>9</v>
      </c>
      <c r="E1035" s="179">
        <v>9</v>
      </c>
      <c r="F1035" s="179">
        <v>2</v>
      </c>
      <c r="G1035" s="179"/>
      <c r="H1035" s="179"/>
      <c r="I1035" s="179"/>
      <c r="J1035" s="179"/>
      <c r="K1035" s="179"/>
      <c r="L1035" s="179"/>
      <c r="M1035" s="179"/>
      <c r="N1035" s="179"/>
      <c r="O1035" s="179">
        <v>12</v>
      </c>
      <c r="P1035" s="179">
        <v>4</v>
      </c>
      <c r="Q1035" s="179">
        <v>1</v>
      </c>
      <c r="R1035" s="180">
        <v>69</v>
      </c>
    </row>
    <row r="1036" spans="1:18">
      <c r="A1036" s="13" t="s">
        <v>3846</v>
      </c>
      <c r="B1036" s="166">
        <v>11</v>
      </c>
      <c r="C1036" s="179">
        <v>22</v>
      </c>
      <c r="D1036" s="179">
        <v>9</v>
      </c>
      <c r="E1036" s="179">
        <v>5</v>
      </c>
      <c r="F1036" s="179">
        <v>2</v>
      </c>
      <c r="G1036" s="179"/>
      <c r="H1036" s="179"/>
      <c r="I1036" s="179"/>
      <c r="J1036" s="179"/>
      <c r="K1036" s="179"/>
      <c r="L1036" s="179"/>
      <c r="M1036" s="179"/>
      <c r="N1036" s="179"/>
      <c r="O1036" s="179">
        <v>14</v>
      </c>
      <c r="P1036" s="179">
        <v>2</v>
      </c>
      <c r="Q1036" s="179">
        <v>2</v>
      </c>
      <c r="R1036" s="180">
        <v>67</v>
      </c>
    </row>
    <row r="1037" spans="1:18">
      <c r="A1037" s="13" t="s">
        <v>3848</v>
      </c>
      <c r="B1037" s="166">
        <v>7</v>
      </c>
      <c r="C1037" s="179">
        <v>21</v>
      </c>
      <c r="D1037" s="179">
        <v>11</v>
      </c>
      <c r="E1037" s="179">
        <v>10</v>
      </c>
      <c r="F1037" s="179">
        <v>3</v>
      </c>
      <c r="G1037" s="179">
        <v>1</v>
      </c>
      <c r="H1037" s="179">
        <v>1</v>
      </c>
      <c r="I1037" s="179"/>
      <c r="J1037" s="179"/>
      <c r="K1037" s="179"/>
      <c r="L1037" s="179">
        <v>1</v>
      </c>
      <c r="M1037" s="179"/>
      <c r="N1037" s="179"/>
      <c r="O1037" s="179">
        <v>15</v>
      </c>
      <c r="P1037" s="179">
        <v>2</v>
      </c>
      <c r="Q1037" s="179">
        <v>2</v>
      </c>
      <c r="R1037" s="180">
        <v>74</v>
      </c>
    </row>
    <row r="1038" spans="1:18">
      <c r="A1038" s="13" t="s">
        <v>3849</v>
      </c>
      <c r="B1038" s="166">
        <v>6</v>
      </c>
      <c r="C1038" s="179">
        <v>11</v>
      </c>
      <c r="D1038" s="179">
        <v>7</v>
      </c>
      <c r="E1038" s="179">
        <v>8</v>
      </c>
      <c r="F1038" s="179">
        <v>10</v>
      </c>
      <c r="G1038" s="179">
        <v>1</v>
      </c>
      <c r="H1038" s="179"/>
      <c r="I1038" s="179"/>
      <c r="J1038" s="179"/>
      <c r="K1038" s="179"/>
      <c r="L1038" s="179"/>
      <c r="M1038" s="179"/>
      <c r="N1038" s="179"/>
      <c r="O1038" s="179">
        <v>9</v>
      </c>
      <c r="P1038" s="179">
        <v>6</v>
      </c>
      <c r="Q1038" s="179">
        <v>5</v>
      </c>
      <c r="R1038" s="180">
        <v>63</v>
      </c>
    </row>
    <row r="1039" spans="1:18">
      <c r="A1039" s="42" t="s">
        <v>3122</v>
      </c>
      <c r="B1039" s="170">
        <v>108</v>
      </c>
      <c r="C1039" s="181">
        <v>332</v>
      </c>
      <c r="D1039" s="181">
        <v>142</v>
      </c>
      <c r="E1039" s="181">
        <v>78</v>
      </c>
      <c r="F1039" s="181">
        <v>46</v>
      </c>
      <c r="G1039" s="181">
        <v>8</v>
      </c>
      <c r="H1039" s="181">
        <v>2</v>
      </c>
      <c r="I1039" s="181">
        <v>9</v>
      </c>
      <c r="J1039" s="181">
        <v>3</v>
      </c>
      <c r="K1039" s="181">
        <v>2</v>
      </c>
      <c r="L1039" s="181">
        <v>2</v>
      </c>
      <c r="M1039" s="181">
        <v>3</v>
      </c>
      <c r="N1039" s="181">
        <v>1</v>
      </c>
      <c r="O1039" s="181">
        <v>189</v>
      </c>
      <c r="P1039" s="181">
        <v>51</v>
      </c>
      <c r="Q1039" s="181">
        <v>24</v>
      </c>
      <c r="R1039" s="182">
        <v>1000</v>
      </c>
    </row>
    <row r="1045" spans="1:13">
      <c r="A1045" s="40" t="s">
        <v>3828</v>
      </c>
    </row>
    <row r="1046" spans="1:13">
      <c r="A1046" s="11" t="s">
        <v>29</v>
      </c>
      <c r="B1046" s="39" t="s">
        <v>3138</v>
      </c>
      <c r="C1046"/>
      <c r="D1046"/>
      <c r="E1046"/>
      <c r="F1046"/>
      <c r="G1046"/>
      <c r="H1046"/>
      <c r="I1046"/>
      <c r="J1046"/>
      <c r="K1046"/>
      <c r="L1046"/>
      <c r="M1046"/>
    </row>
    <row r="1047" spans="1:13">
      <c r="A1047" s="22" t="s">
        <v>46</v>
      </c>
      <c r="B1047" s="175">
        <v>332</v>
      </c>
      <c r="C1047"/>
      <c r="D1047"/>
      <c r="E1047"/>
      <c r="F1047"/>
      <c r="G1047"/>
      <c r="H1047"/>
      <c r="I1047"/>
      <c r="J1047"/>
      <c r="K1047"/>
      <c r="L1047"/>
      <c r="M1047"/>
    </row>
    <row r="1048" spans="1:13">
      <c r="A1048" s="24" t="s">
        <v>138</v>
      </c>
      <c r="B1048" s="180">
        <v>189</v>
      </c>
      <c r="C1048"/>
      <c r="D1048"/>
      <c r="E1048"/>
      <c r="F1048"/>
      <c r="G1048"/>
      <c r="H1048"/>
      <c r="I1048"/>
      <c r="J1048"/>
      <c r="K1048"/>
      <c r="L1048"/>
      <c r="M1048"/>
    </row>
    <row r="1049" spans="1:13">
      <c r="A1049" s="24" t="s">
        <v>148</v>
      </c>
      <c r="B1049" s="180">
        <v>142</v>
      </c>
      <c r="C1049"/>
      <c r="D1049"/>
      <c r="E1049"/>
      <c r="F1049"/>
      <c r="G1049"/>
      <c r="H1049"/>
      <c r="I1049"/>
      <c r="J1049"/>
      <c r="K1049"/>
      <c r="L1049"/>
      <c r="M1049"/>
    </row>
    <row r="1050" spans="1:13">
      <c r="A1050" s="24" t="s">
        <v>130</v>
      </c>
      <c r="B1050" s="180">
        <v>108</v>
      </c>
      <c r="C1050"/>
      <c r="D1050"/>
      <c r="E1050"/>
      <c r="F1050"/>
      <c r="G1050"/>
      <c r="H1050"/>
      <c r="I1050"/>
      <c r="J1050"/>
      <c r="K1050"/>
      <c r="L1050"/>
      <c r="M1050"/>
    </row>
    <row r="1051" spans="1:13">
      <c r="A1051" s="24" t="s">
        <v>77</v>
      </c>
      <c r="B1051" s="180">
        <v>78</v>
      </c>
      <c r="C1051"/>
      <c r="D1051"/>
      <c r="E1051"/>
      <c r="F1051"/>
      <c r="G1051"/>
      <c r="H1051"/>
      <c r="I1051"/>
      <c r="J1051"/>
      <c r="K1051"/>
      <c r="L1051"/>
      <c r="M1051"/>
    </row>
    <row r="1052" spans="1:13">
      <c r="A1052" s="24" t="s">
        <v>97</v>
      </c>
      <c r="B1052" s="180">
        <v>51</v>
      </c>
      <c r="C1052"/>
      <c r="D1052"/>
      <c r="E1052"/>
      <c r="F1052"/>
      <c r="G1052"/>
      <c r="H1052"/>
      <c r="I1052"/>
      <c r="J1052"/>
      <c r="K1052"/>
      <c r="L1052"/>
      <c r="M1052"/>
    </row>
    <row r="1053" spans="1:13">
      <c r="A1053" s="24" t="s">
        <v>185</v>
      </c>
      <c r="B1053" s="180">
        <v>46</v>
      </c>
      <c r="C1053"/>
      <c r="D1053"/>
      <c r="E1053"/>
      <c r="F1053"/>
      <c r="G1053"/>
      <c r="H1053"/>
      <c r="I1053"/>
      <c r="J1053"/>
      <c r="K1053"/>
      <c r="L1053"/>
      <c r="M1053"/>
    </row>
    <row r="1054" spans="1:13">
      <c r="A1054" s="24" t="s">
        <v>284</v>
      </c>
      <c r="B1054" s="180">
        <v>24</v>
      </c>
      <c r="C1054"/>
      <c r="D1054"/>
      <c r="E1054"/>
      <c r="F1054"/>
      <c r="G1054"/>
      <c r="H1054"/>
      <c r="I1054"/>
      <c r="J1054"/>
      <c r="K1054"/>
      <c r="L1054"/>
      <c r="M1054"/>
    </row>
    <row r="1055" spans="1:13">
      <c r="A1055" s="24" t="s">
        <v>386</v>
      </c>
      <c r="B1055" s="180">
        <v>9</v>
      </c>
      <c r="C1055"/>
      <c r="D1055"/>
      <c r="E1055"/>
      <c r="F1055"/>
      <c r="G1055"/>
      <c r="H1055"/>
      <c r="I1055"/>
      <c r="J1055"/>
      <c r="K1055"/>
      <c r="L1055"/>
      <c r="M1055"/>
    </row>
    <row r="1056" spans="1:13">
      <c r="A1056" s="24" t="s">
        <v>619</v>
      </c>
      <c r="B1056" s="180">
        <v>8</v>
      </c>
      <c r="C1056"/>
      <c r="D1056"/>
      <c r="E1056"/>
      <c r="F1056"/>
      <c r="G1056"/>
      <c r="H1056"/>
      <c r="I1056"/>
      <c r="J1056"/>
      <c r="K1056"/>
      <c r="L1056"/>
      <c r="M1056"/>
    </row>
    <row r="1057" spans="1:18">
      <c r="A1057" s="24" t="s">
        <v>196</v>
      </c>
      <c r="B1057" s="180">
        <v>3</v>
      </c>
      <c r="C1057"/>
      <c r="D1057"/>
      <c r="E1057"/>
      <c r="F1057"/>
      <c r="G1057"/>
      <c r="H1057"/>
      <c r="I1057"/>
      <c r="J1057"/>
      <c r="K1057"/>
      <c r="L1057"/>
      <c r="M1057"/>
    </row>
    <row r="1058" spans="1:18">
      <c r="A1058" s="24" t="s">
        <v>1758</v>
      </c>
      <c r="B1058" s="180">
        <v>3</v>
      </c>
      <c r="C1058"/>
      <c r="D1058"/>
      <c r="E1058"/>
      <c r="F1058"/>
      <c r="G1058"/>
      <c r="H1058"/>
      <c r="I1058"/>
      <c r="J1058"/>
      <c r="K1058"/>
      <c r="L1058"/>
      <c r="M1058"/>
    </row>
    <row r="1059" spans="1:18">
      <c r="A1059" s="24" t="s">
        <v>394</v>
      </c>
      <c r="B1059" s="180">
        <v>2</v>
      </c>
      <c r="C1059"/>
      <c r="D1059"/>
      <c r="E1059"/>
      <c r="F1059"/>
      <c r="G1059"/>
      <c r="H1059"/>
      <c r="I1059"/>
      <c r="J1059"/>
      <c r="K1059"/>
      <c r="L1059"/>
      <c r="M1059"/>
    </row>
    <row r="1060" spans="1:18">
      <c r="A1060" s="24" t="s">
        <v>1416</v>
      </c>
      <c r="B1060" s="180">
        <v>2</v>
      </c>
      <c r="C1060"/>
      <c r="D1060"/>
      <c r="E1060"/>
      <c r="F1060"/>
      <c r="G1060"/>
      <c r="H1060"/>
      <c r="I1060"/>
      <c r="J1060"/>
      <c r="K1060"/>
      <c r="L1060"/>
      <c r="M1060"/>
    </row>
    <row r="1061" spans="1:18">
      <c r="A1061" s="24" t="s">
        <v>1308</v>
      </c>
      <c r="B1061" s="180">
        <v>2</v>
      </c>
      <c r="C1061"/>
      <c r="D1061"/>
      <c r="E1061"/>
      <c r="F1061"/>
      <c r="G1061"/>
      <c r="H1061"/>
      <c r="I1061"/>
      <c r="J1061"/>
      <c r="K1061"/>
      <c r="L1061"/>
      <c r="M1061"/>
    </row>
    <row r="1062" spans="1:18">
      <c r="A1062" s="24" t="s">
        <v>1614</v>
      </c>
      <c r="B1062" s="180">
        <v>1</v>
      </c>
      <c r="C1062"/>
      <c r="D1062"/>
      <c r="E1062"/>
      <c r="F1062"/>
      <c r="G1062"/>
      <c r="H1062"/>
      <c r="I1062"/>
      <c r="J1062"/>
      <c r="K1062"/>
      <c r="L1062"/>
      <c r="M1062"/>
    </row>
    <row r="1063" spans="1:18">
      <c r="A1063" s="42" t="s">
        <v>3122</v>
      </c>
      <c r="B1063" s="182">
        <v>1000</v>
      </c>
      <c r="C1063"/>
      <c r="D1063"/>
      <c r="E1063"/>
      <c r="F1063"/>
      <c r="G1063"/>
      <c r="H1063"/>
      <c r="I1063"/>
      <c r="J1063"/>
      <c r="K1063"/>
      <c r="L1063"/>
      <c r="M1063"/>
    </row>
    <row r="1067" spans="1:18">
      <c r="A1067" t="s">
        <v>3829</v>
      </c>
    </row>
    <row r="1068" spans="1:18">
      <c r="A1068" s="11" t="s">
        <v>3158</v>
      </c>
      <c r="B1068" s="9"/>
      <c r="C1068" s="43" t="s">
        <v>4</v>
      </c>
      <c r="D1068" s="9"/>
      <c r="E1068" s="9"/>
      <c r="F1068" s="9"/>
      <c r="G1068" s="9"/>
      <c r="H1068" s="9"/>
      <c r="I1068" s="9"/>
      <c r="J1068" s="9"/>
      <c r="K1068" s="9"/>
      <c r="L1068" s="9"/>
      <c r="M1068" s="9"/>
      <c r="N1068" s="9"/>
      <c r="O1068" s="9"/>
      <c r="P1068" s="9"/>
      <c r="Q1068" s="9"/>
      <c r="R1068" s="20"/>
    </row>
    <row r="1069" spans="1:18">
      <c r="A1069" s="11" t="s">
        <v>3218</v>
      </c>
      <c r="B1069" s="11" t="s">
        <v>2</v>
      </c>
      <c r="C1069" s="8" t="s">
        <v>3835</v>
      </c>
      <c r="D1069" s="21" t="s">
        <v>3836</v>
      </c>
      <c r="E1069" s="21" t="s">
        <v>3837</v>
      </c>
      <c r="F1069" s="21" t="s">
        <v>3838</v>
      </c>
      <c r="G1069" s="21" t="s">
        <v>3839</v>
      </c>
      <c r="H1069" s="21" t="s">
        <v>3840</v>
      </c>
      <c r="I1069" s="21" t="s">
        <v>3841</v>
      </c>
      <c r="J1069" s="21" t="s">
        <v>3842</v>
      </c>
      <c r="K1069" s="21" t="s">
        <v>3843</v>
      </c>
      <c r="L1069" s="21" t="s">
        <v>3844</v>
      </c>
      <c r="M1069" s="21" t="s">
        <v>3847</v>
      </c>
      <c r="N1069" s="21" t="s">
        <v>3845</v>
      </c>
      <c r="O1069" s="21" t="s">
        <v>3846</v>
      </c>
      <c r="P1069" s="21" t="s">
        <v>3848</v>
      </c>
      <c r="Q1069" s="21" t="s">
        <v>3849</v>
      </c>
      <c r="R1069" s="39" t="s">
        <v>3122</v>
      </c>
    </row>
    <row r="1070" spans="1:18">
      <c r="A1070" s="8" t="s">
        <v>3866</v>
      </c>
      <c r="B1070" s="60">
        <v>46025</v>
      </c>
      <c r="C1070" s="164"/>
      <c r="D1070" s="174"/>
      <c r="E1070" s="174"/>
      <c r="F1070" s="174"/>
      <c r="G1070" s="174"/>
      <c r="H1070" s="174"/>
      <c r="I1070" s="174"/>
      <c r="J1070" s="174"/>
      <c r="K1070" s="174"/>
      <c r="L1070" s="174">
        <v>0</v>
      </c>
      <c r="M1070" s="174"/>
      <c r="N1070" s="174"/>
      <c r="O1070" s="174"/>
      <c r="P1070" s="174"/>
      <c r="Q1070" s="174"/>
      <c r="R1070" s="175">
        <v>0</v>
      </c>
    </row>
    <row r="1071" spans="1:18">
      <c r="A1071" s="10"/>
      <c r="B1071" s="58">
        <v>46027</v>
      </c>
      <c r="C1071" s="166"/>
      <c r="D1071" s="179"/>
      <c r="E1071" s="179"/>
      <c r="F1071" s="179"/>
      <c r="G1071" s="179"/>
      <c r="H1071" s="179"/>
      <c r="I1071" s="179"/>
      <c r="J1071" s="179"/>
      <c r="K1071" s="179"/>
      <c r="L1071" s="179"/>
      <c r="M1071" s="179">
        <v>3</v>
      </c>
      <c r="N1071" s="179"/>
      <c r="O1071" s="179"/>
      <c r="P1071" s="179"/>
      <c r="Q1071" s="179"/>
      <c r="R1071" s="180">
        <v>3</v>
      </c>
    </row>
    <row r="1072" spans="1:18">
      <c r="A1072" s="10"/>
      <c r="B1072" s="58">
        <v>46029</v>
      </c>
      <c r="C1072" s="166"/>
      <c r="D1072" s="179"/>
      <c r="E1072" s="179"/>
      <c r="F1072" s="179"/>
      <c r="G1072" s="179"/>
      <c r="H1072" s="179"/>
      <c r="I1072" s="179"/>
      <c r="J1072" s="179"/>
      <c r="K1072" s="179"/>
      <c r="L1072" s="179"/>
      <c r="M1072" s="179"/>
      <c r="N1072" s="179"/>
      <c r="O1072" s="179">
        <v>0</v>
      </c>
      <c r="P1072" s="179"/>
      <c r="Q1072" s="179"/>
      <c r="R1072" s="180">
        <v>0</v>
      </c>
    </row>
    <row r="1073" spans="1:18">
      <c r="A1073" s="10"/>
      <c r="B1073" s="58">
        <v>46030</v>
      </c>
      <c r="C1073" s="166"/>
      <c r="D1073" s="179"/>
      <c r="E1073" s="179"/>
      <c r="F1073" s="179"/>
      <c r="G1073" s="179">
        <v>5</v>
      </c>
      <c r="H1073" s="179"/>
      <c r="I1073" s="179"/>
      <c r="J1073" s="179"/>
      <c r="K1073" s="179"/>
      <c r="L1073" s="179"/>
      <c r="M1073" s="179"/>
      <c r="N1073" s="179"/>
      <c r="O1073" s="179"/>
      <c r="P1073" s="179"/>
      <c r="Q1073" s="179"/>
      <c r="R1073" s="180">
        <v>5</v>
      </c>
    </row>
    <row r="1074" spans="1:18">
      <c r="A1074" s="10"/>
      <c r="B1074" s="58">
        <v>46031</v>
      </c>
      <c r="C1074" s="166"/>
      <c r="D1074" s="179"/>
      <c r="E1074" s="179">
        <v>5</v>
      </c>
      <c r="F1074" s="179"/>
      <c r="G1074" s="179">
        <v>8</v>
      </c>
      <c r="H1074" s="179"/>
      <c r="I1074" s="179"/>
      <c r="J1074" s="179"/>
      <c r="K1074" s="179"/>
      <c r="L1074" s="179">
        <v>0</v>
      </c>
      <c r="M1074" s="179"/>
      <c r="N1074" s="179"/>
      <c r="O1074" s="179"/>
      <c r="P1074" s="179"/>
      <c r="Q1074" s="179"/>
      <c r="R1074" s="180">
        <v>13</v>
      </c>
    </row>
    <row r="1075" spans="1:18">
      <c r="A1075" s="10"/>
      <c r="B1075" s="58">
        <v>46035</v>
      </c>
      <c r="C1075" s="166"/>
      <c r="D1075" s="179"/>
      <c r="E1075" s="179"/>
      <c r="F1075" s="179"/>
      <c r="G1075" s="179"/>
      <c r="H1075" s="179"/>
      <c r="I1075" s="179">
        <v>11</v>
      </c>
      <c r="J1075" s="179"/>
      <c r="K1075" s="179"/>
      <c r="L1075" s="179"/>
      <c r="M1075" s="179"/>
      <c r="N1075" s="179"/>
      <c r="O1075" s="179"/>
      <c r="P1075" s="179"/>
      <c r="Q1075" s="179"/>
      <c r="R1075" s="180">
        <v>11</v>
      </c>
    </row>
    <row r="1076" spans="1:18">
      <c r="A1076" s="10"/>
      <c r="B1076" s="58">
        <v>46036</v>
      </c>
      <c r="C1076" s="166"/>
      <c r="D1076" s="179"/>
      <c r="E1076" s="179">
        <v>12</v>
      </c>
      <c r="F1076" s="179">
        <v>8</v>
      </c>
      <c r="G1076" s="179"/>
      <c r="H1076" s="179"/>
      <c r="I1076" s="179"/>
      <c r="J1076" s="179"/>
      <c r="K1076" s="179"/>
      <c r="L1076" s="179"/>
      <c r="M1076" s="179"/>
      <c r="N1076" s="179"/>
      <c r="O1076" s="179"/>
      <c r="P1076" s="179"/>
      <c r="Q1076" s="179"/>
      <c r="R1076" s="180">
        <v>20</v>
      </c>
    </row>
    <row r="1077" spans="1:18">
      <c r="A1077" s="10"/>
      <c r="B1077" s="58">
        <v>46037</v>
      </c>
      <c r="C1077" s="166"/>
      <c r="D1077" s="179"/>
      <c r="E1077" s="179"/>
      <c r="F1077" s="179"/>
      <c r="G1077" s="179"/>
      <c r="H1077" s="179"/>
      <c r="I1077" s="179"/>
      <c r="J1077" s="179"/>
      <c r="K1077" s="179"/>
      <c r="L1077" s="179">
        <v>6</v>
      </c>
      <c r="M1077" s="179"/>
      <c r="N1077" s="179"/>
      <c r="O1077" s="179"/>
      <c r="P1077" s="179">
        <v>8</v>
      </c>
      <c r="Q1077" s="179"/>
      <c r="R1077" s="180">
        <v>14</v>
      </c>
    </row>
    <row r="1078" spans="1:18">
      <c r="A1078" s="10"/>
      <c r="B1078" s="58">
        <v>46038</v>
      </c>
      <c r="C1078" s="166"/>
      <c r="D1078" s="179"/>
      <c r="E1078" s="179"/>
      <c r="F1078" s="179"/>
      <c r="G1078" s="179"/>
      <c r="H1078" s="179"/>
      <c r="I1078" s="179"/>
      <c r="J1078" s="179"/>
      <c r="K1078" s="179"/>
      <c r="L1078" s="179"/>
      <c r="M1078" s="179">
        <v>9</v>
      </c>
      <c r="N1078" s="179"/>
      <c r="O1078" s="179"/>
      <c r="P1078" s="179"/>
      <c r="Q1078" s="179"/>
      <c r="R1078" s="180">
        <v>9</v>
      </c>
    </row>
    <row r="1079" spans="1:18">
      <c r="A1079" s="10"/>
      <c r="B1079" s="58">
        <v>46039</v>
      </c>
      <c r="C1079" s="166"/>
      <c r="D1079" s="179"/>
      <c r="E1079" s="179">
        <v>16</v>
      </c>
      <c r="F1079" s="179"/>
      <c r="G1079" s="179">
        <v>9</v>
      </c>
      <c r="H1079" s="179"/>
      <c r="I1079" s="179"/>
      <c r="J1079" s="179"/>
      <c r="K1079" s="179">
        <v>16</v>
      </c>
      <c r="L1079" s="179"/>
      <c r="M1079" s="179"/>
      <c r="N1079" s="179"/>
      <c r="O1079" s="179">
        <v>9</v>
      </c>
      <c r="P1079" s="179"/>
      <c r="Q1079" s="179"/>
      <c r="R1079" s="180">
        <v>50</v>
      </c>
    </row>
    <row r="1080" spans="1:18">
      <c r="A1080" s="10"/>
      <c r="B1080" s="58">
        <v>46040</v>
      </c>
      <c r="C1080" s="166"/>
      <c r="D1080" s="179">
        <v>9</v>
      </c>
      <c r="E1080" s="179"/>
      <c r="F1080" s="179"/>
      <c r="G1080" s="179">
        <v>16</v>
      </c>
      <c r="H1080" s="179"/>
      <c r="I1080" s="179"/>
      <c r="J1080" s="179"/>
      <c r="K1080" s="179"/>
      <c r="L1080" s="179">
        <v>0</v>
      </c>
      <c r="M1080" s="179"/>
      <c r="N1080" s="179"/>
      <c r="O1080" s="179">
        <v>6</v>
      </c>
      <c r="P1080" s="179">
        <v>14</v>
      </c>
      <c r="Q1080" s="179"/>
      <c r="R1080" s="180">
        <v>45</v>
      </c>
    </row>
    <row r="1081" spans="1:18">
      <c r="A1081" s="10"/>
      <c r="B1081" s="58">
        <v>46041</v>
      </c>
      <c r="C1081" s="166"/>
      <c r="D1081" s="179"/>
      <c r="E1081" s="179">
        <v>10</v>
      </c>
      <c r="F1081" s="179">
        <v>16</v>
      </c>
      <c r="G1081" s="179"/>
      <c r="H1081" s="179"/>
      <c r="I1081" s="179"/>
      <c r="J1081" s="179"/>
      <c r="K1081" s="179"/>
      <c r="L1081" s="179">
        <v>-2</v>
      </c>
      <c r="M1081" s="179"/>
      <c r="N1081" s="179"/>
      <c r="O1081" s="179">
        <v>14</v>
      </c>
      <c r="P1081" s="179"/>
      <c r="Q1081" s="179"/>
      <c r="R1081" s="180">
        <v>38</v>
      </c>
    </row>
    <row r="1082" spans="1:18">
      <c r="A1082" s="10"/>
      <c r="B1082" s="58">
        <v>46042</v>
      </c>
      <c r="C1082" s="166"/>
      <c r="D1082" s="179"/>
      <c r="E1082" s="179">
        <v>3</v>
      </c>
      <c r="F1082" s="179"/>
      <c r="G1082" s="179"/>
      <c r="H1082" s="179"/>
      <c r="I1082" s="179"/>
      <c r="J1082" s="179">
        <v>19</v>
      </c>
      <c r="K1082" s="179"/>
      <c r="L1082" s="179"/>
      <c r="M1082" s="179">
        <v>10</v>
      </c>
      <c r="N1082" s="179"/>
      <c r="O1082" s="179">
        <v>3</v>
      </c>
      <c r="P1082" s="179">
        <v>19</v>
      </c>
      <c r="Q1082" s="179"/>
      <c r="R1082" s="180">
        <v>54</v>
      </c>
    </row>
    <row r="1083" spans="1:18">
      <c r="A1083" s="10"/>
      <c r="B1083" s="58">
        <v>46043</v>
      </c>
      <c r="C1083" s="166"/>
      <c r="D1083" s="179"/>
      <c r="E1083" s="179"/>
      <c r="F1083" s="179">
        <v>10</v>
      </c>
      <c r="G1083" s="179">
        <v>16</v>
      </c>
      <c r="H1083" s="179"/>
      <c r="I1083" s="179"/>
      <c r="J1083" s="179"/>
      <c r="K1083" s="179"/>
      <c r="L1083" s="179"/>
      <c r="M1083" s="179"/>
      <c r="N1083" s="179"/>
      <c r="O1083" s="179"/>
      <c r="P1083" s="179"/>
      <c r="Q1083" s="179">
        <v>20</v>
      </c>
      <c r="R1083" s="180">
        <v>46</v>
      </c>
    </row>
    <row r="1084" spans="1:18">
      <c r="A1084" s="10"/>
      <c r="B1084" s="58">
        <v>46044</v>
      </c>
      <c r="C1084" s="166"/>
      <c r="D1084" s="179"/>
      <c r="E1084" s="179"/>
      <c r="F1084" s="179"/>
      <c r="G1084" s="179">
        <v>8</v>
      </c>
      <c r="H1084" s="179"/>
      <c r="I1084" s="179"/>
      <c r="J1084" s="179"/>
      <c r="K1084" s="179"/>
      <c r="L1084" s="179"/>
      <c r="M1084" s="179"/>
      <c r="N1084" s="179"/>
      <c r="O1084" s="179"/>
      <c r="P1084" s="179"/>
      <c r="Q1084" s="179"/>
      <c r="R1084" s="180">
        <v>8</v>
      </c>
    </row>
    <row r="1085" spans="1:18">
      <c r="A1085" s="10"/>
      <c r="B1085" s="58">
        <v>46045</v>
      </c>
      <c r="C1085" s="166"/>
      <c r="D1085" s="179"/>
      <c r="E1085" s="179"/>
      <c r="F1085" s="179"/>
      <c r="G1085" s="179"/>
      <c r="H1085" s="179"/>
      <c r="I1085" s="179"/>
      <c r="J1085" s="179"/>
      <c r="K1085" s="179">
        <v>19</v>
      </c>
      <c r="L1085" s="179"/>
      <c r="M1085" s="179"/>
      <c r="N1085" s="179">
        <v>3</v>
      </c>
      <c r="O1085" s="179">
        <v>13</v>
      </c>
      <c r="P1085" s="179"/>
      <c r="Q1085" s="179"/>
      <c r="R1085" s="180">
        <v>35</v>
      </c>
    </row>
    <row r="1086" spans="1:18">
      <c r="A1086" s="10"/>
      <c r="B1086" s="58">
        <v>46046</v>
      </c>
      <c r="C1086" s="166"/>
      <c r="D1086" s="179">
        <v>13</v>
      </c>
      <c r="E1086" s="179"/>
      <c r="F1086" s="179"/>
      <c r="G1086" s="179">
        <v>17</v>
      </c>
      <c r="H1086" s="179">
        <v>21</v>
      </c>
      <c r="I1086" s="179">
        <v>20</v>
      </c>
      <c r="J1086" s="179"/>
      <c r="K1086" s="179"/>
      <c r="L1086" s="179"/>
      <c r="M1086" s="179">
        <v>23</v>
      </c>
      <c r="N1086" s="179"/>
      <c r="O1086" s="179">
        <v>10</v>
      </c>
      <c r="P1086" s="179"/>
      <c r="Q1086" s="179">
        <v>17</v>
      </c>
      <c r="R1086" s="180">
        <v>121</v>
      </c>
    </row>
    <row r="1087" spans="1:18">
      <c r="A1087" s="10"/>
      <c r="B1087" s="58">
        <v>46047</v>
      </c>
      <c r="C1087" s="166"/>
      <c r="D1087" s="179"/>
      <c r="E1087" s="179"/>
      <c r="F1087" s="179"/>
      <c r="G1087" s="179">
        <v>28</v>
      </c>
      <c r="H1087" s="179"/>
      <c r="I1087" s="179"/>
      <c r="J1087" s="179">
        <v>16</v>
      </c>
      <c r="K1087" s="179"/>
      <c r="L1087" s="179">
        <v>2</v>
      </c>
      <c r="M1087" s="179"/>
      <c r="N1087" s="179"/>
      <c r="O1087" s="179"/>
      <c r="P1087" s="179">
        <v>14</v>
      </c>
      <c r="Q1087" s="179"/>
      <c r="R1087" s="180">
        <v>60</v>
      </c>
    </row>
    <row r="1088" spans="1:18">
      <c r="A1088" s="10"/>
      <c r="B1088" s="58">
        <v>46048</v>
      </c>
      <c r="C1088" s="166"/>
      <c r="D1088" s="179">
        <v>-5</v>
      </c>
      <c r="E1088" s="179"/>
      <c r="F1088" s="179"/>
      <c r="G1088" s="179"/>
      <c r="H1088" s="179">
        <v>17</v>
      </c>
      <c r="I1088" s="179"/>
      <c r="J1088" s="179"/>
      <c r="K1088" s="179"/>
      <c r="L1088" s="179"/>
      <c r="M1088" s="179">
        <v>17</v>
      </c>
      <c r="N1088" s="179"/>
      <c r="O1088" s="179"/>
      <c r="P1088" s="179"/>
      <c r="Q1088" s="179">
        <v>30</v>
      </c>
      <c r="R1088" s="180">
        <v>59</v>
      </c>
    </row>
    <row r="1089" spans="1:18">
      <c r="A1089" s="10"/>
      <c r="B1089" s="58">
        <v>46049</v>
      </c>
      <c r="C1089" s="166"/>
      <c r="D1089" s="179"/>
      <c r="E1089" s="179">
        <v>0</v>
      </c>
      <c r="F1089" s="179"/>
      <c r="G1089" s="179">
        <v>11</v>
      </c>
      <c r="H1089" s="179"/>
      <c r="I1089" s="179"/>
      <c r="J1089" s="179"/>
      <c r="K1089" s="179">
        <v>47</v>
      </c>
      <c r="L1089" s="179"/>
      <c r="M1089" s="179"/>
      <c r="N1089" s="179">
        <v>13</v>
      </c>
      <c r="O1089" s="179"/>
      <c r="P1089" s="179"/>
      <c r="Q1089" s="179"/>
      <c r="R1089" s="180">
        <v>71</v>
      </c>
    </row>
    <row r="1090" spans="1:18">
      <c r="A1090" s="10"/>
      <c r="B1090" s="58">
        <v>46050</v>
      </c>
      <c r="C1090" s="166"/>
      <c r="D1090" s="179">
        <v>9</v>
      </c>
      <c r="E1090" s="179">
        <v>14</v>
      </c>
      <c r="F1090" s="179">
        <v>9</v>
      </c>
      <c r="G1090" s="179">
        <v>17</v>
      </c>
      <c r="H1090" s="179">
        <v>24</v>
      </c>
      <c r="I1090" s="179"/>
      <c r="J1090" s="179"/>
      <c r="K1090" s="179"/>
      <c r="L1090" s="179"/>
      <c r="M1090" s="179"/>
      <c r="N1090" s="179"/>
      <c r="O1090" s="179"/>
      <c r="P1090" s="179"/>
      <c r="Q1090" s="179">
        <v>20</v>
      </c>
      <c r="R1090" s="180">
        <v>93</v>
      </c>
    </row>
    <row r="1091" spans="1:18">
      <c r="A1091" s="10"/>
      <c r="B1091" s="58">
        <v>46051</v>
      </c>
      <c r="C1091" s="166"/>
      <c r="D1091" s="179"/>
      <c r="E1091" s="179"/>
      <c r="F1091" s="179">
        <v>10</v>
      </c>
      <c r="G1091" s="179"/>
      <c r="H1091" s="179"/>
      <c r="I1091" s="179">
        <v>16</v>
      </c>
      <c r="J1091" s="179"/>
      <c r="K1091" s="179">
        <v>16</v>
      </c>
      <c r="L1091" s="179">
        <v>12</v>
      </c>
      <c r="M1091" s="179"/>
      <c r="N1091" s="179"/>
      <c r="O1091" s="179">
        <v>17</v>
      </c>
      <c r="P1091" s="179">
        <v>37</v>
      </c>
      <c r="Q1091" s="179"/>
      <c r="R1091" s="180">
        <v>108</v>
      </c>
    </row>
    <row r="1092" spans="1:18">
      <c r="A1092" s="10"/>
      <c r="B1092" s="58">
        <v>46052</v>
      </c>
      <c r="C1092" s="166">
        <v>19</v>
      </c>
      <c r="D1092" s="179"/>
      <c r="E1092" s="179"/>
      <c r="F1092" s="179"/>
      <c r="G1092" s="179"/>
      <c r="H1092" s="179">
        <v>2</v>
      </c>
      <c r="I1092" s="179">
        <v>33</v>
      </c>
      <c r="J1092" s="179"/>
      <c r="K1092" s="179"/>
      <c r="L1092" s="179"/>
      <c r="M1092" s="179"/>
      <c r="N1092" s="179">
        <v>9</v>
      </c>
      <c r="O1092" s="179"/>
      <c r="P1092" s="179">
        <v>14</v>
      </c>
      <c r="Q1092" s="179"/>
      <c r="R1092" s="180">
        <v>77</v>
      </c>
    </row>
    <row r="1093" spans="1:18">
      <c r="A1093" s="10"/>
      <c r="B1093" s="58">
        <v>46053</v>
      </c>
      <c r="C1093" s="166"/>
      <c r="D1093" s="179">
        <v>40</v>
      </c>
      <c r="E1093" s="179">
        <v>15</v>
      </c>
      <c r="F1093" s="179"/>
      <c r="G1093" s="179"/>
      <c r="H1093" s="179"/>
      <c r="I1093" s="179"/>
      <c r="J1093" s="179"/>
      <c r="K1093" s="179"/>
      <c r="L1093" s="179"/>
      <c r="M1093" s="179">
        <v>-1</v>
      </c>
      <c r="N1093" s="179">
        <v>14</v>
      </c>
      <c r="O1093" s="179"/>
      <c r="P1093" s="179"/>
      <c r="Q1093" s="179"/>
      <c r="R1093" s="180">
        <v>68</v>
      </c>
    </row>
    <row r="1094" spans="1:18">
      <c r="A1094" s="8" t="s">
        <v>3867</v>
      </c>
      <c r="B1094" s="60">
        <v>46054</v>
      </c>
      <c r="C1094" s="164"/>
      <c r="D1094" s="174">
        <v>-5</v>
      </c>
      <c r="E1094" s="174"/>
      <c r="F1094" s="174">
        <v>15</v>
      </c>
      <c r="G1094" s="174"/>
      <c r="H1094" s="174"/>
      <c r="I1094" s="174"/>
      <c r="J1094" s="174"/>
      <c r="K1094" s="174"/>
      <c r="L1094" s="174">
        <v>-5</v>
      </c>
      <c r="M1094" s="174"/>
      <c r="N1094" s="174">
        <v>10</v>
      </c>
      <c r="O1094" s="174"/>
      <c r="P1094" s="174"/>
      <c r="Q1094" s="174"/>
      <c r="R1094" s="175">
        <v>15</v>
      </c>
    </row>
    <row r="1095" spans="1:18">
      <c r="A1095" s="10"/>
      <c r="B1095" s="58">
        <v>46055</v>
      </c>
      <c r="C1095" s="166"/>
      <c r="D1095" s="179">
        <v>21</v>
      </c>
      <c r="E1095" s="179"/>
      <c r="F1095" s="179"/>
      <c r="G1095" s="179"/>
      <c r="H1095" s="179"/>
      <c r="I1095" s="179"/>
      <c r="J1095" s="179"/>
      <c r="K1095" s="179"/>
      <c r="L1095" s="179"/>
      <c r="M1095" s="179"/>
      <c r="N1095" s="179">
        <v>22</v>
      </c>
      <c r="O1095" s="179">
        <v>2</v>
      </c>
      <c r="P1095" s="179"/>
      <c r="Q1095" s="179"/>
      <c r="R1095" s="180">
        <v>45</v>
      </c>
    </row>
    <row r="1096" spans="1:18">
      <c r="A1096" s="10"/>
      <c r="B1096" s="58">
        <v>46056</v>
      </c>
      <c r="C1096" s="166">
        <v>14</v>
      </c>
      <c r="D1096" s="179"/>
      <c r="E1096" s="179"/>
      <c r="F1096" s="179">
        <v>10</v>
      </c>
      <c r="G1096" s="179">
        <v>11</v>
      </c>
      <c r="H1096" s="179"/>
      <c r="I1096" s="179"/>
      <c r="J1096" s="179">
        <v>20</v>
      </c>
      <c r="K1096" s="179"/>
      <c r="L1096" s="179"/>
      <c r="M1096" s="179"/>
      <c r="N1096" s="179"/>
      <c r="O1096" s="179"/>
      <c r="P1096" s="179"/>
      <c r="Q1096" s="179"/>
      <c r="R1096" s="180">
        <v>55</v>
      </c>
    </row>
    <row r="1097" spans="1:18">
      <c r="A1097" s="10"/>
      <c r="B1097" s="58">
        <v>46057</v>
      </c>
      <c r="C1097" s="166"/>
      <c r="D1097" s="179"/>
      <c r="E1097" s="179"/>
      <c r="F1097" s="179"/>
      <c r="G1097" s="179"/>
      <c r="H1097" s="179">
        <v>23</v>
      </c>
      <c r="I1097" s="179">
        <v>35</v>
      </c>
      <c r="J1097" s="179">
        <v>24</v>
      </c>
      <c r="K1097" s="179"/>
      <c r="L1097" s="179"/>
      <c r="M1097" s="179"/>
      <c r="N1097" s="179">
        <v>11</v>
      </c>
      <c r="O1097" s="179"/>
      <c r="P1097" s="179"/>
      <c r="Q1097" s="179"/>
      <c r="R1097" s="180">
        <v>93</v>
      </c>
    </row>
    <row r="1098" spans="1:18">
      <c r="A1098" s="10"/>
      <c r="B1098" s="58">
        <v>46058</v>
      </c>
      <c r="C1098" s="166"/>
      <c r="D1098" s="179">
        <v>13</v>
      </c>
      <c r="E1098" s="179"/>
      <c r="F1098" s="179"/>
      <c r="G1098" s="179">
        <v>19</v>
      </c>
      <c r="H1098" s="179">
        <v>17</v>
      </c>
      <c r="I1098" s="179"/>
      <c r="J1098" s="179"/>
      <c r="K1098" s="179"/>
      <c r="L1098" s="179"/>
      <c r="M1098" s="179"/>
      <c r="N1098" s="179"/>
      <c r="O1098" s="179"/>
      <c r="P1098" s="179"/>
      <c r="Q1098" s="179">
        <v>9</v>
      </c>
      <c r="R1098" s="180">
        <v>58</v>
      </c>
    </row>
    <row r="1099" spans="1:18">
      <c r="A1099" s="10"/>
      <c r="B1099" s="58">
        <v>46059</v>
      </c>
      <c r="C1099" s="166"/>
      <c r="D1099" s="179">
        <v>22</v>
      </c>
      <c r="E1099" s="179">
        <v>0</v>
      </c>
      <c r="F1099" s="179"/>
      <c r="G1099" s="179"/>
      <c r="H1099" s="179"/>
      <c r="I1099" s="179">
        <v>24</v>
      </c>
      <c r="J1099" s="179">
        <v>22</v>
      </c>
      <c r="K1099" s="179">
        <v>23</v>
      </c>
      <c r="L1099" s="179"/>
      <c r="M1099" s="179"/>
      <c r="N1099" s="179"/>
      <c r="O1099" s="179"/>
      <c r="P1099" s="179"/>
      <c r="Q1099" s="179"/>
      <c r="R1099" s="180">
        <v>91</v>
      </c>
    </row>
    <row r="1100" spans="1:18">
      <c r="A1100" s="10"/>
      <c r="B1100" s="58">
        <v>46060</v>
      </c>
      <c r="C1100" s="166"/>
      <c r="D1100" s="179"/>
      <c r="E1100" s="179"/>
      <c r="F1100" s="179"/>
      <c r="G1100" s="179"/>
      <c r="H1100" s="179">
        <v>7</v>
      </c>
      <c r="I1100" s="179"/>
      <c r="J1100" s="179"/>
      <c r="K1100" s="179"/>
      <c r="L1100" s="179"/>
      <c r="M1100" s="179">
        <v>-5</v>
      </c>
      <c r="N1100" s="179">
        <v>14</v>
      </c>
      <c r="O1100" s="179"/>
      <c r="P1100" s="179"/>
      <c r="Q1100" s="179"/>
      <c r="R1100" s="180">
        <v>16</v>
      </c>
    </row>
    <row r="1101" spans="1:18">
      <c r="A1101" s="10"/>
      <c r="B1101" s="58">
        <v>46061</v>
      </c>
      <c r="C1101" s="166"/>
      <c r="D1101" s="179"/>
      <c r="E1101" s="179"/>
      <c r="F1101" s="179"/>
      <c r="G1101" s="179"/>
      <c r="H1101" s="179"/>
      <c r="I1101" s="179"/>
      <c r="J1101" s="179"/>
      <c r="K1101" s="179"/>
      <c r="L1101" s="179">
        <v>12</v>
      </c>
      <c r="M1101" s="179"/>
      <c r="N1101" s="179"/>
      <c r="O1101" s="179">
        <v>10</v>
      </c>
      <c r="P1101" s="179"/>
      <c r="Q1101" s="179"/>
      <c r="R1101" s="180">
        <v>22</v>
      </c>
    </row>
    <row r="1102" spans="1:18">
      <c r="A1102" s="10"/>
      <c r="B1102" s="58">
        <v>46062</v>
      </c>
      <c r="C1102" s="166"/>
      <c r="D1102" s="179">
        <v>20</v>
      </c>
      <c r="E1102" s="179">
        <v>16</v>
      </c>
      <c r="F1102" s="179">
        <v>14</v>
      </c>
      <c r="G1102" s="179"/>
      <c r="H1102" s="179"/>
      <c r="I1102" s="179"/>
      <c r="J1102" s="179"/>
      <c r="K1102" s="179"/>
      <c r="L1102" s="179"/>
      <c r="M1102" s="179"/>
      <c r="N1102" s="179"/>
      <c r="O1102" s="179"/>
      <c r="P1102" s="179"/>
      <c r="Q1102" s="179">
        <v>7</v>
      </c>
      <c r="R1102" s="180">
        <v>57</v>
      </c>
    </row>
    <row r="1103" spans="1:18">
      <c r="A1103" s="10"/>
      <c r="B1103" s="58">
        <v>46063</v>
      </c>
      <c r="C1103" s="166"/>
      <c r="D1103" s="179">
        <v>29</v>
      </c>
      <c r="E1103" s="179"/>
      <c r="F1103" s="179">
        <v>15</v>
      </c>
      <c r="G1103" s="179"/>
      <c r="H1103" s="179"/>
      <c r="I1103" s="179"/>
      <c r="J1103" s="179"/>
      <c r="K1103" s="179"/>
      <c r="L1103" s="179"/>
      <c r="M1103" s="179">
        <v>12</v>
      </c>
      <c r="N1103" s="179">
        <v>4</v>
      </c>
      <c r="O1103" s="179"/>
      <c r="P1103" s="179"/>
      <c r="Q1103" s="179">
        <v>24</v>
      </c>
      <c r="R1103" s="180">
        <v>84</v>
      </c>
    </row>
    <row r="1104" spans="1:18">
      <c r="A1104" s="10"/>
      <c r="B1104" s="58">
        <v>46064</v>
      </c>
      <c r="C1104" s="166">
        <v>26</v>
      </c>
      <c r="D1104" s="179"/>
      <c r="E1104" s="179"/>
      <c r="F1104" s="179"/>
      <c r="G1104" s="179">
        <v>6</v>
      </c>
      <c r="H1104" s="179">
        <v>0</v>
      </c>
      <c r="I1104" s="179"/>
      <c r="J1104" s="179">
        <v>23</v>
      </c>
      <c r="K1104" s="179"/>
      <c r="L1104" s="179"/>
      <c r="M1104" s="179"/>
      <c r="N1104" s="179">
        <v>4</v>
      </c>
      <c r="O1104" s="179">
        <v>16</v>
      </c>
      <c r="P1104" s="179"/>
      <c r="Q1104" s="179">
        <v>0</v>
      </c>
      <c r="R1104" s="180">
        <v>75</v>
      </c>
    </row>
    <row r="1105" spans="1:18">
      <c r="A1105" s="10"/>
      <c r="B1105" s="58">
        <v>46065</v>
      </c>
      <c r="C1105" s="166"/>
      <c r="D1105" s="179">
        <v>10</v>
      </c>
      <c r="E1105" s="179"/>
      <c r="F1105" s="179"/>
      <c r="G1105" s="179">
        <v>5</v>
      </c>
      <c r="H1105" s="179">
        <v>12</v>
      </c>
      <c r="I1105" s="179"/>
      <c r="J1105" s="179">
        <v>28</v>
      </c>
      <c r="K1105" s="179"/>
      <c r="L1105" s="179">
        <v>7</v>
      </c>
      <c r="M1105" s="179">
        <v>11</v>
      </c>
      <c r="N1105" s="179">
        <v>12</v>
      </c>
      <c r="O1105" s="179"/>
      <c r="P1105" s="179"/>
      <c r="Q1105" s="179"/>
      <c r="R1105" s="180">
        <v>85</v>
      </c>
    </row>
    <row r="1106" spans="1:18">
      <c r="A1106" s="10"/>
      <c r="B1106" s="58">
        <v>46066</v>
      </c>
      <c r="C1106" s="166"/>
      <c r="D1106" s="179"/>
      <c r="E1106" s="179"/>
      <c r="F1106" s="179"/>
      <c r="G1106" s="179"/>
      <c r="H1106" s="179"/>
      <c r="I1106" s="179"/>
      <c r="J1106" s="179"/>
      <c r="K1106" s="179"/>
      <c r="L1106" s="179">
        <v>10</v>
      </c>
      <c r="M1106" s="179">
        <v>9</v>
      </c>
      <c r="N1106" s="179"/>
      <c r="O1106" s="179"/>
      <c r="P1106" s="179">
        <v>17</v>
      </c>
      <c r="Q1106" s="179">
        <v>41</v>
      </c>
      <c r="R1106" s="180">
        <v>77</v>
      </c>
    </row>
    <row r="1107" spans="1:18">
      <c r="A1107" s="10"/>
      <c r="B1107" s="58">
        <v>46067</v>
      </c>
      <c r="C1107" s="166">
        <v>20</v>
      </c>
      <c r="D1107" s="179"/>
      <c r="E1107" s="179">
        <v>20</v>
      </c>
      <c r="F1107" s="179"/>
      <c r="G1107" s="179"/>
      <c r="H1107" s="179"/>
      <c r="I1107" s="179">
        <v>11</v>
      </c>
      <c r="J1107" s="179"/>
      <c r="K1107" s="179"/>
      <c r="L1107" s="179"/>
      <c r="M1107" s="179"/>
      <c r="N1107" s="179"/>
      <c r="O1107" s="179"/>
      <c r="P1107" s="179">
        <v>45</v>
      </c>
      <c r="Q1107" s="179">
        <v>14</v>
      </c>
      <c r="R1107" s="180">
        <v>110</v>
      </c>
    </row>
    <row r="1108" spans="1:18">
      <c r="A1108" s="10"/>
      <c r="B1108" s="58">
        <v>46068</v>
      </c>
      <c r="C1108" s="166"/>
      <c r="D1108" s="179">
        <v>19</v>
      </c>
      <c r="E1108" s="179"/>
      <c r="F1108" s="179"/>
      <c r="G1108" s="179"/>
      <c r="H1108" s="179"/>
      <c r="I1108" s="179">
        <v>8</v>
      </c>
      <c r="J1108" s="179"/>
      <c r="K1108" s="179">
        <v>13</v>
      </c>
      <c r="L1108" s="179"/>
      <c r="M1108" s="179"/>
      <c r="N1108" s="179">
        <v>8</v>
      </c>
      <c r="O1108" s="179"/>
      <c r="P1108" s="179">
        <v>17</v>
      </c>
      <c r="Q1108" s="179"/>
      <c r="R1108" s="180">
        <v>65</v>
      </c>
    </row>
    <row r="1109" spans="1:18">
      <c r="A1109" s="10"/>
      <c r="B1109" s="58">
        <v>46069</v>
      </c>
      <c r="C1109" s="166"/>
      <c r="D1109" s="179">
        <v>33</v>
      </c>
      <c r="E1109" s="179">
        <v>13</v>
      </c>
      <c r="F1109" s="179"/>
      <c r="G1109" s="179"/>
      <c r="H1109" s="179"/>
      <c r="I1109" s="179">
        <v>0</v>
      </c>
      <c r="J1109" s="179"/>
      <c r="K1109" s="179"/>
      <c r="L1109" s="179"/>
      <c r="M1109" s="179"/>
      <c r="N1109" s="179"/>
      <c r="O1109" s="179">
        <v>2</v>
      </c>
      <c r="P1109" s="179"/>
      <c r="Q1109" s="179"/>
      <c r="R1109" s="180">
        <v>48</v>
      </c>
    </row>
    <row r="1110" spans="1:18">
      <c r="A1110" s="10"/>
      <c r="B1110" s="58">
        <v>46070</v>
      </c>
      <c r="C1110" s="166"/>
      <c r="D1110" s="179">
        <v>13</v>
      </c>
      <c r="E1110" s="179">
        <v>0</v>
      </c>
      <c r="F1110" s="179"/>
      <c r="G1110" s="179">
        <v>14</v>
      </c>
      <c r="H1110" s="179"/>
      <c r="I1110" s="179"/>
      <c r="J1110" s="179"/>
      <c r="K1110" s="179">
        <v>18</v>
      </c>
      <c r="L1110" s="179"/>
      <c r="M1110" s="179"/>
      <c r="N1110" s="179"/>
      <c r="O1110" s="179"/>
      <c r="P1110" s="179">
        <v>23</v>
      </c>
      <c r="Q1110" s="179"/>
      <c r="R1110" s="180">
        <v>68</v>
      </c>
    </row>
    <row r="1111" spans="1:18">
      <c r="A1111" s="10"/>
      <c r="B1111" s="58">
        <v>46071</v>
      </c>
      <c r="C1111" s="166">
        <v>26</v>
      </c>
      <c r="D1111" s="179"/>
      <c r="E1111" s="179">
        <v>20</v>
      </c>
      <c r="F1111" s="179"/>
      <c r="G1111" s="179">
        <v>14</v>
      </c>
      <c r="H1111" s="179"/>
      <c r="I1111" s="179"/>
      <c r="J1111" s="179"/>
      <c r="K1111" s="179"/>
      <c r="L1111" s="179"/>
      <c r="M1111" s="179"/>
      <c r="N1111" s="179"/>
      <c r="O1111" s="179">
        <v>21</v>
      </c>
      <c r="P1111" s="179">
        <v>38</v>
      </c>
      <c r="Q1111" s="179"/>
      <c r="R1111" s="180">
        <v>119</v>
      </c>
    </row>
    <row r="1112" spans="1:18">
      <c r="A1112" s="10"/>
      <c r="B1112" s="58">
        <v>46072</v>
      </c>
      <c r="C1112" s="166"/>
      <c r="D1112" s="179"/>
      <c r="E1112" s="179"/>
      <c r="F1112" s="179">
        <v>22</v>
      </c>
      <c r="G1112" s="179"/>
      <c r="H1112" s="179"/>
      <c r="I1112" s="179">
        <v>37</v>
      </c>
      <c r="J1112" s="179"/>
      <c r="K1112" s="179"/>
      <c r="L1112" s="179">
        <v>9</v>
      </c>
      <c r="M1112" s="179"/>
      <c r="N1112" s="179"/>
      <c r="O1112" s="179"/>
      <c r="P1112" s="179"/>
      <c r="Q1112" s="179"/>
      <c r="R1112" s="180">
        <v>68</v>
      </c>
    </row>
    <row r="1113" spans="1:18">
      <c r="A1113" s="10"/>
      <c r="B1113" s="58">
        <v>46073</v>
      </c>
      <c r="C1113" s="166">
        <v>0</v>
      </c>
      <c r="D1113" s="179">
        <v>22</v>
      </c>
      <c r="E1113" s="179">
        <v>0</v>
      </c>
      <c r="F1113" s="179"/>
      <c r="G1113" s="179">
        <v>24</v>
      </c>
      <c r="H1113" s="179"/>
      <c r="I1113" s="179"/>
      <c r="J1113" s="179">
        <v>24</v>
      </c>
      <c r="K1113" s="179"/>
      <c r="L1113" s="179"/>
      <c r="M1113" s="179"/>
      <c r="N1113" s="179"/>
      <c r="O1113" s="179"/>
      <c r="P1113" s="179">
        <v>21</v>
      </c>
      <c r="Q1113" s="179"/>
      <c r="R1113" s="180">
        <v>91</v>
      </c>
    </row>
    <row r="1114" spans="1:18">
      <c r="A1114" s="10"/>
      <c r="B1114" s="58">
        <v>46074</v>
      </c>
      <c r="C1114" s="166">
        <v>26</v>
      </c>
      <c r="D1114" s="179">
        <v>22</v>
      </c>
      <c r="E1114" s="179"/>
      <c r="F1114" s="179">
        <v>17</v>
      </c>
      <c r="G1114" s="179"/>
      <c r="H1114" s="179"/>
      <c r="I1114" s="179">
        <v>15</v>
      </c>
      <c r="J1114" s="179"/>
      <c r="K1114" s="179"/>
      <c r="L1114" s="179">
        <v>18</v>
      </c>
      <c r="M1114" s="179"/>
      <c r="N1114" s="179"/>
      <c r="O1114" s="179"/>
      <c r="P1114" s="179"/>
      <c r="Q1114" s="179"/>
      <c r="R1114" s="180">
        <v>98</v>
      </c>
    </row>
    <row r="1115" spans="1:18">
      <c r="A1115" s="10"/>
      <c r="B1115" s="58">
        <v>46075</v>
      </c>
      <c r="C1115" s="166"/>
      <c r="D1115" s="179"/>
      <c r="E1115" s="179">
        <v>14</v>
      </c>
      <c r="F1115" s="179">
        <v>28</v>
      </c>
      <c r="G1115" s="179">
        <v>15</v>
      </c>
      <c r="H1115" s="179"/>
      <c r="I1115" s="179"/>
      <c r="J1115" s="179">
        <v>16</v>
      </c>
      <c r="K1115" s="179"/>
      <c r="L1115" s="179">
        <v>9</v>
      </c>
      <c r="M1115" s="179"/>
      <c r="N1115" s="179"/>
      <c r="O1115" s="179">
        <v>8</v>
      </c>
      <c r="P1115" s="179"/>
      <c r="Q1115" s="179"/>
      <c r="R1115" s="180">
        <v>90</v>
      </c>
    </row>
    <row r="1116" spans="1:18">
      <c r="A1116" s="10"/>
      <c r="B1116" s="58">
        <v>46076</v>
      </c>
      <c r="C1116" s="166">
        <v>-5</v>
      </c>
      <c r="D1116" s="179"/>
      <c r="E1116" s="179">
        <v>17</v>
      </c>
      <c r="F1116" s="179">
        <v>10</v>
      </c>
      <c r="G1116" s="179">
        <v>18</v>
      </c>
      <c r="H1116" s="179"/>
      <c r="I1116" s="179"/>
      <c r="J1116" s="179"/>
      <c r="K1116" s="179"/>
      <c r="L1116" s="179"/>
      <c r="M1116" s="179"/>
      <c r="N1116" s="179"/>
      <c r="O1116" s="179"/>
      <c r="P1116" s="179">
        <v>11</v>
      </c>
      <c r="Q1116" s="179"/>
      <c r="R1116" s="180">
        <v>51</v>
      </c>
    </row>
    <row r="1117" spans="1:18">
      <c r="A1117" s="10"/>
      <c r="B1117" s="58">
        <v>46077</v>
      </c>
      <c r="C1117" s="166"/>
      <c r="D1117" s="179">
        <v>12</v>
      </c>
      <c r="E1117" s="179"/>
      <c r="F1117" s="179">
        <v>23</v>
      </c>
      <c r="G1117" s="179">
        <v>13</v>
      </c>
      <c r="H1117" s="179">
        <v>16</v>
      </c>
      <c r="I1117" s="179"/>
      <c r="J1117" s="179"/>
      <c r="K1117" s="179">
        <v>13</v>
      </c>
      <c r="L1117" s="179"/>
      <c r="M1117" s="179"/>
      <c r="N1117" s="179">
        <v>4</v>
      </c>
      <c r="O1117" s="179"/>
      <c r="P1117" s="179">
        <v>30</v>
      </c>
      <c r="Q1117" s="179">
        <v>21</v>
      </c>
      <c r="R1117" s="180">
        <v>132</v>
      </c>
    </row>
    <row r="1118" spans="1:18">
      <c r="A1118" s="10"/>
      <c r="B1118" s="58">
        <v>46078</v>
      </c>
      <c r="C1118" s="166"/>
      <c r="D1118" s="179">
        <v>0</v>
      </c>
      <c r="E1118" s="179"/>
      <c r="F1118" s="179"/>
      <c r="G1118" s="179"/>
      <c r="H1118" s="179"/>
      <c r="I1118" s="179"/>
      <c r="J1118" s="179">
        <v>21</v>
      </c>
      <c r="K1118" s="179"/>
      <c r="L1118" s="179"/>
      <c r="M1118" s="179"/>
      <c r="N1118" s="179">
        <v>22</v>
      </c>
      <c r="O1118" s="179"/>
      <c r="P1118" s="179">
        <v>49</v>
      </c>
      <c r="Q1118" s="179">
        <v>21</v>
      </c>
      <c r="R1118" s="180">
        <v>113</v>
      </c>
    </row>
    <row r="1119" spans="1:18">
      <c r="A1119" s="10"/>
      <c r="B1119" s="58">
        <v>46079</v>
      </c>
      <c r="C1119" s="166"/>
      <c r="D1119" s="179"/>
      <c r="E1119" s="179"/>
      <c r="F1119" s="179">
        <v>14</v>
      </c>
      <c r="G1119" s="179">
        <v>14</v>
      </c>
      <c r="H1119" s="179"/>
      <c r="I1119" s="179"/>
      <c r="J1119" s="179">
        <v>32</v>
      </c>
      <c r="K1119" s="179"/>
      <c r="L1119" s="179"/>
      <c r="M1119" s="179"/>
      <c r="N1119" s="179"/>
      <c r="O1119" s="179"/>
      <c r="P1119" s="179"/>
      <c r="Q1119" s="179"/>
      <c r="R1119" s="180">
        <v>60</v>
      </c>
    </row>
    <row r="1120" spans="1:18">
      <c r="A1120" s="10"/>
      <c r="B1120" s="58">
        <v>46080</v>
      </c>
      <c r="C1120" s="166"/>
      <c r="D1120" s="179"/>
      <c r="E1120" s="179"/>
      <c r="F1120" s="179"/>
      <c r="G1120" s="179">
        <v>17</v>
      </c>
      <c r="H1120" s="179"/>
      <c r="I1120" s="179">
        <v>11</v>
      </c>
      <c r="J1120" s="179"/>
      <c r="K1120" s="179"/>
      <c r="L1120" s="179">
        <v>6</v>
      </c>
      <c r="M1120" s="179"/>
      <c r="N1120" s="179">
        <v>22</v>
      </c>
      <c r="O1120" s="179"/>
      <c r="P1120" s="179"/>
      <c r="Q1120" s="179"/>
      <c r="R1120" s="180">
        <v>56</v>
      </c>
    </row>
    <row r="1121" spans="1:18">
      <c r="A1121" s="10"/>
      <c r="B1121" s="58">
        <v>46081</v>
      </c>
      <c r="C1121" s="166"/>
      <c r="D1121" s="179"/>
      <c r="E1121" s="179"/>
      <c r="F1121" s="179"/>
      <c r="G1121" s="179">
        <v>46</v>
      </c>
      <c r="H1121" s="179"/>
      <c r="I1121" s="179"/>
      <c r="J1121" s="179">
        <v>15</v>
      </c>
      <c r="K1121" s="179">
        <v>16</v>
      </c>
      <c r="L1121" s="179">
        <v>9</v>
      </c>
      <c r="M1121" s="179">
        <v>10</v>
      </c>
      <c r="N1121" s="179"/>
      <c r="O1121" s="179"/>
      <c r="P1121" s="179"/>
      <c r="Q1121" s="179"/>
      <c r="R1121" s="180">
        <v>96</v>
      </c>
    </row>
    <row r="1122" spans="1:18">
      <c r="A1122" s="8" t="s">
        <v>3868</v>
      </c>
      <c r="B1122" s="60">
        <v>46082</v>
      </c>
      <c r="C1122" s="164"/>
      <c r="D1122" s="174">
        <v>32</v>
      </c>
      <c r="E1122" s="174"/>
      <c r="F1122" s="174"/>
      <c r="G1122" s="174"/>
      <c r="H1122" s="174">
        <v>31</v>
      </c>
      <c r="I1122" s="174"/>
      <c r="J1122" s="174"/>
      <c r="K1122" s="174"/>
      <c r="L1122" s="174">
        <v>0</v>
      </c>
      <c r="M1122" s="174"/>
      <c r="N1122" s="174">
        <v>27</v>
      </c>
      <c r="O1122" s="174"/>
      <c r="P1122" s="174"/>
      <c r="Q1122" s="174">
        <v>22</v>
      </c>
      <c r="R1122" s="175">
        <v>112</v>
      </c>
    </row>
    <row r="1123" spans="1:18">
      <c r="A1123" s="10"/>
      <c r="B1123" s="58">
        <v>46083</v>
      </c>
      <c r="C1123" s="166"/>
      <c r="D1123" s="179"/>
      <c r="E1123" s="179"/>
      <c r="F1123" s="179">
        <v>11</v>
      </c>
      <c r="G1123" s="179"/>
      <c r="H1123" s="179">
        <v>47</v>
      </c>
      <c r="I1123" s="179"/>
      <c r="J1123" s="179"/>
      <c r="K1123" s="179"/>
      <c r="L1123" s="179">
        <v>22</v>
      </c>
      <c r="M1123" s="179"/>
      <c r="N1123" s="179">
        <v>18</v>
      </c>
      <c r="O1123" s="179">
        <v>9</v>
      </c>
      <c r="P1123" s="179"/>
      <c r="Q1123" s="179">
        <v>24</v>
      </c>
      <c r="R1123" s="180">
        <v>131</v>
      </c>
    </row>
    <row r="1124" spans="1:18">
      <c r="A1124" s="10"/>
      <c r="B1124" s="58">
        <v>46084</v>
      </c>
      <c r="C1124" s="166"/>
      <c r="D1124" s="179"/>
      <c r="E1124" s="179"/>
      <c r="F1124" s="179">
        <v>18</v>
      </c>
      <c r="G1124" s="179"/>
      <c r="H1124" s="179"/>
      <c r="I1124" s="179"/>
      <c r="J1124" s="179"/>
      <c r="K1124" s="179"/>
      <c r="L1124" s="179"/>
      <c r="M1124" s="179"/>
      <c r="N1124" s="179"/>
      <c r="O1124" s="179"/>
      <c r="P1124" s="179"/>
      <c r="Q1124" s="179"/>
      <c r="R1124" s="180">
        <v>18</v>
      </c>
    </row>
    <row r="1125" spans="1:18">
      <c r="A1125" s="10"/>
      <c r="B1125" s="58">
        <v>46085</v>
      </c>
      <c r="C1125" s="166">
        <v>0</v>
      </c>
      <c r="D1125" s="179"/>
      <c r="E1125" s="179"/>
      <c r="F1125" s="179"/>
      <c r="G1125" s="179"/>
      <c r="H1125" s="179"/>
      <c r="I1125" s="179"/>
      <c r="J1125" s="179">
        <v>57</v>
      </c>
      <c r="K1125" s="179">
        <v>15</v>
      </c>
      <c r="L1125" s="179"/>
      <c r="M1125" s="179"/>
      <c r="N1125" s="179">
        <v>19</v>
      </c>
      <c r="O1125" s="179"/>
      <c r="P1125" s="179">
        <v>16</v>
      </c>
      <c r="Q1125" s="179"/>
      <c r="R1125" s="180">
        <v>107</v>
      </c>
    </row>
    <row r="1126" spans="1:18">
      <c r="A1126" s="10"/>
      <c r="B1126" s="58">
        <v>46086</v>
      </c>
      <c r="C1126" s="166">
        <v>0</v>
      </c>
      <c r="D1126" s="179">
        <v>13</v>
      </c>
      <c r="E1126" s="179">
        <v>8</v>
      </c>
      <c r="F1126" s="179">
        <v>13</v>
      </c>
      <c r="G1126" s="179"/>
      <c r="H1126" s="179"/>
      <c r="I1126" s="179"/>
      <c r="J1126" s="179"/>
      <c r="K1126" s="179">
        <v>30</v>
      </c>
      <c r="L1126" s="179"/>
      <c r="M1126" s="179"/>
      <c r="N1126" s="179">
        <v>-2</v>
      </c>
      <c r="O1126" s="179"/>
      <c r="P1126" s="179"/>
      <c r="Q1126" s="179">
        <v>36</v>
      </c>
      <c r="R1126" s="180">
        <v>98</v>
      </c>
    </row>
    <row r="1127" spans="1:18">
      <c r="A1127" s="10"/>
      <c r="B1127" s="58">
        <v>46087</v>
      </c>
      <c r="C1127" s="166"/>
      <c r="D1127" s="179"/>
      <c r="E1127" s="179"/>
      <c r="F1127" s="179"/>
      <c r="G1127" s="179"/>
      <c r="H1127" s="179"/>
      <c r="I1127" s="179">
        <v>17</v>
      </c>
      <c r="J1127" s="179"/>
      <c r="K1127" s="179"/>
      <c r="L1127" s="179"/>
      <c r="M1127" s="179"/>
      <c r="N1127" s="179"/>
      <c r="O1127" s="179">
        <v>15</v>
      </c>
      <c r="P1127" s="179">
        <v>14</v>
      </c>
      <c r="Q1127" s="179">
        <v>12</v>
      </c>
      <c r="R1127" s="180">
        <v>58</v>
      </c>
    </row>
    <row r="1128" spans="1:18">
      <c r="A1128" s="10"/>
      <c r="B1128" s="58">
        <v>46088</v>
      </c>
      <c r="C1128" s="166"/>
      <c r="D1128" s="179"/>
      <c r="E1128" s="179">
        <v>13</v>
      </c>
      <c r="F1128" s="179"/>
      <c r="G1128" s="179"/>
      <c r="H1128" s="179"/>
      <c r="I1128" s="179"/>
      <c r="J1128" s="179"/>
      <c r="K1128" s="179"/>
      <c r="L1128" s="179"/>
      <c r="M1128" s="179"/>
      <c r="N1128" s="179"/>
      <c r="O1128" s="179"/>
      <c r="P1128" s="179"/>
      <c r="Q1128" s="179"/>
      <c r="R1128" s="180">
        <v>13</v>
      </c>
    </row>
    <row r="1129" spans="1:18">
      <c r="A1129" s="10"/>
      <c r="B1129" s="58">
        <v>46089</v>
      </c>
      <c r="C1129" s="166"/>
      <c r="D1129" s="179"/>
      <c r="E1129" s="179"/>
      <c r="F1129" s="179"/>
      <c r="G1129" s="179">
        <v>23</v>
      </c>
      <c r="H1129" s="179"/>
      <c r="I1129" s="179">
        <v>14</v>
      </c>
      <c r="J1129" s="179"/>
      <c r="K1129" s="179"/>
      <c r="L1129" s="179"/>
      <c r="M1129" s="179"/>
      <c r="N1129" s="179"/>
      <c r="O1129" s="179">
        <v>11</v>
      </c>
      <c r="P1129" s="179"/>
      <c r="Q1129" s="179"/>
      <c r="R1129" s="180">
        <v>48</v>
      </c>
    </row>
    <row r="1130" spans="1:18">
      <c r="A1130" s="10"/>
      <c r="B1130" s="58">
        <v>46090</v>
      </c>
      <c r="C1130" s="166"/>
      <c r="D1130" s="179"/>
      <c r="E1130" s="179">
        <v>0</v>
      </c>
      <c r="F1130" s="179"/>
      <c r="G1130" s="179"/>
      <c r="H1130" s="179"/>
      <c r="I1130" s="179">
        <v>13</v>
      </c>
      <c r="J1130" s="179"/>
      <c r="K1130" s="179"/>
      <c r="L1130" s="179"/>
      <c r="M1130" s="179">
        <v>15</v>
      </c>
      <c r="N1130" s="179"/>
      <c r="O1130" s="179"/>
      <c r="P1130" s="179">
        <v>15</v>
      </c>
      <c r="Q1130" s="179"/>
      <c r="R1130" s="180">
        <v>43</v>
      </c>
    </row>
    <row r="1131" spans="1:18">
      <c r="A1131" s="10"/>
      <c r="B1131" s="58">
        <v>46091</v>
      </c>
      <c r="C1131" s="166"/>
      <c r="D1131" s="179"/>
      <c r="E1131" s="179">
        <v>15</v>
      </c>
      <c r="F1131" s="179"/>
      <c r="G1131" s="179">
        <v>19</v>
      </c>
      <c r="H1131" s="179"/>
      <c r="I1131" s="179"/>
      <c r="J1131" s="179"/>
      <c r="K1131" s="179">
        <v>27</v>
      </c>
      <c r="L1131" s="179">
        <v>8</v>
      </c>
      <c r="M1131" s="179"/>
      <c r="N1131" s="179"/>
      <c r="O1131" s="179">
        <v>11</v>
      </c>
      <c r="P1131" s="179"/>
      <c r="Q1131" s="179">
        <v>25</v>
      </c>
      <c r="R1131" s="180">
        <v>105</v>
      </c>
    </row>
    <row r="1132" spans="1:18">
      <c r="A1132" s="10"/>
      <c r="B1132" s="58">
        <v>46092</v>
      </c>
      <c r="C1132" s="166"/>
      <c r="D1132" s="179">
        <v>22</v>
      </c>
      <c r="E1132" s="179"/>
      <c r="F1132" s="179">
        <v>13</v>
      </c>
      <c r="G1132" s="179"/>
      <c r="H1132" s="179"/>
      <c r="I1132" s="179"/>
      <c r="J1132" s="179">
        <v>0</v>
      </c>
      <c r="K1132" s="179">
        <v>24</v>
      </c>
      <c r="L1132" s="179"/>
      <c r="M1132" s="179"/>
      <c r="N1132" s="179"/>
      <c r="O1132" s="179">
        <v>9</v>
      </c>
      <c r="P1132" s="179">
        <v>22</v>
      </c>
      <c r="Q1132" s="179"/>
      <c r="R1132" s="180">
        <v>90</v>
      </c>
    </row>
    <row r="1133" spans="1:18">
      <c r="A1133" s="10"/>
      <c r="B1133" s="58">
        <v>46093</v>
      </c>
      <c r="C1133" s="166"/>
      <c r="D1133" s="179"/>
      <c r="E1133" s="179">
        <v>29</v>
      </c>
      <c r="F1133" s="179"/>
      <c r="G1133" s="179"/>
      <c r="H1133" s="179">
        <v>23</v>
      </c>
      <c r="I1133" s="179"/>
      <c r="J1133" s="179"/>
      <c r="K1133" s="179"/>
      <c r="L1133" s="179"/>
      <c r="M1133" s="179"/>
      <c r="N1133" s="179"/>
      <c r="O1133" s="179">
        <v>4</v>
      </c>
      <c r="P1133" s="179"/>
      <c r="Q1133" s="179"/>
      <c r="R1133" s="180">
        <v>56</v>
      </c>
    </row>
    <row r="1134" spans="1:18">
      <c r="A1134" s="10"/>
      <c r="B1134" s="58">
        <v>46094</v>
      </c>
      <c r="C1134" s="166"/>
      <c r="D1134" s="179"/>
      <c r="E1134" s="179"/>
      <c r="F1134" s="179"/>
      <c r="G1134" s="179">
        <v>20</v>
      </c>
      <c r="H1134" s="179"/>
      <c r="I1134" s="179">
        <v>17</v>
      </c>
      <c r="J1134" s="179"/>
      <c r="K1134" s="179"/>
      <c r="L1134" s="179">
        <v>4</v>
      </c>
      <c r="M1134" s="179">
        <v>1</v>
      </c>
      <c r="N1134" s="179"/>
      <c r="O1134" s="179"/>
      <c r="P1134" s="179"/>
      <c r="Q1134" s="179">
        <v>20</v>
      </c>
      <c r="R1134" s="180">
        <v>62</v>
      </c>
    </row>
    <row r="1135" spans="1:18">
      <c r="A1135" s="10"/>
      <c r="B1135" s="58">
        <v>46095</v>
      </c>
      <c r="C1135" s="166"/>
      <c r="D1135" s="179">
        <v>27</v>
      </c>
      <c r="E1135" s="179"/>
      <c r="F1135" s="179"/>
      <c r="G1135" s="179"/>
      <c r="H1135" s="179"/>
      <c r="I1135" s="179">
        <v>20</v>
      </c>
      <c r="J1135" s="179"/>
      <c r="K1135" s="179"/>
      <c r="L1135" s="179"/>
      <c r="M1135" s="179"/>
      <c r="N1135" s="179"/>
      <c r="O1135" s="179">
        <v>-1</v>
      </c>
      <c r="P1135" s="179"/>
      <c r="Q1135" s="179"/>
      <c r="R1135" s="180">
        <v>46</v>
      </c>
    </row>
    <row r="1136" spans="1:18">
      <c r="A1136" s="10"/>
      <c r="B1136" s="58">
        <v>46096</v>
      </c>
      <c r="C1136" s="166"/>
      <c r="D1136" s="179"/>
      <c r="E1136" s="179"/>
      <c r="F1136" s="179"/>
      <c r="G1136" s="179"/>
      <c r="H1136" s="179"/>
      <c r="I1136" s="179"/>
      <c r="J1136" s="179">
        <v>25</v>
      </c>
      <c r="K1136" s="179"/>
      <c r="L1136" s="179">
        <v>2</v>
      </c>
      <c r="M1136" s="179">
        <v>18</v>
      </c>
      <c r="N1136" s="179"/>
      <c r="O1136" s="179"/>
      <c r="P1136" s="179"/>
      <c r="Q1136" s="179"/>
      <c r="R1136" s="180">
        <v>45</v>
      </c>
    </row>
    <row r="1137" spans="1:18">
      <c r="A1137" s="10"/>
      <c r="B1137" s="58">
        <v>46097</v>
      </c>
      <c r="C1137" s="166">
        <v>34</v>
      </c>
      <c r="D1137" s="179"/>
      <c r="E1137" s="179"/>
      <c r="F1137" s="179"/>
      <c r="G1137" s="179"/>
      <c r="H1137" s="179">
        <v>23</v>
      </c>
      <c r="I1137" s="179"/>
      <c r="J1137" s="179">
        <v>29</v>
      </c>
      <c r="K1137" s="179"/>
      <c r="L1137" s="179">
        <v>-3</v>
      </c>
      <c r="M1137" s="179"/>
      <c r="N1137" s="179"/>
      <c r="O1137" s="179"/>
      <c r="P1137" s="179"/>
      <c r="Q1137" s="179">
        <v>20</v>
      </c>
      <c r="R1137" s="180">
        <v>103</v>
      </c>
    </row>
    <row r="1138" spans="1:18">
      <c r="A1138" s="10"/>
      <c r="B1138" s="58">
        <v>46098</v>
      </c>
      <c r="C1138" s="166"/>
      <c r="D1138" s="179"/>
      <c r="E1138" s="179"/>
      <c r="F1138" s="179">
        <v>1</v>
      </c>
      <c r="G1138" s="179">
        <v>12</v>
      </c>
      <c r="H1138" s="179"/>
      <c r="I1138" s="179"/>
      <c r="J1138" s="179">
        <v>21</v>
      </c>
      <c r="K1138" s="179">
        <v>9</v>
      </c>
      <c r="L1138" s="179"/>
      <c r="M1138" s="179">
        <v>11</v>
      </c>
      <c r="N1138" s="179"/>
      <c r="O1138" s="179"/>
      <c r="P1138" s="179"/>
      <c r="Q1138" s="179"/>
      <c r="R1138" s="180">
        <v>54</v>
      </c>
    </row>
    <row r="1139" spans="1:18">
      <c r="A1139" s="10"/>
      <c r="B1139" s="58">
        <v>46099</v>
      </c>
      <c r="C1139" s="166">
        <v>17</v>
      </c>
      <c r="D1139" s="179"/>
      <c r="E1139" s="179"/>
      <c r="F1139" s="179">
        <v>4</v>
      </c>
      <c r="G1139" s="179">
        <v>14</v>
      </c>
      <c r="H1139" s="179">
        <v>23</v>
      </c>
      <c r="I1139" s="179"/>
      <c r="J1139" s="179"/>
      <c r="K1139" s="179"/>
      <c r="L1139" s="179"/>
      <c r="M1139" s="179"/>
      <c r="N1139" s="179"/>
      <c r="O1139" s="179">
        <v>7</v>
      </c>
      <c r="P1139" s="179"/>
      <c r="Q1139" s="179"/>
      <c r="R1139" s="180">
        <v>65</v>
      </c>
    </row>
    <row r="1140" spans="1:18">
      <c r="A1140" s="10"/>
      <c r="B1140" s="58">
        <v>46100</v>
      </c>
      <c r="C1140" s="166">
        <v>26</v>
      </c>
      <c r="D1140" s="179"/>
      <c r="E1140" s="179">
        <v>13</v>
      </c>
      <c r="F1140" s="179">
        <v>9</v>
      </c>
      <c r="G1140" s="179"/>
      <c r="H1140" s="179">
        <v>13</v>
      </c>
      <c r="I1140" s="179">
        <v>6</v>
      </c>
      <c r="J1140" s="179"/>
      <c r="K1140" s="179">
        <v>30</v>
      </c>
      <c r="L1140" s="179"/>
      <c r="M1140" s="179"/>
      <c r="N1140" s="179"/>
      <c r="O1140" s="179"/>
      <c r="P1140" s="179">
        <v>8</v>
      </c>
      <c r="Q1140" s="179"/>
      <c r="R1140" s="180">
        <v>105</v>
      </c>
    </row>
    <row r="1141" spans="1:18">
      <c r="A1141" s="10"/>
      <c r="B1141" s="58">
        <v>46101</v>
      </c>
      <c r="C1141" s="166"/>
      <c r="D1141" s="179"/>
      <c r="E1141" s="179"/>
      <c r="F1141" s="179"/>
      <c r="G1141" s="179"/>
      <c r="H1141" s="179"/>
      <c r="I1141" s="179"/>
      <c r="J1141" s="179"/>
      <c r="K1141" s="179"/>
      <c r="L1141" s="179"/>
      <c r="M1141" s="179"/>
      <c r="N1141" s="179"/>
      <c r="O1141" s="179"/>
      <c r="P1141" s="179">
        <v>18</v>
      </c>
      <c r="Q1141" s="179"/>
      <c r="R1141" s="180">
        <v>18</v>
      </c>
    </row>
    <row r="1142" spans="1:18">
      <c r="A1142" s="10"/>
      <c r="B1142" s="58">
        <v>46102</v>
      </c>
      <c r="C1142" s="166">
        <v>19</v>
      </c>
      <c r="D1142" s="179"/>
      <c r="E1142" s="179"/>
      <c r="F1142" s="179">
        <v>0</v>
      </c>
      <c r="G1142" s="179">
        <v>22</v>
      </c>
      <c r="H1142" s="179">
        <v>35</v>
      </c>
      <c r="I1142" s="179">
        <v>13</v>
      </c>
      <c r="J1142" s="179"/>
      <c r="K1142" s="179"/>
      <c r="L1142" s="179"/>
      <c r="M1142" s="179"/>
      <c r="N1142" s="179">
        <v>18</v>
      </c>
      <c r="O1142" s="179">
        <v>11</v>
      </c>
      <c r="P1142" s="179"/>
      <c r="Q1142" s="179"/>
      <c r="R1142" s="180">
        <v>118</v>
      </c>
    </row>
    <row r="1143" spans="1:18">
      <c r="A1143" s="10"/>
      <c r="B1143" s="58">
        <v>46103</v>
      </c>
      <c r="C1143" s="166"/>
      <c r="D1143" s="179"/>
      <c r="E1143" s="179"/>
      <c r="F1143" s="179"/>
      <c r="G1143" s="179"/>
      <c r="H1143" s="179"/>
      <c r="I1143" s="179"/>
      <c r="J1143" s="179"/>
      <c r="K1143" s="179">
        <v>4</v>
      </c>
      <c r="L1143" s="179">
        <v>19</v>
      </c>
      <c r="M1143" s="179"/>
      <c r="N1143" s="179"/>
      <c r="O1143" s="179"/>
      <c r="P1143" s="179"/>
      <c r="Q1143" s="179"/>
      <c r="R1143" s="180">
        <v>23</v>
      </c>
    </row>
    <row r="1144" spans="1:18">
      <c r="A1144" s="10"/>
      <c r="B1144" s="58">
        <v>46104</v>
      </c>
      <c r="C1144" s="166"/>
      <c r="D1144" s="179"/>
      <c r="E1144" s="179"/>
      <c r="F1144" s="179"/>
      <c r="G1144" s="179">
        <v>21</v>
      </c>
      <c r="H1144" s="179"/>
      <c r="I1144" s="179"/>
      <c r="J1144" s="179"/>
      <c r="K1144" s="179">
        <v>21</v>
      </c>
      <c r="L1144" s="179"/>
      <c r="M1144" s="179"/>
      <c r="N1144" s="179">
        <v>22</v>
      </c>
      <c r="O1144" s="179"/>
      <c r="P1144" s="179">
        <v>27</v>
      </c>
      <c r="Q1144" s="179">
        <v>14</v>
      </c>
      <c r="R1144" s="180">
        <v>105</v>
      </c>
    </row>
    <row r="1145" spans="1:18">
      <c r="A1145" s="10"/>
      <c r="B1145" s="58">
        <v>46105</v>
      </c>
      <c r="C1145" s="166"/>
      <c r="D1145" s="179"/>
      <c r="E1145" s="179"/>
      <c r="F1145" s="179"/>
      <c r="G1145" s="179"/>
      <c r="H1145" s="179"/>
      <c r="I1145" s="179"/>
      <c r="J1145" s="179"/>
      <c r="K1145" s="179"/>
      <c r="L1145" s="179"/>
      <c r="M1145" s="179">
        <v>15</v>
      </c>
      <c r="N1145" s="179"/>
      <c r="O1145" s="179"/>
      <c r="P1145" s="179">
        <v>21</v>
      </c>
      <c r="Q1145" s="179">
        <v>15</v>
      </c>
      <c r="R1145" s="180">
        <v>51</v>
      </c>
    </row>
    <row r="1146" spans="1:18">
      <c r="A1146" s="10"/>
      <c r="B1146" s="58">
        <v>46106</v>
      </c>
      <c r="C1146" s="166"/>
      <c r="D1146" s="179"/>
      <c r="E1146" s="179"/>
      <c r="F1146" s="179"/>
      <c r="G1146" s="179">
        <v>22</v>
      </c>
      <c r="H1146" s="179"/>
      <c r="I1146" s="179">
        <v>17</v>
      </c>
      <c r="J1146" s="179"/>
      <c r="K1146" s="179"/>
      <c r="L1146" s="179"/>
      <c r="M1146" s="179"/>
      <c r="N1146" s="179"/>
      <c r="O1146" s="179"/>
      <c r="P1146" s="179">
        <v>-5</v>
      </c>
      <c r="Q1146" s="179"/>
      <c r="R1146" s="180">
        <v>34</v>
      </c>
    </row>
    <row r="1147" spans="1:18">
      <c r="A1147" s="10"/>
      <c r="B1147" s="58">
        <v>46107</v>
      </c>
      <c r="C1147" s="166"/>
      <c r="D1147" s="179"/>
      <c r="E1147" s="179"/>
      <c r="F1147" s="179">
        <v>13</v>
      </c>
      <c r="G1147" s="179"/>
      <c r="H1147" s="179"/>
      <c r="I1147" s="179">
        <v>12</v>
      </c>
      <c r="J1147" s="179"/>
      <c r="K1147" s="179"/>
      <c r="L1147" s="179"/>
      <c r="M1147" s="179"/>
      <c r="N1147" s="179"/>
      <c r="O1147" s="179">
        <v>-5</v>
      </c>
      <c r="P1147" s="179"/>
      <c r="Q1147" s="179">
        <v>18</v>
      </c>
      <c r="R1147" s="180">
        <v>38</v>
      </c>
    </row>
    <row r="1148" spans="1:18">
      <c r="A1148" s="10"/>
      <c r="B1148" s="58">
        <v>46108</v>
      </c>
      <c r="C1148" s="166"/>
      <c r="D1148" s="179"/>
      <c r="E1148" s="179">
        <v>5</v>
      </c>
      <c r="F1148" s="179"/>
      <c r="G1148" s="179"/>
      <c r="H1148" s="179">
        <v>16</v>
      </c>
      <c r="I1148" s="179"/>
      <c r="J1148" s="179">
        <v>23</v>
      </c>
      <c r="K1148" s="179">
        <v>17</v>
      </c>
      <c r="L1148" s="179">
        <v>0</v>
      </c>
      <c r="M1148" s="179">
        <v>8</v>
      </c>
      <c r="N1148" s="179">
        <v>18</v>
      </c>
      <c r="O1148" s="179"/>
      <c r="P1148" s="179">
        <v>14</v>
      </c>
      <c r="Q1148" s="179">
        <v>11</v>
      </c>
      <c r="R1148" s="180">
        <v>112</v>
      </c>
    </row>
    <row r="1149" spans="1:18">
      <c r="A1149" s="10"/>
      <c r="B1149" s="58">
        <v>46109</v>
      </c>
      <c r="C1149" s="166"/>
      <c r="D1149" s="179">
        <v>25</v>
      </c>
      <c r="E1149" s="179"/>
      <c r="F1149" s="179">
        <v>10</v>
      </c>
      <c r="G1149" s="179"/>
      <c r="H1149" s="179">
        <v>26</v>
      </c>
      <c r="I1149" s="179"/>
      <c r="J1149" s="179"/>
      <c r="K1149" s="179"/>
      <c r="L1149" s="179"/>
      <c r="M1149" s="179">
        <v>16</v>
      </c>
      <c r="N1149" s="179">
        <v>29</v>
      </c>
      <c r="O1149" s="179"/>
      <c r="P1149" s="179"/>
      <c r="Q1149" s="179"/>
      <c r="R1149" s="180">
        <v>106</v>
      </c>
    </row>
    <row r="1150" spans="1:18">
      <c r="A1150" s="10"/>
      <c r="B1150" s="58">
        <v>46110</v>
      </c>
      <c r="C1150" s="166"/>
      <c r="D1150" s="179"/>
      <c r="E1150" s="179"/>
      <c r="F1150" s="179">
        <v>49</v>
      </c>
      <c r="G1150" s="179"/>
      <c r="H1150" s="179"/>
      <c r="I1150" s="179">
        <v>23</v>
      </c>
      <c r="J1150" s="179"/>
      <c r="K1150" s="179"/>
      <c r="L1150" s="179">
        <v>0</v>
      </c>
      <c r="M1150" s="179"/>
      <c r="N1150" s="179"/>
      <c r="O1150" s="179">
        <v>6</v>
      </c>
      <c r="P1150" s="179"/>
      <c r="Q1150" s="179"/>
      <c r="R1150" s="180">
        <v>78</v>
      </c>
    </row>
    <row r="1151" spans="1:18">
      <c r="A1151" s="10"/>
      <c r="B1151" s="58">
        <v>46111</v>
      </c>
      <c r="C1151" s="166">
        <v>0</v>
      </c>
      <c r="D1151" s="179">
        <v>10</v>
      </c>
      <c r="E1151" s="179"/>
      <c r="F1151" s="179"/>
      <c r="G1151" s="179"/>
      <c r="H1151" s="179"/>
      <c r="I1151" s="179"/>
      <c r="J1151" s="179"/>
      <c r="K1151" s="179"/>
      <c r="L1151" s="179"/>
      <c r="M1151" s="179"/>
      <c r="N1151" s="179"/>
      <c r="O1151" s="179">
        <v>10</v>
      </c>
      <c r="P1151" s="179">
        <v>40</v>
      </c>
      <c r="Q1151" s="179">
        <v>23</v>
      </c>
      <c r="R1151" s="180">
        <v>83</v>
      </c>
    </row>
    <row r="1152" spans="1:18">
      <c r="A1152" s="10"/>
      <c r="B1152" s="58">
        <v>46112</v>
      </c>
      <c r="C1152" s="166"/>
      <c r="D1152" s="179"/>
      <c r="E1152" s="179">
        <v>5</v>
      </c>
      <c r="F1152" s="179">
        <v>27</v>
      </c>
      <c r="G1152" s="179">
        <v>19</v>
      </c>
      <c r="H1152" s="179">
        <v>39</v>
      </c>
      <c r="I1152" s="179"/>
      <c r="J1152" s="179"/>
      <c r="K1152" s="179"/>
      <c r="L1152" s="179">
        <v>12</v>
      </c>
      <c r="M1152" s="179"/>
      <c r="N1152" s="179"/>
      <c r="O1152" s="179"/>
      <c r="P1152" s="179"/>
      <c r="Q1152" s="179"/>
      <c r="R1152" s="180">
        <v>102</v>
      </c>
    </row>
    <row r="1153" spans="1:18">
      <c r="A1153" s="8" t="s">
        <v>3869</v>
      </c>
      <c r="B1153" s="60">
        <v>46113</v>
      </c>
      <c r="C1153" s="164">
        <v>24</v>
      </c>
      <c r="D1153" s="174">
        <v>20</v>
      </c>
      <c r="E1153" s="174">
        <v>14</v>
      </c>
      <c r="F1153" s="174">
        <v>10</v>
      </c>
      <c r="G1153" s="174">
        <v>17</v>
      </c>
      <c r="H1153" s="174">
        <v>16</v>
      </c>
      <c r="I1153" s="174">
        <v>14</v>
      </c>
      <c r="J1153" s="174">
        <v>35</v>
      </c>
      <c r="K1153" s="174"/>
      <c r="L1153" s="174">
        <v>3</v>
      </c>
      <c r="M1153" s="174"/>
      <c r="N1153" s="174"/>
      <c r="O1153" s="174"/>
      <c r="P1153" s="174"/>
      <c r="Q1153" s="174"/>
      <c r="R1153" s="175">
        <v>153</v>
      </c>
    </row>
    <row r="1154" spans="1:18">
      <c r="A1154" s="10"/>
      <c r="B1154" s="58">
        <v>46114</v>
      </c>
      <c r="C1154" s="166"/>
      <c r="D1154" s="179">
        <v>11</v>
      </c>
      <c r="E1154" s="179">
        <v>9</v>
      </c>
      <c r="F1154" s="179">
        <v>9</v>
      </c>
      <c r="G1154" s="179"/>
      <c r="H1154" s="179">
        <v>20</v>
      </c>
      <c r="I1154" s="179">
        <v>16</v>
      </c>
      <c r="J1154" s="179">
        <v>18</v>
      </c>
      <c r="K1154" s="179"/>
      <c r="L1154" s="179"/>
      <c r="M1154" s="179">
        <v>-5</v>
      </c>
      <c r="N1154" s="179"/>
      <c r="O1154" s="179">
        <v>-1</v>
      </c>
      <c r="P1154" s="179"/>
      <c r="Q1154" s="179">
        <v>51</v>
      </c>
      <c r="R1154" s="180">
        <v>128</v>
      </c>
    </row>
    <row r="1155" spans="1:18">
      <c r="A1155" s="10"/>
      <c r="B1155" s="58">
        <v>46115</v>
      </c>
      <c r="C1155" s="166"/>
      <c r="D1155" s="179"/>
      <c r="E1155" s="179"/>
      <c r="F1155" s="179"/>
      <c r="G1155" s="179"/>
      <c r="H1155" s="179"/>
      <c r="I1155" s="179">
        <v>17</v>
      </c>
      <c r="J1155" s="179"/>
      <c r="K1155" s="179">
        <v>24</v>
      </c>
      <c r="L1155" s="179">
        <v>8</v>
      </c>
      <c r="M1155" s="179">
        <v>4</v>
      </c>
      <c r="N1155" s="179">
        <v>9</v>
      </c>
      <c r="O1155" s="179"/>
      <c r="P1155" s="179"/>
      <c r="Q1155" s="179"/>
      <c r="R1155" s="180">
        <v>62</v>
      </c>
    </row>
    <row r="1156" spans="1:18">
      <c r="A1156" s="10"/>
      <c r="B1156" s="58">
        <v>46116</v>
      </c>
      <c r="C1156" s="166">
        <v>58</v>
      </c>
      <c r="D1156" s="179"/>
      <c r="E1156" s="179"/>
      <c r="F1156" s="179"/>
      <c r="G1156" s="179"/>
      <c r="H1156" s="179">
        <v>31</v>
      </c>
      <c r="I1156" s="179"/>
      <c r="J1156" s="179"/>
      <c r="K1156" s="179">
        <v>22</v>
      </c>
      <c r="L1156" s="179">
        <v>22</v>
      </c>
      <c r="M1156" s="179"/>
      <c r="N1156" s="179"/>
      <c r="O1156" s="179"/>
      <c r="P1156" s="179"/>
      <c r="Q1156" s="179"/>
      <c r="R1156" s="180">
        <v>133</v>
      </c>
    </row>
    <row r="1157" spans="1:18">
      <c r="A1157" s="10"/>
      <c r="B1157" s="58">
        <v>46117</v>
      </c>
      <c r="C1157" s="166"/>
      <c r="D1157" s="179">
        <v>20</v>
      </c>
      <c r="E1157" s="179"/>
      <c r="F1157" s="179"/>
      <c r="G1157" s="179"/>
      <c r="H1157" s="179">
        <v>28</v>
      </c>
      <c r="I1157" s="179"/>
      <c r="J1157" s="179"/>
      <c r="K1157" s="179"/>
      <c r="L1157" s="179"/>
      <c r="M1157" s="179">
        <v>-1</v>
      </c>
      <c r="N1157" s="179"/>
      <c r="O1157" s="179"/>
      <c r="P1157" s="179">
        <v>13</v>
      </c>
      <c r="Q1157" s="179"/>
      <c r="R1157" s="180">
        <v>60</v>
      </c>
    </row>
    <row r="1158" spans="1:18">
      <c r="A1158" s="10"/>
      <c r="B1158" s="58">
        <v>46118</v>
      </c>
      <c r="C1158" s="166">
        <v>52</v>
      </c>
      <c r="D1158" s="179">
        <v>15</v>
      </c>
      <c r="E1158" s="179">
        <v>4</v>
      </c>
      <c r="F1158" s="179"/>
      <c r="G1158" s="179">
        <v>17</v>
      </c>
      <c r="H1158" s="179"/>
      <c r="I1158" s="179"/>
      <c r="J1158" s="179">
        <v>30</v>
      </c>
      <c r="K1158" s="179"/>
      <c r="L1158" s="179">
        <v>12</v>
      </c>
      <c r="M1158" s="179"/>
      <c r="N1158" s="179"/>
      <c r="O1158" s="179">
        <v>12</v>
      </c>
      <c r="P1158" s="179"/>
      <c r="Q1158" s="179"/>
      <c r="R1158" s="180">
        <v>142</v>
      </c>
    </row>
    <row r="1159" spans="1:18">
      <c r="A1159" s="10"/>
      <c r="B1159" s="58">
        <v>46119</v>
      </c>
      <c r="C1159" s="166"/>
      <c r="D1159" s="179"/>
      <c r="E1159" s="179"/>
      <c r="F1159" s="179">
        <v>21</v>
      </c>
      <c r="G1159" s="179"/>
      <c r="H1159" s="179">
        <v>10</v>
      </c>
      <c r="I1159" s="179"/>
      <c r="J1159" s="179">
        <v>25</v>
      </c>
      <c r="K1159" s="179"/>
      <c r="L1159" s="179"/>
      <c r="M1159" s="179"/>
      <c r="N1159" s="179"/>
      <c r="O1159" s="179"/>
      <c r="P1159" s="179"/>
      <c r="Q1159" s="179">
        <v>44</v>
      </c>
      <c r="R1159" s="180">
        <v>100</v>
      </c>
    </row>
    <row r="1160" spans="1:18">
      <c r="A1160" s="10"/>
      <c r="B1160" s="58">
        <v>46120</v>
      </c>
      <c r="C1160" s="166"/>
      <c r="D1160" s="179"/>
      <c r="E1160" s="179"/>
      <c r="F1160" s="179"/>
      <c r="G1160" s="179">
        <v>26</v>
      </c>
      <c r="H1160" s="179"/>
      <c r="I1160" s="179"/>
      <c r="J1160" s="179"/>
      <c r="K1160" s="179"/>
      <c r="L1160" s="179"/>
      <c r="M1160" s="179"/>
      <c r="N1160" s="179">
        <v>0</v>
      </c>
      <c r="O1160" s="179"/>
      <c r="P1160" s="179">
        <v>20</v>
      </c>
      <c r="Q1160" s="179">
        <v>17</v>
      </c>
      <c r="R1160" s="180">
        <v>63</v>
      </c>
    </row>
    <row r="1161" spans="1:18">
      <c r="A1161" s="10"/>
      <c r="B1161" s="58">
        <v>46121</v>
      </c>
      <c r="C1161" s="166"/>
      <c r="D1161" s="179"/>
      <c r="E1161" s="179"/>
      <c r="F1161" s="179">
        <v>15</v>
      </c>
      <c r="G1161" s="179"/>
      <c r="H1161" s="179"/>
      <c r="I1161" s="179"/>
      <c r="J1161" s="179"/>
      <c r="K1161" s="179"/>
      <c r="L1161" s="179">
        <v>8</v>
      </c>
      <c r="M1161" s="179"/>
      <c r="N1161" s="179">
        <v>5</v>
      </c>
      <c r="O1161" s="179"/>
      <c r="P1161" s="179"/>
      <c r="Q1161" s="179"/>
      <c r="R1161" s="180">
        <v>28</v>
      </c>
    </row>
    <row r="1162" spans="1:18">
      <c r="A1162" s="10"/>
      <c r="B1162" s="58">
        <v>46122</v>
      </c>
      <c r="C1162" s="166"/>
      <c r="D1162" s="179"/>
      <c r="E1162" s="179"/>
      <c r="F1162" s="179"/>
      <c r="G1162" s="179"/>
      <c r="H1162" s="179"/>
      <c r="I1162" s="179">
        <v>15</v>
      </c>
      <c r="J1162" s="179"/>
      <c r="K1162" s="179"/>
      <c r="L1162" s="179"/>
      <c r="M1162" s="179"/>
      <c r="N1162" s="179"/>
      <c r="O1162" s="179"/>
      <c r="P1162" s="179">
        <v>17</v>
      </c>
      <c r="Q1162" s="179"/>
      <c r="R1162" s="180">
        <v>32</v>
      </c>
    </row>
    <row r="1163" spans="1:18">
      <c r="A1163" s="10"/>
      <c r="B1163" s="58">
        <v>46123</v>
      </c>
      <c r="C1163" s="166"/>
      <c r="D1163" s="179"/>
      <c r="E1163" s="179"/>
      <c r="F1163" s="179"/>
      <c r="G1163" s="179">
        <v>10</v>
      </c>
      <c r="H1163" s="179"/>
      <c r="I1163" s="179"/>
      <c r="J1163" s="179">
        <v>30</v>
      </c>
      <c r="K1163" s="179"/>
      <c r="L1163" s="179">
        <v>10</v>
      </c>
      <c r="M1163" s="179">
        <v>2</v>
      </c>
      <c r="N1163" s="179">
        <v>21</v>
      </c>
      <c r="O1163" s="179"/>
      <c r="P1163" s="179">
        <v>21</v>
      </c>
      <c r="Q1163" s="179"/>
      <c r="R1163" s="180">
        <v>94</v>
      </c>
    </row>
    <row r="1164" spans="1:18">
      <c r="A1164" s="10"/>
      <c r="B1164" s="58">
        <v>46124</v>
      </c>
      <c r="C1164" s="166">
        <v>32</v>
      </c>
      <c r="D1164" s="179"/>
      <c r="E1164" s="179">
        <v>19</v>
      </c>
      <c r="F1164" s="179"/>
      <c r="G1164" s="179">
        <v>-5</v>
      </c>
      <c r="H1164" s="179"/>
      <c r="I1164" s="179"/>
      <c r="J1164" s="179"/>
      <c r="K1164" s="179">
        <v>0</v>
      </c>
      <c r="L1164" s="179"/>
      <c r="M1164" s="179"/>
      <c r="N1164" s="179"/>
      <c r="O1164" s="179"/>
      <c r="P1164" s="179"/>
      <c r="Q1164" s="179"/>
      <c r="R1164" s="180">
        <v>46</v>
      </c>
    </row>
    <row r="1165" spans="1:18">
      <c r="A1165" s="10"/>
      <c r="B1165" s="58">
        <v>46125</v>
      </c>
      <c r="C1165" s="166"/>
      <c r="D1165" s="179"/>
      <c r="E1165" s="179">
        <v>14</v>
      </c>
      <c r="F1165" s="179">
        <v>12</v>
      </c>
      <c r="G1165" s="179"/>
      <c r="H1165" s="179"/>
      <c r="I1165" s="179"/>
      <c r="J1165" s="179">
        <v>22</v>
      </c>
      <c r="K1165" s="179"/>
      <c r="L1165" s="179"/>
      <c r="M1165" s="179">
        <v>9</v>
      </c>
      <c r="N1165" s="179"/>
      <c r="O1165" s="179"/>
      <c r="P1165" s="179"/>
      <c r="Q1165" s="179">
        <v>15</v>
      </c>
      <c r="R1165" s="180">
        <v>72</v>
      </c>
    </row>
    <row r="1166" spans="1:18">
      <c r="A1166" s="10"/>
      <c r="B1166" s="58">
        <v>46126</v>
      </c>
      <c r="C1166" s="166">
        <v>28</v>
      </c>
      <c r="D1166" s="179">
        <v>16</v>
      </c>
      <c r="E1166" s="179">
        <v>10</v>
      </c>
      <c r="F1166" s="179">
        <v>27</v>
      </c>
      <c r="G1166" s="179"/>
      <c r="H1166" s="179"/>
      <c r="I1166" s="179"/>
      <c r="J1166" s="179"/>
      <c r="K1166" s="179">
        <v>27</v>
      </c>
      <c r="L1166" s="179">
        <v>9</v>
      </c>
      <c r="M1166" s="179"/>
      <c r="N1166" s="179"/>
      <c r="O1166" s="179">
        <v>-3</v>
      </c>
      <c r="P1166" s="179"/>
      <c r="Q1166" s="179">
        <v>19</v>
      </c>
      <c r="R1166" s="180">
        <v>133</v>
      </c>
    </row>
    <row r="1167" spans="1:18">
      <c r="A1167" s="10"/>
      <c r="B1167" s="58">
        <v>46127</v>
      </c>
      <c r="C1167" s="166"/>
      <c r="D1167" s="179"/>
      <c r="E1167" s="179"/>
      <c r="F1167" s="179"/>
      <c r="G1167" s="179"/>
      <c r="H1167" s="179"/>
      <c r="I1167" s="179">
        <v>7</v>
      </c>
      <c r="J1167" s="179">
        <v>24</v>
      </c>
      <c r="K1167" s="179"/>
      <c r="L1167" s="179"/>
      <c r="M1167" s="179"/>
      <c r="N1167" s="179">
        <v>-5</v>
      </c>
      <c r="O1167" s="179">
        <v>14</v>
      </c>
      <c r="P1167" s="179">
        <v>22</v>
      </c>
      <c r="Q1167" s="179"/>
      <c r="R1167" s="180">
        <v>62</v>
      </c>
    </row>
    <row r="1168" spans="1:18">
      <c r="A1168" s="10"/>
      <c r="B1168" s="58">
        <v>46128</v>
      </c>
      <c r="C1168" s="166"/>
      <c r="D1168" s="179"/>
      <c r="E1168" s="179"/>
      <c r="F1168" s="179"/>
      <c r="G1168" s="179">
        <v>11</v>
      </c>
      <c r="H1168" s="179"/>
      <c r="I1168" s="179">
        <v>25</v>
      </c>
      <c r="J1168" s="179">
        <v>18</v>
      </c>
      <c r="K1168" s="179">
        <v>12</v>
      </c>
      <c r="L1168" s="179"/>
      <c r="M1168" s="179"/>
      <c r="N1168" s="179"/>
      <c r="O1168" s="179">
        <v>26</v>
      </c>
      <c r="P1168" s="179"/>
      <c r="Q1168" s="179">
        <v>61</v>
      </c>
      <c r="R1168" s="180">
        <v>153</v>
      </c>
    </row>
    <row r="1169" spans="1:18">
      <c r="A1169" s="10"/>
      <c r="B1169" s="58">
        <v>46129</v>
      </c>
      <c r="C1169" s="166"/>
      <c r="D1169" s="179"/>
      <c r="E1169" s="179"/>
      <c r="F1169" s="179"/>
      <c r="G1169" s="179">
        <v>11</v>
      </c>
      <c r="H1169" s="179"/>
      <c r="I1169" s="179"/>
      <c r="J1169" s="179"/>
      <c r="K1169" s="179"/>
      <c r="L1169" s="179"/>
      <c r="M1169" s="179">
        <v>9</v>
      </c>
      <c r="N1169" s="179">
        <v>11</v>
      </c>
      <c r="O1169" s="179">
        <v>20</v>
      </c>
      <c r="P1169" s="179"/>
      <c r="Q1169" s="179"/>
      <c r="R1169" s="180">
        <v>51</v>
      </c>
    </row>
    <row r="1170" spans="1:18">
      <c r="A1170" s="10"/>
      <c r="B1170" s="58">
        <v>46130</v>
      </c>
      <c r="C1170" s="166"/>
      <c r="D1170" s="179"/>
      <c r="E1170" s="179"/>
      <c r="F1170" s="179"/>
      <c r="G1170" s="179"/>
      <c r="H1170" s="179">
        <v>20</v>
      </c>
      <c r="I1170" s="179"/>
      <c r="J1170" s="179"/>
      <c r="K1170" s="179"/>
      <c r="L1170" s="179"/>
      <c r="M1170" s="179"/>
      <c r="N1170" s="179"/>
      <c r="O1170" s="179">
        <v>12</v>
      </c>
      <c r="P1170" s="179"/>
      <c r="Q1170" s="179"/>
      <c r="R1170" s="180">
        <v>32</v>
      </c>
    </row>
    <row r="1171" spans="1:18">
      <c r="A1171" s="10"/>
      <c r="B1171" s="58">
        <v>46131</v>
      </c>
      <c r="C1171" s="166">
        <v>26</v>
      </c>
      <c r="D1171" s="179"/>
      <c r="E1171" s="179"/>
      <c r="F1171" s="179">
        <v>8</v>
      </c>
      <c r="G1171" s="179"/>
      <c r="H1171" s="179">
        <v>21</v>
      </c>
      <c r="I1171" s="179">
        <v>16</v>
      </c>
      <c r="J1171" s="179"/>
      <c r="K1171" s="179">
        <v>15</v>
      </c>
      <c r="L1171" s="179"/>
      <c r="M1171" s="179"/>
      <c r="N1171" s="179"/>
      <c r="O1171" s="179"/>
      <c r="P1171" s="179">
        <v>18</v>
      </c>
      <c r="Q1171" s="179"/>
      <c r="R1171" s="180">
        <v>104</v>
      </c>
    </row>
    <row r="1172" spans="1:18">
      <c r="A1172" s="10"/>
      <c r="B1172" s="58">
        <v>46132</v>
      </c>
      <c r="C1172" s="166"/>
      <c r="D1172" s="179"/>
      <c r="E1172" s="179">
        <v>17</v>
      </c>
      <c r="F1172" s="179">
        <v>7</v>
      </c>
      <c r="G1172" s="179"/>
      <c r="H1172" s="179"/>
      <c r="I1172" s="179">
        <v>13</v>
      </c>
      <c r="J1172" s="179">
        <v>28</v>
      </c>
      <c r="K1172" s="179"/>
      <c r="L1172" s="179">
        <v>6</v>
      </c>
      <c r="M1172" s="179"/>
      <c r="N1172" s="179">
        <v>6</v>
      </c>
      <c r="O1172" s="179"/>
      <c r="P1172" s="179"/>
      <c r="Q1172" s="179"/>
      <c r="R1172" s="180">
        <v>77</v>
      </c>
    </row>
    <row r="1173" spans="1:18">
      <c r="A1173" s="10"/>
      <c r="B1173" s="58">
        <v>46133</v>
      </c>
      <c r="C1173" s="166">
        <v>18</v>
      </c>
      <c r="D1173" s="179"/>
      <c r="E1173" s="179"/>
      <c r="F1173" s="179"/>
      <c r="G1173" s="179"/>
      <c r="H1173" s="179">
        <v>17</v>
      </c>
      <c r="I1173" s="179"/>
      <c r="J1173" s="179"/>
      <c r="K1173" s="179">
        <v>18</v>
      </c>
      <c r="L1173" s="179"/>
      <c r="M1173" s="179">
        <v>19</v>
      </c>
      <c r="N1173" s="179">
        <v>8</v>
      </c>
      <c r="O1173" s="179">
        <v>29</v>
      </c>
      <c r="P1173" s="179"/>
      <c r="Q1173" s="179"/>
      <c r="R1173" s="180">
        <v>109</v>
      </c>
    </row>
    <row r="1174" spans="1:18">
      <c r="A1174" s="10"/>
      <c r="B1174" s="58">
        <v>46134</v>
      </c>
      <c r="C1174" s="166"/>
      <c r="D1174" s="179"/>
      <c r="E1174" s="179"/>
      <c r="F1174" s="179"/>
      <c r="G1174" s="179"/>
      <c r="H1174" s="179"/>
      <c r="I1174" s="179">
        <v>22</v>
      </c>
      <c r="J1174" s="179"/>
      <c r="K1174" s="179"/>
      <c r="L1174" s="179">
        <v>0</v>
      </c>
      <c r="M1174" s="179"/>
      <c r="N1174" s="179">
        <v>18</v>
      </c>
      <c r="O1174" s="179"/>
      <c r="P1174" s="179"/>
      <c r="Q1174" s="179"/>
      <c r="R1174" s="180">
        <v>40</v>
      </c>
    </row>
    <row r="1175" spans="1:18">
      <c r="A1175" s="10"/>
      <c r="B1175" s="58">
        <v>46135</v>
      </c>
      <c r="C1175" s="166">
        <v>18</v>
      </c>
      <c r="D1175" s="179"/>
      <c r="E1175" s="179">
        <v>5</v>
      </c>
      <c r="F1175" s="179"/>
      <c r="G1175" s="179">
        <v>20</v>
      </c>
      <c r="H1175" s="179">
        <v>15</v>
      </c>
      <c r="I1175" s="179"/>
      <c r="J1175" s="179"/>
      <c r="K1175" s="179"/>
      <c r="L1175" s="179"/>
      <c r="M1175" s="179">
        <v>15</v>
      </c>
      <c r="N1175" s="179"/>
      <c r="O1175" s="179"/>
      <c r="P1175" s="179">
        <v>20</v>
      </c>
      <c r="Q1175" s="179">
        <v>38</v>
      </c>
      <c r="R1175" s="180">
        <v>131</v>
      </c>
    </row>
    <row r="1176" spans="1:18">
      <c r="A1176" s="10"/>
      <c r="B1176" s="58">
        <v>46136</v>
      </c>
      <c r="C1176" s="166">
        <v>20</v>
      </c>
      <c r="D1176" s="179">
        <v>17</v>
      </c>
      <c r="E1176" s="179"/>
      <c r="F1176" s="179">
        <v>13</v>
      </c>
      <c r="G1176" s="179"/>
      <c r="H1176" s="179"/>
      <c r="I1176" s="179"/>
      <c r="J1176" s="179">
        <v>20</v>
      </c>
      <c r="K1176" s="179"/>
      <c r="L1176" s="179"/>
      <c r="M1176" s="179"/>
      <c r="N1176" s="179">
        <v>11</v>
      </c>
      <c r="O1176" s="179">
        <v>12</v>
      </c>
      <c r="P1176" s="179"/>
      <c r="Q1176" s="179"/>
      <c r="R1176" s="180">
        <v>93</v>
      </c>
    </row>
    <row r="1177" spans="1:18">
      <c r="A1177" s="10"/>
      <c r="B1177" s="58">
        <v>46137</v>
      </c>
      <c r="C1177" s="166"/>
      <c r="D1177" s="179"/>
      <c r="E1177" s="179"/>
      <c r="F1177" s="179"/>
      <c r="G1177" s="179"/>
      <c r="H1177" s="179"/>
      <c r="I1177" s="179">
        <v>26</v>
      </c>
      <c r="J1177" s="179">
        <v>0</v>
      </c>
      <c r="K1177" s="179"/>
      <c r="L1177" s="179"/>
      <c r="M1177" s="179"/>
      <c r="N1177" s="179"/>
      <c r="O1177" s="179"/>
      <c r="P1177" s="179">
        <v>19</v>
      </c>
      <c r="Q1177" s="179"/>
      <c r="R1177" s="180">
        <v>45</v>
      </c>
    </row>
    <row r="1178" spans="1:18">
      <c r="A1178" s="10"/>
      <c r="B1178" s="58">
        <v>46138</v>
      </c>
      <c r="C1178" s="166"/>
      <c r="D1178" s="179"/>
      <c r="E1178" s="179"/>
      <c r="F1178" s="179"/>
      <c r="G1178" s="179"/>
      <c r="H1178" s="179"/>
      <c r="I1178" s="179"/>
      <c r="J1178" s="179">
        <v>56</v>
      </c>
      <c r="K1178" s="179"/>
      <c r="L1178" s="179"/>
      <c r="M1178" s="179">
        <v>15</v>
      </c>
      <c r="N1178" s="179">
        <v>15</v>
      </c>
      <c r="O1178" s="179"/>
      <c r="P1178" s="179"/>
      <c r="Q1178" s="179">
        <v>15</v>
      </c>
      <c r="R1178" s="180">
        <v>101</v>
      </c>
    </row>
    <row r="1179" spans="1:18">
      <c r="A1179" s="10"/>
      <c r="B1179" s="58">
        <v>46139</v>
      </c>
      <c r="C1179" s="166"/>
      <c r="D1179" s="179"/>
      <c r="E1179" s="179"/>
      <c r="F1179" s="179"/>
      <c r="G1179" s="179"/>
      <c r="H1179" s="179"/>
      <c r="I1179" s="179">
        <v>22</v>
      </c>
      <c r="J1179" s="179">
        <v>21</v>
      </c>
      <c r="K1179" s="179"/>
      <c r="L1179" s="179">
        <v>0</v>
      </c>
      <c r="M1179" s="179"/>
      <c r="N1179" s="179">
        <v>14</v>
      </c>
      <c r="O1179" s="179">
        <v>13</v>
      </c>
      <c r="P1179" s="179">
        <v>14</v>
      </c>
      <c r="Q1179" s="179"/>
      <c r="R1179" s="180">
        <v>84</v>
      </c>
    </row>
    <row r="1180" spans="1:18">
      <c r="A1180" s="10"/>
      <c r="B1180" s="58">
        <v>46140</v>
      </c>
      <c r="C1180" s="166"/>
      <c r="D1180" s="179"/>
      <c r="E1180" s="179">
        <v>10</v>
      </c>
      <c r="F1180" s="179"/>
      <c r="G1180" s="179"/>
      <c r="H1180" s="179">
        <v>26</v>
      </c>
      <c r="I1180" s="179"/>
      <c r="J1180" s="179"/>
      <c r="K1180" s="179"/>
      <c r="L1180" s="179">
        <v>9</v>
      </c>
      <c r="M1180" s="179"/>
      <c r="N1180" s="179">
        <v>8</v>
      </c>
      <c r="O1180" s="179"/>
      <c r="P1180" s="179"/>
      <c r="Q1180" s="179"/>
      <c r="R1180" s="180">
        <v>53</v>
      </c>
    </row>
    <row r="1181" spans="1:18">
      <c r="A1181" s="10"/>
      <c r="B1181" s="58">
        <v>46141</v>
      </c>
      <c r="C1181" s="166">
        <v>15</v>
      </c>
      <c r="D1181" s="179">
        <v>27</v>
      </c>
      <c r="E1181" s="179">
        <v>-2</v>
      </c>
      <c r="F1181" s="179">
        <v>14</v>
      </c>
      <c r="G1181" s="179"/>
      <c r="H1181" s="179"/>
      <c r="I1181" s="179"/>
      <c r="J1181" s="179"/>
      <c r="K1181" s="179"/>
      <c r="L1181" s="179"/>
      <c r="M1181" s="179"/>
      <c r="N1181" s="179"/>
      <c r="O1181" s="179"/>
      <c r="P1181" s="179">
        <v>13</v>
      </c>
      <c r="Q1181" s="179"/>
      <c r="R1181" s="180">
        <v>67</v>
      </c>
    </row>
    <row r="1182" spans="1:18">
      <c r="A1182" s="10"/>
      <c r="B1182" s="58">
        <v>46142</v>
      </c>
      <c r="C1182" s="166"/>
      <c r="D1182" s="179">
        <v>10</v>
      </c>
      <c r="E1182" s="179"/>
      <c r="F1182" s="179"/>
      <c r="G1182" s="179"/>
      <c r="H1182" s="179"/>
      <c r="I1182" s="179">
        <v>45</v>
      </c>
      <c r="J1182" s="179"/>
      <c r="K1182" s="179"/>
      <c r="L1182" s="179"/>
      <c r="M1182" s="179">
        <v>18</v>
      </c>
      <c r="N1182" s="179"/>
      <c r="O1182" s="179"/>
      <c r="P1182" s="179">
        <v>18</v>
      </c>
      <c r="Q1182" s="179"/>
      <c r="R1182" s="180">
        <v>91</v>
      </c>
    </row>
    <row r="1183" spans="1:18">
      <c r="A1183" s="8" t="s">
        <v>3159</v>
      </c>
      <c r="B1183" s="60">
        <v>46143</v>
      </c>
      <c r="C1183" s="164"/>
      <c r="D1183" s="174"/>
      <c r="E1183" s="174"/>
      <c r="F1183" s="174"/>
      <c r="G1183" s="174">
        <v>20</v>
      </c>
      <c r="H1183" s="174"/>
      <c r="I1183" s="174"/>
      <c r="J1183" s="174">
        <v>14</v>
      </c>
      <c r="K1183" s="174">
        <v>24</v>
      </c>
      <c r="L1183" s="174">
        <v>9</v>
      </c>
      <c r="M1183" s="174">
        <v>11</v>
      </c>
      <c r="N1183" s="174"/>
      <c r="O1183" s="174"/>
      <c r="P1183" s="174"/>
      <c r="Q1183" s="174"/>
      <c r="R1183" s="175">
        <v>78</v>
      </c>
    </row>
    <row r="1184" spans="1:18">
      <c r="A1184" s="10"/>
      <c r="B1184" s="58">
        <v>46144</v>
      </c>
      <c r="C1184" s="166"/>
      <c r="D1184" s="179">
        <v>29</v>
      </c>
      <c r="E1184" s="179">
        <v>18</v>
      </c>
      <c r="F1184" s="179"/>
      <c r="G1184" s="179"/>
      <c r="H1184" s="179">
        <v>0</v>
      </c>
      <c r="I1184" s="179">
        <v>8</v>
      </c>
      <c r="J1184" s="179"/>
      <c r="K1184" s="179"/>
      <c r="L1184" s="179"/>
      <c r="M1184" s="179"/>
      <c r="N1184" s="179">
        <v>15</v>
      </c>
      <c r="O1184" s="179"/>
      <c r="P1184" s="179">
        <v>14</v>
      </c>
      <c r="Q1184" s="179"/>
      <c r="R1184" s="180">
        <v>84</v>
      </c>
    </row>
    <row r="1185" spans="1:18">
      <c r="A1185" s="10"/>
      <c r="B1185" s="58">
        <v>46145</v>
      </c>
      <c r="C1185" s="166"/>
      <c r="D1185" s="179"/>
      <c r="E1185" s="179">
        <v>13</v>
      </c>
      <c r="F1185" s="179">
        <v>9</v>
      </c>
      <c r="G1185" s="179"/>
      <c r="H1185" s="179"/>
      <c r="I1185" s="179"/>
      <c r="J1185" s="179"/>
      <c r="K1185" s="179"/>
      <c r="L1185" s="179"/>
      <c r="M1185" s="179">
        <v>22</v>
      </c>
      <c r="N1185" s="179">
        <v>4</v>
      </c>
      <c r="O1185" s="179">
        <v>32</v>
      </c>
      <c r="P1185" s="179">
        <v>41</v>
      </c>
      <c r="Q1185" s="179">
        <v>22</v>
      </c>
      <c r="R1185" s="180">
        <v>143</v>
      </c>
    </row>
    <row r="1186" spans="1:18">
      <c r="A1186" s="10"/>
      <c r="B1186" s="58">
        <v>46146</v>
      </c>
      <c r="C1186" s="166">
        <v>21</v>
      </c>
      <c r="D1186" s="179"/>
      <c r="E1186" s="179"/>
      <c r="F1186" s="179"/>
      <c r="G1186" s="179"/>
      <c r="H1186" s="179"/>
      <c r="I1186" s="179"/>
      <c r="J1186" s="179">
        <v>20</v>
      </c>
      <c r="K1186" s="179"/>
      <c r="L1186" s="179"/>
      <c r="M1186" s="179"/>
      <c r="N1186" s="179"/>
      <c r="O1186" s="179"/>
      <c r="P1186" s="179"/>
      <c r="Q1186" s="179"/>
      <c r="R1186" s="180">
        <v>41</v>
      </c>
    </row>
    <row r="1187" spans="1:18">
      <c r="A1187" s="10"/>
      <c r="B1187" s="58">
        <v>46147</v>
      </c>
      <c r="C1187" s="166"/>
      <c r="D1187" s="179"/>
      <c r="E1187" s="179"/>
      <c r="F1187" s="179">
        <v>-5</v>
      </c>
      <c r="G1187" s="179"/>
      <c r="H1187" s="179"/>
      <c r="I1187" s="179"/>
      <c r="J1187" s="179"/>
      <c r="K1187" s="179"/>
      <c r="L1187" s="179">
        <v>7</v>
      </c>
      <c r="M1187" s="179">
        <v>9</v>
      </c>
      <c r="N1187" s="179"/>
      <c r="O1187" s="179">
        <v>3</v>
      </c>
      <c r="P1187" s="179"/>
      <c r="Q1187" s="179"/>
      <c r="R1187" s="180">
        <v>14</v>
      </c>
    </row>
    <row r="1188" spans="1:18">
      <c r="A1188" s="10"/>
      <c r="B1188" s="58">
        <v>46148</v>
      </c>
      <c r="C1188" s="166">
        <v>16</v>
      </c>
      <c r="D1188" s="179">
        <v>6</v>
      </c>
      <c r="E1188" s="179">
        <v>21</v>
      </c>
      <c r="F1188" s="179"/>
      <c r="G1188" s="179">
        <v>14</v>
      </c>
      <c r="H1188" s="179">
        <v>12</v>
      </c>
      <c r="I1188" s="179"/>
      <c r="J1188" s="179">
        <v>21</v>
      </c>
      <c r="K1188" s="179"/>
      <c r="L1188" s="179"/>
      <c r="M1188" s="179"/>
      <c r="N1188" s="179">
        <v>5</v>
      </c>
      <c r="O1188" s="179"/>
      <c r="P1188" s="179">
        <v>12</v>
      </c>
      <c r="Q1188" s="179"/>
      <c r="R1188" s="180">
        <v>107</v>
      </c>
    </row>
    <row r="1189" spans="1:18">
      <c r="A1189" s="10"/>
      <c r="B1189" s="58">
        <v>46149</v>
      </c>
      <c r="C1189" s="166"/>
      <c r="D1189" s="179"/>
      <c r="E1189" s="179"/>
      <c r="F1189" s="179">
        <v>12</v>
      </c>
      <c r="G1189" s="179">
        <v>15</v>
      </c>
      <c r="H1189" s="179"/>
      <c r="I1189" s="179">
        <v>16</v>
      </c>
      <c r="J1189" s="179">
        <v>42</v>
      </c>
      <c r="K1189" s="179"/>
      <c r="L1189" s="179"/>
      <c r="M1189" s="179"/>
      <c r="N1189" s="179"/>
      <c r="O1189" s="179">
        <v>15</v>
      </c>
      <c r="P1189" s="179"/>
      <c r="Q1189" s="179"/>
      <c r="R1189" s="180">
        <v>100</v>
      </c>
    </row>
    <row r="1190" spans="1:18">
      <c r="A1190" s="10"/>
      <c r="B1190" s="58">
        <v>46150</v>
      </c>
      <c r="C1190" s="166"/>
      <c r="D1190" s="179"/>
      <c r="E1190" s="179"/>
      <c r="F1190" s="179"/>
      <c r="G1190" s="179">
        <v>13</v>
      </c>
      <c r="H1190" s="179"/>
      <c r="I1190" s="179"/>
      <c r="J1190" s="179"/>
      <c r="K1190" s="179"/>
      <c r="L1190" s="179"/>
      <c r="M1190" s="179"/>
      <c r="N1190" s="179">
        <v>16</v>
      </c>
      <c r="O1190" s="179"/>
      <c r="P1190" s="179"/>
      <c r="Q1190" s="179"/>
      <c r="R1190" s="180">
        <v>29</v>
      </c>
    </row>
    <row r="1191" spans="1:18">
      <c r="A1191" s="10"/>
      <c r="B1191" s="58">
        <v>46151</v>
      </c>
      <c r="C1191" s="166"/>
      <c r="D1191" s="179">
        <v>22</v>
      </c>
      <c r="E1191" s="179"/>
      <c r="F1191" s="179"/>
      <c r="G1191" s="179"/>
      <c r="H1191" s="179">
        <v>21</v>
      </c>
      <c r="I1191" s="179">
        <v>21</v>
      </c>
      <c r="J1191" s="179"/>
      <c r="K1191" s="179">
        <v>21</v>
      </c>
      <c r="L1191" s="179"/>
      <c r="M1191" s="179"/>
      <c r="N1191" s="179"/>
      <c r="O1191" s="179">
        <v>0</v>
      </c>
      <c r="P1191" s="179">
        <v>12</v>
      </c>
      <c r="Q1191" s="179">
        <v>14</v>
      </c>
      <c r="R1191" s="180">
        <v>111</v>
      </c>
    </row>
    <row r="1192" spans="1:18">
      <c r="A1192" s="10"/>
      <c r="B1192" s="58">
        <v>46152</v>
      </c>
      <c r="C1192" s="166"/>
      <c r="D1192" s="179"/>
      <c r="E1192" s="179"/>
      <c r="F1192" s="179"/>
      <c r="G1192" s="179"/>
      <c r="H1192" s="179"/>
      <c r="I1192" s="179"/>
      <c r="J1192" s="179"/>
      <c r="K1192" s="179"/>
      <c r="L1192" s="179">
        <v>12</v>
      </c>
      <c r="M1192" s="179">
        <v>6</v>
      </c>
      <c r="N1192" s="179">
        <v>26</v>
      </c>
      <c r="O1192" s="179"/>
      <c r="P1192" s="179"/>
      <c r="Q1192" s="179"/>
      <c r="R1192" s="180">
        <v>44</v>
      </c>
    </row>
    <row r="1193" spans="1:18">
      <c r="A1193" s="10"/>
      <c r="B1193" s="58">
        <v>46153</v>
      </c>
      <c r="C1193" s="166">
        <v>48</v>
      </c>
      <c r="D1193" s="179">
        <v>17</v>
      </c>
      <c r="E1193" s="179">
        <v>8</v>
      </c>
      <c r="F1193" s="179"/>
      <c r="G1193" s="179"/>
      <c r="H1193" s="179">
        <v>13</v>
      </c>
      <c r="I1193" s="179"/>
      <c r="J1193" s="179"/>
      <c r="K1193" s="179">
        <v>22</v>
      </c>
      <c r="L1193" s="179"/>
      <c r="M1193" s="179"/>
      <c r="N1193" s="179"/>
      <c r="O1193" s="179">
        <v>4</v>
      </c>
      <c r="P1193" s="179"/>
      <c r="Q1193" s="179"/>
      <c r="R1193" s="180">
        <v>112</v>
      </c>
    </row>
    <row r="1194" spans="1:18">
      <c r="A1194" s="10"/>
      <c r="B1194" s="58">
        <v>46154</v>
      </c>
      <c r="C1194" s="166"/>
      <c r="D1194" s="179"/>
      <c r="E1194" s="179"/>
      <c r="F1194" s="179">
        <v>0</v>
      </c>
      <c r="G1194" s="179"/>
      <c r="H1194" s="179"/>
      <c r="I1194" s="179"/>
      <c r="J1194" s="179"/>
      <c r="K1194" s="179"/>
      <c r="L1194" s="179"/>
      <c r="M1194" s="179">
        <v>10</v>
      </c>
      <c r="N1194" s="179">
        <v>13</v>
      </c>
      <c r="O1194" s="179"/>
      <c r="P1194" s="179">
        <v>25</v>
      </c>
      <c r="Q1194" s="179"/>
      <c r="R1194" s="180">
        <v>48</v>
      </c>
    </row>
    <row r="1195" spans="1:18">
      <c r="A1195" s="10"/>
      <c r="B1195" s="58">
        <v>46155</v>
      </c>
      <c r="C1195" s="166"/>
      <c r="D1195" s="179">
        <v>28</v>
      </c>
      <c r="E1195" s="179">
        <v>10</v>
      </c>
      <c r="F1195" s="179"/>
      <c r="G1195" s="179"/>
      <c r="H1195" s="179"/>
      <c r="I1195" s="179"/>
      <c r="J1195" s="179"/>
      <c r="K1195" s="179">
        <v>0</v>
      </c>
      <c r="L1195" s="179"/>
      <c r="M1195" s="179">
        <v>27</v>
      </c>
      <c r="N1195" s="179"/>
      <c r="O1195" s="179"/>
      <c r="P1195" s="179"/>
      <c r="Q1195" s="179"/>
      <c r="R1195" s="180">
        <v>65</v>
      </c>
    </row>
    <row r="1196" spans="1:18">
      <c r="A1196" s="10"/>
      <c r="B1196" s="58">
        <v>46156</v>
      </c>
      <c r="C1196" s="166">
        <v>28</v>
      </c>
      <c r="D1196" s="179"/>
      <c r="E1196" s="179"/>
      <c r="F1196" s="179"/>
      <c r="G1196" s="179">
        <v>16</v>
      </c>
      <c r="H1196" s="179"/>
      <c r="I1196" s="179">
        <v>7</v>
      </c>
      <c r="J1196" s="179"/>
      <c r="K1196" s="179">
        <v>19</v>
      </c>
      <c r="L1196" s="179"/>
      <c r="M1196" s="179"/>
      <c r="N1196" s="179">
        <v>10</v>
      </c>
      <c r="O1196" s="179"/>
      <c r="P1196" s="179"/>
      <c r="Q1196" s="179"/>
      <c r="R1196" s="180">
        <v>80</v>
      </c>
    </row>
    <row r="1197" spans="1:18">
      <c r="A1197" s="10"/>
      <c r="B1197" s="58">
        <v>46157</v>
      </c>
      <c r="C1197" s="166"/>
      <c r="D1197" s="179">
        <v>14</v>
      </c>
      <c r="E1197" s="179"/>
      <c r="F1197" s="179"/>
      <c r="G1197" s="179"/>
      <c r="H1197" s="179"/>
      <c r="I1197" s="179">
        <v>19</v>
      </c>
      <c r="J1197" s="179">
        <v>21</v>
      </c>
      <c r="K1197" s="179">
        <v>24</v>
      </c>
      <c r="L1197" s="179">
        <v>4</v>
      </c>
      <c r="M1197" s="179"/>
      <c r="N1197" s="179">
        <v>15</v>
      </c>
      <c r="O1197" s="179"/>
      <c r="P1197" s="179"/>
      <c r="Q1197" s="179"/>
      <c r="R1197" s="180">
        <v>97</v>
      </c>
    </row>
    <row r="1198" spans="1:18">
      <c r="A1198" s="10"/>
      <c r="B1198" s="58">
        <v>46158</v>
      </c>
      <c r="C1198" s="166"/>
      <c r="D1198" s="179"/>
      <c r="E1198" s="179">
        <v>0</v>
      </c>
      <c r="F1198" s="179">
        <v>5</v>
      </c>
      <c r="G1198" s="179">
        <v>23</v>
      </c>
      <c r="H1198" s="179"/>
      <c r="I1198" s="179">
        <v>14</v>
      </c>
      <c r="J1198" s="179"/>
      <c r="K1198" s="179"/>
      <c r="L1198" s="179"/>
      <c r="M1198" s="179"/>
      <c r="N1198" s="179">
        <v>8</v>
      </c>
      <c r="O1198" s="179"/>
      <c r="P1198" s="179"/>
      <c r="Q1198" s="179"/>
      <c r="R1198" s="180">
        <v>50</v>
      </c>
    </row>
    <row r="1199" spans="1:18">
      <c r="A1199" s="10"/>
      <c r="B1199" s="58">
        <v>46159</v>
      </c>
      <c r="C1199" s="166"/>
      <c r="D1199" s="179"/>
      <c r="E1199" s="179"/>
      <c r="F1199" s="179"/>
      <c r="G1199" s="179"/>
      <c r="H1199" s="179"/>
      <c r="I1199" s="179"/>
      <c r="J1199" s="179">
        <v>22</v>
      </c>
      <c r="K1199" s="179">
        <v>16</v>
      </c>
      <c r="L1199" s="179">
        <v>11</v>
      </c>
      <c r="M1199" s="179">
        <v>14</v>
      </c>
      <c r="N1199" s="179"/>
      <c r="O1199" s="179"/>
      <c r="P1199" s="179"/>
      <c r="Q1199" s="179"/>
      <c r="R1199" s="180">
        <v>63</v>
      </c>
    </row>
    <row r="1200" spans="1:18">
      <c r="A1200" s="10"/>
      <c r="B1200" s="58">
        <v>46160</v>
      </c>
      <c r="C1200" s="166"/>
      <c r="D1200" s="179"/>
      <c r="E1200" s="179">
        <v>14</v>
      </c>
      <c r="F1200" s="179">
        <v>9</v>
      </c>
      <c r="G1200" s="179"/>
      <c r="H1200" s="179">
        <v>11</v>
      </c>
      <c r="I1200" s="179"/>
      <c r="J1200" s="179"/>
      <c r="K1200" s="179"/>
      <c r="L1200" s="179"/>
      <c r="M1200" s="179">
        <v>29</v>
      </c>
      <c r="N1200" s="179"/>
      <c r="O1200" s="179"/>
      <c r="P1200" s="179">
        <v>14</v>
      </c>
      <c r="Q1200" s="179">
        <v>22</v>
      </c>
      <c r="R1200" s="180">
        <v>99</v>
      </c>
    </row>
    <row r="1201" spans="1:18">
      <c r="A1201" s="10"/>
      <c r="B1201" s="58">
        <v>46161</v>
      </c>
      <c r="C1201" s="166"/>
      <c r="D1201" s="179"/>
      <c r="E1201" s="179"/>
      <c r="F1201" s="179"/>
      <c r="G1201" s="179">
        <v>16</v>
      </c>
      <c r="H1201" s="179">
        <v>23</v>
      </c>
      <c r="I1201" s="179">
        <v>0</v>
      </c>
      <c r="J1201" s="179">
        <v>20</v>
      </c>
      <c r="K1201" s="179"/>
      <c r="L1201" s="179"/>
      <c r="M1201" s="179"/>
      <c r="N1201" s="179"/>
      <c r="O1201" s="179">
        <v>25</v>
      </c>
      <c r="P1201" s="179"/>
      <c r="Q1201" s="179"/>
      <c r="R1201" s="180">
        <v>84</v>
      </c>
    </row>
    <row r="1202" spans="1:18">
      <c r="A1202" s="10"/>
      <c r="B1202" s="58">
        <v>46162</v>
      </c>
      <c r="C1202" s="166"/>
      <c r="D1202" s="179"/>
      <c r="E1202" s="179"/>
      <c r="F1202" s="179"/>
      <c r="G1202" s="179"/>
      <c r="H1202" s="179">
        <v>30</v>
      </c>
      <c r="I1202" s="179">
        <v>17</v>
      </c>
      <c r="J1202" s="179"/>
      <c r="K1202" s="179"/>
      <c r="L1202" s="179">
        <v>16</v>
      </c>
      <c r="M1202" s="179"/>
      <c r="N1202" s="179">
        <v>29</v>
      </c>
      <c r="O1202" s="179"/>
      <c r="P1202" s="179">
        <v>16</v>
      </c>
      <c r="Q1202" s="179"/>
      <c r="R1202" s="180">
        <v>108</v>
      </c>
    </row>
    <row r="1203" spans="1:18">
      <c r="A1203" s="10"/>
      <c r="B1203" s="58">
        <v>46163</v>
      </c>
      <c r="C1203" s="166"/>
      <c r="D1203" s="179"/>
      <c r="E1203" s="179"/>
      <c r="F1203" s="179">
        <v>4</v>
      </c>
      <c r="G1203" s="179"/>
      <c r="H1203" s="179"/>
      <c r="I1203" s="179"/>
      <c r="J1203" s="179">
        <v>22</v>
      </c>
      <c r="K1203" s="179"/>
      <c r="L1203" s="179"/>
      <c r="M1203" s="179">
        <v>11</v>
      </c>
      <c r="N1203" s="179"/>
      <c r="O1203" s="179">
        <v>13</v>
      </c>
      <c r="P1203" s="179"/>
      <c r="Q1203" s="179"/>
      <c r="R1203" s="180">
        <v>50</v>
      </c>
    </row>
    <row r="1204" spans="1:18">
      <c r="A1204" s="10"/>
      <c r="B1204" s="58">
        <v>46164</v>
      </c>
      <c r="C1204" s="166"/>
      <c r="D1204" s="179"/>
      <c r="E1204" s="179"/>
      <c r="F1204" s="179">
        <v>14</v>
      </c>
      <c r="G1204" s="179"/>
      <c r="H1204" s="179"/>
      <c r="I1204" s="179"/>
      <c r="J1204" s="179"/>
      <c r="K1204" s="179"/>
      <c r="L1204" s="179">
        <v>21</v>
      </c>
      <c r="M1204" s="179"/>
      <c r="N1204" s="179"/>
      <c r="O1204" s="179"/>
      <c r="P1204" s="179">
        <v>18</v>
      </c>
      <c r="Q1204" s="179"/>
      <c r="R1204" s="180">
        <v>53</v>
      </c>
    </row>
    <row r="1205" spans="1:18">
      <c r="A1205" s="10"/>
      <c r="B1205" s="58">
        <v>46165</v>
      </c>
      <c r="C1205" s="166">
        <v>25</v>
      </c>
      <c r="D1205" s="179"/>
      <c r="E1205" s="179">
        <v>14</v>
      </c>
      <c r="F1205" s="179">
        <v>45</v>
      </c>
      <c r="G1205" s="179"/>
      <c r="H1205" s="179"/>
      <c r="I1205" s="179"/>
      <c r="J1205" s="179"/>
      <c r="K1205" s="179"/>
      <c r="L1205" s="179"/>
      <c r="M1205" s="179"/>
      <c r="N1205" s="179"/>
      <c r="O1205" s="179">
        <v>7</v>
      </c>
      <c r="P1205" s="179">
        <v>4</v>
      </c>
      <c r="Q1205" s="179"/>
      <c r="R1205" s="180">
        <v>95</v>
      </c>
    </row>
    <row r="1206" spans="1:18">
      <c r="A1206" s="10"/>
      <c r="B1206" s="58">
        <v>46166</v>
      </c>
      <c r="C1206" s="166"/>
      <c r="D1206" s="179">
        <v>13</v>
      </c>
      <c r="E1206" s="179">
        <v>17</v>
      </c>
      <c r="F1206" s="179">
        <v>14</v>
      </c>
      <c r="G1206" s="179">
        <v>14</v>
      </c>
      <c r="H1206" s="179"/>
      <c r="I1206" s="179"/>
      <c r="J1206" s="179"/>
      <c r="K1206" s="179">
        <v>16</v>
      </c>
      <c r="L1206" s="179">
        <v>22</v>
      </c>
      <c r="M1206" s="179"/>
      <c r="N1206" s="179"/>
      <c r="O1206" s="179"/>
      <c r="P1206" s="179"/>
      <c r="Q1206" s="179"/>
      <c r="R1206" s="180">
        <v>96</v>
      </c>
    </row>
    <row r="1207" spans="1:18">
      <c r="A1207" s="10"/>
      <c r="B1207" s="58">
        <v>46167</v>
      </c>
      <c r="C1207" s="166"/>
      <c r="D1207" s="179"/>
      <c r="E1207" s="179"/>
      <c r="F1207" s="179"/>
      <c r="G1207" s="179"/>
      <c r="H1207" s="179"/>
      <c r="I1207" s="179"/>
      <c r="J1207" s="179"/>
      <c r="K1207" s="179"/>
      <c r="L1207" s="179"/>
      <c r="M1207" s="179">
        <v>5</v>
      </c>
      <c r="N1207" s="179"/>
      <c r="O1207" s="179"/>
      <c r="P1207" s="179"/>
      <c r="Q1207" s="179"/>
      <c r="R1207" s="180">
        <v>5</v>
      </c>
    </row>
    <row r="1208" spans="1:18">
      <c r="A1208" s="10"/>
      <c r="B1208" s="58">
        <v>46168</v>
      </c>
      <c r="C1208" s="166"/>
      <c r="D1208" s="179"/>
      <c r="E1208" s="179">
        <v>6</v>
      </c>
      <c r="F1208" s="179"/>
      <c r="G1208" s="179"/>
      <c r="H1208" s="179">
        <v>7</v>
      </c>
      <c r="I1208" s="179">
        <v>11</v>
      </c>
      <c r="J1208" s="179"/>
      <c r="K1208" s="179"/>
      <c r="L1208" s="179">
        <v>7</v>
      </c>
      <c r="M1208" s="179"/>
      <c r="N1208" s="179"/>
      <c r="O1208" s="179"/>
      <c r="P1208" s="179"/>
      <c r="Q1208" s="179"/>
      <c r="R1208" s="180">
        <v>31</v>
      </c>
    </row>
    <row r="1209" spans="1:18">
      <c r="A1209" s="10"/>
      <c r="B1209" s="58">
        <v>46169</v>
      </c>
      <c r="C1209" s="166">
        <v>0</v>
      </c>
      <c r="D1209" s="179"/>
      <c r="E1209" s="179"/>
      <c r="F1209" s="179"/>
      <c r="G1209" s="179"/>
      <c r="H1209" s="179"/>
      <c r="I1209" s="179"/>
      <c r="J1209" s="179">
        <v>21</v>
      </c>
      <c r="K1209" s="179">
        <v>18</v>
      </c>
      <c r="L1209" s="179">
        <v>24</v>
      </c>
      <c r="M1209" s="179"/>
      <c r="N1209" s="179"/>
      <c r="O1209" s="179"/>
      <c r="P1209" s="179"/>
      <c r="Q1209" s="179">
        <v>19</v>
      </c>
      <c r="R1209" s="180">
        <v>82</v>
      </c>
    </row>
    <row r="1210" spans="1:18">
      <c r="A1210" s="10"/>
      <c r="B1210" s="58">
        <v>46170</v>
      </c>
      <c r="C1210" s="166"/>
      <c r="D1210" s="179"/>
      <c r="E1210" s="179"/>
      <c r="F1210" s="179"/>
      <c r="G1210" s="179"/>
      <c r="H1210" s="179"/>
      <c r="I1210" s="179">
        <v>43</v>
      </c>
      <c r="J1210" s="179"/>
      <c r="K1210" s="179"/>
      <c r="L1210" s="179">
        <v>-2</v>
      </c>
      <c r="M1210" s="179"/>
      <c r="N1210" s="179"/>
      <c r="O1210" s="179"/>
      <c r="P1210" s="179"/>
      <c r="Q1210" s="179">
        <v>19</v>
      </c>
      <c r="R1210" s="180">
        <v>60</v>
      </c>
    </row>
    <row r="1211" spans="1:18">
      <c r="A1211" s="10"/>
      <c r="B1211" s="58">
        <v>46171</v>
      </c>
      <c r="C1211" s="166">
        <v>12</v>
      </c>
      <c r="D1211" s="179">
        <v>17</v>
      </c>
      <c r="E1211" s="179"/>
      <c r="F1211" s="179"/>
      <c r="G1211" s="179"/>
      <c r="H1211" s="179">
        <v>0</v>
      </c>
      <c r="I1211" s="179">
        <v>16</v>
      </c>
      <c r="J1211" s="179"/>
      <c r="K1211" s="179"/>
      <c r="L1211" s="179"/>
      <c r="M1211" s="179">
        <v>8</v>
      </c>
      <c r="N1211" s="179"/>
      <c r="O1211" s="179">
        <v>15</v>
      </c>
      <c r="P1211" s="179"/>
      <c r="Q1211" s="179"/>
      <c r="R1211" s="180">
        <v>68</v>
      </c>
    </row>
    <row r="1212" spans="1:18">
      <c r="A1212" s="10"/>
      <c r="B1212" s="58">
        <v>46172</v>
      </c>
      <c r="C1212" s="166"/>
      <c r="D1212" s="179">
        <v>15</v>
      </c>
      <c r="E1212" s="179"/>
      <c r="F1212" s="179"/>
      <c r="G1212" s="179"/>
      <c r="H1212" s="179"/>
      <c r="I1212" s="179"/>
      <c r="J1212" s="179"/>
      <c r="K1212" s="179">
        <v>21</v>
      </c>
      <c r="L1212" s="179">
        <v>7</v>
      </c>
      <c r="M1212" s="179"/>
      <c r="N1212" s="179"/>
      <c r="O1212" s="179"/>
      <c r="P1212" s="179"/>
      <c r="Q1212" s="179"/>
      <c r="R1212" s="180">
        <v>43</v>
      </c>
    </row>
    <row r="1213" spans="1:18">
      <c r="A1213" s="10"/>
      <c r="B1213" s="58">
        <v>46173</v>
      </c>
      <c r="C1213" s="166">
        <v>30</v>
      </c>
      <c r="D1213" s="179">
        <v>12</v>
      </c>
      <c r="E1213" s="179"/>
      <c r="F1213" s="179">
        <v>50</v>
      </c>
      <c r="G1213" s="179"/>
      <c r="H1213" s="179"/>
      <c r="I1213" s="179"/>
      <c r="J1213" s="179"/>
      <c r="K1213" s="179">
        <v>20</v>
      </c>
      <c r="L1213" s="179">
        <v>8</v>
      </c>
      <c r="M1213" s="179"/>
      <c r="N1213" s="179"/>
      <c r="O1213" s="179"/>
      <c r="P1213" s="179"/>
      <c r="Q1213" s="179"/>
      <c r="R1213" s="180">
        <v>120</v>
      </c>
    </row>
    <row r="1214" spans="1:18">
      <c r="A1214" s="8" t="s">
        <v>3870</v>
      </c>
      <c r="B1214" s="60">
        <v>46174</v>
      </c>
      <c r="C1214" s="164"/>
      <c r="D1214" s="174">
        <v>23</v>
      </c>
      <c r="E1214" s="174"/>
      <c r="F1214" s="174"/>
      <c r="G1214" s="174">
        <v>12</v>
      </c>
      <c r="H1214" s="174">
        <v>15</v>
      </c>
      <c r="I1214" s="174">
        <v>14</v>
      </c>
      <c r="J1214" s="174"/>
      <c r="K1214" s="174"/>
      <c r="L1214" s="174"/>
      <c r="M1214" s="174"/>
      <c r="N1214" s="174"/>
      <c r="O1214" s="174">
        <v>12</v>
      </c>
      <c r="P1214" s="174"/>
      <c r="Q1214" s="174"/>
      <c r="R1214" s="175">
        <v>76</v>
      </c>
    </row>
    <row r="1215" spans="1:18">
      <c r="A1215" s="10"/>
      <c r="B1215" s="58">
        <v>46175</v>
      </c>
      <c r="C1215" s="166"/>
      <c r="D1215" s="179"/>
      <c r="E1215" s="179">
        <v>21</v>
      </c>
      <c r="F1215" s="179"/>
      <c r="G1215" s="179"/>
      <c r="H1215" s="179"/>
      <c r="I1215" s="179"/>
      <c r="J1215" s="179"/>
      <c r="K1215" s="179">
        <v>0</v>
      </c>
      <c r="L1215" s="179"/>
      <c r="M1215" s="179">
        <v>20</v>
      </c>
      <c r="N1215" s="179"/>
      <c r="O1215" s="179"/>
      <c r="P1215" s="179"/>
      <c r="Q1215" s="179"/>
      <c r="R1215" s="180">
        <v>41</v>
      </c>
    </row>
    <row r="1216" spans="1:18">
      <c r="A1216" s="10"/>
      <c r="B1216" s="58">
        <v>46176</v>
      </c>
      <c r="C1216" s="166">
        <v>16</v>
      </c>
      <c r="D1216" s="179"/>
      <c r="E1216" s="179"/>
      <c r="F1216" s="179">
        <v>26</v>
      </c>
      <c r="G1216" s="179"/>
      <c r="H1216" s="179">
        <v>22</v>
      </c>
      <c r="I1216" s="179">
        <v>10</v>
      </c>
      <c r="J1216" s="179"/>
      <c r="K1216" s="179"/>
      <c r="L1216" s="179"/>
      <c r="M1216" s="179"/>
      <c r="N1216" s="179"/>
      <c r="O1216" s="179"/>
      <c r="P1216" s="179"/>
      <c r="Q1216" s="179"/>
      <c r="R1216" s="180">
        <v>74</v>
      </c>
    </row>
    <row r="1217" spans="1:18">
      <c r="A1217" s="10"/>
      <c r="B1217" s="58">
        <v>46177</v>
      </c>
      <c r="C1217" s="166"/>
      <c r="D1217" s="179"/>
      <c r="E1217" s="179"/>
      <c r="F1217" s="179"/>
      <c r="G1217" s="179"/>
      <c r="H1217" s="179"/>
      <c r="I1217" s="179">
        <v>26</v>
      </c>
      <c r="J1217" s="179">
        <v>22</v>
      </c>
      <c r="K1217" s="179"/>
      <c r="L1217" s="179">
        <v>7</v>
      </c>
      <c r="M1217" s="179"/>
      <c r="N1217" s="179"/>
      <c r="O1217" s="179"/>
      <c r="P1217" s="179"/>
      <c r="Q1217" s="179"/>
      <c r="R1217" s="180">
        <v>55</v>
      </c>
    </row>
    <row r="1218" spans="1:18">
      <c r="A1218" s="10"/>
      <c r="B1218" s="58">
        <v>46178</v>
      </c>
      <c r="C1218" s="166">
        <v>29</v>
      </c>
      <c r="D1218" s="179"/>
      <c r="E1218" s="179">
        <v>13</v>
      </c>
      <c r="F1218" s="179"/>
      <c r="G1218" s="179"/>
      <c r="H1218" s="179"/>
      <c r="I1218" s="179">
        <v>46</v>
      </c>
      <c r="J1218" s="179">
        <v>-5</v>
      </c>
      <c r="K1218" s="179"/>
      <c r="L1218" s="179"/>
      <c r="M1218" s="179"/>
      <c r="N1218" s="179">
        <v>14</v>
      </c>
      <c r="O1218" s="179"/>
      <c r="P1218" s="179"/>
      <c r="Q1218" s="179"/>
      <c r="R1218" s="180">
        <v>97</v>
      </c>
    </row>
    <row r="1219" spans="1:18">
      <c r="A1219" s="10"/>
      <c r="B1219" s="58">
        <v>46179</v>
      </c>
      <c r="C1219" s="166"/>
      <c r="D1219" s="179"/>
      <c r="E1219" s="179"/>
      <c r="F1219" s="179">
        <v>-5</v>
      </c>
      <c r="G1219" s="179">
        <v>15</v>
      </c>
      <c r="H1219" s="179"/>
      <c r="I1219" s="179"/>
      <c r="J1219" s="179">
        <v>28</v>
      </c>
      <c r="K1219" s="179"/>
      <c r="L1219" s="179">
        <v>16</v>
      </c>
      <c r="M1219" s="179">
        <v>4</v>
      </c>
      <c r="N1219" s="179"/>
      <c r="O1219" s="179"/>
      <c r="P1219" s="179">
        <v>23</v>
      </c>
      <c r="Q1219" s="179">
        <v>22</v>
      </c>
      <c r="R1219" s="180">
        <v>103</v>
      </c>
    </row>
    <row r="1220" spans="1:18">
      <c r="A1220" s="10"/>
      <c r="B1220" s="58">
        <v>46180</v>
      </c>
      <c r="C1220" s="166"/>
      <c r="D1220" s="179">
        <v>20</v>
      </c>
      <c r="E1220" s="179">
        <v>18</v>
      </c>
      <c r="F1220" s="179"/>
      <c r="G1220" s="179">
        <v>14</v>
      </c>
      <c r="H1220" s="179"/>
      <c r="I1220" s="179">
        <v>34</v>
      </c>
      <c r="J1220" s="179">
        <v>35</v>
      </c>
      <c r="K1220" s="179">
        <v>32</v>
      </c>
      <c r="L1220" s="179">
        <v>12</v>
      </c>
      <c r="M1220" s="179"/>
      <c r="N1220" s="179"/>
      <c r="O1220" s="179"/>
      <c r="P1220" s="179"/>
      <c r="Q1220" s="179">
        <v>21</v>
      </c>
      <c r="R1220" s="180">
        <v>186</v>
      </c>
    </row>
    <row r="1221" spans="1:18">
      <c r="A1221" s="10"/>
      <c r="B1221" s="58">
        <v>46181</v>
      </c>
      <c r="C1221" s="166"/>
      <c r="D1221" s="179">
        <v>17</v>
      </c>
      <c r="E1221" s="179"/>
      <c r="F1221" s="179">
        <v>18</v>
      </c>
      <c r="G1221" s="179"/>
      <c r="H1221" s="179"/>
      <c r="I1221" s="179"/>
      <c r="J1221" s="179"/>
      <c r="K1221" s="179"/>
      <c r="L1221" s="179"/>
      <c r="M1221" s="179"/>
      <c r="N1221" s="179"/>
      <c r="O1221" s="179"/>
      <c r="P1221" s="179"/>
      <c r="Q1221" s="179"/>
      <c r="R1221" s="180">
        <v>35</v>
      </c>
    </row>
    <row r="1222" spans="1:18">
      <c r="A1222" s="10"/>
      <c r="B1222" s="58">
        <v>46182</v>
      </c>
      <c r="C1222" s="166">
        <v>21</v>
      </c>
      <c r="D1222" s="179">
        <v>22</v>
      </c>
      <c r="E1222" s="179"/>
      <c r="F1222" s="179"/>
      <c r="G1222" s="179"/>
      <c r="H1222" s="179">
        <v>15</v>
      </c>
      <c r="I1222" s="179"/>
      <c r="J1222" s="179"/>
      <c r="K1222" s="179"/>
      <c r="L1222" s="179"/>
      <c r="M1222" s="179"/>
      <c r="N1222" s="179"/>
      <c r="O1222" s="179"/>
      <c r="P1222" s="179">
        <v>38</v>
      </c>
      <c r="Q1222" s="179">
        <v>33</v>
      </c>
      <c r="R1222" s="180">
        <v>129</v>
      </c>
    </row>
    <row r="1223" spans="1:18">
      <c r="A1223" s="10"/>
      <c r="B1223" s="58">
        <v>46183</v>
      </c>
      <c r="C1223" s="166">
        <v>42</v>
      </c>
      <c r="D1223" s="179"/>
      <c r="E1223" s="179"/>
      <c r="F1223" s="179">
        <v>41</v>
      </c>
      <c r="G1223" s="179"/>
      <c r="H1223" s="179">
        <v>10</v>
      </c>
      <c r="I1223" s="179"/>
      <c r="J1223" s="179">
        <v>28</v>
      </c>
      <c r="K1223" s="179">
        <v>24</v>
      </c>
      <c r="L1223" s="179">
        <v>6</v>
      </c>
      <c r="M1223" s="179"/>
      <c r="N1223" s="179">
        <v>13</v>
      </c>
      <c r="O1223" s="179">
        <v>15</v>
      </c>
      <c r="P1223" s="179"/>
      <c r="Q1223" s="179"/>
      <c r="R1223" s="180">
        <v>179</v>
      </c>
    </row>
    <row r="1224" spans="1:18">
      <c r="A1224" s="10"/>
      <c r="B1224" s="58">
        <v>46184</v>
      </c>
      <c r="C1224" s="166"/>
      <c r="D1224" s="179"/>
      <c r="E1224" s="179"/>
      <c r="F1224" s="179"/>
      <c r="G1224" s="179"/>
      <c r="H1224" s="179"/>
      <c r="I1224" s="179"/>
      <c r="J1224" s="179">
        <v>0</v>
      </c>
      <c r="K1224" s="179"/>
      <c r="L1224" s="179"/>
      <c r="M1224" s="179">
        <v>8</v>
      </c>
      <c r="N1224" s="179">
        <v>14</v>
      </c>
      <c r="O1224" s="179">
        <v>8</v>
      </c>
      <c r="P1224" s="179"/>
      <c r="Q1224" s="179"/>
      <c r="R1224" s="180">
        <v>30</v>
      </c>
    </row>
    <row r="1225" spans="1:18">
      <c r="A1225" s="10"/>
      <c r="B1225" s="58">
        <v>46185</v>
      </c>
      <c r="C1225" s="166"/>
      <c r="D1225" s="179">
        <v>11</v>
      </c>
      <c r="E1225" s="179"/>
      <c r="F1225" s="179"/>
      <c r="G1225" s="179">
        <v>7</v>
      </c>
      <c r="H1225" s="179">
        <v>16</v>
      </c>
      <c r="I1225" s="179"/>
      <c r="J1225" s="179">
        <v>22</v>
      </c>
      <c r="K1225" s="179"/>
      <c r="L1225" s="179">
        <v>1</v>
      </c>
      <c r="M1225" s="179"/>
      <c r="N1225" s="179"/>
      <c r="O1225" s="179"/>
      <c r="P1225" s="179">
        <v>23</v>
      </c>
      <c r="Q1225" s="179"/>
      <c r="R1225" s="180">
        <v>80</v>
      </c>
    </row>
    <row r="1226" spans="1:18">
      <c r="A1226" s="10"/>
      <c r="B1226" s="58">
        <v>46186</v>
      </c>
      <c r="C1226" s="166">
        <v>25</v>
      </c>
      <c r="D1226" s="179"/>
      <c r="E1226" s="179"/>
      <c r="F1226" s="179"/>
      <c r="G1226" s="179"/>
      <c r="H1226" s="179"/>
      <c r="I1226" s="179">
        <v>21</v>
      </c>
      <c r="J1226" s="179">
        <v>25</v>
      </c>
      <c r="K1226" s="179">
        <v>21</v>
      </c>
      <c r="L1226" s="179">
        <v>2</v>
      </c>
      <c r="M1226" s="179"/>
      <c r="N1226" s="179"/>
      <c r="O1226" s="179"/>
      <c r="P1226" s="179"/>
      <c r="Q1226" s="179">
        <v>15</v>
      </c>
      <c r="R1226" s="180">
        <v>109</v>
      </c>
    </row>
    <row r="1227" spans="1:18">
      <c r="A1227" s="10"/>
      <c r="B1227" s="58">
        <v>46187</v>
      </c>
      <c r="C1227" s="166"/>
      <c r="D1227" s="179"/>
      <c r="E1227" s="179">
        <v>13</v>
      </c>
      <c r="F1227" s="179"/>
      <c r="G1227" s="179"/>
      <c r="H1227" s="179"/>
      <c r="I1227" s="179"/>
      <c r="J1227" s="179"/>
      <c r="K1227" s="179"/>
      <c r="L1227" s="179"/>
      <c r="M1227" s="179"/>
      <c r="N1227" s="179">
        <v>26</v>
      </c>
      <c r="O1227" s="179"/>
      <c r="P1227" s="179">
        <v>20</v>
      </c>
      <c r="Q1227" s="179"/>
      <c r="R1227" s="180">
        <v>59</v>
      </c>
    </row>
    <row r="1228" spans="1:18">
      <c r="A1228" s="10"/>
      <c r="B1228" s="58">
        <v>46188</v>
      </c>
      <c r="C1228" s="166"/>
      <c r="D1228" s="179">
        <v>13</v>
      </c>
      <c r="E1228" s="179"/>
      <c r="F1228" s="179">
        <v>19</v>
      </c>
      <c r="G1228" s="179">
        <v>26</v>
      </c>
      <c r="H1228" s="179"/>
      <c r="I1228" s="179"/>
      <c r="J1228" s="179"/>
      <c r="K1228" s="179"/>
      <c r="L1228" s="179"/>
      <c r="M1228" s="179"/>
      <c r="N1228" s="179"/>
      <c r="O1228" s="179">
        <v>17</v>
      </c>
      <c r="P1228" s="179"/>
      <c r="Q1228" s="179"/>
      <c r="R1228" s="180">
        <v>75</v>
      </c>
    </row>
    <row r="1229" spans="1:18">
      <c r="A1229" s="10"/>
      <c r="B1229" s="58">
        <v>46189</v>
      </c>
      <c r="C1229" s="166"/>
      <c r="D1229" s="179"/>
      <c r="E1229" s="179"/>
      <c r="F1229" s="179"/>
      <c r="G1229" s="179"/>
      <c r="H1229" s="179"/>
      <c r="I1229" s="179">
        <v>18</v>
      </c>
      <c r="J1229" s="179">
        <v>45</v>
      </c>
      <c r="K1229" s="179"/>
      <c r="L1229" s="179"/>
      <c r="M1229" s="179">
        <v>10</v>
      </c>
      <c r="N1229" s="179"/>
      <c r="O1229" s="179"/>
      <c r="P1229" s="179">
        <v>0</v>
      </c>
      <c r="Q1229" s="179"/>
      <c r="R1229" s="180">
        <v>73</v>
      </c>
    </row>
    <row r="1230" spans="1:18">
      <c r="A1230" s="10"/>
      <c r="B1230" s="58">
        <v>46190</v>
      </c>
      <c r="C1230" s="166"/>
      <c r="D1230" s="179">
        <v>12</v>
      </c>
      <c r="E1230" s="179">
        <v>6</v>
      </c>
      <c r="F1230" s="179"/>
      <c r="G1230" s="179">
        <v>15</v>
      </c>
      <c r="H1230" s="179">
        <v>21</v>
      </c>
      <c r="I1230" s="179"/>
      <c r="J1230" s="179"/>
      <c r="K1230" s="179"/>
      <c r="L1230" s="179"/>
      <c r="M1230" s="179"/>
      <c r="N1230" s="179">
        <v>13</v>
      </c>
      <c r="O1230" s="179"/>
      <c r="P1230" s="179">
        <v>18</v>
      </c>
      <c r="Q1230" s="179"/>
      <c r="R1230" s="180">
        <v>85</v>
      </c>
    </row>
    <row r="1231" spans="1:18">
      <c r="A1231" s="10"/>
      <c r="B1231" s="58">
        <v>46191</v>
      </c>
      <c r="C1231" s="166">
        <v>13</v>
      </c>
      <c r="D1231" s="179">
        <v>50</v>
      </c>
      <c r="E1231" s="179">
        <v>13</v>
      </c>
      <c r="F1231" s="179">
        <v>51</v>
      </c>
      <c r="G1231" s="179"/>
      <c r="H1231" s="179"/>
      <c r="I1231" s="179"/>
      <c r="J1231" s="179"/>
      <c r="K1231" s="179"/>
      <c r="L1231" s="179"/>
      <c r="M1231" s="179">
        <v>2</v>
      </c>
      <c r="N1231" s="179"/>
      <c r="O1231" s="179">
        <v>21</v>
      </c>
      <c r="P1231" s="179"/>
      <c r="Q1231" s="179"/>
      <c r="R1231" s="180">
        <v>150</v>
      </c>
    </row>
    <row r="1232" spans="1:18">
      <c r="A1232" s="10"/>
      <c r="B1232" s="58">
        <v>46192</v>
      </c>
      <c r="C1232" s="166"/>
      <c r="D1232" s="179"/>
      <c r="E1232" s="179"/>
      <c r="F1232" s="179">
        <v>6</v>
      </c>
      <c r="G1232" s="179"/>
      <c r="H1232" s="179">
        <v>15</v>
      </c>
      <c r="I1232" s="179"/>
      <c r="J1232" s="179"/>
      <c r="K1232" s="179">
        <v>24</v>
      </c>
      <c r="L1232" s="179"/>
      <c r="M1232" s="179"/>
      <c r="N1232" s="179"/>
      <c r="O1232" s="179">
        <v>17</v>
      </c>
      <c r="P1232" s="179"/>
      <c r="Q1232" s="179">
        <v>22</v>
      </c>
      <c r="R1232" s="180">
        <v>84</v>
      </c>
    </row>
    <row r="1233" spans="1:18">
      <c r="A1233" s="10"/>
      <c r="B1233" s="58">
        <v>46193</v>
      </c>
      <c r="C1233" s="166">
        <v>18</v>
      </c>
      <c r="D1233" s="179"/>
      <c r="E1233" s="179"/>
      <c r="F1233" s="179"/>
      <c r="G1233" s="179">
        <v>19</v>
      </c>
      <c r="H1233" s="179"/>
      <c r="I1233" s="179">
        <v>26</v>
      </c>
      <c r="J1233" s="179"/>
      <c r="K1233" s="179"/>
      <c r="L1233" s="179">
        <v>0</v>
      </c>
      <c r="M1233" s="179">
        <v>25</v>
      </c>
      <c r="N1233" s="179">
        <v>16</v>
      </c>
      <c r="O1233" s="179"/>
      <c r="P1233" s="179">
        <v>8</v>
      </c>
      <c r="Q1233" s="179"/>
      <c r="R1233" s="180">
        <v>112</v>
      </c>
    </row>
    <row r="1234" spans="1:18">
      <c r="A1234" s="10"/>
      <c r="B1234" s="58">
        <v>46194</v>
      </c>
      <c r="C1234" s="166"/>
      <c r="D1234" s="179">
        <v>10</v>
      </c>
      <c r="E1234" s="179"/>
      <c r="F1234" s="179">
        <v>15</v>
      </c>
      <c r="G1234" s="179">
        <v>19</v>
      </c>
      <c r="H1234" s="179"/>
      <c r="I1234" s="179"/>
      <c r="J1234" s="179"/>
      <c r="K1234" s="179"/>
      <c r="L1234" s="179"/>
      <c r="M1234" s="179"/>
      <c r="N1234" s="179">
        <v>10</v>
      </c>
      <c r="O1234" s="179"/>
      <c r="P1234" s="179"/>
      <c r="Q1234" s="179"/>
      <c r="R1234" s="180">
        <v>54</v>
      </c>
    </row>
    <row r="1235" spans="1:18">
      <c r="A1235" s="10"/>
      <c r="B1235" s="58">
        <v>46195</v>
      </c>
      <c r="C1235" s="166"/>
      <c r="D1235" s="179"/>
      <c r="E1235" s="179"/>
      <c r="F1235" s="179"/>
      <c r="G1235" s="179">
        <v>0</v>
      </c>
      <c r="H1235" s="179"/>
      <c r="I1235" s="179"/>
      <c r="J1235" s="179">
        <v>19</v>
      </c>
      <c r="K1235" s="179">
        <v>25</v>
      </c>
      <c r="L1235" s="179"/>
      <c r="M1235" s="179">
        <v>9</v>
      </c>
      <c r="N1235" s="179"/>
      <c r="O1235" s="179"/>
      <c r="P1235" s="179"/>
      <c r="Q1235" s="179">
        <v>11</v>
      </c>
      <c r="R1235" s="180">
        <v>64</v>
      </c>
    </row>
    <row r="1236" spans="1:18">
      <c r="A1236" s="10"/>
      <c r="B1236" s="58">
        <v>46196</v>
      </c>
      <c r="C1236" s="166"/>
      <c r="D1236" s="179">
        <v>32</v>
      </c>
      <c r="E1236" s="179"/>
      <c r="F1236" s="179"/>
      <c r="G1236" s="179"/>
      <c r="H1236" s="179"/>
      <c r="I1236" s="179"/>
      <c r="J1236" s="179">
        <v>62</v>
      </c>
      <c r="K1236" s="179">
        <v>22</v>
      </c>
      <c r="L1236" s="179"/>
      <c r="M1236" s="179"/>
      <c r="N1236" s="179">
        <v>20</v>
      </c>
      <c r="O1236" s="179"/>
      <c r="P1236" s="179">
        <v>11</v>
      </c>
      <c r="Q1236" s="179">
        <v>14</v>
      </c>
      <c r="R1236" s="180">
        <v>161</v>
      </c>
    </row>
    <row r="1237" spans="1:18">
      <c r="A1237" s="10"/>
      <c r="B1237" s="58">
        <v>46197</v>
      </c>
      <c r="C1237" s="166"/>
      <c r="D1237" s="179"/>
      <c r="E1237" s="179">
        <v>16</v>
      </c>
      <c r="F1237" s="179">
        <v>6</v>
      </c>
      <c r="G1237" s="179">
        <v>20</v>
      </c>
      <c r="H1237" s="179"/>
      <c r="I1237" s="179"/>
      <c r="J1237" s="179"/>
      <c r="K1237" s="179"/>
      <c r="L1237" s="179"/>
      <c r="M1237" s="179"/>
      <c r="N1237" s="179">
        <v>0</v>
      </c>
      <c r="O1237" s="179"/>
      <c r="P1237" s="179">
        <v>54</v>
      </c>
      <c r="Q1237" s="179"/>
      <c r="R1237" s="180">
        <v>96</v>
      </c>
    </row>
    <row r="1238" spans="1:18">
      <c r="A1238" s="10"/>
      <c r="B1238" s="58">
        <v>46198</v>
      </c>
      <c r="C1238" s="166"/>
      <c r="D1238" s="179"/>
      <c r="E1238" s="179"/>
      <c r="F1238" s="179"/>
      <c r="G1238" s="179"/>
      <c r="H1238" s="179"/>
      <c r="I1238" s="179">
        <v>15</v>
      </c>
      <c r="J1238" s="179"/>
      <c r="K1238" s="179"/>
      <c r="L1238" s="179">
        <v>14</v>
      </c>
      <c r="M1238" s="179"/>
      <c r="N1238" s="179"/>
      <c r="O1238" s="179"/>
      <c r="P1238" s="179"/>
      <c r="Q1238" s="179"/>
      <c r="R1238" s="180">
        <v>29</v>
      </c>
    </row>
    <row r="1239" spans="1:18">
      <c r="A1239" s="10"/>
      <c r="B1239" s="58">
        <v>46199</v>
      </c>
      <c r="C1239" s="166"/>
      <c r="D1239" s="179"/>
      <c r="E1239" s="179"/>
      <c r="F1239" s="179"/>
      <c r="G1239" s="179"/>
      <c r="H1239" s="179">
        <v>5</v>
      </c>
      <c r="I1239" s="179">
        <v>12</v>
      </c>
      <c r="J1239" s="179"/>
      <c r="K1239" s="179">
        <v>16</v>
      </c>
      <c r="L1239" s="179"/>
      <c r="M1239" s="179">
        <v>4</v>
      </c>
      <c r="N1239" s="179"/>
      <c r="O1239" s="179"/>
      <c r="P1239" s="179">
        <v>19</v>
      </c>
      <c r="Q1239" s="179"/>
      <c r="R1239" s="180">
        <v>56</v>
      </c>
    </row>
    <row r="1240" spans="1:18">
      <c r="A1240" s="10"/>
      <c r="B1240" s="58">
        <v>46200</v>
      </c>
      <c r="C1240" s="166">
        <v>0</v>
      </c>
      <c r="D1240" s="179"/>
      <c r="E1240" s="179"/>
      <c r="F1240" s="179">
        <v>6</v>
      </c>
      <c r="G1240" s="179">
        <v>16</v>
      </c>
      <c r="H1240" s="179">
        <v>25</v>
      </c>
      <c r="I1240" s="179"/>
      <c r="J1240" s="179"/>
      <c r="K1240" s="179">
        <v>43</v>
      </c>
      <c r="L1240" s="179"/>
      <c r="M1240" s="179">
        <v>21</v>
      </c>
      <c r="N1240" s="179"/>
      <c r="O1240" s="179"/>
      <c r="P1240" s="179">
        <v>13</v>
      </c>
      <c r="Q1240" s="179"/>
      <c r="R1240" s="180">
        <v>124</v>
      </c>
    </row>
    <row r="1241" spans="1:18">
      <c r="A1241" s="10"/>
      <c r="B1241" s="58">
        <v>46201</v>
      </c>
      <c r="C1241" s="166"/>
      <c r="D1241" s="179"/>
      <c r="E1241" s="179">
        <v>8</v>
      </c>
      <c r="F1241" s="179">
        <v>18</v>
      </c>
      <c r="G1241" s="179"/>
      <c r="H1241" s="179">
        <v>27</v>
      </c>
      <c r="I1241" s="179"/>
      <c r="J1241" s="179">
        <v>33</v>
      </c>
      <c r="K1241" s="179"/>
      <c r="L1241" s="179"/>
      <c r="M1241" s="179"/>
      <c r="N1241" s="179">
        <v>19</v>
      </c>
      <c r="O1241" s="179"/>
      <c r="P1241" s="179">
        <v>40</v>
      </c>
      <c r="Q1241" s="179">
        <v>17</v>
      </c>
      <c r="R1241" s="180">
        <v>162</v>
      </c>
    </row>
    <row r="1242" spans="1:18">
      <c r="A1242" s="10"/>
      <c r="B1242" s="58">
        <v>46202</v>
      </c>
      <c r="C1242" s="166"/>
      <c r="D1242" s="179">
        <v>17</v>
      </c>
      <c r="E1242" s="179"/>
      <c r="F1242" s="179"/>
      <c r="G1242" s="179"/>
      <c r="H1242" s="179"/>
      <c r="I1242" s="179"/>
      <c r="J1242" s="179"/>
      <c r="K1242" s="179">
        <v>20</v>
      </c>
      <c r="L1242" s="179"/>
      <c r="M1242" s="179"/>
      <c r="N1242" s="179">
        <v>21</v>
      </c>
      <c r="O1242" s="179"/>
      <c r="P1242" s="179"/>
      <c r="Q1242" s="179">
        <v>11</v>
      </c>
      <c r="R1242" s="180">
        <v>69</v>
      </c>
    </row>
    <row r="1243" spans="1:18">
      <c r="A1243" s="10"/>
      <c r="B1243" s="58">
        <v>46203</v>
      </c>
      <c r="C1243" s="166"/>
      <c r="D1243" s="179"/>
      <c r="E1243" s="179"/>
      <c r="F1243" s="179"/>
      <c r="G1243" s="179"/>
      <c r="H1243" s="179">
        <v>30</v>
      </c>
      <c r="I1243" s="179"/>
      <c r="J1243" s="179"/>
      <c r="K1243" s="179"/>
      <c r="L1243" s="179">
        <v>13</v>
      </c>
      <c r="M1243" s="179"/>
      <c r="N1243" s="179">
        <v>25</v>
      </c>
      <c r="O1243" s="179"/>
      <c r="P1243" s="179"/>
      <c r="Q1243" s="179"/>
      <c r="R1243" s="180">
        <v>68</v>
      </c>
    </row>
    <row r="1244" spans="1:18">
      <c r="A1244" s="8" t="s">
        <v>3871</v>
      </c>
      <c r="B1244" s="60">
        <v>46204</v>
      </c>
      <c r="C1244" s="164"/>
      <c r="D1244" s="174"/>
      <c r="E1244" s="174">
        <v>3</v>
      </c>
      <c r="F1244" s="174"/>
      <c r="G1244" s="174">
        <v>9</v>
      </c>
      <c r="H1244" s="174">
        <v>17</v>
      </c>
      <c r="I1244" s="174"/>
      <c r="J1244" s="174"/>
      <c r="K1244" s="174"/>
      <c r="L1244" s="174">
        <v>0</v>
      </c>
      <c r="M1244" s="174"/>
      <c r="N1244" s="174"/>
      <c r="O1244" s="174"/>
      <c r="P1244" s="174"/>
      <c r="Q1244" s="174"/>
      <c r="R1244" s="175">
        <v>29</v>
      </c>
    </row>
    <row r="1245" spans="1:18">
      <c r="A1245" s="10"/>
      <c r="B1245" s="58">
        <v>46205</v>
      </c>
      <c r="C1245" s="166"/>
      <c r="D1245" s="179"/>
      <c r="E1245" s="179"/>
      <c r="F1245" s="179"/>
      <c r="G1245" s="179"/>
      <c r="H1245" s="179">
        <v>17</v>
      </c>
      <c r="I1245" s="179">
        <v>13</v>
      </c>
      <c r="J1245" s="179">
        <v>28</v>
      </c>
      <c r="K1245" s="179">
        <v>17</v>
      </c>
      <c r="L1245" s="179"/>
      <c r="M1245" s="179">
        <v>22</v>
      </c>
      <c r="N1245" s="179"/>
      <c r="O1245" s="179"/>
      <c r="P1245" s="179"/>
      <c r="Q1245" s="179"/>
      <c r="R1245" s="180">
        <v>97</v>
      </c>
    </row>
    <row r="1246" spans="1:18">
      <c r="A1246" s="10"/>
      <c r="B1246" s="58">
        <v>46206</v>
      </c>
      <c r="C1246" s="166"/>
      <c r="D1246" s="179">
        <v>15</v>
      </c>
      <c r="E1246" s="179"/>
      <c r="F1246" s="179"/>
      <c r="G1246" s="179"/>
      <c r="H1246" s="179"/>
      <c r="I1246" s="179"/>
      <c r="J1246" s="179"/>
      <c r="K1246" s="179"/>
      <c r="L1246" s="179">
        <v>7</v>
      </c>
      <c r="M1246" s="179">
        <v>24</v>
      </c>
      <c r="N1246" s="179"/>
      <c r="O1246" s="179"/>
      <c r="P1246" s="179"/>
      <c r="Q1246" s="179"/>
      <c r="R1246" s="180">
        <v>46</v>
      </c>
    </row>
    <row r="1247" spans="1:18">
      <c r="A1247" s="10"/>
      <c r="B1247" s="58">
        <v>46207</v>
      </c>
      <c r="C1247" s="166">
        <v>16</v>
      </c>
      <c r="D1247" s="179"/>
      <c r="E1247" s="179"/>
      <c r="F1247" s="179"/>
      <c r="G1247" s="179"/>
      <c r="H1247" s="179"/>
      <c r="I1247" s="179">
        <v>12</v>
      </c>
      <c r="J1247" s="179"/>
      <c r="K1247" s="179"/>
      <c r="L1247" s="179">
        <v>11</v>
      </c>
      <c r="M1247" s="179"/>
      <c r="N1247" s="179"/>
      <c r="O1247" s="179"/>
      <c r="P1247" s="179">
        <v>17</v>
      </c>
      <c r="Q1247" s="179">
        <v>22</v>
      </c>
      <c r="R1247" s="180">
        <v>78</v>
      </c>
    </row>
    <row r="1248" spans="1:18">
      <c r="A1248" s="10"/>
      <c r="B1248" s="58">
        <v>46208</v>
      </c>
      <c r="C1248" s="166">
        <v>22</v>
      </c>
      <c r="D1248" s="179"/>
      <c r="E1248" s="179"/>
      <c r="F1248" s="179"/>
      <c r="G1248" s="179"/>
      <c r="H1248" s="179">
        <v>37</v>
      </c>
      <c r="I1248" s="179"/>
      <c r="J1248" s="179"/>
      <c r="K1248" s="179"/>
      <c r="L1248" s="179"/>
      <c r="M1248" s="179"/>
      <c r="N1248" s="179"/>
      <c r="O1248" s="179"/>
      <c r="P1248" s="179"/>
      <c r="Q1248" s="179"/>
      <c r="R1248" s="180">
        <v>59</v>
      </c>
    </row>
    <row r="1249" spans="1:18">
      <c r="A1249" s="10"/>
      <c r="B1249" s="58">
        <v>46209</v>
      </c>
      <c r="C1249" s="166">
        <v>26</v>
      </c>
      <c r="D1249" s="179"/>
      <c r="E1249" s="179">
        <v>40</v>
      </c>
      <c r="F1249" s="179"/>
      <c r="G1249" s="179"/>
      <c r="H1249" s="179"/>
      <c r="I1249" s="179"/>
      <c r="J1249" s="179"/>
      <c r="K1249" s="179"/>
      <c r="L1249" s="179"/>
      <c r="M1249" s="179"/>
      <c r="N1249" s="179"/>
      <c r="O1249" s="179"/>
      <c r="P1249" s="179"/>
      <c r="Q1249" s="179">
        <v>16</v>
      </c>
      <c r="R1249" s="180">
        <v>82</v>
      </c>
    </row>
    <row r="1250" spans="1:18">
      <c r="A1250" s="10"/>
      <c r="B1250" s="58">
        <v>46210</v>
      </c>
      <c r="C1250" s="166">
        <v>26</v>
      </c>
      <c r="D1250" s="179"/>
      <c r="E1250" s="179">
        <v>15</v>
      </c>
      <c r="F1250" s="179">
        <v>9</v>
      </c>
      <c r="G1250" s="179">
        <v>16</v>
      </c>
      <c r="H1250" s="179">
        <v>15</v>
      </c>
      <c r="I1250" s="179"/>
      <c r="J1250" s="179"/>
      <c r="K1250" s="179"/>
      <c r="L1250" s="179"/>
      <c r="M1250" s="179">
        <v>23</v>
      </c>
      <c r="N1250" s="179">
        <v>13</v>
      </c>
      <c r="O1250" s="179">
        <v>20</v>
      </c>
      <c r="P1250" s="179"/>
      <c r="Q1250" s="179"/>
      <c r="R1250" s="180">
        <v>137</v>
      </c>
    </row>
    <row r="1251" spans="1:18">
      <c r="A1251" s="10"/>
      <c r="B1251" s="58">
        <v>46211</v>
      </c>
      <c r="C1251" s="166"/>
      <c r="D1251" s="179"/>
      <c r="E1251" s="179">
        <v>10</v>
      </c>
      <c r="F1251" s="179">
        <v>16</v>
      </c>
      <c r="G1251" s="179"/>
      <c r="H1251" s="179"/>
      <c r="I1251" s="179"/>
      <c r="J1251" s="179">
        <v>28</v>
      </c>
      <c r="K1251" s="179"/>
      <c r="L1251" s="179">
        <v>20</v>
      </c>
      <c r="M1251" s="179"/>
      <c r="N1251" s="179"/>
      <c r="O1251" s="179">
        <v>39</v>
      </c>
      <c r="P1251" s="179"/>
      <c r="Q1251" s="179"/>
      <c r="R1251" s="180">
        <v>113</v>
      </c>
    </row>
    <row r="1252" spans="1:18">
      <c r="A1252" s="10"/>
      <c r="B1252" s="58">
        <v>46212</v>
      </c>
      <c r="C1252" s="166"/>
      <c r="D1252" s="179"/>
      <c r="E1252" s="179"/>
      <c r="F1252" s="179"/>
      <c r="G1252" s="179">
        <v>17</v>
      </c>
      <c r="H1252" s="179"/>
      <c r="I1252" s="179"/>
      <c r="J1252" s="179"/>
      <c r="K1252" s="179">
        <v>15</v>
      </c>
      <c r="L1252" s="179">
        <v>9</v>
      </c>
      <c r="M1252" s="179"/>
      <c r="N1252" s="179"/>
      <c r="O1252" s="179">
        <v>32</v>
      </c>
      <c r="P1252" s="179"/>
      <c r="Q1252" s="179">
        <v>17</v>
      </c>
      <c r="R1252" s="180">
        <v>90</v>
      </c>
    </row>
    <row r="1253" spans="1:18">
      <c r="A1253" s="10"/>
      <c r="B1253" s="58">
        <v>46213</v>
      </c>
      <c r="C1253" s="166">
        <v>29</v>
      </c>
      <c r="D1253" s="179">
        <v>31</v>
      </c>
      <c r="E1253" s="179">
        <v>19</v>
      </c>
      <c r="F1253" s="179"/>
      <c r="G1253" s="179"/>
      <c r="H1253" s="179"/>
      <c r="I1253" s="179"/>
      <c r="J1253" s="179"/>
      <c r="K1253" s="179"/>
      <c r="L1253" s="179"/>
      <c r="M1253" s="179"/>
      <c r="N1253" s="179">
        <v>17</v>
      </c>
      <c r="O1253" s="179"/>
      <c r="P1253" s="179"/>
      <c r="Q1253" s="179"/>
      <c r="R1253" s="180">
        <v>96</v>
      </c>
    </row>
    <row r="1254" spans="1:18">
      <c r="A1254" s="10"/>
      <c r="B1254" s="58">
        <v>46214</v>
      </c>
      <c r="C1254" s="166"/>
      <c r="D1254" s="179">
        <v>16</v>
      </c>
      <c r="E1254" s="179"/>
      <c r="F1254" s="179"/>
      <c r="G1254" s="179"/>
      <c r="H1254" s="179">
        <v>0</v>
      </c>
      <c r="I1254" s="179">
        <v>32</v>
      </c>
      <c r="J1254" s="179"/>
      <c r="K1254" s="179"/>
      <c r="L1254" s="179"/>
      <c r="M1254" s="179"/>
      <c r="N1254" s="179">
        <v>12</v>
      </c>
      <c r="O1254" s="179"/>
      <c r="P1254" s="179"/>
      <c r="Q1254" s="179"/>
      <c r="R1254" s="180">
        <v>60</v>
      </c>
    </row>
    <row r="1255" spans="1:18">
      <c r="A1255" s="10"/>
      <c r="B1255" s="58">
        <v>46215</v>
      </c>
      <c r="C1255" s="166"/>
      <c r="D1255" s="179"/>
      <c r="E1255" s="179"/>
      <c r="F1255" s="179">
        <v>15</v>
      </c>
      <c r="G1255" s="179"/>
      <c r="H1255" s="179"/>
      <c r="I1255" s="179"/>
      <c r="J1255" s="179"/>
      <c r="K1255" s="179"/>
      <c r="L1255" s="179"/>
      <c r="M1255" s="179"/>
      <c r="N1255" s="179">
        <v>20</v>
      </c>
      <c r="O1255" s="179"/>
      <c r="P1255" s="179">
        <v>41</v>
      </c>
      <c r="Q1255" s="179"/>
      <c r="R1255" s="180">
        <v>76</v>
      </c>
    </row>
    <row r="1256" spans="1:18">
      <c r="A1256" s="10"/>
      <c r="B1256" s="58">
        <v>46216</v>
      </c>
      <c r="C1256" s="166"/>
      <c r="D1256" s="179"/>
      <c r="E1256" s="179"/>
      <c r="F1256" s="179">
        <v>16</v>
      </c>
      <c r="G1256" s="179"/>
      <c r="H1256" s="179"/>
      <c r="I1256" s="179"/>
      <c r="J1256" s="179"/>
      <c r="K1256" s="179">
        <v>26</v>
      </c>
      <c r="L1256" s="179"/>
      <c r="M1256" s="179"/>
      <c r="N1256" s="179"/>
      <c r="O1256" s="179"/>
      <c r="P1256" s="179">
        <v>18</v>
      </c>
      <c r="Q1256" s="179"/>
      <c r="R1256" s="180">
        <v>60</v>
      </c>
    </row>
    <row r="1257" spans="1:18">
      <c r="A1257" s="10"/>
      <c r="B1257" s="58">
        <v>46217</v>
      </c>
      <c r="C1257" s="166"/>
      <c r="D1257" s="179"/>
      <c r="E1257" s="179"/>
      <c r="F1257" s="179">
        <v>15</v>
      </c>
      <c r="G1257" s="179">
        <v>24</v>
      </c>
      <c r="H1257" s="179"/>
      <c r="I1257" s="179"/>
      <c r="J1257" s="179"/>
      <c r="K1257" s="179">
        <v>19</v>
      </c>
      <c r="L1257" s="179"/>
      <c r="M1257" s="179"/>
      <c r="N1257" s="179">
        <v>14</v>
      </c>
      <c r="O1257" s="179"/>
      <c r="P1257" s="179"/>
      <c r="Q1257" s="179">
        <v>18</v>
      </c>
      <c r="R1257" s="180">
        <v>90</v>
      </c>
    </row>
    <row r="1258" spans="1:18">
      <c r="A1258" s="10"/>
      <c r="B1258" s="58">
        <v>46218</v>
      </c>
      <c r="C1258" s="166"/>
      <c r="D1258" s="179"/>
      <c r="E1258" s="179"/>
      <c r="F1258" s="179"/>
      <c r="G1258" s="179"/>
      <c r="H1258" s="179"/>
      <c r="I1258" s="179">
        <v>24</v>
      </c>
      <c r="J1258" s="179"/>
      <c r="K1258" s="179"/>
      <c r="L1258" s="179"/>
      <c r="M1258" s="179"/>
      <c r="N1258" s="179"/>
      <c r="O1258" s="179"/>
      <c r="P1258" s="179"/>
      <c r="Q1258" s="179"/>
      <c r="R1258" s="180">
        <v>24</v>
      </c>
    </row>
    <row r="1259" spans="1:18">
      <c r="A1259" s="10"/>
      <c r="B1259" s="58">
        <v>46219</v>
      </c>
      <c r="C1259" s="166"/>
      <c r="D1259" s="179"/>
      <c r="E1259" s="179"/>
      <c r="F1259" s="179"/>
      <c r="G1259" s="179"/>
      <c r="H1259" s="179"/>
      <c r="I1259" s="179"/>
      <c r="J1259" s="179"/>
      <c r="K1259" s="179">
        <v>19</v>
      </c>
      <c r="L1259" s="179"/>
      <c r="M1259" s="179"/>
      <c r="N1259" s="179"/>
      <c r="O1259" s="179"/>
      <c r="P1259" s="179">
        <v>30</v>
      </c>
      <c r="Q1259" s="179"/>
      <c r="R1259" s="180">
        <v>49</v>
      </c>
    </row>
    <row r="1260" spans="1:18">
      <c r="A1260" s="10"/>
      <c r="B1260" s="58">
        <v>46220</v>
      </c>
      <c r="C1260" s="166"/>
      <c r="D1260" s="179"/>
      <c r="E1260" s="179"/>
      <c r="F1260" s="179"/>
      <c r="G1260" s="179"/>
      <c r="H1260" s="179"/>
      <c r="I1260" s="179"/>
      <c r="J1260" s="179">
        <v>17</v>
      </c>
      <c r="K1260" s="179"/>
      <c r="L1260" s="179"/>
      <c r="M1260" s="179"/>
      <c r="N1260" s="179"/>
      <c r="O1260" s="179"/>
      <c r="P1260" s="179"/>
      <c r="Q1260" s="179"/>
      <c r="R1260" s="180">
        <v>17</v>
      </c>
    </row>
    <row r="1261" spans="1:18">
      <c r="A1261" s="10"/>
      <c r="B1261" s="58">
        <v>46221</v>
      </c>
      <c r="C1261" s="166"/>
      <c r="D1261" s="179"/>
      <c r="E1261" s="179"/>
      <c r="F1261" s="179"/>
      <c r="G1261" s="179"/>
      <c r="H1261" s="179"/>
      <c r="I1261" s="179">
        <v>40</v>
      </c>
      <c r="J1261" s="179"/>
      <c r="K1261" s="179"/>
      <c r="L1261" s="179"/>
      <c r="M1261" s="179"/>
      <c r="N1261" s="179"/>
      <c r="O1261" s="179"/>
      <c r="P1261" s="179"/>
      <c r="Q1261" s="179"/>
      <c r="R1261" s="180">
        <v>40</v>
      </c>
    </row>
    <row r="1262" spans="1:18">
      <c r="A1262" s="10"/>
      <c r="B1262" s="58">
        <v>46222</v>
      </c>
      <c r="C1262" s="166"/>
      <c r="D1262" s="179">
        <v>28</v>
      </c>
      <c r="E1262" s="179"/>
      <c r="F1262" s="179"/>
      <c r="G1262" s="179"/>
      <c r="H1262" s="179"/>
      <c r="I1262" s="179">
        <v>21</v>
      </c>
      <c r="J1262" s="179"/>
      <c r="K1262" s="179"/>
      <c r="L1262" s="179"/>
      <c r="M1262" s="179"/>
      <c r="N1262" s="179">
        <v>20</v>
      </c>
      <c r="O1262" s="179"/>
      <c r="P1262" s="179"/>
      <c r="Q1262" s="179"/>
      <c r="R1262" s="180">
        <v>69</v>
      </c>
    </row>
    <row r="1263" spans="1:18">
      <c r="A1263" s="10"/>
      <c r="B1263" s="58">
        <v>46223</v>
      </c>
      <c r="C1263" s="166">
        <v>24</v>
      </c>
      <c r="D1263" s="179"/>
      <c r="E1263" s="179"/>
      <c r="F1263" s="179"/>
      <c r="G1263" s="179"/>
      <c r="H1263" s="179"/>
      <c r="I1263" s="179"/>
      <c r="J1263" s="179"/>
      <c r="K1263" s="179"/>
      <c r="L1263" s="179"/>
      <c r="M1263" s="179"/>
      <c r="N1263" s="179"/>
      <c r="O1263" s="179"/>
      <c r="P1263" s="179"/>
      <c r="Q1263" s="179"/>
      <c r="R1263" s="180">
        <v>24</v>
      </c>
    </row>
    <row r="1264" spans="1:18">
      <c r="A1264" s="10"/>
      <c r="B1264" s="58">
        <v>46224</v>
      </c>
      <c r="C1264" s="166"/>
      <c r="D1264" s="179">
        <v>25</v>
      </c>
      <c r="E1264" s="179"/>
      <c r="F1264" s="179"/>
      <c r="G1264" s="179"/>
      <c r="H1264" s="179"/>
      <c r="I1264" s="179"/>
      <c r="J1264" s="179"/>
      <c r="K1264" s="179"/>
      <c r="L1264" s="179"/>
      <c r="M1264" s="179"/>
      <c r="N1264" s="179"/>
      <c r="O1264" s="179"/>
      <c r="P1264" s="179"/>
      <c r="Q1264" s="179"/>
      <c r="R1264" s="180">
        <v>25</v>
      </c>
    </row>
    <row r="1265" spans="1:18">
      <c r="A1265" s="10"/>
      <c r="B1265" s="58">
        <v>46227</v>
      </c>
      <c r="C1265" s="166"/>
      <c r="D1265" s="179"/>
      <c r="E1265" s="179"/>
      <c r="F1265" s="179"/>
      <c r="G1265" s="179"/>
      <c r="H1265" s="179"/>
      <c r="I1265" s="179"/>
      <c r="J1265" s="179">
        <v>25</v>
      </c>
      <c r="K1265" s="179"/>
      <c r="L1265" s="179"/>
      <c r="M1265" s="179"/>
      <c r="N1265" s="179"/>
      <c r="O1265" s="179"/>
      <c r="P1265" s="179"/>
      <c r="Q1265" s="179"/>
      <c r="R1265" s="180">
        <v>25</v>
      </c>
    </row>
    <row r="1266" spans="1:18">
      <c r="A1266" s="10"/>
      <c r="B1266" s="58">
        <v>46228</v>
      </c>
      <c r="C1266" s="166"/>
      <c r="D1266" s="179"/>
      <c r="E1266" s="179"/>
      <c r="F1266" s="179"/>
      <c r="G1266" s="179"/>
      <c r="H1266" s="179">
        <v>32</v>
      </c>
      <c r="I1266" s="179"/>
      <c r="J1266" s="179"/>
      <c r="K1266" s="179"/>
      <c r="L1266" s="179"/>
      <c r="M1266" s="179"/>
      <c r="N1266" s="179"/>
      <c r="O1266" s="179"/>
      <c r="P1266" s="179"/>
      <c r="Q1266" s="179"/>
      <c r="R1266" s="180">
        <v>32</v>
      </c>
    </row>
    <row r="1267" spans="1:18">
      <c r="A1267" s="10"/>
      <c r="B1267" s="58">
        <v>46232</v>
      </c>
      <c r="C1267" s="166">
        <v>30</v>
      </c>
      <c r="D1267" s="179"/>
      <c r="E1267" s="179"/>
      <c r="F1267" s="179"/>
      <c r="G1267" s="179"/>
      <c r="H1267" s="179"/>
      <c r="I1267" s="179"/>
      <c r="J1267" s="179"/>
      <c r="K1267" s="179"/>
      <c r="L1267" s="179"/>
      <c r="M1267" s="179"/>
      <c r="N1267" s="179"/>
      <c r="O1267" s="179"/>
      <c r="P1267" s="179"/>
      <c r="Q1267" s="179"/>
      <c r="R1267" s="180">
        <v>30</v>
      </c>
    </row>
    <row r="1268" spans="1:18">
      <c r="A1268" s="42" t="s">
        <v>3122</v>
      </c>
      <c r="B1268" s="59"/>
      <c r="C1268" s="170">
        <v>1030</v>
      </c>
      <c r="D1268" s="181">
        <v>1077</v>
      </c>
      <c r="E1268" s="181">
        <v>679</v>
      </c>
      <c r="F1268" s="181">
        <v>954</v>
      </c>
      <c r="G1268" s="181">
        <v>990</v>
      </c>
      <c r="H1268" s="181">
        <v>1055</v>
      </c>
      <c r="I1268" s="181">
        <v>1147</v>
      </c>
      <c r="J1268" s="181">
        <v>1357</v>
      </c>
      <c r="K1268" s="181">
        <v>1000</v>
      </c>
      <c r="L1268" s="181">
        <v>508</v>
      </c>
      <c r="M1268" s="181">
        <v>591</v>
      </c>
      <c r="N1268" s="181">
        <v>870</v>
      </c>
      <c r="O1268" s="181">
        <v>647</v>
      </c>
      <c r="P1268" s="181">
        <v>1271</v>
      </c>
      <c r="Q1268" s="181">
        <v>1059</v>
      </c>
      <c r="R1268" s="182">
        <v>14235</v>
      </c>
    </row>
    <row r="1269" spans="1:18">
      <c r="B1269" t="s">
        <v>3160</v>
      </c>
      <c r="C1269"/>
    </row>
    <row r="1270" spans="1:18">
      <c r="A1270" s="40" t="s">
        <v>3830</v>
      </c>
      <c r="B1270"/>
      <c r="C1270"/>
    </row>
    <row r="1271" spans="1:18">
      <c r="A1271" s="11" t="s">
        <v>3219</v>
      </c>
      <c r="B1271" s="11" t="s">
        <v>2</v>
      </c>
      <c r="C1271" s="8" t="s">
        <v>3161</v>
      </c>
      <c r="D1271" s="15" t="s">
        <v>3162</v>
      </c>
      <c r="E1271"/>
      <c r="F1271"/>
      <c r="G1271"/>
      <c r="H1271"/>
      <c r="I1271"/>
      <c r="J1271"/>
      <c r="K1271"/>
      <c r="L1271"/>
      <c r="M1271"/>
    </row>
    <row r="1272" spans="1:18">
      <c r="A1272" s="8" t="s">
        <v>3866</v>
      </c>
      <c r="B1272" s="60">
        <v>46025</v>
      </c>
      <c r="C1272" s="164">
        <v>0</v>
      </c>
      <c r="D1272" s="165">
        <v>8</v>
      </c>
      <c r="E1272"/>
      <c r="F1272"/>
      <c r="G1272"/>
      <c r="H1272"/>
      <c r="I1272"/>
      <c r="J1272"/>
      <c r="K1272"/>
      <c r="L1272"/>
      <c r="M1272"/>
    </row>
    <row r="1273" spans="1:18">
      <c r="A1273" s="10"/>
      <c r="B1273" s="58">
        <v>46027</v>
      </c>
      <c r="C1273" s="166">
        <v>3</v>
      </c>
      <c r="D1273" s="167">
        <v>11</v>
      </c>
      <c r="E1273"/>
      <c r="F1273"/>
      <c r="G1273"/>
      <c r="H1273"/>
      <c r="I1273"/>
      <c r="J1273"/>
      <c r="K1273"/>
      <c r="L1273"/>
      <c r="M1273"/>
    </row>
    <row r="1274" spans="1:18">
      <c r="A1274" s="10"/>
      <c r="B1274" s="58">
        <v>46029</v>
      </c>
      <c r="C1274" s="166">
        <v>0</v>
      </c>
      <c r="D1274" s="167">
        <v>5</v>
      </c>
      <c r="E1274"/>
      <c r="F1274"/>
      <c r="G1274"/>
      <c r="H1274"/>
      <c r="I1274"/>
      <c r="J1274"/>
      <c r="K1274"/>
      <c r="L1274"/>
      <c r="M1274"/>
    </row>
    <row r="1275" spans="1:18">
      <c r="A1275" s="10"/>
      <c r="B1275" s="58">
        <v>46030</v>
      </c>
      <c r="C1275" s="166">
        <v>5</v>
      </c>
      <c r="D1275" s="167">
        <v>11</v>
      </c>
      <c r="E1275"/>
      <c r="F1275"/>
      <c r="G1275"/>
      <c r="H1275"/>
      <c r="I1275"/>
      <c r="J1275"/>
      <c r="K1275"/>
      <c r="L1275"/>
      <c r="M1275"/>
    </row>
    <row r="1276" spans="1:18">
      <c r="A1276" s="10"/>
      <c r="B1276" s="58">
        <v>46031</v>
      </c>
      <c r="C1276" s="166">
        <v>13</v>
      </c>
      <c r="D1276" s="167">
        <v>21</v>
      </c>
      <c r="E1276"/>
      <c r="F1276"/>
      <c r="G1276"/>
      <c r="H1276"/>
      <c r="I1276"/>
      <c r="J1276"/>
      <c r="K1276"/>
      <c r="L1276"/>
      <c r="M1276"/>
    </row>
    <row r="1277" spans="1:18">
      <c r="A1277" s="10"/>
      <c r="B1277" s="58">
        <v>46035</v>
      </c>
      <c r="C1277" s="166">
        <v>11</v>
      </c>
      <c r="D1277" s="167">
        <v>12</v>
      </c>
      <c r="E1277"/>
      <c r="F1277"/>
      <c r="G1277"/>
      <c r="H1277"/>
      <c r="I1277"/>
      <c r="J1277"/>
      <c r="K1277"/>
      <c r="L1277"/>
      <c r="M1277"/>
    </row>
    <row r="1278" spans="1:18">
      <c r="A1278" s="10"/>
      <c r="B1278" s="58">
        <v>46036</v>
      </c>
      <c r="C1278" s="166">
        <v>20</v>
      </c>
      <c r="D1278" s="167">
        <v>18</v>
      </c>
      <c r="E1278"/>
      <c r="F1278"/>
      <c r="G1278"/>
      <c r="H1278"/>
      <c r="I1278"/>
      <c r="J1278"/>
      <c r="K1278"/>
      <c r="L1278"/>
      <c r="M1278"/>
    </row>
    <row r="1279" spans="1:18">
      <c r="A1279" s="10"/>
      <c r="B1279" s="58">
        <v>46037</v>
      </c>
      <c r="C1279" s="166">
        <v>14</v>
      </c>
      <c r="D1279" s="167">
        <v>19</v>
      </c>
      <c r="E1279"/>
      <c r="F1279"/>
      <c r="G1279"/>
      <c r="H1279"/>
      <c r="I1279"/>
      <c r="J1279"/>
      <c r="K1279"/>
      <c r="L1279"/>
      <c r="M1279"/>
    </row>
    <row r="1280" spans="1:18">
      <c r="A1280" s="10"/>
      <c r="B1280" s="58">
        <v>46038</v>
      </c>
      <c r="C1280" s="166">
        <v>9</v>
      </c>
      <c r="D1280" s="167">
        <v>7</v>
      </c>
      <c r="E1280"/>
      <c r="F1280"/>
      <c r="G1280"/>
      <c r="H1280"/>
      <c r="I1280"/>
      <c r="J1280"/>
      <c r="K1280"/>
      <c r="L1280"/>
      <c r="M1280"/>
    </row>
    <row r="1281" spans="1:13">
      <c r="A1281" s="10"/>
      <c r="B1281" s="58">
        <v>46039</v>
      </c>
      <c r="C1281" s="166">
        <v>50</v>
      </c>
      <c r="D1281" s="167">
        <v>43</v>
      </c>
      <c r="E1281"/>
      <c r="F1281"/>
      <c r="G1281"/>
      <c r="H1281"/>
      <c r="I1281"/>
      <c r="J1281"/>
      <c r="K1281"/>
      <c r="L1281"/>
      <c r="M1281"/>
    </row>
    <row r="1282" spans="1:13">
      <c r="A1282" s="10"/>
      <c r="B1282" s="58">
        <v>46040</v>
      </c>
      <c r="C1282" s="166">
        <v>45</v>
      </c>
      <c r="D1282" s="167">
        <v>52</v>
      </c>
      <c r="E1282"/>
      <c r="F1282"/>
      <c r="G1282"/>
      <c r="H1282"/>
      <c r="I1282"/>
      <c r="J1282"/>
      <c r="K1282"/>
      <c r="L1282"/>
      <c r="M1282"/>
    </row>
    <row r="1283" spans="1:13">
      <c r="A1283" s="10"/>
      <c r="B1283" s="58">
        <v>46041</v>
      </c>
      <c r="C1283" s="166">
        <v>38</v>
      </c>
      <c r="D1283" s="167">
        <v>46</v>
      </c>
      <c r="E1283"/>
      <c r="F1283"/>
      <c r="G1283"/>
      <c r="H1283"/>
      <c r="I1283"/>
      <c r="J1283"/>
      <c r="K1283"/>
      <c r="L1283"/>
      <c r="M1283"/>
    </row>
    <row r="1284" spans="1:13">
      <c r="A1284" s="10"/>
      <c r="B1284" s="58">
        <v>46042</v>
      </c>
      <c r="C1284" s="166">
        <v>54</v>
      </c>
      <c r="D1284" s="167">
        <v>53</v>
      </c>
      <c r="E1284"/>
      <c r="F1284"/>
      <c r="G1284"/>
      <c r="H1284"/>
      <c r="I1284"/>
      <c r="J1284"/>
      <c r="K1284"/>
      <c r="L1284"/>
      <c r="M1284"/>
    </row>
    <row r="1285" spans="1:13">
      <c r="A1285" s="10"/>
      <c r="B1285" s="58">
        <v>46043</v>
      </c>
      <c r="C1285" s="166">
        <v>46</v>
      </c>
      <c r="D1285" s="167">
        <v>49</v>
      </c>
      <c r="E1285"/>
      <c r="F1285"/>
      <c r="G1285"/>
      <c r="H1285"/>
      <c r="I1285"/>
      <c r="J1285"/>
      <c r="K1285"/>
      <c r="L1285"/>
      <c r="M1285"/>
    </row>
    <row r="1286" spans="1:13">
      <c r="A1286" s="10"/>
      <c r="B1286" s="58">
        <v>46044</v>
      </c>
      <c r="C1286" s="166">
        <v>8</v>
      </c>
      <c r="D1286" s="167">
        <v>13</v>
      </c>
      <c r="E1286"/>
      <c r="F1286"/>
      <c r="G1286"/>
      <c r="H1286"/>
      <c r="I1286"/>
      <c r="J1286"/>
      <c r="K1286"/>
      <c r="L1286"/>
      <c r="M1286"/>
    </row>
    <row r="1287" spans="1:13">
      <c r="A1287" s="10"/>
      <c r="B1287" s="58">
        <v>46045</v>
      </c>
      <c r="C1287" s="166">
        <v>35</v>
      </c>
      <c r="D1287" s="167">
        <v>40</v>
      </c>
      <c r="E1287"/>
      <c r="F1287"/>
      <c r="G1287"/>
      <c r="H1287"/>
      <c r="I1287"/>
      <c r="J1287"/>
      <c r="K1287"/>
      <c r="L1287"/>
      <c r="M1287"/>
    </row>
    <row r="1288" spans="1:13">
      <c r="A1288" s="10"/>
      <c r="B1288" s="58">
        <v>46046</v>
      </c>
      <c r="C1288" s="166">
        <v>121</v>
      </c>
      <c r="D1288" s="167">
        <v>78</v>
      </c>
      <c r="E1288"/>
      <c r="F1288"/>
      <c r="G1288"/>
      <c r="H1288"/>
      <c r="I1288"/>
      <c r="J1288"/>
      <c r="K1288"/>
      <c r="L1288"/>
      <c r="M1288"/>
    </row>
    <row r="1289" spans="1:13">
      <c r="A1289" s="10"/>
      <c r="B1289" s="58">
        <v>46047</v>
      </c>
      <c r="C1289" s="166">
        <v>60</v>
      </c>
      <c r="D1289" s="167">
        <v>68</v>
      </c>
      <c r="E1289"/>
      <c r="F1289"/>
      <c r="G1289"/>
      <c r="H1289"/>
      <c r="I1289"/>
      <c r="J1289"/>
      <c r="K1289"/>
      <c r="L1289"/>
      <c r="M1289"/>
    </row>
    <row r="1290" spans="1:13">
      <c r="A1290" s="10"/>
      <c r="B1290" s="58">
        <v>46048</v>
      </c>
      <c r="C1290" s="166">
        <v>85</v>
      </c>
      <c r="D1290" s="167">
        <v>66</v>
      </c>
      <c r="E1290"/>
      <c r="F1290"/>
      <c r="G1290"/>
      <c r="H1290"/>
      <c r="I1290"/>
      <c r="J1290"/>
      <c r="K1290"/>
      <c r="L1290"/>
      <c r="M1290"/>
    </row>
    <row r="1291" spans="1:13">
      <c r="A1291" s="10"/>
      <c r="B1291" s="58">
        <v>46049</v>
      </c>
      <c r="C1291" s="166">
        <v>80</v>
      </c>
      <c r="D1291" s="167">
        <v>66</v>
      </c>
      <c r="E1291"/>
      <c r="F1291"/>
      <c r="G1291"/>
      <c r="H1291"/>
      <c r="I1291"/>
      <c r="J1291"/>
      <c r="K1291"/>
      <c r="L1291"/>
      <c r="M1291"/>
    </row>
    <row r="1292" spans="1:13">
      <c r="A1292" s="10"/>
      <c r="B1292" s="58">
        <v>46050</v>
      </c>
      <c r="C1292" s="166">
        <v>93</v>
      </c>
      <c r="D1292" s="167">
        <v>86</v>
      </c>
      <c r="E1292"/>
      <c r="F1292"/>
      <c r="G1292"/>
      <c r="H1292"/>
      <c r="I1292"/>
      <c r="J1292"/>
      <c r="K1292"/>
      <c r="L1292"/>
      <c r="M1292"/>
    </row>
    <row r="1293" spans="1:13">
      <c r="A1293" s="10"/>
      <c r="B1293" s="58">
        <v>46051</v>
      </c>
      <c r="C1293" s="166">
        <v>108</v>
      </c>
      <c r="D1293" s="167">
        <v>75</v>
      </c>
      <c r="E1293"/>
      <c r="F1293"/>
      <c r="G1293"/>
      <c r="H1293"/>
      <c r="I1293"/>
      <c r="J1293"/>
      <c r="K1293"/>
      <c r="L1293"/>
      <c r="M1293"/>
    </row>
    <row r="1294" spans="1:13">
      <c r="A1294" s="10"/>
      <c r="B1294" s="58">
        <v>46052</v>
      </c>
      <c r="C1294" s="166">
        <v>77</v>
      </c>
      <c r="D1294" s="167">
        <v>91</v>
      </c>
      <c r="E1294"/>
      <c r="F1294"/>
      <c r="G1294"/>
      <c r="H1294"/>
      <c r="I1294"/>
      <c r="J1294"/>
      <c r="K1294"/>
      <c r="L1294"/>
      <c r="M1294"/>
    </row>
    <row r="1295" spans="1:13">
      <c r="A1295" s="10"/>
      <c r="B1295" s="58">
        <v>46053</v>
      </c>
      <c r="C1295" s="166">
        <v>68</v>
      </c>
      <c r="D1295" s="167">
        <v>58</v>
      </c>
      <c r="E1295"/>
      <c r="F1295"/>
      <c r="G1295"/>
      <c r="H1295"/>
      <c r="I1295"/>
      <c r="J1295"/>
      <c r="K1295"/>
      <c r="L1295"/>
      <c r="M1295"/>
    </row>
    <row r="1296" spans="1:13">
      <c r="A1296" s="8" t="s">
        <v>3867</v>
      </c>
      <c r="B1296" s="60">
        <v>46054</v>
      </c>
      <c r="C1296" s="164">
        <v>39</v>
      </c>
      <c r="D1296" s="165">
        <v>40</v>
      </c>
      <c r="E1296"/>
      <c r="F1296"/>
      <c r="G1296"/>
      <c r="H1296"/>
      <c r="I1296"/>
      <c r="J1296"/>
      <c r="K1296"/>
      <c r="L1296"/>
      <c r="M1296"/>
    </row>
    <row r="1297" spans="1:13">
      <c r="A1297" s="10"/>
      <c r="B1297" s="58">
        <v>46055</v>
      </c>
      <c r="C1297" s="166">
        <v>45</v>
      </c>
      <c r="D1297" s="167">
        <v>29</v>
      </c>
      <c r="E1297"/>
      <c r="F1297"/>
      <c r="G1297"/>
      <c r="H1297"/>
      <c r="I1297"/>
      <c r="J1297"/>
      <c r="K1297"/>
      <c r="L1297"/>
      <c r="M1297"/>
    </row>
    <row r="1298" spans="1:13">
      <c r="A1298" s="10"/>
      <c r="B1298" s="58">
        <v>46056</v>
      </c>
      <c r="C1298" s="166">
        <v>55</v>
      </c>
      <c r="D1298" s="167">
        <v>59</v>
      </c>
      <c r="E1298"/>
      <c r="F1298"/>
      <c r="G1298"/>
      <c r="H1298"/>
      <c r="I1298"/>
      <c r="J1298"/>
      <c r="K1298"/>
      <c r="L1298"/>
      <c r="M1298"/>
    </row>
    <row r="1299" spans="1:13">
      <c r="A1299" s="10"/>
      <c r="B1299" s="58">
        <v>46057</v>
      </c>
      <c r="C1299" s="166">
        <v>93</v>
      </c>
      <c r="D1299" s="167">
        <v>70</v>
      </c>
      <c r="E1299"/>
      <c r="F1299"/>
      <c r="G1299"/>
      <c r="H1299"/>
      <c r="I1299"/>
      <c r="J1299"/>
      <c r="K1299"/>
      <c r="L1299"/>
      <c r="M1299"/>
    </row>
    <row r="1300" spans="1:13">
      <c r="A1300" s="10"/>
      <c r="B1300" s="58">
        <v>46058</v>
      </c>
      <c r="C1300" s="166">
        <v>58</v>
      </c>
      <c r="D1300" s="167">
        <v>65</v>
      </c>
      <c r="E1300"/>
      <c r="F1300"/>
      <c r="G1300"/>
      <c r="H1300"/>
      <c r="I1300"/>
      <c r="J1300"/>
      <c r="K1300"/>
      <c r="L1300"/>
      <c r="M1300"/>
    </row>
    <row r="1301" spans="1:13">
      <c r="A1301" s="10"/>
      <c r="B1301" s="58">
        <v>46059</v>
      </c>
      <c r="C1301" s="166">
        <v>107</v>
      </c>
      <c r="D1301" s="167">
        <v>80</v>
      </c>
      <c r="E1301"/>
      <c r="F1301"/>
      <c r="G1301"/>
      <c r="H1301"/>
      <c r="I1301"/>
      <c r="J1301"/>
      <c r="K1301"/>
      <c r="L1301"/>
      <c r="M1301"/>
    </row>
    <row r="1302" spans="1:13">
      <c r="A1302" s="10"/>
      <c r="B1302" s="58">
        <v>46060</v>
      </c>
      <c r="C1302" s="166">
        <v>28</v>
      </c>
      <c r="D1302" s="167">
        <v>40</v>
      </c>
      <c r="E1302"/>
      <c r="F1302"/>
      <c r="G1302"/>
      <c r="H1302"/>
      <c r="I1302"/>
      <c r="J1302"/>
      <c r="K1302"/>
      <c r="L1302"/>
      <c r="M1302"/>
    </row>
    <row r="1303" spans="1:13">
      <c r="A1303" s="10"/>
      <c r="B1303" s="58">
        <v>46061</v>
      </c>
      <c r="C1303" s="166">
        <v>22</v>
      </c>
      <c r="D1303" s="167">
        <v>15</v>
      </c>
      <c r="E1303"/>
      <c r="F1303"/>
      <c r="G1303"/>
      <c r="H1303"/>
      <c r="I1303"/>
      <c r="J1303"/>
      <c r="K1303"/>
      <c r="L1303"/>
      <c r="M1303"/>
    </row>
    <row r="1304" spans="1:13">
      <c r="A1304" s="10"/>
      <c r="B1304" s="58">
        <v>46062</v>
      </c>
      <c r="C1304" s="166">
        <v>57</v>
      </c>
      <c r="D1304" s="167">
        <v>43</v>
      </c>
      <c r="E1304"/>
      <c r="F1304"/>
      <c r="G1304"/>
      <c r="H1304"/>
      <c r="I1304"/>
      <c r="J1304"/>
      <c r="K1304"/>
      <c r="L1304"/>
      <c r="M1304"/>
    </row>
    <row r="1305" spans="1:13">
      <c r="A1305" s="10"/>
      <c r="B1305" s="58">
        <v>46063</v>
      </c>
      <c r="C1305" s="166">
        <v>84</v>
      </c>
      <c r="D1305" s="167">
        <v>71</v>
      </c>
      <c r="E1305"/>
      <c r="F1305"/>
      <c r="G1305"/>
      <c r="H1305"/>
      <c r="I1305"/>
      <c r="J1305"/>
      <c r="K1305"/>
      <c r="L1305"/>
      <c r="M1305"/>
    </row>
    <row r="1306" spans="1:13">
      <c r="A1306" s="10"/>
      <c r="B1306" s="58">
        <v>46064</v>
      </c>
      <c r="C1306" s="166">
        <v>117</v>
      </c>
      <c r="D1306" s="167">
        <v>96</v>
      </c>
      <c r="E1306"/>
      <c r="F1306"/>
      <c r="G1306"/>
      <c r="H1306"/>
      <c r="I1306"/>
      <c r="J1306"/>
      <c r="K1306"/>
      <c r="L1306"/>
      <c r="M1306"/>
    </row>
    <row r="1307" spans="1:13">
      <c r="A1307" s="10"/>
      <c r="B1307" s="58">
        <v>46065</v>
      </c>
      <c r="C1307" s="166">
        <v>85</v>
      </c>
      <c r="D1307" s="167">
        <v>99</v>
      </c>
      <c r="E1307"/>
      <c r="F1307"/>
      <c r="G1307"/>
      <c r="H1307"/>
      <c r="I1307"/>
      <c r="J1307"/>
      <c r="K1307"/>
      <c r="L1307"/>
      <c r="M1307"/>
    </row>
    <row r="1308" spans="1:13">
      <c r="A1308" s="10"/>
      <c r="B1308" s="58">
        <v>46066</v>
      </c>
      <c r="C1308" s="166">
        <v>77</v>
      </c>
      <c r="D1308" s="167">
        <v>43</v>
      </c>
      <c r="E1308"/>
      <c r="F1308"/>
      <c r="G1308"/>
      <c r="H1308"/>
      <c r="I1308"/>
      <c r="J1308"/>
      <c r="K1308"/>
      <c r="L1308"/>
      <c r="M1308"/>
    </row>
    <row r="1309" spans="1:13">
      <c r="A1309" s="10"/>
      <c r="B1309" s="58">
        <v>46067</v>
      </c>
      <c r="C1309" s="166">
        <v>110</v>
      </c>
      <c r="D1309" s="167">
        <v>112</v>
      </c>
      <c r="E1309"/>
      <c r="F1309"/>
      <c r="G1309"/>
      <c r="H1309"/>
      <c r="I1309"/>
      <c r="J1309"/>
      <c r="K1309"/>
      <c r="L1309"/>
      <c r="M1309"/>
    </row>
    <row r="1310" spans="1:13">
      <c r="A1310" s="10"/>
      <c r="B1310" s="58">
        <v>46068</v>
      </c>
      <c r="C1310" s="166">
        <v>65</v>
      </c>
      <c r="D1310" s="167">
        <v>65</v>
      </c>
      <c r="E1310"/>
      <c r="F1310"/>
      <c r="G1310"/>
      <c r="H1310"/>
      <c r="I1310"/>
      <c r="J1310"/>
      <c r="K1310"/>
      <c r="L1310"/>
      <c r="M1310"/>
    </row>
    <row r="1311" spans="1:13">
      <c r="A1311" s="10"/>
      <c r="B1311" s="58">
        <v>46069</v>
      </c>
      <c r="C1311" s="166">
        <v>63</v>
      </c>
      <c r="D1311" s="167">
        <v>60</v>
      </c>
      <c r="E1311"/>
      <c r="F1311"/>
      <c r="G1311"/>
      <c r="H1311"/>
      <c r="I1311"/>
      <c r="J1311"/>
      <c r="K1311"/>
      <c r="L1311"/>
      <c r="M1311"/>
    </row>
    <row r="1312" spans="1:13">
      <c r="A1312" s="10"/>
      <c r="B1312" s="58">
        <v>46070</v>
      </c>
      <c r="C1312" s="166">
        <v>81</v>
      </c>
      <c r="D1312" s="167">
        <v>76</v>
      </c>
      <c r="E1312"/>
      <c r="F1312"/>
      <c r="G1312"/>
      <c r="H1312"/>
      <c r="I1312"/>
      <c r="J1312"/>
      <c r="K1312"/>
      <c r="L1312"/>
      <c r="M1312"/>
    </row>
    <row r="1313" spans="1:4" customFormat="1">
      <c r="A1313" s="10"/>
      <c r="B1313" s="58">
        <v>46071</v>
      </c>
      <c r="C1313" s="166">
        <v>119</v>
      </c>
      <c r="D1313" s="167">
        <v>84</v>
      </c>
    </row>
    <row r="1314" spans="1:4" customFormat="1">
      <c r="A1314" s="10"/>
      <c r="B1314" s="58">
        <v>46072</v>
      </c>
      <c r="C1314" s="166">
        <v>68</v>
      </c>
      <c r="D1314" s="167">
        <v>51</v>
      </c>
    </row>
    <row r="1315" spans="1:4" customFormat="1">
      <c r="A1315" s="10"/>
      <c r="B1315" s="58">
        <v>46073</v>
      </c>
      <c r="C1315" s="166">
        <v>121</v>
      </c>
      <c r="D1315" s="167">
        <v>103</v>
      </c>
    </row>
    <row r="1316" spans="1:4" customFormat="1">
      <c r="A1316" s="10"/>
      <c r="B1316" s="58">
        <v>46074</v>
      </c>
      <c r="C1316" s="166">
        <v>98</v>
      </c>
      <c r="D1316" s="167">
        <v>84</v>
      </c>
    </row>
    <row r="1317" spans="1:4" customFormat="1">
      <c r="A1317" s="10"/>
      <c r="B1317" s="58">
        <v>46075</v>
      </c>
      <c r="C1317" s="166">
        <v>90</v>
      </c>
      <c r="D1317" s="167">
        <v>72</v>
      </c>
    </row>
    <row r="1318" spans="1:4" customFormat="1">
      <c r="A1318" s="10"/>
      <c r="B1318" s="58">
        <v>46076</v>
      </c>
      <c r="C1318" s="166">
        <v>83</v>
      </c>
      <c r="D1318" s="167">
        <v>67</v>
      </c>
    </row>
    <row r="1319" spans="1:4" customFormat="1">
      <c r="A1319" s="10"/>
      <c r="B1319" s="58">
        <v>46077</v>
      </c>
      <c r="C1319" s="166">
        <v>132</v>
      </c>
      <c r="D1319" s="167">
        <v>134</v>
      </c>
    </row>
    <row r="1320" spans="1:4" customFormat="1">
      <c r="A1320" s="10"/>
      <c r="B1320" s="58">
        <v>46078</v>
      </c>
      <c r="C1320" s="166">
        <v>128</v>
      </c>
      <c r="D1320" s="167">
        <v>89</v>
      </c>
    </row>
    <row r="1321" spans="1:4" customFormat="1">
      <c r="A1321" s="10"/>
      <c r="B1321" s="58">
        <v>46079</v>
      </c>
      <c r="C1321" s="166">
        <v>60</v>
      </c>
      <c r="D1321" s="167">
        <v>49</v>
      </c>
    </row>
    <row r="1322" spans="1:4" customFormat="1">
      <c r="A1322" s="10"/>
      <c r="B1322" s="58">
        <v>46080</v>
      </c>
      <c r="C1322" s="166">
        <v>56</v>
      </c>
      <c r="D1322" s="167">
        <v>39</v>
      </c>
    </row>
    <row r="1323" spans="1:4" customFormat="1">
      <c r="A1323" s="10"/>
      <c r="B1323" s="58">
        <v>46081</v>
      </c>
      <c r="C1323" s="166">
        <v>96</v>
      </c>
      <c r="D1323" s="167">
        <v>89</v>
      </c>
    </row>
    <row r="1324" spans="1:4" customFormat="1">
      <c r="A1324" s="8" t="s">
        <v>3868</v>
      </c>
      <c r="B1324" s="60">
        <v>46082</v>
      </c>
      <c r="C1324" s="164">
        <v>124</v>
      </c>
      <c r="D1324" s="165">
        <v>79</v>
      </c>
    </row>
    <row r="1325" spans="1:4" customFormat="1">
      <c r="A1325" s="10"/>
      <c r="B1325" s="58">
        <v>46083</v>
      </c>
      <c r="C1325" s="166">
        <v>131</v>
      </c>
      <c r="D1325" s="167">
        <v>103</v>
      </c>
    </row>
    <row r="1326" spans="1:4" customFormat="1">
      <c r="A1326" s="10"/>
      <c r="B1326" s="58">
        <v>46084</v>
      </c>
      <c r="C1326" s="166">
        <v>18</v>
      </c>
      <c r="D1326" s="167">
        <v>8</v>
      </c>
    </row>
    <row r="1327" spans="1:4" customFormat="1">
      <c r="A1327" s="10"/>
      <c r="B1327" s="58">
        <v>46085</v>
      </c>
      <c r="C1327" s="166">
        <v>126</v>
      </c>
      <c r="D1327" s="167">
        <v>115</v>
      </c>
    </row>
    <row r="1328" spans="1:4" customFormat="1">
      <c r="A1328" s="10"/>
      <c r="B1328" s="58">
        <v>46086</v>
      </c>
      <c r="C1328" s="166">
        <v>109</v>
      </c>
      <c r="D1328" s="167">
        <v>111</v>
      </c>
    </row>
    <row r="1329" spans="1:4" customFormat="1">
      <c r="A1329" s="10"/>
      <c r="B1329" s="58">
        <v>46087</v>
      </c>
      <c r="C1329" s="166">
        <v>58</v>
      </c>
      <c r="D1329" s="167">
        <v>46</v>
      </c>
    </row>
    <row r="1330" spans="1:4" customFormat="1">
      <c r="A1330" s="10"/>
      <c r="B1330" s="58">
        <v>46088</v>
      </c>
      <c r="C1330" s="166">
        <v>13</v>
      </c>
      <c r="D1330" s="167">
        <v>19</v>
      </c>
    </row>
    <row r="1331" spans="1:4" customFormat="1">
      <c r="A1331" s="10"/>
      <c r="B1331" s="58">
        <v>46089</v>
      </c>
      <c r="C1331" s="166">
        <v>48</v>
      </c>
      <c r="D1331" s="167">
        <v>31</v>
      </c>
    </row>
    <row r="1332" spans="1:4" customFormat="1">
      <c r="A1332" s="10"/>
      <c r="B1332" s="58">
        <v>46090</v>
      </c>
      <c r="C1332" s="166">
        <v>50</v>
      </c>
      <c r="D1332" s="167">
        <v>50</v>
      </c>
    </row>
    <row r="1333" spans="1:4" customFormat="1">
      <c r="A1333" s="10"/>
      <c r="B1333" s="58">
        <v>46091</v>
      </c>
      <c r="C1333" s="166">
        <v>105</v>
      </c>
      <c r="D1333" s="167">
        <v>78</v>
      </c>
    </row>
    <row r="1334" spans="1:4" customFormat="1">
      <c r="A1334" s="10"/>
      <c r="B1334" s="58">
        <v>46092</v>
      </c>
      <c r="C1334" s="166">
        <v>123</v>
      </c>
      <c r="D1334" s="167">
        <v>100</v>
      </c>
    </row>
    <row r="1335" spans="1:4" customFormat="1">
      <c r="A1335" s="10"/>
      <c r="B1335" s="58">
        <v>46093</v>
      </c>
      <c r="C1335" s="166">
        <v>56</v>
      </c>
      <c r="D1335" s="167">
        <v>47</v>
      </c>
    </row>
    <row r="1336" spans="1:4" customFormat="1">
      <c r="A1336" s="10"/>
      <c r="B1336" s="58">
        <v>46094</v>
      </c>
      <c r="C1336" s="166">
        <v>62</v>
      </c>
      <c r="D1336" s="167">
        <v>59</v>
      </c>
    </row>
    <row r="1337" spans="1:4" customFormat="1">
      <c r="A1337" s="10"/>
      <c r="B1337" s="58">
        <v>46095</v>
      </c>
      <c r="C1337" s="166">
        <v>46</v>
      </c>
      <c r="D1337" s="167">
        <v>30</v>
      </c>
    </row>
    <row r="1338" spans="1:4" customFormat="1">
      <c r="A1338" s="10"/>
      <c r="B1338" s="58">
        <v>46096</v>
      </c>
      <c r="C1338" s="166">
        <v>45</v>
      </c>
      <c r="D1338" s="167">
        <v>39</v>
      </c>
    </row>
    <row r="1339" spans="1:4" customFormat="1">
      <c r="A1339" s="10"/>
      <c r="B1339" s="58">
        <v>46097</v>
      </c>
      <c r="C1339" s="166">
        <v>103</v>
      </c>
      <c r="D1339" s="167">
        <v>92</v>
      </c>
    </row>
    <row r="1340" spans="1:4" customFormat="1">
      <c r="A1340" s="10"/>
      <c r="B1340" s="58">
        <v>46098</v>
      </c>
      <c r="C1340" s="166">
        <v>54</v>
      </c>
      <c r="D1340" s="167">
        <v>66</v>
      </c>
    </row>
    <row r="1341" spans="1:4" customFormat="1">
      <c r="A1341" s="10"/>
      <c r="B1341" s="58">
        <v>46099</v>
      </c>
      <c r="C1341" s="166">
        <v>65</v>
      </c>
      <c r="D1341" s="167">
        <v>75</v>
      </c>
    </row>
    <row r="1342" spans="1:4" customFormat="1">
      <c r="A1342" s="10"/>
      <c r="B1342" s="58">
        <v>46100</v>
      </c>
      <c r="C1342" s="166">
        <v>105</v>
      </c>
      <c r="D1342" s="167">
        <v>108</v>
      </c>
    </row>
    <row r="1343" spans="1:4" customFormat="1">
      <c r="A1343" s="10"/>
      <c r="B1343" s="58">
        <v>46101</v>
      </c>
      <c r="C1343" s="166">
        <v>18</v>
      </c>
      <c r="D1343" s="167">
        <v>19</v>
      </c>
    </row>
    <row r="1344" spans="1:4" customFormat="1">
      <c r="A1344" s="10"/>
      <c r="B1344" s="58">
        <v>46102</v>
      </c>
      <c r="C1344" s="166">
        <v>124</v>
      </c>
      <c r="D1344" s="167">
        <v>114</v>
      </c>
    </row>
    <row r="1345" spans="1:4" customFormat="1">
      <c r="A1345" s="10"/>
      <c r="B1345" s="58">
        <v>46103</v>
      </c>
      <c r="C1345" s="166">
        <v>23</v>
      </c>
      <c r="D1345" s="167">
        <v>25</v>
      </c>
    </row>
    <row r="1346" spans="1:4" customFormat="1">
      <c r="A1346" s="10"/>
      <c r="B1346" s="58">
        <v>46104</v>
      </c>
      <c r="C1346" s="166">
        <v>105</v>
      </c>
      <c r="D1346" s="167">
        <v>93</v>
      </c>
    </row>
    <row r="1347" spans="1:4" customFormat="1">
      <c r="A1347" s="10"/>
      <c r="B1347" s="58">
        <v>46105</v>
      </c>
      <c r="C1347" s="166">
        <v>62</v>
      </c>
      <c r="D1347" s="167">
        <v>49</v>
      </c>
    </row>
    <row r="1348" spans="1:4" customFormat="1">
      <c r="A1348" s="10"/>
      <c r="B1348" s="58">
        <v>46106</v>
      </c>
      <c r="C1348" s="166">
        <v>66</v>
      </c>
      <c r="D1348" s="167">
        <v>42</v>
      </c>
    </row>
    <row r="1349" spans="1:4" customFormat="1">
      <c r="A1349" s="10"/>
      <c r="B1349" s="58">
        <v>46107</v>
      </c>
      <c r="C1349" s="166">
        <v>52</v>
      </c>
      <c r="D1349" s="167">
        <v>49</v>
      </c>
    </row>
    <row r="1350" spans="1:4" customFormat="1">
      <c r="A1350" s="10"/>
      <c r="B1350" s="58">
        <v>46108</v>
      </c>
      <c r="C1350" s="166">
        <v>112</v>
      </c>
      <c r="D1350" s="167">
        <v>111</v>
      </c>
    </row>
    <row r="1351" spans="1:4" customFormat="1">
      <c r="A1351" s="10"/>
      <c r="B1351" s="58">
        <v>46109</v>
      </c>
      <c r="C1351" s="166">
        <v>106</v>
      </c>
      <c r="D1351" s="167">
        <v>76</v>
      </c>
    </row>
    <row r="1352" spans="1:4" customFormat="1">
      <c r="A1352" s="10"/>
      <c r="B1352" s="58">
        <v>46110</v>
      </c>
      <c r="C1352" s="166">
        <v>78</v>
      </c>
      <c r="D1352" s="167">
        <v>49</v>
      </c>
    </row>
    <row r="1353" spans="1:4" customFormat="1">
      <c r="A1353" s="10"/>
      <c r="B1353" s="58">
        <v>46111</v>
      </c>
      <c r="C1353" s="166">
        <v>113</v>
      </c>
      <c r="D1353" s="167">
        <v>87</v>
      </c>
    </row>
    <row r="1354" spans="1:4" customFormat="1">
      <c r="A1354" s="10"/>
      <c r="B1354" s="58">
        <v>46112</v>
      </c>
      <c r="C1354" s="166">
        <v>102</v>
      </c>
      <c r="D1354" s="167">
        <v>109</v>
      </c>
    </row>
    <row r="1355" spans="1:4" customFormat="1">
      <c r="A1355" s="8" t="s">
        <v>3869</v>
      </c>
      <c r="B1355" s="60">
        <v>46113</v>
      </c>
      <c r="C1355" s="164">
        <v>153</v>
      </c>
      <c r="D1355" s="165">
        <v>129</v>
      </c>
    </row>
    <row r="1356" spans="1:4" customFormat="1">
      <c r="A1356" s="10"/>
      <c r="B1356" s="58">
        <v>46114</v>
      </c>
      <c r="C1356" s="166">
        <v>146</v>
      </c>
      <c r="D1356" s="167">
        <v>166</v>
      </c>
    </row>
    <row r="1357" spans="1:4" customFormat="1">
      <c r="A1357" s="10"/>
      <c r="B1357" s="58">
        <v>46115</v>
      </c>
      <c r="C1357" s="166">
        <v>68</v>
      </c>
      <c r="D1357" s="167">
        <v>50</v>
      </c>
    </row>
    <row r="1358" spans="1:4" customFormat="1">
      <c r="A1358" s="10"/>
      <c r="B1358" s="58">
        <v>46116</v>
      </c>
      <c r="C1358" s="166">
        <v>133</v>
      </c>
      <c r="D1358" s="167">
        <v>101</v>
      </c>
    </row>
    <row r="1359" spans="1:4" customFormat="1">
      <c r="A1359" s="10"/>
      <c r="B1359" s="58">
        <v>46117</v>
      </c>
      <c r="C1359" s="166">
        <v>76</v>
      </c>
      <c r="D1359" s="167">
        <v>84</v>
      </c>
    </row>
    <row r="1360" spans="1:4" customFormat="1">
      <c r="A1360" s="10"/>
      <c r="B1360" s="58">
        <v>46118</v>
      </c>
      <c r="C1360" s="166">
        <v>142</v>
      </c>
      <c r="D1360" s="167">
        <v>104</v>
      </c>
    </row>
    <row r="1361" spans="1:4" customFormat="1">
      <c r="A1361" s="10"/>
      <c r="B1361" s="58">
        <v>46119</v>
      </c>
      <c r="C1361" s="166">
        <v>100</v>
      </c>
      <c r="D1361" s="167">
        <v>102</v>
      </c>
    </row>
    <row r="1362" spans="1:4" customFormat="1">
      <c r="A1362" s="10"/>
      <c r="B1362" s="58">
        <v>46120</v>
      </c>
      <c r="C1362" s="166">
        <v>74</v>
      </c>
      <c r="D1362" s="167">
        <v>65</v>
      </c>
    </row>
    <row r="1363" spans="1:4" customFormat="1">
      <c r="A1363" s="10"/>
      <c r="B1363" s="58">
        <v>46121</v>
      </c>
      <c r="C1363" s="166">
        <v>28</v>
      </c>
      <c r="D1363" s="167">
        <v>28</v>
      </c>
    </row>
    <row r="1364" spans="1:4" customFormat="1">
      <c r="A1364" s="10"/>
      <c r="B1364" s="58">
        <v>46122</v>
      </c>
      <c r="C1364" s="166">
        <v>32</v>
      </c>
      <c r="D1364" s="167">
        <v>24</v>
      </c>
    </row>
    <row r="1365" spans="1:4" customFormat="1">
      <c r="A1365" s="10"/>
      <c r="B1365" s="58">
        <v>46123</v>
      </c>
      <c r="C1365" s="166">
        <v>94</v>
      </c>
      <c r="D1365" s="167">
        <v>69</v>
      </c>
    </row>
    <row r="1366" spans="1:4" customFormat="1">
      <c r="A1366" s="10"/>
      <c r="B1366" s="58">
        <v>46124</v>
      </c>
      <c r="C1366" s="166">
        <v>99</v>
      </c>
      <c r="D1366" s="167">
        <v>87</v>
      </c>
    </row>
    <row r="1367" spans="1:4" customFormat="1">
      <c r="A1367" s="10"/>
      <c r="B1367" s="58">
        <v>46125</v>
      </c>
      <c r="C1367" s="166">
        <v>72</v>
      </c>
      <c r="D1367" s="167">
        <v>66</v>
      </c>
    </row>
    <row r="1368" spans="1:4" customFormat="1">
      <c r="A1368" s="10"/>
      <c r="B1368" s="58">
        <v>46126</v>
      </c>
      <c r="C1368" s="166">
        <v>133</v>
      </c>
      <c r="D1368" s="167">
        <v>120</v>
      </c>
    </row>
    <row r="1369" spans="1:4" customFormat="1">
      <c r="A1369" s="10"/>
      <c r="B1369" s="58">
        <v>46127</v>
      </c>
      <c r="C1369" s="166">
        <v>81</v>
      </c>
      <c r="D1369" s="167">
        <v>66</v>
      </c>
    </row>
    <row r="1370" spans="1:4" customFormat="1">
      <c r="A1370" s="10"/>
      <c r="B1370" s="58">
        <v>46128</v>
      </c>
      <c r="C1370" s="166">
        <v>153</v>
      </c>
      <c r="D1370" s="167">
        <v>125</v>
      </c>
    </row>
    <row r="1371" spans="1:4" customFormat="1">
      <c r="A1371" s="10"/>
      <c r="B1371" s="58">
        <v>46129</v>
      </c>
      <c r="C1371" s="166">
        <v>51</v>
      </c>
      <c r="D1371" s="167">
        <v>62</v>
      </c>
    </row>
    <row r="1372" spans="1:4" customFormat="1">
      <c r="A1372" s="10"/>
      <c r="B1372" s="58">
        <v>46130</v>
      </c>
      <c r="C1372" s="166">
        <v>32</v>
      </c>
      <c r="D1372" s="167">
        <v>23</v>
      </c>
    </row>
    <row r="1373" spans="1:4" customFormat="1">
      <c r="A1373" s="10"/>
      <c r="B1373" s="58">
        <v>46131</v>
      </c>
      <c r="C1373" s="166">
        <v>104</v>
      </c>
      <c r="D1373" s="167">
        <v>94</v>
      </c>
    </row>
    <row r="1374" spans="1:4" customFormat="1">
      <c r="A1374" s="10"/>
      <c r="B1374" s="58">
        <v>46132</v>
      </c>
      <c r="C1374" s="166">
        <v>153</v>
      </c>
      <c r="D1374" s="167">
        <v>131</v>
      </c>
    </row>
    <row r="1375" spans="1:4" customFormat="1">
      <c r="A1375" s="10"/>
      <c r="B1375" s="58">
        <v>46133</v>
      </c>
      <c r="C1375" s="166">
        <v>109</v>
      </c>
      <c r="D1375" s="167">
        <v>92</v>
      </c>
    </row>
    <row r="1376" spans="1:4" customFormat="1">
      <c r="A1376" s="10"/>
      <c r="B1376" s="58">
        <v>46134</v>
      </c>
      <c r="C1376" s="166">
        <v>40</v>
      </c>
      <c r="D1376" s="167">
        <v>30</v>
      </c>
    </row>
    <row r="1377" spans="1:4" customFormat="1">
      <c r="A1377" s="10"/>
      <c r="B1377" s="58">
        <v>46135</v>
      </c>
      <c r="C1377" s="166">
        <v>124</v>
      </c>
      <c r="D1377" s="167">
        <v>109</v>
      </c>
    </row>
    <row r="1378" spans="1:4" customFormat="1">
      <c r="A1378" s="10"/>
      <c r="B1378" s="58">
        <v>46136</v>
      </c>
      <c r="C1378" s="166">
        <v>93</v>
      </c>
      <c r="D1378" s="167">
        <v>75</v>
      </c>
    </row>
    <row r="1379" spans="1:4" customFormat="1">
      <c r="A1379" s="10"/>
      <c r="B1379" s="58">
        <v>46137</v>
      </c>
      <c r="C1379" s="166">
        <v>66</v>
      </c>
      <c r="D1379" s="167">
        <v>50</v>
      </c>
    </row>
    <row r="1380" spans="1:4" customFormat="1">
      <c r="A1380" s="10"/>
      <c r="B1380" s="58">
        <v>46138</v>
      </c>
      <c r="C1380" s="166">
        <v>101</v>
      </c>
      <c r="D1380" s="167">
        <v>92</v>
      </c>
    </row>
    <row r="1381" spans="1:4" customFormat="1">
      <c r="A1381" s="10"/>
      <c r="B1381" s="58">
        <v>46139</v>
      </c>
      <c r="C1381" s="166">
        <v>84</v>
      </c>
      <c r="D1381" s="167">
        <v>93</v>
      </c>
    </row>
    <row r="1382" spans="1:4" customFormat="1">
      <c r="A1382" s="10"/>
      <c r="B1382" s="58">
        <v>46140</v>
      </c>
      <c r="C1382" s="166">
        <v>53</v>
      </c>
      <c r="D1382" s="167">
        <v>44</v>
      </c>
    </row>
    <row r="1383" spans="1:4" customFormat="1">
      <c r="A1383" s="10"/>
      <c r="B1383" s="58">
        <v>46141</v>
      </c>
      <c r="C1383" s="166">
        <v>67</v>
      </c>
      <c r="D1383" s="167">
        <v>66</v>
      </c>
    </row>
    <row r="1384" spans="1:4" customFormat="1">
      <c r="A1384" s="10"/>
      <c r="B1384" s="58">
        <v>46142</v>
      </c>
      <c r="C1384" s="166">
        <v>97</v>
      </c>
      <c r="D1384" s="167">
        <v>88</v>
      </c>
    </row>
    <row r="1385" spans="1:4" customFormat="1">
      <c r="A1385" s="8" t="s">
        <v>3159</v>
      </c>
      <c r="B1385" s="60">
        <v>46143</v>
      </c>
      <c r="C1385" s="164">
        <v>78</v>
      </c>
      <c r="D1385" s="165">
        <v>79</v>
      </c>
    </row>
    <row r="1386" spans="1:4" customFormat="1">
      <c r="A1386" s="10"/>
      <c r="B1386" s="58">
        <v>46144</v>
      </c>
      <c r="C1386" s="166">
        <v>99</v>
      </c>
      <c r="D1386" s="167">
        <v>84</v>
      </c>
    </row>
    <row r="1387" spans="1:4" customFormat="1">
      <c r="A1387" s="10"/>
      <c r="B1387" s="58">
        <v>46145</v>
      </c>
      <c r="C1387" s="166">
        <v>143</v>
      </c>
      <c r="D1387" s="167">
        <v>134</v>
      </c>
    </row>
    <row r="1388" spans="1:4" customFormat="1">
      <c r="A1388" s="10"/>
      <c r="B1388" s="58">
        <v>46146</v>
      </c>
      <c r="C1388" s="166">
        <v>41</v>
      </c>
      <c r="D1388" s="167">
        <v>38</v>
      </c>
    </row>
    <row r="1389" spans="1:4" customFormat="1">
      <c r="A1389" s="10"/>
      <c r="B1389" s="58">
        <v>46147</v>
      </c>
      <c r="C1389" s="166">
        <v>39</v>
      </c>
      <c r="D1389" s="167">
        <v>37</v>
      </c>
    </row>
    <row r="1390" spans="1:4" customFormat="1">
      <c r="A1390" s="10"/>
      <c r="B1390" s="58">
        <v>46148</v>
      </c>
      <c r="C1390" s="166">
        <v>121</v>
      </c>
      <c r="D1390" s="167">
        <v>144</v>
      </c>
    </row>
    <row r="1391" spans="1:4" customFormat="1">
      <c r="A1391" s="10"/>
      <c r="B1391" s="58">
        <v>46149</v>
      </c>
      <c r="C1391" s="166">
        <v>100</v>
      </c>
      <c r="D1391" s="167">
        <v>88</v>
      </c>
    </row>
    <row r="1392" spans="1:4" customFormat="1">
      <c r="A1392" s="10"/>
      <c r="B1392" s="58">
        <v>46150</v>
      </c>
      <c r="C1392" s="166">
        <v>29</v>
      </c>
      <c r="D1392" s="167">
        <v>41</v>
      </c>
    </row>
    <row r="1393" spans="1:4" customFormat="1">
      <c r="A1393" s="10"/>
      <c r="B1393" s="58">
        <v>46151</v>
      </c>
      <c r="C1393" s="166">
        <v>126</v>
      </c>
      <c r="D1393" s="167">
        <v>107</v>
      </c>
    </row>
    <row r="1394" spans="1:4" customFormat="1">
      <c r="A1394" s="10"/>
      <c r="B1394" s="58">
        <v>46152</v>
      </c>
      <c r="C1394" s="166">
        <v>44</v>
      </c>
      <c r="D1394" s="167">
        <v>22</v>
      </c>
    </row>
    <row r="1395" spans="1:4" customFormat="1">
      <c r="A1395" s="10"/>
      <c r="B1395" s="58">
        <v>46153</v>
      </c>
      <c r="C1395" s="166">
        <v>112</v>
      </c>
      <c r="D1395" s="167">
        <v>112</v>
      </c>
    </row>
    <row r="1396" spans="1:4" customFormat="1">
      <c r="A1396" s="10"/>
      <c r="B1396" s="58">
        <v>46154</v>
      </c>
      <c r="C1396" s="166">
        <v>59</v>
      </c>
      <c r="D1396" s="167">
        <v>48</v>
      </c>
    </row>
    <row r="1397" spans="1:4" customFormat="1">
      <c r="A1397" s="10"/>
      <c r="B1397" s="58">
        <v>46155</v>
      </c>
      <c r="C1397" s="166">
        <v>85</v>
      </c>
      <c r="D1397" s="167">
        <v>55</v>
      </c>
    </row>
    <row r="1398" spans="1:4" customFormat="1">
      <c r="A1398" s="10"/>
      <c r="B1398" s="58">
        <v>46156</v>
      </c>
      <c r="C1398" s="166">
        <v>80</v>
      </c>
      <c r="D1398" s="167">
        <v>70</v>
      </c>
    </row>
    <row r="1399" spans="1:4" customFormat="1">
      <c r="A1399" s="10"/>
      <c r="B1399" s="58">
        <v>46157</v>
      </c>
      <c r="C1399" s="166">
        <v>97</v>
      </c>
      <c r="D1399" s="167">
        <v>103</v>
      </c>
    </row>
    <row r="1400" spans="1:4" customFormat="1">
      <c r="A1400" s="10"/>
      <c r="B1400" s="58">
        <v>46158</v>
      </c>
      <c r="C1400" s="166">
        <v>50</v>
      </c>
      <c r="D1400" s="167">
        <v>53</v>
      </c>
    </row>
    <row r="1401" spans="1:4" customFormat="1">
      <c r="A1401" s="10"/>
      <c r="B1401" s="58">
        <v>46159</v>
      </c>
      <c r="C1401" s="166">
        <v>63</v>
      </c>
      <c r="D1401" s="167">
        <v>63</v>
      </c>
    </row>
    <row r="1402" spans="1:4" customFormat="1">
      <c r="A1402" s="10"/>
      <c r="B1402" s="58">
        <v>46160</v>
      </c>
      <c r="C1402" s="166">
        <v>99</v>
      </c>
      <c r="D1402" s="167">
        <v>94</v>
      </c>
    </row>
    <row r="1403" spans="1:4" customFormat="1">
      <c r="A1403" s="10"/>
      <c r="B1403" s="58">
        <v>46161</v>
      </c>
      <c r="C1403" s="166">
        <v>94</v>
      </c>
      <c r="D1403" s="167">
        <v>78</v>
      </c>
    </row>
    <row r="1404" spans="1:4" customFormat="1">
      <c r="A1404" s="10"/>
      <c r="B1404" s="58">
        <v>46162</v>
      </c>
      <c r="C1404" s="166">
        <v>108</v>
      </c>
      <c r="D1404" s="167">
        <v>78</v>
      </c>
    </row>
    <row r="1405" spans="1:4" customFormat="1">
      <c r="A1405" s="10"/>
      <c r="B1405" s="58">
        <v>46163</v>
      </c>
      <c r="C1405" s="166">
        <v>50</v>
      </c>
      <c r="D1405" s="167">
        <v>36</v>
      </c>
    </row>
    <row r="1406" spans="1:4" customFormat="1">
      <c r="A1406" s="10"/>
      <c r="B1406" s="58">
        <v>46164</v>
      </c>
      <c r="C1406" s="166">
        <v>53</v>
      </c>
      <c r="D1406" s="167">
        <v>38</v>
      </c>
    </row>
    <row r="1407" spans="1:4" customFormat="1">
      <c r="A1407" s="10"/>
      <c r="B1407" s="58">
        <v>46165</v>
      </c>
      <c r="C1407" s="166">
        <v>95</v>
      </c>
      <c r="D1407" s="167">
        <v>84</v>
      </c>
    </row>
    <row r="1408" spans="1:4" customFormat="1">
      <c r="A1408" s="10"/>
      <c r="B1408" s="58">
        <v>46166</v>
      </c>
      <c r="C1408" s="166">
        <v>96</v>
      </c>
      <c r="D1408" s="167">
        <v>82</v>
      </c>
    </row>
    <row r="1409" spans="1:4" customFormat="1">
      <c r="A1409" s="10"/>
      <c r="B1409" s="58">
        <v>46167</v>
      </c>
      <c r="C1409" s="166">
        <v>5</v>
      </c>
      <c r="D1409" s="167">
        <v>6</v>
      </c>
    </row>
    <row r="1410" spans="1:4" customFormat="1">
      <c r="A1410" s="10"/>
      <c r="B1410" s="58">
        <v>46168</v>
      </c>
      <c r="C1410" s="166">
        <v>31</v>
      </c>
      <c r="D1410" s="167">
        <v>48</v>
      </c>
    </row>
    <row r="1411" spans="1:4" customFormat="1">
      <c r="A1411" s="10"/>
      <c r="B1411" s="58">
        <v>46169</v>
      </c>
      <c r="C1411" s="166">
        <v>99</v>
      </c>
      <c r="D1411" s="167">
        <v>82</v>
      </c>
    </row>
    <row r="1412" spans="1:4" customFormat="1">
      <c r="A1412" s="10"/>
      <c r="B1412" s="58">
        <v>46170</v>
      </c>
      <c r="C1412" s="166">
        <v>60</v>
      </c>
      <c r="D1412" s="167">
        <v>55</v>
      </c>
    </row>
    <row r="1413" spans="1:4" customFormat="1">
      <c r="A1413" s="10"/>
      <c r="B1413" s="58">
        <v>46171</v>
      </c>
      <c r="C1413" s="166">
        <v>86</v>
      </c>
      <c r="D1413" s="167">
        <v>89</v>
      </c>
    </row>
    <row r="1414" spans="1:4" customFormat="1">
      <c r="A1414" s="10"/>
      <c r="B1414" s="58">
        <v>46172</v>
      </c>
      <c r="C1414" s="166">
        <v>43</v>
      </c>
      <c r="D1414" s="167">
        <v>38</v>
      </c>
    </row>
    <row r="1415" spans="1:4" customFormat="1">
      <c r="A1415" s="10"/>
      <c r="B1415" s="58">
        <v>46173</v>
      </c>
      <c r="C1415" s="166">
        <v>120</v>
      </c>
      <c r="D1415" s="167">
        <v>96</v>
      </c>
    </row>
    <row r="1416" spans="1:4" customFormat="1">
      <c r="A1416" s="8" t="s">
        <v>3870</v>
      </c>
      <c r="B1416" s="60">
        <v>46174</v>
      </c>
      <c r="C1416" s="164">
        <v>96</v>
      </c>
      <c r="D1416" s="165">
        <v>71</v>
      </c>
    </row>
    <row r="1417" spans="1:4" customFormat="1">
      <c r="A1417" s="10"/>
      <c r="B1417" s="58">
        <v>46175</v>
      </c>
      <c r="C1417" s="166">
        <v>71</v>
      </c>
      <c r="D1417" s="167">
        <v>38</v>
      </c>
    </row>
    <row r="1418" spans="1:4" customFormat="1">
      <c r="A1418" s="10"/>
      <c r="B1418" s="58">
        <v>46176</v>
      </c>
      <c r="C1418" s="166">
        <v>74</v>
      </c>
      <c r="D1418" s="167">
        <v>57</v>
      </c>
    </row>
    <row r="1419" spans="1:4" customFormat="1">
      <c r="A1419" s="10"/>
      <c r="B1419" s="58">
        <v>46177</v>
      </c>
      <c r="C1419" s="166">
        <v>55</v>
      </c>
      <c r="D1419" s="167">
        <v>54</v>
      </c>
    </row>
    <row r="1420" spans="1:4" customFormat="1">
      <c r="A1420" s="10"/>
      <c r="B1420" s="58">
        <v>46178</v>
      </c>
      <c r="C1420" s="166">
        <v>124</v>
      </c>
      <c r="D1420" s="167">
        <v>109</v>
      </c>
    </row>
    <row r="1421" spans="1:4" customFormat="1">
      <c r="A1421" s="10"/>
      <c r="B1421" s="58">
        <v>46179</v>
      </c>
      <c r="C1421" s="166">
        <v>124</v>
      </c>
      <c r="D1421" s="167">
        <v>99</v>
      </c>
    </row>
    <row r="1422" spans="1:4" customFormat="1">
      <c r="A1422" s="10"/>
      <c r="B1422" s="58">
        <v>46180</v>
      </c>
      <c r="C1422" s="166">
        <v>186</v>
      </c>
      <c r="D1422" s="167">
        <v>136</v>
      </c>
    </row>
    <row r="1423" spans="1:4" customFormat="1">
      <c r="A1423" s="10"/>
      <c r="B1423" s="58">
        <v>46181</v>
      </c>
      <c r="C1423" s="166">
        <v>35</v>
      </c>
      <c r="D1423" s="167">
        <v>22</v>
      </c>
    </row>
    <row r="1424" spans="1:4" customFormat="1">
      <c r="A1424" s="10"/>
      <c r="B1424" s="58">
        <v>46182</v>
      </c>
      <c r="C1424" s="166">
        <v>129</v>
      </c>
      <c r="D1424" s="167">
        <v>115</v>
      </c>
    </row>
    <row r="1425" spans="1:4" customFormat="1">
      <c r="A1425" s="10"/>
      <c r="B1425" s="58">
        <v>46183</v>
      </c>
      <c r="C1425" s="166">
        <v>238</v>
      </c>
      <c r="D1425" s="167">
        <v>201</v>
      </c>
    </row>
    <row r="1426" spans="1:4" customFormat="1">
      <c r="A1426" s="10"/>
      <c r="B1426" s="58">
        <v>46184</v>
      </c>
      <c r="C1426" s="166">
        <v>49</v>
      </c>
      <c r="D1426" s="167">
        <v>52</v>
      </c>
    </row>
    <row r="1427" spans="1:4" customFormat="1">
      <c r="A1427" s="10"/>
      <c r="B1427" s="58">
        <v>46185</v>
      </c>
      <c r="C1427" s="166">
        <v>84</v>
      </c>
      <c r="D1427" s="167">
        <v>93</v>
      </c>
    </row>
    <row r="1428" spans="1:4" customFormat="1">
      <c r="A1428" s="10"/>
      <c r="B1428" s="58">
        <v>46186</v>
      </c>
      <c r="C1428" s="166">
        <v>109</v>
      </c>
      <c r="D1428" s="167">
        <v>94</v>
      </c>
    </row>
    <row r="1429" spans="1:4" customFormat="1">
      <c r="A1429" s="10"/>
      <c r="B1429" s="58">
        <v>46187</v>
      </c>
      <c r="C1429" s="166">
        <v>59</v>
      </c>
      <c r="D1429" s="167">
        <v>32</v>
      </c>
    </row>
    <row r="1430" spans="1:4" customFormat="1">
      <c r="A1430" s="10"/>
      <c r="B1430" s="58">
        <v>46188</v>
      </c>
      <c r="C1430" s="166">
        <v>75</v>
      </c>
      <c r="D1430" s="167">
        <v>54</v>
      </c>
    </row>
    <row r="1431" spans="1:4" customFormat="1">
      <c r="A1431" s="10"/>
      <c r="B1431" s="58">
        <v>46189</v>
      </c>
      <c r="C1431" s="166">
        <v>99</v>
      </c>
      <c r="D1431" s="167">
        <v>74</v>
      </c>
    </row>
    <row r="1432" spans="1:4" customFormat="1">
      <c r="A1432" s="10"/>
      <c r="B1432" s="58">
        <v>46190</v>
      </c>
      <c r="C1432" s="166">
        <v>85</v>
      </c>
      <c r="D1432" s="167">
        <v>68</v>
      </c>
    </row>
    <row r="1433" spans="1:4" customFormat="1">
      <c r="A1433" s="10"/>
      <c r="B1433" s="58">
        <v>46191</v>
      </c>
      <c r="C1433" s="166">
        <v>150</v>
      </c>
      <c r="D1433" s="167">
        <v>139</v>
      </c>
    </row>
    <row r="1434" spans="1:4" customFormat="1">
      <c r="A1434" s="10"/>
      <c r="B1434" s="58">
        <v>46192</v>
      </c>
      <c r="C1434" s="166">
        <v>84</v>
      </c>
      <c r="D1434" s="167">
        <v>76</v>
      </c>
    </row>
    <row r="1435" spans="1:4" customFormat="1">
      <c r="A1435" s="10"/>
      <c r="B1435" s="58">
        <v>46193</v>
      </c>
      <c r="C1435" s="166">
        <v>118</v>
      </c>
      <c r="D1435" s="167">
        <v>110</v>
      </c>
    </row>
    <row r="1436" spans="1:4" customFormat="1">
      <c r="A1436" s="10"/>
      <c r="B1436" s="58">
        <v>46194</v>
      </c>
      <c r="C1436" s="166">
        <v>54</v>
      </c>
      <c r="D1436" s="167">
        <v>59</v>
      </c>
    </row>
    <row r="1437" spans="1:4" customFormat="1">
      <c r="A1437" s="10"/>
      <c r="B1437" s="58">
        <v>46195</v>
      </c>
      <c r="C1437" s="166">
        <v>81</v>
      </c>
      <c r="D1437" s="167">
        <v>72</v>
      </c>
    </row>
    <row r="1438" spans="1:4" customFormat="1">
      <c r="A1438" s="10"/>
      <c r="B1438" s="58">
        <v>46196</v>
      </c>
      <c r="C1438" s="166">
        <v>161</v>
      </c>
      <c r="D1438" s="167">
        <v>128</v>
      </c>
    </row>
    <row r="1439" spans="1:4" customFormat="1">
      <c r="A1439" s="10"/>
      <c r="B1439" s="58">
        <v>46197</v>
      </c>
      <c r="C1439" s="166">
        <v>103</v>
      </c>
      <c r="D1439" s="167">
        <v>72</v>
      </c>
    </row>
    <row r="1440" spans="1:4" customFormat="1">
      <c r="A1440" s="10"/>
      <c r="B1440" s="58">
        <v>46198</v>
      </c>
      <c r="C1440" s="166">
        <v>29</v>
      </c>
      <c r="D1440" s="167">
        <v>21</v>
      </c>
    </row>
    <row r="1441" spans="1:4" customFormat="1">
      <c r="A1441" s="10"/>
      <c r="B1441" s="58">
        <v>46199</v>
      </c>
      <c r="C1441" s="166">
        <v>56</v>
      </c>
      <c r="D1441" s="167">
        <v>79</v>
      </c>
    </row>
    <row r="1442" spans="1:4" customFormat="1">
      <c r="A1442" s="10"/>
      <c r="B1442" s="58">
        <v>46200</v>
      </c>
      <c r="C1442" s="166">
        <v>147</v>
      </c>
      <c r="D1442" s="167">
        <v>114</v>
      </c>
    </row>
    <row r="1443" spans="1:4" customFormat="1">
      <c r="A1443" s="10"/>
      <c r="B1443" s="58">
        <v>46201</v>
      </c>
      <c r="C1443" s="166">
        <v>162</v>
      </c>
      <c r="D1443" s="167">
        <v>159</v>
      </c>
    </row>
    <row r="1444" spans="1:4" customFormat="1">
      <c r="A1444" s="10"/>
      <c r="B1444" s="58">
        <v>46202</v>
      </c>
      <c r="C1444" s="166">
        <v>69</v>
      </c>
      <c r="D1444" s="167">
        <v>76</v>
      </c>
    </row>
    <row r="1445" spans="1:4" customFormat="1">
      <c r="A1445" s="10"/>
      <c r="B1445" s="58">
        <v>46203</v>
      </c>
      <c r="C1445" s="166">
        <v>68</v>
      </c>
      <c r="D1445" s="167">
        <v>51</v>
      </c>
    </row>
    <row r="1446" spans="1:4" customFormat="1">
      <c r="A1446" s="8" t="s">
        <v>3871</v>
      </c>
      <c r="B1446" s="60">
        <v>46204</v>
      </c>
      <c r="C1446" s="164">
        <v>56</v>
      </c>
      <c r="D1446" s="165">
        <v>39</v>
      </c>
    </row>
    <row r="1447" spans="1:4" customFormat="1">
      <c r="A1447" s="10"/>
      <c r="B1447" s="58">
        <v>46205</v>
      </c>
      <c r="C1447" s="166">
        <v>97</v>
      </c>
      <c r="D1447" s="167">
        <v>91</v>
      </c>
    </row>
    <row r="1448" spans="1:4" customFormat="1">
      <c r="A1448" s="10"/>
      <c r="B1448" s="58">
        <v>46206</v>
      </c>
      <c r="C1448" s="166">
        <v>46</v>
      </c>
      <c r="D1448" s="167">
        <v>27</v>
      </c>
    </row>
    <row r="1449" spans="1:4" customFormat="1">
      <c r="A1449" s="10"/>
      <c r="B1449" s="58">
        <v>46207</v>
      </c>
      <c r="C1449" s="166">
        <v>78</v>
      </c>
      <c r="D1449" s="167">
        <v>90</v>
      </c>
    </row>
    <row r="1450" spans="1:4" customFormat="1">
      <c r="A1450" s="10"/>
      <c r="B1450" s="58">
        <v>46208</v>
      </c>
      <c r="C1450" s="166">
        <v>59</v>
      </c>
      <c r="D1450" s="167">
        <v>46</v>
      </c>
    </row>
    <row r="1451" spans="1:4" customFormat="1">
      <c r="A1451" s="10"/>
      <c r="B1451" s="58">
        <v>46209</v>
      </c>
      <c r="C1451" s="166">
        <v>82</v>
      </c>
      <c r="D1451" s="167">
        <v>48</v>
      </c>
    </row>
    <row r="1452" spans="1:4" customFormat="1">
      <c r="A1452" s="10"/>
      <c r="B1452" s="58">
        <v>46210</v>
      </c>
      <c r="C1452" s="166">
        <v>137</v>
      </c>
      <c r="D1452" s="167">
        <v>96</v>
      </c>
    </row>
    <row r="1453" spans="1:4" customFormat="1">
      <c r="A1453" s="10"/>
      <c r="B1453" s="58">
        <v>46211</v>
      </c>
      <c r="C1453" s="166">
        <v>113</v>
      </c>
      <c r="D1453" s="167">
        <v>84</v>
      </c>
    </row>
    <row r="1454" spans="1:4" customFormat="1">
      <c r="A1454" s="10"/>
      <c r="B1454" s="58">
        <v>46212</v>
      </c>
      <c r="C1454" s="166">
        <v>90</v>
      </c>
      <c r="D1454" s="167">
        <v>70</v>
      </c>
    </row>
    <row r="1455" spans="1:4" customFormat="1">
      <c r="A1455" s="10"/>
      <c r="B1455" s="58">
        <v>46213</v>
      </c>
      <c r="C1455" s="166">
        <v>96</v>
      </c>
      <c r="D1455" s="167">
        <v>61</v>
      </c>
    </row>
    <row r="1456" spans="1:4" customFormat="1">
      <c r="A1456" s="10"/>
      <c r="B1456" s="58">
        <v>46214</v>
      </c>
      <c r="C1456" s="166">
        <v>83</v>
      </c>
      <c r="D1456" s="167">
        <v>65</v>
      </c>
    </row>
    <row r="1457" spans="1:13">
      <c r="A1457" s="10"/>
      <c r="B1457" s="58">
        <v>46215</v>
      </c>
      <c r="C1457" s="166">
        <v>76</v>
      </c>
      <c r="D1457" s="167">
        <v>58</v>
      </c>
      <c r="E1457"/>
      <c r="F1457"/>
      <c r="G1457"/>
      <c r="H1457"/>
      <c r="I1457"/>
      <c r="J1457"/>
      <c r="K1457"/>
      <c r="L1457"/>
      <c r="M1457"/>
    </row>
    <row r="1458" spans="1:13">
      <c r="A1458" s="10"/>
      <c r="B1458" s="58">
        <v>46216</v>
      </c>
      <c r="C1458" s="166">
        <v>60</v>
      </c>
      <c r="D1458" s="167">
        <v>47</v>
      </c>
      <c r="E1458"/>
      <c r="F1458"/>
      <c r="G1458"/>
      <c r="H1458"/>
      <c r="I1458"/>
      <c r="J1458"/>
      <c r="K1458"/>
      <c r="L1458"/>
      <c r="M1458"/>
    </row>
    <row r="1459" spans="1:13">
      <c r="A1459" s="10"/>
      <c r="B1459" s="58">
        <v>46217</v>
      </c>
      <c r="C1459" s="166">
        <v>90</v>
      </c>
      <c r="D1459" s="167">
        <v>70</v>
      </c>
      <c r="E1459"/>
      <c r="F1459"/>
      <c r="G1459"/>
      <c r="H1459"/>
      <c r="I1459"/>
      <c r="J1459"/>
      <c r="K1459"/>
      <c r="L1459"/>
      <c r="M1459"/>
    </row>
    <row r="1460" spans="1:13">
      <c r="A1460" s="10"/>
      <c r="B1460" s="58">
        <v>46218</v>
      </c>
      <c r="C1460" s="166">
        <v>24</v>
      </c>
      <c r="D1460" s="167">
        <v>8</v>
      </c>
      <c r="E1460"/>
      <c r="F1460"/>
      <c r="G1460"/>
      <c r="H1460"/>
      <c r="I1460"/>
      <c r="J1460"/>
      <c r="K1460"/>
      <c r="L1460"/>
      <c r="M1460"/>
    </row>
    <row r="1461" spans="1:13">
      <c r="A1461" s="10"/>
      <c r="B1461" s="58">
        <v>46219</v>
      </c>
      <c r="C1461" s="166">
        <v>49</v>
      </c>
      <c r="D1461" s="167">
        <v>28</v>
      </c>
      <c r="E1461"/>
      <c r="F1461"/>
      <c r="G1461"/>
      <c r="H1461"/>
      <c r="I1461"/>
      <c r="J1461"/>
      <c r="K1461"/>
      <c r="L1461"/>
      <c r="M1461"/>
    </row>
    <row r="1462" spans="1:13">
      <c r="A1462" s="10"/>
      <c r="B1462" s="58">
        <v>46220</v>
      </c>
      <c r="C1462" s="166">
        <v>17</v>
      </c>
      <c r="D1462" s="167">
        <v>19</v>
      </c>
      <c r="E1462"/>
      <c r="F1462"/>
      <c r="G1462"/>
      <c r="H1462"/>
      <c r="I1462"/>
      <c r="J1462"/>
      <c r="K1462"/>
      <c r="L1462"/>
      <c r="M1462"/>
    </row>
    <row r="1463" spans="1:13">
      <c r="A1463" s="10"/>
      <c r="B1463" s="58">
        <v>46221</v>
      </c>
      <c r="C1463" s="166">
        <v>40</v>
      </c>
      <c r="D1463" s="167">
        <v>25</v>
      </c>
      <c r="E1463"/>
      <c r="F1463"/>
      <c r="G1463"/>
      <c r="H1463"/>
      <c r="I1463"/>
      <c r="J1463"/>
      <c r="K1463"/>
      <c r="L1463"/>
      <c r="M1463"/>
    </row>
    <row r="1464" spans="1:13">
      <c r="A1464" s="10"/>
      <c r="B1464" s="58">
        <v>46222</v>
      </c>
      <c r="C1464" s="166">
        <v>69</v>
      </c>
      <c r="D1464" s="167">
        <v>42</v>
      </c>
      <c r="E1464"/>
      <c r="F1464"/>
      <c r="G1464"/>
      <c r="H1464"/>
      <c r="I1464"/>
      <c r="J1464"/>
      <c r="K1464"/>
      <c r="L1464"/>
      <c r="M1464"/>
    </row>
    <row r="1465" spans="1:13">
      <c r="A1465" s="10"/>
      <c r="B1465" s="58">
        <v>46223</v>
      </c>
      <c r="C1465" s="166">
        <v>24</v>
      </c>
      <c r="D1465" s="167">
        <v>21</v>
      </c>
      <c r="E1465"/>
      <c r="F1465"/>
      <c r="G1465"/>
      <c r="H1465"/>
      <c r="I1465"/>
      <c r="J1465"/>
      <c r="K1465"/>
      <c r="L1465"/>
      <c r="M1465"/>
    </row>
    <row r="1466" spans="1:13">
      <c r="A1466" s="10"/>
      <c r="B1466" s="58">
        <v>46224</v>
      </c>
      <c r="C1466" s="166">
        <v>25</v>
      </c>
      <c r="D1466" s="167">
        <v>12</v>
      </c>
      <c r="E1466"/>
      <c r="F1466"/>
      <c r="G1466"/>
      <c r="H1466"/>
      <c r="I1466"/>
      <c r="J1466"/>
      <c r="K1466"/>
      <c r="L1466"/>
      <c r="M1466"/>
    </row>
    <row r="1467" spans="1:13">
      <c r="A1467" s="10"/>
      <c r="B1467" s="58">
        <v>46227</v>
      </c>
      <c r="C1467" s="166">
        <v>25</v>
      </c>
      <c r="D1467" s="167">
        <v>22</v>
      </c>
    </row>
    <row r="1468" spans="1:13">
      <c r="A1468" s="10"/>
      <c r="B1468" s="58">
        <v>46228</v>
      </c>
      <c r="C1468" s="166">
        <v>32</v>
      </c>
      <c r="D1468" s="167">
        <v>17</v>
      </c>
    </row>
    <row r="1469" spans="1:13">
      <c r="A1469" s="10"/>
      <c r="B1469" s="58">
        <v>46232</v>
      </c>
      <c r="C1469" s="166">
        <v>30</v>
      </c>
      <c r="D1469" s="167">
        <v>21</v>
      </c>
    </row>
    <row r="1470" spans="1:13">
      <c r="A1470" s="42" t="s">
        <v>3122</v>
      </c>
      <c r="B1470" s="59"/>
      <c r="C1470" s="170">
        <v>15317</v>
      </c>
      <c r="D1470" s="171">
        <v>13248</v>
      </c>
    </row>
    <row r="1471" spans="1:13">
      <c r="B1471"/>
      <c r="C1471"/>
    </row>
    <row r="1472" spans="1:13">
      <c r="B1472"/>
      <c r="C1472"/>
    </row>
    <row r="1473" spans="1:13">
      <c r="B1473"/>
      <c r="C1473"/>
    </row>
    <row r="1474" spans="1:13">
      <c r="B1474"/>
      <c r="C1474"/>
    </row>
    <row r="1475" spans="1:13">
      <c r="B1475"/>
      <c r="C1475" s="156" t="s">
        <v>3235</v>
      </c>
    </row>
    <row r="1476" spans="1:13">
      <c r="A1476" t="s">
        <v>3831</v>
      </c>
      <c r="B1476"/>
      <c r="C1476"/>
    </row>
    <row r="1477" spans="1:13">
      <c r="A1477" s="11" t="s">
        <v>3158</v>
      </c>
      <c r="B1477" s="11" t="s">
        <v>3218</v>
      </c>
      <c r="C1477" s="9"/>
      <c r="D1477" s="9"/>
      <c r="E1477" s="9"/>
      <c r="F1477" s="9"/>
      <c r="G1477" s="9"/>
      <c r="H1477" s="9"/>
      <c r="I1477" s="20"/>
      <c r="J1477"/>
      <c r="K1477"/>
      <c r="L1477"/>
      <c r="M1477"/>
    </row>
    <row r="1478" spans="1:13">
      <c r="A1478" s="43" t="s">
        <v>4</v>
      </c>
      <c r="B1478" s="8" t="s">
        <v>3866</v>
      </c>
      <c r="C1478" s="21" t="s">
        <v>3867</v>
      </c>
      <c r="D1478" s="21" t="s">
        <v>3868</v>
      </c>
      <c r="E1478" s="21" t="s">
        <v>3869</v>
      </c>
      <c r="F1478" s="21" t="s">
        <v>3159</v>
      </c>
      <c r="G1478" s="21" t="s">
        <v>3870</v>
      </c>
      <c r="H1478" s="21" t="s">
        <v>3871</v>
      </c>
      <c r="I1478" s="39" t="s">
        <v>3122</v>
      </c>
      <c r="J1478"/>
      <c r="K1478"/>
      <c r="L1478"/>
      <c r="M1478"/>
    </row>
    <row r="1479" spans="1:13">
      <c r="A1479" s="8" t="s">
        <v>3835</v>
      </c>
      <c r="B1479" s="164">
        <v>19</v>
      </c>
      <c r="C1479" s="174">
        <v>107</v>
      </c>
      <c r="D1479" s="174">
        <v>96</v>
      </c>
      <c r="E1479" s="174">
        <v>291</v>
      </c>
      <c r="F1479" s="174">
        <v>180</v>
      </c>
      <c r="G1479" s="174">
        <v>164</v>
      </c>
      <c r="H1479" s="174">
        <v>173</v>
      </c>
      <c r="I1479" s="175">
        <v>1030</v>
      </c>
      <c r="J1479"/>
      <c r="K1479"/>
      <c r="L1479"/>
      <c r="M1479"/>
    </row>
    <row r="1480" spans="1:13">
      <c r="A1480" s="13" t="s">
        <v>3836</v>
      </c>
      <c r="B1480" s="166">
        <v>66</v>
      </c>
      <c r="C1480" s="179">
        <v>231</v>
      </c>
      <c r="D1480" s="179">
        <v>129</v>
      </c>
      <c r="E1480" s="179">
        <v>136</v>
      </c>
      <c r="F1480" s="179">
        <v>173</v>
      </c>
      <c r="G1480" s="179">
        <v>227</v>
      </c>
      <c r="H1480" s="179">
        <v>115</v>
      </c>
      <c r="I1480" s="180">
        <v>1077</v>
      </c>
      <c r="J1480"/>
      <c r="K1480"/>
      <c r="L1480"/>
      <c r="M1480"/>
    </row>
    <row r="1481" spans="1:13">
      <c r="A1481" s="13" t="s">
        <v>3837</v>
      </c>
      <c r="B1481" s="166">
        <v>75</v>
      </c>
      <c r="C1481" s="179">
        <v>100</v>
      </c>
      <c r="D1481" s="179">
        <v>88</v>
      </c>
      <c r="E1481" s="179">
        <v>100</v>
      </c>
      <c r="F1481" s="179">
        <v>121</v>
      </c>
      <c r="G1481" s="179">
        <v>108</v>
      </c>
      <c r="H1481" s="179">
        <v>87</v>
      </c>
      <c r="I1481" s="180">
        <v>679</v>
      </c>
      <c r="J1481"/>
      <c r="K1481"/>
      <c r="L1481"/>
      <c r="M1481"/>
    </row>
    <row r="1482" spans="1:13">
      <c r="A1482" s="13" t="s">
        <v>3838</v>
      </c>
      <c r="B1482" s="166">
        <v>53</v>
      </c>
      <c r="C1482" s="179">
        <v>168</v>
      </c>
      <c r="D1482" s="179">
        <v>168</v>
      </c>
      <c r="E1482" s="179">
        <v>136</v>
      </c>
      <c r="F1482" s="179">
        <v>157</v>
      </c>
      <c r="G1482" s="179">
        <v>201</v>
      </c>
      <c r="H1482" s="179">
        <v>71</v>
      </c>
      <c r="I1482" s="180">
        <v>954</v>
      </c>
      <c r="J1482"/>
      <c r="K1482"/>
      <c r="L1482"/>
      <c r="M1482"/>
    </row>
    <row r="1483" spans="1:13">
      <c r="A1483" s="13" t="s">
        <v>3839</v>
      </c>
      <c r="B1483" s="166">
        <v>135</v>
      </c>
      <c r="C1483" s="179">
        <v>216</v>
      </c>
      <c r="D1483" s="179">
        <v>172</v>
      </c>
      <c r="E1483" s="179">
        <v>107</v>
      </c>
      <c r="F1483" s="179">
        <v>131</v>
      </c>
      <c r="G1483" s="179">
        <v>163</v>
      </c>
      <c r="H1483" s="179">
        <v>66</v>
      </c>
      <c r="I1483" s="180">
        <v>990</v>
      </c>
      <c r="J1483"/>
      <c r="K1483"/>
      <c r="L1483"/>
      <c r="M1483"/>
    </row>
    <row r="1484" spans="1:13">
      <c r="A1484" s="13" t="s">
        <v>3840</v>
      </c>
      <c r="B1484" s="166">
        <v>64</v>
      </c>
      <c r="C1484" s="179">
        <v>75</v>
      </c>
      <c r="D1484" s="179">
        <v>276</v>
      </c>
      <c r="E1484" s="179">
        <v>204</v>
      </c>
      <c r="F1484" s="179">
        <v>117</v>
      </c>
      <c r="G1484" s="179">
        <v>201</v>
      </c>
      <c r="H1484" s="179">
        <v>118</v>
      </c>
      <c r="I1484" s="180">
        <v>1055</v>
      </c>
      <c r="J1484"/>
      <c r="K1484"/>
      <c r="L1484"/>
      <c r="M1484"/>
    </row>
    <row r="1485" spans="1:13">
      <c r="A1485" s="13" t="s">
        <v>3841</v>
      </c>
      <c r="B1485" s="166">
        <v>80</v>
      </c>
      <c r="C1485" s="179">
        <v>141</v>
      </c>
      <c r="D1485" s="179">
        <v>152</v>
      </c>
      <c r="E1485" s="179">
        <v>238</v>
      </c>
      <c r="F1485" s="179">
        <v>172</v>
      </c>
      <c r="G1485" s="179">
        <v>222</v>
      </c>
      <c r="H1485" s="179">
        <v>142</v>
      </c>
      <c r="I1485" s="180">
        <v>1147</v>
      </c>
      <c r="J1485"/>
      <c r="K1485"/>
      <c r="L1485"/>
      <c r="M1485"/>
    </row>
    <row r="1486" spans="1:13">
      <c r="A1486" s="13" t="s">
        <v>3842</v>
      </c>
      <c r="B1486" s="166">
        <v>35</v>
      </c>
      <c r="C1486" s="179">
        <v>225</v>
      </c>
      <c r="D1486" s="179">
        <v>155</v>
      </c>
      <c r="E1486" s="179">
        <v>327</v>
      </c>
      <c r="F1486" s="179">
        <v>203</v>
      </c>
      <c r="G1486" s="179">
        <v>314</v>
      </c>
      <c r="H1486" s="179">
        <v>98</v>
      </c>
      <c r="I1486" s="180">
        <v>1357</v>
      </c>
      <c r="J1486"/>
      <c r="K1486"/>
      <c r="L1486"/>
      <c r="M1486"/>
    </row>
    <row r="1487" spans="1:13">
      <c r="A1487" s="13" t="s">
        <v>3843</v>
      </c>
      <c r="B1487" s="166">
        <v>98</v>
      </c>
      <c r="C1487" s="179">
        <v>83</v>
      </c>
      <c r="D1487" s="179">
        <v>177</v>
      </c>
      <c r="E1487" s="179">
        <v>118</v>
      </c>
      <c r="F1487" s="179">
        <v>201</v>
      </c>
      <c r="G1487" s="179">
        <v>227</v>
      </c>
      <c r="H1487" s="179">
        <v>96</v>
      </c>
      <c r="I1487" s="180">
        <v>1000</v>
      </c>
      <c r="J1487"/>
      <c r="K1487"/>
      <c r="L1487"/>
      <c r="M1487"/>
    </row>
    <row r="1488" spans="1:13">
      <c r="A1488" s="13" t="s">
        <v>3844</v>
      </c>
      <c r="B1488" s="166">
        <v>18</v>
      </c>
      <c r="C1488" s="179">
        <v>75</v>
      </c>
      <c r="D1488" s="179">
        <v>64</v>
      </c>
      <c r="E1488" s="179">
        <v>87</v>
      </c>
      <c r="F1488" s="179">
        <v>146</v>
      </c>
      <c r="G1488" s="179">
        <v>71</v>
      </c>
      <c r="H1488" s="179">
        <v>47</v>
      </c>
      <c r="I1488" s="180">
        <v>508</v>
      </c>
      <c r="J1488"/>
      <c r="K1488"/>
      <c r="L1488"/>
      <c r="M1488"/>
    </row>
    <row r="1489" spans="1:13">
      <c r="A1489" s="13" t="s">
        <v>3847</v>
      </c>
      <c r="B1489" s="166">
        <v>61</v>
      </c>
      <c r="C1489" s="179">
        <v>37</v>
      </c>
      <c r="D1489" s="179">
        <v>84</v>
      </c>
      <c r="E1489" s="179">
        <v>85</v>
      </c>
      <c r="F1489" s="179">
        <v>152</v>
      </c>
      <c r="G1489" s="179">
        <v>103</v>
      </c>
      <c r="H1489" s="179">
        <v>69</v>
      </c>
      <c r="I1489" s="180">
        <v>591</v>
      </c>
      <c r="J1489"/>
      <c r="K1489"/>
      <c r="L1489"/>
      <c r="M1489"/>
    </row>
    <row r="1490" spans="1:13">
      <c r="A1490" s="13" t="s">
        <v>3845</v>
      </c>
      <c r="B1490" s="166">
        <v>39</v>
      </c>
      <c r="C1490" s="179">
        <v>133</v>
      </c>
      <c r="D1490" s="179">
        <v>149</v>
      </c>
      <c r="E1490" s="179">
        <v>121</v>
      </c>
      <c r="F1490" s="179">
        <v>141</v>
      </c>
      <c r="G1490" s="179">
        <v>191</v>
      </c>
      <c r="H1490" s="179">
        <v>96</v>
      </c>
      <c r="I1490" s="180">
        <v>870</v>
      </c>
      <c r="J1490"/>
      <c r="K1490"/>
      <c r="L1490"/>
      <c r="M1490"/>
    </row>
    <row r="1491" spans="1:13">
      <c r="A1491" s="13" t="s">
        <v>3846</v>
      </c>
      <c r="B1491" s="166">
        <v>72</v>
      </c>
      <c r="C1491" s="179">
        <v>59</v>
      </c>
      <c r="D1491" s="179">
        <v>87</v>
      </c>
      <c r="E1491" s="179">
        <v>134</v>
      </c>
      <c r="F1491" s="179">
        <v>114</v>
      </c>
      <c r="G1491" s="179">
        <v>90</v>
      </c>
      <c r="H1491" s="179">
        <v>91</v>
      </c>
      <c r="I1491" s="180">
        <v>647</v>
      </c>
      <c r="J1491"/>
      <c r="K1491"/>
      <c r="L1491"/>
      <c r="M1491"/>
    </row>
    <row r="1492" spans="1:13">
      <c r="A1492" s="13" t="s">
        <v>3848</v>
      </c>
      <c r="B1492" s="166">
        <v>106</v>
      </c>
      <c r="C1492" s="179">
        <v>251</v>
      </c>
      <c r="D1492" s="179">
        <v>190</v>
      </c>
      <c r="E1492" s="179">
        <v>195</v>
      </c>
      <c r="F1492" s="179">
        <v>156</v>
      </c>
      <c r="G1492" s="179">
        <v>267</v>
      </c>
      <c r="H1492" s="179">
        <v>106</v>
      </c>
      <c r="I1492" s="180">
        <v>1271</v>
      </c>
      <c r="J1492"/>
      <c r="K1492"/>
      <c r="L1492"/>
      <c r="M1492"/>
    </row>
    <row r="1493" spans="1:13">
      <c r="A1493" s="13" t="s">
        <v>3849</v>
      </c>
      <c r="B1493" s="166">
        <v>87</v>
      </c>
      <c r="C1493" s="179">
        <v>137</v>
      </c>
      <c r="D1493" s="179">
        <v>240</v>
      </c>
      <c r="E1493" s="179">
        <v>260</v>
      </c>
      <c r="F1493" s="179">
        <v>96</v>
      </c>
      <c r="G1493" s="179">
        <v>166</v>
      </c>
      <c r="H1493" s="179">
        <v>73</v>
      </c>
      <c r="I1493" s="180">
        <v>1059</v>
      </c>
      <c r="J1493"/>
      <c r="K1493"/>
      <c r="L1493"/>
      <c r="M1493"/>
    </row>
    <row r="1494" spans="1:13">
      <c r="A1494" s="42" t="s">
        <v>3122</v>
      </c>
      <c r="B1494" s="170">
        <v>1008</v>
      </c>
      <c r="C1494" s="181">
        <v>2038</v>
      </c>
      <c r="D1494" s="181">
        <v>2227</v>
      </c>
      <c r="E1494" s="181">
        <v>2539</v>
      </c>
      <c r="F1494" s="181">
        <v>2260</v>
      </c>
      <c r="G1494" s="181">
        <v>2715</v>
      </c>
      <c r="H1494" s="181">
        <v>1448</v>
      </c>
      <c r="I1494" s="182">
        <v>14235</v>
      </c>
      <c r="J1494"/>
      <c r="K1494"/>
      <c r="L1494"/>
      <c r="M1494"/>
    </row>
    <row r="1495" spans="1:13">
      <c r="B1495"/>
      <c r="C1495"/>
      <c r="D1495"/>
      <c r="E1495"/>
      <c r="F1495"/>
      <c r="G1495"/>
      <c r="H1495"/>
      <c r="I1495"/>
      <c r="J1495"/>
      <c r="K1495"/>
      <c r="L1495"/>
      <c r="M1495"/>
    </row>
    <row r="1497" spans="1:13" ht="14.5" thickBot="1">
      <c r="A1497" s="40" t="s">
        <v>3832</v>
      </c>
    </row>
    <row r="1498" spans="1:13" ht="14.5" thickBot="1">
      <c r="A1498" s="109" t="s">
        <v>4</v>
      </c>
      <c r="B1498" s="108" t="s">
        <v>3200</v>
      </c>
      <c r="C1498" s="115" t="s">
        <v>3204</v>
      </c>
    </row>
    <row r="1499" spans="1:13">
      <c r="A1499" s="110" t="s">
        <v>3835</v>
      </c>
      <c r="B1499" s="159">
        <v>0.49090909090909096</v>
      </c>
      <c r="C1499" s="116">
        <f>_xlfn.XLOOKUP($A1499,$B$1519:$B$1533,$C$1519:$C$1533)</f>
        <v>1.2181818181818183</v>
      </c>
    </row>
    <row r="1500" spans="1:13">
      <c r="A1500" s="110" t="s">
        <v>3842</v>
      </c>
      <c r="B1500" s="159">
        <v>0.44262295081967212</v>
      </c>
      <c r="C1500" s="116">
        <f>_xlfn.XLOOKUP($A1500,$B$1519:$B$1533,$C$1519:$C$1533)</f>
        <v>2.0615384615384613</v>
      </c>
    </row>
    <row r="1501" spans="1:13">
      <c r="A1501" s="110" t="s">
        <v>3847</v>
      </c>
      <c r="B1501" s="159">
        <v>0.42857142857142855</v>
      </c>
      <c r="C1501" s="116">
        <f>_xlfn.XLOOKUP($A1501,$B$1519:$B$1533,$C$1519:$C$1533)</f>
        <v>3.0508474576271185</v>
      </c>
      <c r="D1501" t="s">
        <v>3312</v>
      </c>
      <c r="E1501" s="134"/>
    </row>
    <row r="1502" spans="1:13">
      <c r="A1502" s="110" t="s">
        <v>3844</v>
      </c>
      <c r="B1502" s="159">
        <v>0.39473684210526316</v>
      </c>
      <c r="C1502" s="116">
        <f>_xlfn.XLOOKUP($A1502,$B$1519:$B$1533,$C$1519:$C$1533)</f>
        <v>1.8205128205128205</v>
      </c>
    </row>
    <row r="1503" spans="1:13">
      <c r="A1503" s="110" t="s">
        <v>3840</v>
      </c>
      <c r="B1503" s="159">
        <v>0.38805970149253732</v>
      </c>
      <c r="C1503" s="116">
        <f>_xlfn.XLOOKUP($A1503,$B$1519:$B$1533,$C$1519:$C$1533)</f>
        <v>1.8688524590163935</v>
      </c>
    </row>
    <row r="1504" spans="1:13">
      <c r="A1504" s="110" t="s">
        <v>3846</v>
      </c>
      <c r="B1504" s="159">
        <v>0.38805970149253732</v>
      </c>
      <c r="C1504" s="116">
        <f>_xlfn.XLOOKUP($A1504,$B$1519:$B$1533,$C$1519:$C$1533)</f>
        <v>1.7761194029850746</v>
      </c>
    </row>
    <row r="1505" spans="1:6">
      <c r="A1505" s="110" t="s">
        <v>3837</v>
      </c>
      <c r="B1505" s="159">
        <v>0.38461538461538464</v>
      </c>
      <c r="C1505" s="116">
        <f>_xlfn.XLOOKUP($A1505,$B$1519:$B$1533,$C$1519:$C$1533)</f>
        <v>2.0625</v>
      </c>
    </row>
    <row r="1506" spans="1:6">
      <c r="A1506" s="110" t="s">
        <v>3843</v>
      </c>
      <c r="B1506" s="159">
        <v>0.3783783783783784</v>
      </c>
      <c r="C1506" s="116">
        <f>_xlfn.XLOOKUP($A1506,$B$1519:$B$1533,$C$1519:$C$1533)</f>
        <v>2</v>
      </c>
    </row>
    <row r="1507" spans="1:6">
      <c r="A1507" s="110" t="s">
        <v>3836</v>
      </c>
      <c r="B1507" s="159">
        <v>0.35897435897435892</v>
      </c>
      <c r="C1507" s="116">
        <f>_xlfn.XLOOKUP($A1507,$B$1519:$B$1533,$C$1519:$C$1533)</f>
        <v>2.955223880597015</v>
      </c>
    </row>
    <row r="1508" spans="1:6">
      <c r="A1508" s="110" t="s">
        <v>3849</v>
      </c>
      <c r="B1508" s="159">
        <v>0.33766233766233766</v>
      </c>
      <c r="C1508" s="116">
        <f>_xlfn.XLOOKUP($A1508,$B$1519:$B$1533,$C$1519:$C$1533)</f>
        <v>1.3650793650793651</v>
      </c>
    </row>
    <row r="1509" spans="1:6">
      <c r="A1509" s="110" t="s">
        <v>3838</v>
      </c>
      <c r="B1509" s="159">
        <v>0.33333333333333337</v>
      </c>
      <c r="C1509" s="116">
        <f>_xlfn.XLOOKUP($A1509,$B$1519:$B$1533,$C$1519:$C$1533)</f>
        <v>2.2857142857142856</v>
      </c>
    </row>
    <row r="1510" spans="1:6">
      <c r="A1510" s="110" t="s">
        <v>3848</v>
      </c>
      <c r="B1510" s="159">
        <v>0.33333333333333331</v>
      </c>
      <c r="C1510" s="116">
        <f>_xlfn.XLOOKUP($A1510,$B$1519:$B$1533,$C$1519:$C$1533)</f>
        <v>1.472972972972973</v>
      </c>
    </row>
    <row r="1511" spans="1:6">
      <c r="A1511" s="110" t="s">
        <v>3845</v>
      </c>
      <c r="B1511" s="159">
        <v>0.32075471698113212</v>
      </c>
      <c r="C1511" s="116">
        <f>_xlfn.XLOOKUP($A1511,$B$1519:$B$1533,$C$1519:$C$1533)</f>
        <v>2.9855072463768115</v>
      </c>
    </row>
    <row r="1512" spans="1:6">
      <c r="A1512" s="110" t="s">
        <v>3841</v>
      </c>
      <c r="B1512" s="159">
        <v>0.3125</v>
      </c>
      <c r="C1512" s="116">
        <f>_xlfn.XLOOKUP($A1512,$B$1519:$B$1533,$C$1519:$C$1533)</f>
        <v>1.9342105263157894</v>
      </c>
    </row>
    <row r="1513" spans="1:6" ht="14.5" thickBot="1">
      <c r="A1513" s="111" t="s">
        <v>3839</v>
      </c>
      <c r="B1513" s="160">
        <v>0.30508474576271188</v>
      </c>
      <c r="C1513" s="117">
        <f>_xlfn.XLOOKUP($A1513,$B$1519:$B$1533,$C$1519:$C$1533)</f>
        <v>2.125</v>
      </c>
    </row>
    <row r="1517" spans="1:6">
      <c r="A1517" s="40" t="s">
        <v>3833</v>
      </c>
    </row>
    <row r="1518" spans="1:6">
      <c r="A1518" s="11" t="s">
        <v>3</v>
      </c>
      <c r="B1518" s="43" t="s">
        <v>4</v>
      </c>
      <c r="C1518" s="8" t="s">
        <v>3201</v>
      </c>
      <c r="D1518" s="21" t="s">
        <v>3187</v>
      </c>
      <c r="E1518" s="21" t="s">
        <v>3203</v>
      </c>
      <c r="F1518" s="15" t="s">
        <v>3202</v>
      </c>
    </row>
    <row r="1519" spans="1:6">
      <c r="A1519" s="8" t="s">
        <v>162</v>
      </c>
      <c r="B1519" s="8" t="s">
        <v>3847</v>
      </c>
      <c r="C1519" s="61">
        <v>3.0508474576271185</v>
      </c>
      <c r="D1519" s="113">
        <v>180</v>
      </c>
      <c r="E1519" s="113">
        <v>10.796610169491526</v>
      </c>
      <c r="F1519" s="165">
        <v>637</v>
      </c>
    </row>
    <row r="1520" spans="1:6">
      <c r="A1520" s="8" t="s">
        <v>209</v>
      </c>
      <c r="B1520" s="8" t="s">
        <v>3845</v>
      </c>
      <c r="C1520" s="61">
        <v>2.9855072463768115</v>
      </c>
      <c r="D1520" s="113">
        <v>206</v>
      </c>
      <c r="E1520" s="113">
        <v>13.144927536231885</v>
      </c>
      <c r="F1520" s="165">
        <v>907</v>
      </c>
    </row>
    <row r="1521" spans="1:6">
      <c r="A1521" s="8" t="s">
        <v>48</v>
      </c>
      <c r="B1521" s="8" t="s">
        <v>3836</v>
      </c>
      <c r="C1521" s="61">
        <v>2.955223880597015</v>
      </c>
      <c r="D1521" s="113">
        <v>198</v>
      </c>
      <c r="E1521" s="113">
        <v>16.955223880597014</v>
      </c>
      <c r="F1521" s="165">
        <v>1136</v>
      </c>
    </row>
    <row r="1522" spans="1:6">
      <c r="A1522" s="8" t="s">
        <v>69</v>
      </c>
      <c r="B1522" s="8" t="s">
        <v>3838</v>
      </c>
      <c r="C1522" s="61">
        <v>2.2857142857142856</v>
      </c>
      <c r="D1522" s="113">
        <v>176</v>
      </c>
      <c r="E1522" s="113">
        <v>13.207792207792208</v>
      </c>
      <c r="F1522" s="165">
        <v>1017</v>
      </c>
    </row>
    <row r="1523" spans="1:6">
      <c r="A1523" s="8" t="s">
        <v>80</v>
      </c>
      <c r="B1523" s="8" t="s">
        <v>3839</v>
      </c>
      <c r="C1523" s="61">
        <v>2.125</v>
      </c>
      <c r="D1523" s="113">
        <v>153</v>
      </c>
      <c r="E1523" s="113">
        <v>14.458333333333334</v>
      </c>
      <c r="F1523" s="165">
        <v>1041</v>
      </c>
    </row>
    <row r="1524" spans="1:6">
      <c r="A1524" s="8" t="s">
        <v>60</v>
      </c>
      <c r="B1524" s="8" t="s">
        <v>3837</v>
      </c>
      <c r="C1524" s="61">
        <v>2.0625</v>
      </c>
      <c r="D1524" s="113">
        <v>132</v>
      </c>
      <c r="E1524" s="113">
        <v>11.390625</v>
      </c>
      <c r="F1524" s="165">
        <v>729</v>
      </c>
    </row>
    <row r="1525" spans="1:6">
      <c r="A1525" s="8" t="s">
        <v>118</v>
      </c>
      <c r="B1525" s="8" t="s">
        <v>3842</v>
      </c>
      <c r="C1525" s="61">
        <v>2.0615384615384613</v>
      </c>
      <c r="D1525" s="113">
        <v>134</v>
      </c>
      <c r="E1525" s="113">
        <v>22.415384615384614</v>
      </c>
      <c r="F1525" s="165">
        <v>1457</v>
      </c>
    </row>
    <row r="1526" spans="1:6">
      <c r="A1526" s="8" t="s">
        <v>142</v>
      </c>
      <c r="B1526" s="8" t="s">
        <v>3843</v>
      </c>
      <c r="C1526" s="61">
        <v>2</v>
      </c>
      <c r="D1526" s="113">
        <v>106</v>
      </c>
      <c r="E1526" s="113">
        <v>20.30188679245283</v>
      </c>
      <c r="F1526" s="165">
        <v>1076</v>
      </c>
    </row>
    <row r="1527" spans="1:6">
      <c r="A1527" s="8" t="s">
        <v>100</v>
      </c>
      <c r="B1527" s="8" t="s">
        <v>3841</v>
      </c>
      <c r="C1527" s="61">
        <v>1.9342105263157894</v>
      </c>
      <c r="D1527" s="113">
        <v>147</v>
      </c>
      <c r="E1527" s="113">
        <v>15.421052631578947</v>
      </c>
      <c r="F1527" s="165">
        <v>1172</v>
      </c>
    </row>
    <row r="1528" spans="1:6">
      <c r="A1528" s="8" t="s">
        <v>90</v>
      </c>
      <c r="B1528" s="8" t="s">
        <v>3840</v>
      </c>
      <c r="C1528" s="61">
        <v>1.8688524590163935</v>
      </c>
      <c r="D1528" s="113">
        <v>114</v>
      </c>
      <c r="E1528" s="113">
        <v>18.688524590163933</v>
      </c>
      <c r="F1528" s="165">
        <v>1140</v>
      </c>
    </row>
    <row r="1529" spans="1:6">
      <c r="A1529" s="8" t="s">
        <v>151</v>
      </c>
      <c r="B1529" s="8" t="s">
        <v>3844</v>
      </c>
      <c r="C1529" s="61">
        <v>1.8205128205128205</v>
      </c>
      <c r="D1529" s="113">
        <v>142</v>
      </c>
      <c r="E1529" s="113">
        <v>9.0256410256410255</v>
      </c>
      <c r="F1529" s="165">
        <v>704</v>
      </c>
    </row>
    <row r="1530" spans="1:6">
      <c r="A1530" s="8" t="s">
        <v>215</v>
      </c>
      <c r="B1530" s="8" t="s">
        <v>3846</v>
      </c>
      <c r="C1530" s="61">
        <v>1.7761194029850746</v>
      </c>
      <c r="D1530" s="113">
        <v>119</v>
      </c>
      <c r="E1530" s="113">
        <v>10.388059701492537</v>
      </c>
      <c r="F1530" s="165">
        <v>696</v>
      </c>
    </row>
    <row r="1531" spans="1:6">
      <c r="A1531" s="8" t="s">
        <v>235</v>
      </c>
      <c r="B1531" s="8" t="s">
        <v>3848</v>
      </c>
      <c r="C1531" s="61">
        <v>1.472972972972973</v>
      </c>
      <c r="D1531" s="113">
        <v>109</v>
      </c>
      <c r="E1531" s="113">
        <v>18.04054054054054</v>
      </c>
      <c r="F1531" s="165">
        <v>1335</v>
      </c>
    </row>
    <row r="1532" spans="1:6">
      <c r="A1532" s="8" t="s">
        <v>256</v>
      </c>
      <c r="B1532" s="8" t="s">
        <v>3849</v>
      </c>
      <c r="C1532" s="61">
        <v>1.3650793650793651</v>
      </c>
      <c r="D1532" s="113">
        <v>86</v>
      </c>
      <c r="E1532" s="113">
        <v>17.19047619047619</v>
      </c>
      <c r="F1532" s="165">
        <v>1083</v>
      </c>
    </row>
    <row r="1533" spans="1:6">
      <c r="A1533" s="12" t="s">
        <v>32</v>
      </c>
      <c r="B1533" s="12" t="s">
        <v>3835</v>
      </c>
      <c r="C1533" s="112">
        <v>1.2181818181818183</v>
      </c>
      <c r="D1533" s="114">
        <v>67</v>
      </c>
      <c r="E1533" s="114">
        <v>21.581818181818182</v>
      </c>
      <c r="F1533" s="169">
        <v>1187</v>
      </c>
    </row>
    <row r="1534" spans="1:6">
      <c r="B1534"/>
      <c r="C1534"/>
    </row>
    <row r="1535" spans="1:6">
      <c r="B1535"/>
      <c r="C1535"/>
    </row>
    <row r="1536" spans="1:6">
      <c r="B1536"/>
      <c r="C1536"/>
    </row>
    <row r="1537" spans="1:3">
      <c r="B1537"/>
      <c r="C1537"/>
    </row>
    <row r="1539" spans="1:3">
      <c r="A1539" s="137" t="s">
        <v>3834</v>
      </c>
    </row>
    <row r="1541" spans="1:3">
      <c r="A1541" s="11" t="s">
        <v>2</v>
      </c>
      <c r="B1541" s="39" t="s">
        <v>3187</v>
      </c>
      <c r="C1541"/>
    </row>
    <row r="1542" spans="1:3">
      <c r="A1542" s="60">
        <v>46025</v>
      </c>
      <c r="B1542" s="99">
        <v>-8</v>
      </c>
      <c r="C1542"/>
    </row>
    <row r="1543" spans="1:3">
      <c r="A1543" s="58">
        <v>46027</v>
      </c>
      <c r="B1543" s="100">
        <v>-8</v>
      </c>
      <c r="C1543"/>
    </row>
    <row r="1544" spans="1:3">
      <c r="A1544" s="58">
        <v>46029</v>
      </c>
      <c r="B1544" s="100">
        <v>-5</v>
      </c>
      <c r="C1544"/>
    </row>
    <row r="1545" spans="1:3">
      <c r="A1545" s="58">
        <v>46030</v>
      </c>
      <c r="B1545" s="100">
        <v>-6</v>
      </c>
      <c r="C1545"/>
    </row>
    <row r="1546" spans="1:3">
      <c r="A1546" s="58">
        <v>46031</v>
      </c>
      <c r="B1546" s="100">
        <v>-8</v>
      </c>
      <c r="C1546"/>
    </row>
    <row r="1547" spans="1:3">
      <c r="A1547" s="58">
        <v>46035</v>
      </c>
      <c r="B1547" s="100">
        <v>-1</v>
      </c>
      <c r="C1547"/>
    </row>
    <row r="1548" spans="1:3">
      <c r="A1548" s="58">
        <v>46036</v>
      </c>
      <c r="B1548" s="100">
        <v>2</v>
      </c>
      <c r="C1548"/>
    </row>
    <row r="1549" spans="1:3">
      <c r="A1549" s="58">
        <v>46037</v>
      </c>
      <c r="B1549" s="100">
        <v>-5</v>
      </c>
      <c r="C1549"/>
    </row>
    <row r="1550" spans="1:3">
      <c r="A1550" s="58">
        <v>46038</v>
      </c>
      <c r="B1550" s="100">
        <v>2</v>
      </c>
      <c r="C1550"/>
    </row>
    <row r="1551" spans="1:3">
      <c r="A1551" s="58">
        <v>46039</v>
      </c>
      <c r="B1551" s="100">
        <v>7</v>
      </c>
      <c r="C1551"/>
    </row>
    <row r="1552" spans="1:3">
      <c r="A1552" s="58">
        <v>46040</v>
      </c>
      <c r="B1552" s="100">
        <v>-7</v>
      </c>
      <c r="C1552"/>
    </row>
    <row r="1553" spans="1:3">
      <c r="A1553" s="58">
        <v>46041</v>
      </c>
      <c r="B1553" s="100">
        <v>-8</v>
      </c>
      <c r="C1553"/>
    </row>
    <row r="1554" spans="1:3">
      <c r="A1554" s="58">
        <v>46042</v>
      </c>
      <c r="B1554" s="100">
        <v>1</v>
      </c>
      <c r="C1554"/>
    </row>
    <row r="1555" spans="1:3">
      <c r="A1555" s="58">
        <v>46043</v>
      </c>
      <c r="B1555" s="100">
        <v>-3</v>
      </c>
      <c r="C1555"/>
    </row>
    <row r="1556" spans="1:3">
      <c r="A1556" s="58">
        <v>46044</v>
      </c>
      <c r="B1556" s="100">
        <v>-5</v>
      </c>
      <c r="C1556"/>
    </row>
    <row r="1557" spans="1:3">
      <c r="A1557" s="58">
        <v>46045</v>
      </c>
      <c r="B1557" s="100">
        <v>-5</v>
      </c>
      <c r="C1557"/>
    </row>
    <row r="1558" spans="1:3">
      <c r="A1558" s="58">
        <v>46046</v>
      </c>
      <c r="B1558" s="100">
        <v>43</v>
      </c>
      <c r="C1558"/>
    </row>
    <row r="1559" spans="1:3">
      <c r="A1559" s="58">
        <v>46047</v>
      </c>
      <c r="B1559" s="100">
        <v>-8</v>
      </c>
      <c r="C1559"/>
    </row>
    <row r="1560" spans="1:3">
      <c r="A1560" s="58">
        <v>46048</v>
      </c>
      <c r="B1560" s="100">
        <v>19</v>
      </c>
      <c r="C1560"/>
    </row>
    <row r="1561" spans="1:3">
      <c r="A1561" s="58">
        <v>46049</v>
      </c>
      <c r="B1561" s="100">
        <v>14</v>
      </c>
      <c r="C1561"/>
    </row>
    <row r="1562" spans="1:3">
      <c r="A1562" s="58">
        <v>46050</v>
      </c>
      <c r="B1562" s="100">
        <v>7</v>
      </c>
      <c r="C1562"/>
    </row>
    <row r="1563" spans="1:3">
      <c r="A1563" s="58">
        <v>46051</v>
      </c>
      <c r="B1563" s="100">
        <v>33</v>
      </c>
      <c r="C1563"/>
    </row>
    <row r="1564" spans="1:3">
      <c r="A1564" s="58">
        <v>46052</v>
      </c>
      <c r="B1564" s="100">
        <v>-14</v>
      </c>
      <c r="C1564"/>
    </row>
    <row r="1565" spans="1:3">
      <c r="A1565" s="58">
        <v>46053</v>
      </c>
      <c r="B1565" s="100">
        <v>10</v>
      </c>
      <c r="C1565"/>
    </row>
    <row r="1566" spans="1:3">
      <c r="A1566" s="58">
        <v>46054</v>
      </c>
      <c r="B1566" s="100">
        <v>-1</v>
      </c>
      <c r="C1566"/>
    </row>
    <row r="1567" spans="1:3">
      <c r="A1567" s="58">
        <v>46055</v>
      </c>
      <c r="B1567" s="100">
        <v>16</v>
      </c>
      <c r="C1567"/>
    </row>
    <row r="1568" spans="1:3">
      <c r="A1568" s="58">
        <v>46056</v>
      </c>
      <c r="B1568" s="100">
        <v>-4</v>
      </c>
      <c r="C1568"/>
    </row>
    <row r="1569" spans="1:3">
      <c r="A1569" s="58">
        <v>46057</v>
      </c>
      <c r="B1569" s="100">
        <v>23</v>
      </c>
      <c r="C1569"/>
    </row>
    <row r="1570" spans="1:3">
      <c r="A1570" s="58">
        <v>46058</v>
      </c>
      <c r="B1570" s="100">
        <v>-7</v>
      </c>
      <c r="C1570"/>
    </row>
    <row r="1571" spans="1:3">
      <c r="A1571" s="58">
        <v>46059</v>
      </c>
      <c r="B1571" s="100">
        <v>27</v>
      </c>
      <c r="C1571"/>
    </row>
    <row r="1572" spans="1:3">
      <c r="A1572" s="58">
        <v>46060</v>
      </c>
      <c r="B1572" s="100">
        <v>-12</v>
      </c>
      <c r="C1572"/>
    </row>
    <row r="1573" spans="1:3">
      <c r="A1573" s="58">
        <v>46061</v>
      </c>
      <c r="B1573" s="100">
        <v>7</v>
      </c>
      <c r="C1573"/>
    </row>
    <row r="1574" spans="1:3">
      <c r="A1574" s="58">
        <v>46062</v>
      </c>
      <c r="B1574" s="100">
        <v>14</v>
      </c>
      <c r="C1574"/>
    </row>
    <row r="1575" spans="1:3">
      <c r="A1575" s="58">
        <v>46063</v>
      </c>
      <c r="B1575" s="100">
        <v>13</v>
      </c>
      <c r="C1575"/>
    </row>
    <row r="1576" spans="1:3">
      <c r="A1576" s="58">
        <v>46064</v>
      </c>
      <c r="B1576" s="100">
        <v>21</v>
      </c>
      <c r="C1576"/>
    </row>
    <row r="1577" spans="1:3">
      <c r="A1577" s="58">
        <v>46065</v>
      </c>
      <c r="B1577" s="100">
        <v>-14</v>
      </c>
      <c r="C1577"/>
    </row>
    <row r="1578" spans="1:3">
      <c r="A1578" s="58">
        <v>46066</v>
      </c>
      <c r="B1578" s="100">
        <v>34</v>
      </c>
      <c r="C1578"/>
    </row>
    <row r="1579" spans="1:3">
      <c r="A1579" s="58">
        <v>46067</v>
      </c>
      <c r="B1579" s="100">
        <v>-2</v>
      </c>
      <c r="C1579"/>
    </row>
    <row r="1580" spans="1:3">
      <c r="A1580" s="58">
        <v>46068</v>
      </c>
      <c r="B1580" s="100">
        <v>0</v>
      </c>
      <c r="C1580"/>
    </row>
    <row r="1581" spans="1:3">
      <c r="A1581" s="58">
        <v>46069</v>
      </c>
      <c r="B1581" s="100">
        <v>3</v>
      </c>
      <c r="C1581"/>
    </row>
    <row r="1582" spans="1:3">
      <c r="A1582" s="58">
        <v>46070</v>
      </c>
      <c r="B1582" s="100">
        <v>5</v>
      </c>
      <c r="C1582"/>
    </row>
    <row r="1583" spans="1:3">
      <c r="A1583" s="58">
        <v>46071</v>
      </c>
      <c r="B1583" s="100">
        <v>35</v>
      </c>
      <c r="C1583"/>
    </row>
    <row r="1584" spans="1:3">
      <c r="A1584" s="58">
        <v>46072</v>
      </c>
      <c r="B1584" s="100">
        <v>17</v>
      </c>
      <c r="C1584"/>
    </row>
    <row r="1585" spans="1:3">
      <c r="A1585" s="58">
        <v>46073</v>
      </c>
      <c r="B1585" s="100">
        <v>18</v>
      </c>
      <c r="C1585"/>
    </row>
    <row r="1586" spans="1:3">
      <c r="A1586" s="58">
        <v>46074</v>
      </c>
      <c r="B1586" s="100">
        <v>14</v>
      </c>
      <c r="C1586"/>
    </row>
    <row r="1587" spans="1:3">
      <c r="A1587" s="58">
        <v>46075</v>
      </c>
      <c r="B1587" s="100">
        <v>18</v>
      </c>
      <c r="C1587"/>
    </row>
    <row r="1588" spans="1:3">
      <c r="A1588" s="58">
        <v>46076</v>
      </c>
      <c r="B1588" s="100">
        <v>16</v>
      </c>
      <c r="C1588"/>
    </row>
    <row r="1589" spans="1:3">
      <c r="A1589" s="58">
        <v>46077</v>
      </c>
      <c r="B1589" s="100">
        <v>-2</v>
      </c>
      <c r="C1589"/>
    </row>
    <row r="1590" spans="1:3">
      <c r="A1590" s="58">
        <v>46078</v>
      </c>
      <c r="B1590" s="100">
        <v>39</v>
      </c>
      <c r="C1590"/>
    </row>
    <row r="1591" spans="1:3">
      <c r="A1591" s="58">
        <v>46079</v>
      </c>
      <c r="B1591" s="100">
        <v>11</v>
      </c>
      <c r="C1591"/>
    </row>
    <row r="1592" spans="1:3">
      <c r="A1592" s="58">
        <v>46080</v>
      </c>
      <c r="B1592" s="100">
        <v>17</v>
      </c>
      <c r="C1592"/>
    </row>
    <row r="1593" spans="1:3">
      <c r="A1593" s="58">
        <v>46081</v>
      </c>
      <c r="B1593" s="100">
        <v>7</v>
      </c>
      <c r="C1593"/>
    </row>
    <row r="1594" spans="1:3">
      <c r="A1594" s="58">
        <v>46082</v>
      </c>
      <c r="B1594" s="100">
        <v>45</v>
      </c>
      <c r="C1594"/>
    </row>
    <row r="1595" spans="1:3">
      <c r="A1595" s="58">
        <v>46083</v>
      </c>
      <c r="B1595" s="100">
        <v>28</v>
      </c>
      <c r="C1595"/>
    </row>
    <row r="1596" spans="1:3">
      <c r="A1596" s="58">
        <v>46084</v>
      </c>
      <c r="B1596" s="100">
        <v>10</v>
      </c>
      <c r="C1596"/>
    </row>
    <row r="1597" spans="1:3">
      <c r="A1597" s="58">
        <v>46085</v>
      </c>
      <c r="B1597" s="100">
        <v>11</v>
      </c>
      <c r="C1597"/>
    </row>
    <row r="1598" spans="1:3">
      <c r="A1598" s="58">
        <v>46086</v>
      </c>
      <c r="B1598" s="100">
        <v>-2</v>
      </c>
      <c r="C1598"/>
    </row>
    <row r="1599" spans="1:3">
      <c r="A1599" s="58">
        <v>46087</v>
      </c>
      <c r="B1599" s="100">
        <v>12</v>
      </c>
      <c r="C1599"/>
    </row>
    <row r="1600" spans="1:3">
      <c r="A1600" s="58">
        <v>46088</v>
      </c>
      <c r="B1600" s="100">
        <v>-6</v>
      </c>
      <c r="C1600"/>
    </row>
    <row r="1601" spans="1:3">
      <c r="A1601" s="58">
        <v>46089</v>
      </c>
      <c r="B1601" s="100">
        <v>17</v>
      </c>
      <c r="C1601"/>
    </row>
    <row r="1602" spans="1:3">
      <c r="A1602" s="58">
        <v>46090</v>
      </c>
      <c r="B1602" s="100">
        <v>0</v>
      </c>
      <c r="C1602"/>
    </row>
    <row r="1603" spans="1:3">
      <c r="A1603" s="58">
        <v>46091</v>
      </c>
      <c r="B1603" s="100">
        <v>27</v>
      </c>
      <c r="C1603"/>
    </row>
    <row r="1604" spans="1:3">
      <c r="A1604" s="58">
        <v>46092</v>
      </c>
      <c r="B1604" s="100">
        <v>23</v>
      </c>
      <c r="C1604"/>
    </row>
    <row r="1605" spans="1:3">
      <c r="A1605" s="58">
        <v>46093</v>
      </c>
      <c r="B1605" s="100">
        <v>9</v>
      </c>
      <c r="C1605"/>
    </row>
    <row r="1606" spans="1:3">
      <c r="A1606" s="58">
        <v>46094</v>
      </c>
      <c r="B1606" s="100">
        <v>3</v>
      </c>
      <c r="C1606"/>
    </row>
    <row r="1607" spans="1:3">
      <c r="A1607" s="58">
        <v>46095</v>
      </c>
      <c r="B1607" s="100">
        <v>16</v>
      </c>
      <c r="C1607"/>
    </row>
    <row r="1608" spans="1:3">
      <c r="A1608" s="58">
        <v>46096</v>
      </c>
      <c r="B1608" s="100">
        <v>6</v>
      </c>
      <c r="C1608"/>
    </row>
    <row r="1609" spans="1:3">
      <c r="A1609" s="58">
        <v>46097</v>
      </c>
      <c r="B1609" s="100">
        <v>11</v>
      </c>
      <c r="C1609"/>
    </row>
    <row r="1610" spans="1:3">
      <c r="A1610" s="58">
        <v>46098</v>
      </c>
      <c r="B1610" s="100">
        <v>-12</v>
      </c>
      <c r="C1610"/>
    </row>
    <row r="1611" spans="1:3">
      <c r="A1611" s="58">
        <v>46099</v>
      </c>
      <c r="B1611" s="100">
        <v>-10</v>
      </c>
      <c r="C1611"/>
    </row>
    <row r="1612" spans="1:3">
      <c r="A1612" s="58">
        <v>46100</v>
      </c>
      <c r="B1612" s="100">
        <v>-3</v>
      </c>
      <c r="C1612"/>
    </row>
    <row r="1613" spans="1:3">
      <c r="A1613" s="58">
        <v>46101</v>
      </c>
      <c r="B1613" s="100">
        <v>-1</v>
      </c>
      <c r="C1613"/>
    </row>
    <row r="1614" spans="1:3">
      <c r="A1614" s="58">
        <v>46102</v>
      </c>
      <c r="B1614" s="100">
        <v>10</v>
      </c>
      <c r="C1614"/>
    </row>
    <row r="1615" spans="1:3">
      <c r="A1615" s="58">
        <v>46103</v>
      </c>
      <c r="B1615" s="100">
        <v>-2</v>
      </c>
      <c r="C1615"/>
    </row>
    <row r="1616" spans="1:3">
      <c r="A1616" s="58">
        <v>46104</v>
      </c>
      <c r="B1616" s="100">
        <v>12</v>
      </c>
      <c r="C1616"/>
    </row>
    <row r="1617" spans="1:3">
      <c r="A1617" s="58">
        <v>46105</v>
      </c>
      <c r="B1617" s="100">
        <v>13</v>
      </c>
      <c r="C1617"/>
    </row>
    <row r="1618" spans="1:3">
      <c r="A1618" s="58">
        <v>46106</v>
      </c>
      <c r="B1618" s="100">
        <v>24</v>
      </c>
      <c r="C1618"/>
    </row>
    <row r="1619" spans="1:3">
      <c r="A1619" s="58">
        <v>46107</v>
      </c>
      <c r="B1619" s="100">
        <v>3</v>
      </c>
      <c r="C1619"/>
    </row>
    <row r="1620" spans="1:3">
      <c r="A1620" s="58">
        <v>46108</v>
      </c>
      <c r="B1620" s="100">
        <v>1</v>
      </c>
      <c r="C1620"/>
    </row>
    <row r="1621" spans="1:3">
      <c r="A1621" s="58">
        <v>46109</v>
      </c>
      <c r="B1621" s="100">
        <v>30</v>
      </c>
      <c r="C1621"/>
    </row>
    <row r="1622" spans="1:3">
      <c r="A1622" s="58">
        <v>46110</v>
      </c>
      <c r="B1622" s="100">
        <v>29</v>
      </c>
      <c r="C1622"/>
    </row>
    <row r="1623" spans="1:3">
      <c r="A1623" s="58">
        <v>46111</v>
      </c>
      <c r="B1623" s="100">
        <v>26</v>
      </c>
      <c r="C1623"/>
    </row>
    <row r="1624" spans="1:3">
      <c r="A1624" s="58">
        <v>46112</v>
      </c>
      <c r="B1624" s="100">
        <v>-7</v>
      </c>
      <c r="C1624"/>
    </row>
    <row r="1625" spans="1:3">
      <c r="A1625" s="58">
        <v>46113</v>
      </c>
      <c r="B1625" s="100">
        <v>24</v>
      </c>
      <c r="C1625"/>
    </row>
    <row r="1626" spans="1:3">
      <c r="A1626" s="58">
        <v>46114</v>
      </c>
      <c r="B1626" s="100">
        <v>-20</v>
      </c>
      <c r="C1626"/>
    </row>
    <row r="1627" spans="1:3">
      <c r="A1627" s="58">
        <v>46115</v>
      </c>
      <c r="B1627" s="100">
        <v>18</v>
      </c>
      <c r="C1627"/>
    </row>
    <row r="1628" spans="1:3">
      <c r="A1628" s="58">
        <v>46116</v>
      </c>
      <c r="B1628" s="100">
        <v>32</v>
      </c>
      <c r="C1628"/>
    </row>
    <row r="1629" spans="1:3">
      <c r="A1629" s="58">
        <v>46117</v>
      </c>
      <c r="B1629" s="100">
        <v>-8</v>
      </c>
      <c r="C1629"/>
    </row>
    <row r="1630" spans="1:3">
      <c r="A1630" s="58">
        <v>46118</v>
      </c>
      <c r="B1630" s="100">
        <v>38</v>
      </c>
      <c r="C1630"/>
    </row>
    <row r="1631" spans="1:3">
      <c r="A1631" s="58">
        <v>46119</v>
      </c>
      <c r="B1631" s="100">
        <v>-2</v>
      </c>
      <c r="C1631"/>
    </row>
    <row r="1632" spans="1:3">
      <c r="A1632" s="58">
        <v>46120</v>
      </c>
      <c r="B1632" s="100">
        <v>9</v>
      </c>
      <c r="C1632"/>
    </row>
    <row r="1633" spans="1:3">
      <c r="A1633" s="58">
        <v>46121</v>
      </c>
      <c r="B1633" s="100">
        <v>0</v>
      </c>
      <c r="C1633"/>
    </row>
    <row r="1634" spans="1:3">
      <c r="A1634" s="58">
        <v>46122</v>
      </c>
      <c r="B1634" s="100">
        <v>8</v>
      </c>
      <c r="C1634"/>
    </row>
    <row r="1635" spans="1:3">
      <c r="A1635" s="58">
        <v>46123</v>
      </c>
      <c r="B1635" s="100">
        <v>25</v>
      </c>
      <c r="C1635"/>
    </row>
    <row r="1636" spans="1:3">
      <c r="A1636" s="58">
        <v>46124</v>
      </c>
      <c r="B1636" s="100">
        <v>12</v>
      </c>
      <c r="C1636"/>
    </row>
    <row r="1637" spans="1:3">
      <c r="A1637" s="58">
        <v>46125</v>
      </c>
      <c r="B1637" s="100">
        <v>6</v>
      </c>
      <c r="C1637"/>
    </row>
    <row r="1638" spans="1:3">
      <c r="A1638" s="58">
        <v>46126</v>
      </c>
      <c r="B1638" s="100">
        <v>13</v>
      </c>
      <c r="C1638"/>
    </row>
    <row r="1639" spans="1:3">
      <c r="A1639" s="58">
        <v>46127</v>
      </c>
      <c r="B1639" s="100">
        <v>15</v>
      </c>
      <c r="C1639"/>
    </row>
    <row r="1640" spans="1:3">
      <c r="A1640" s="58">
        <v>46128</v>
      </c>
      <c r="B1640" s="100">
        <v>28</v>
      </c>
      <c r="C1640"/>
    </row>
    <row r="1641" spans="1:3">
      <c r="A1641" s="58">
        <v>46129</v>
      </c>
      <c r="B1641" s="100">
        <v>-11</v>
      </c>
      <c r="C1641"/>
    </row>
    <row r="1642" spans="1:3">
      <c r="A1642" s="58">
        <v>46130</v>
      </c>
      <c r="B1642" s="100">
        <v>9</v>
      </c>
      <c r="C1642"/>
    </row>
    <row r="1643" spans="1:3">
      <c r="A1643" s="58">
        <v>46131</v>
      </c>
      <c r="B1643" s="100">
        <v>10</v>
      </c>
      <c r="C1643"/>
    </row>
    <row r="1644" spans="1:3">
      <c r="A1644" s="58">
        <v>46132</v>
      </c>
      <c r="B1644" s="100">
        <v>22</v>
      </c>
      <c r="C1644"/>
    </row>
    <row r="1645" spans="1:3">
      <c r="A1645" s="58">
        <v>46133</v>
      </c>
      <c r="B1645" s="100">
        <v>17</v>
      </c>
      <c r="C1645"/>
    </row>
    <row r="1646" spans="1:3">
      <c r="A1646" s="58">
        <v>46134</v>
      </c>
      <c r="B1646" s="100">
        <v>10</v>
      </c>
      <c r="C1646"/>
    </row>
    <row r="1647" spans="1:3">
      <c r="A1647" s="58">
        <v>46135</v>
      </c>
      <c r="B1647" s="100">
        <v>15</v>
      </c>
      <c r="C1647"/>
    </row>
    <row r="1648" spans="1:3">
      <c r="A1648" s="58">
        <v>46136</v>
      </c>
      <c r="B1648" s="100">
        <v>18</v>
      </c>
      <c r="C1648"/>
    </row>
    <row r="1649" spans="1:3">
      <c r="A1649" s="58">
        <v>46137</v>
      </c>
      <c r="B1649" s="100">
        <v>16</v>
      </c>
      <c r="C1649"/>
    </row>
    <row r="1650" spans="1:3">
      <c r="A1650" s="58">
        <v>46138</v>
      </c>
      <c r="B1650" s="100">
        <v>9</v>
      </c>
      <c r="C1650"/>
    </row>
    <row r="1651" spans="1:3">
      <c r="A1651" s="58">
        <v>46139</v>
      </c>
      <c r="B1651" s="100">
        <v>-9</v>
      </c>
      <c r="C1651"/>
    </row>
    <row r="1652" spans="1:3">
      <c r="A1652" s="58">
        <v>46140</v>
      </c>
      <c r="B1652" s="100">
        <v>9</v>
      </c>
      <c r="C1652"/>
    </row>
    <row r="1653" spans="1:3">
      <c r="A1653" s="58">
        <v>46141</v>
      </c>
      <c r="B1653" s="100">
        <v>1</v>
      </c>
      <c r="C1653"/>
    </row>
    <row r="1654" spans="1:3">
      <c r="A1654" s="58">
        <v>46142</v>
      </c>
      <c r="B1654" s="100">
        <v>9</v>
      </c>
      <c r="C1654"/>
    </row>
    <row r="1655" spans="1:3">
      <c r="A1655" s="58">
        <v>46143</v>
      </c>
      <c r="B1655" s="100">
        <v>-1</v>
      </c>
      <c r="C1655"/>
    </row>
    <row r="1656" spans="1:3">
      <c r="A1656" s="58">
        <v>46144</v>
      </c>
      <c r="B1656" s="100">
        <v>15</v>
      </c>
      <c r="C1656"/>
    </row>
    <row r="1657" spans="1:3">
      <c r="A1657" s="58">
        <v>46145</v>
      </c>
      <c r="B1657" s="100">
        <v>9</v>
      </c>
      <c r="C1657"/>
    </row>
    <row r="1658" spans="1:3">
      <c r="A1658" s="58">
        <v>46146</v>
      </c>
      <c r="B1658" s="100">
        <v>3</v>
      </c>
      <c r="C1658"/>
    </row>
    <row r="1659" spans="1:3">
      <c r="A1659" s="58">
        <v>46147</v>
      </c>
      <c r="B1659" s="100">
        <v>2</v>
      </c>
      <c r="C1659"/>
    </row>
    <row r="1660" spans="1:3">
      <c r="A1660" s="58">
        <v>46148</v>
      </c>
      <c r="B1660" s="100">
        <v>-23</v>
      </c>
      <c r="C1660"/>
    </row>
    <row r="1661" spans="1:3">
      <c r="A1661" s="58">
        <v>46149</v>
      </c>
      <c r="B1661" s="100">
        <v>12</v>
      </c>
      <c r="C1661"/>
    </row>
    <row r="1662" spans="1:3">
      <c r="A1662" s="58">
        <v>46150</v>
      </c>
      <c r="B1662" s="100">
        <v>-12</v>
      </c>
      <c r="C1662"/>
    </row>
    <row r="1663" spans="1:3">
      <c r="A1663" s="58">
        <v>46151</v>
      </c>
      <c r="B1663" s="100">
        <v>19</v>
      </c>
      <c r="C1663"/>
    </row>
    <row r="1664" spans="1:3">
      <c r="A1664" s="58">
        <v>46152</v>
      </c>
      <c r="B1664" s="100">
        <v>22</v>
      </c>
      <c r="C1664"/>
    </row>
    <row r="1665" spans="1:3">
      <c r="A1665" s="58">
        <v>46153</v>
      </c>
      <c r="B1665" s="100">
        <v>0</v>
      </c>
      <c r="C1665"/>
    </row>
    <row r="1666" spans="1:3">
      <c r="A1666" s="58">
        <v>46154</v>
      </c>
      <c r="B1666" s="100">
        <v>11</v>
      </c>
      <c r="C1666"/>
    </row>
    <row r="1667" spans="1:3">
      <c r="A1667" s="58">
        <v>46155</v>
      </c>
      <c r="B1667" s="100">
        <v>30</v>
      </c>
      <c r="C1667"/>
    </row>
    <row r="1668" spans="1:3">
      <c r="A1668" s="58">
        <v>46156</v>
      </c>
      <c r="B1668" s="100">
        <v>10</v>
      </c>
      <c r="C1668"/>
    </row>
    <row r="1669" spans="1:3">
      <c r="A1669" s="58">
        <v>46157</v>
      </c>
      <c r="B1669" s="100">
        <v>-6</v>
      </c>
      <c r="C1669"/>
    </row>
    <row r="1670" spans="1:3">
      <c r="A1670" s="58">
        <v>46158</v>
      </c>
      <c r="B1670" s="100">
        <v>-3</v>
      </c>
      <c r="C1670"/>
    </row>
    <row r="1671" spans="1:3">
      <c r="A1671" s="58">
        <v>46159</v>
      </c>
      <c r="B1671" s="100">
        <v>0</v>
      </c>
      <c r="C1671"/>
    </row>
    <row r="1672" spans="1:3">
      <c r="A1672" s="58">
        <v>46160</v>
      </c>
      <c r="B1672" s="100">
        <v>5</v>
      </c>
      <c r="C1672"/>
    </row>
    <row r="1673" spans="1:3">
      <c r="A1673" s="58">
        <v>46161</v>
      </c>
      <c r="B1673" s="100">
        <v>16</v>
      </c>
      <c r="C1673"/>
    </row>
    <row r="1674" spans="1:3">
      <c r="A1674" s="58">
        <v>46162</v>
      </c>
      <c r="B1674" s="100">
        <v>30</v>
      </c>
      <c r="C1674"/>
    </row>
    <row r="1675" spans="1:3">
      <c r="A1675" s="58">
        <v>46163</v>
      </c>
      <c r="B1675" s="100">
        <v>14</v>
      </c>
      <c r="C1675"/>
    </row>
    <row r="1676" spans="1:3">
      <c r="A1676" s="58">
        <v>46164</v>
      </c>
      <c r="B1676" s="100">
        <v>15</v>
      </c>
      <c r="C1676"/>
    </row>
    <row r="1677" spans="1:3">
      <c r="A1677" s="58">
        <v>46165</v>
      </c>
      <c r="B1677" s="100">
        <v>11</v>
      </c>
      <c r="C1677"/>
    </row>
    <row r="1678" spans="1:3">
      <c r="A1678" s="58">
        <v>46166</v>
      </c>
      <c r="B1678" s="100">
        <v>14</v>
      </c>
      <c r="C1678"/>
    </row>
    <row r="1679" spans="1:3">
      <c r="A1679" s="58">
        <v>46167</v>
      </c>
      <c r="B1679" s="100">
        <v>-1</v>
      </c>
      <c r="C1679"/>
    </row>
    <row r="1680" spans="1:3">
      <c r="A1680" s="58">
        <v>46168</v>
      </c>
      <c r="B1680" s="100">
        <v>-17</v>
      </c>
      <c r="C1680"/>
    </row>
    <row r="1681" spans="1:3">
      <c r="A1681" s="58">
        <v>46169</v>
      </c>
      <c r="B1681" s="100">
        <v>17</v>
      </c>
      <c r="C1681"/>
    </row>
    <row r="1682" spans="1:3">
      <c r="A1682" s="58">
        <v>46170</v>
      </c>
      <c r="B1682" s="100">
        <v>5</v>
      </c>
      <c r="C1682"/>
    </row>
    <row r="1683" spans="1:3">
      <c r="A1683" s="58">
        <v>46171</v>
      </c>
      <c r="B1683" s="100">
        <v>-3</v>
      </c>
      <c r="C1683"/>
    </row>
    <row r="1684" spans="1:3">
      <c r="A1684" s="58">
        <v>46172</v>
      </c>
      <c r="B1684" s="100">
        <v>5</v>
      </c>
      <c r="C1684"/>
    </row>
    <row r="1685" spans="1:3">
      <c r="A1685" s="58">
        <v>46173</v>
      </c>
      <c r="B1685" s="100">
        <v>24</v>
      </c>
      <c r="C1685"/>
    </row>
    <row r="1686" spans="1:3">
      <c r="A1686" s="58">
        <v>46174</v>
      </c>
      <c r="B1686" s="100">
        <v>25</v>
      </c>
      <c r="C1686"/>
    </row>
    <row r="1687" spans="1:3">
      <c r="A1687" s="58">
        <v>46175</v>
      </c>
      <c r="B1687" s="100">
        <v>33</v>
      </c>
      <c r="C1687"/>
    </row>
    <row r="1688" spans="1:3">
      <c r="A1688" s="58">
        <v>46176</v>
      </c>
      <c r="B1688" s="100">
        <v>17</v>
      </c>
      <c r="C1688"/>
    </row>
    <row r="1689" spans="1:3">
      <c r="A1689" s="58">
        <v>46177</v>
      </c>
      <c r="B1689" s="100">
        <v>1</v>
      </c>
      <c r="C1689"/>
    </row>
    <row r="1690" spans="1:3">
      <c r="A1690" s="58">
        <v>46178</v>
      </c>
      <c r="B1690" s="100">
        <v>15</v>
      </c>
      <c r="C1690"/>
    </row>
    <row r="1691" spans="1:3">
      <c r="A1691" s="58">
        <v>46179</v>
      </c>
      <c r="B1691" s="100">
        <v>25</v>
      </c>
      <c r="C1691"/>
    </row>
    <row r="1692" spans="1:3">
      <c r="A1692" s="58">
        <v>46180</v>
      </c>
      <c r="B1692" s="100">
        <v>50</v>
      </c>
      <c r="C1692"/>
    </row>
    <row r="1693" spans="1:3">
      <c r="A1693" s="58">
        <v>46181</v>
      </c>
      <c r="B1693" s="100">
        <v>13</v>
      </c>
      <c r="C1693"/>
    </row>
    <row r="1694" spans="1:3">
      <c r="A1694" s="58">
        <v>46182</v>
      </c>
      <c r="B1694" s="100">
        <v>14</v>
      </c>
      <c r="C1694"/>
    </row>
    <row r="1695" spans="1:3">
      <c r="A1695" s="58">
        <v>46183</v>
      </c>
      <c r="B1695" s="100">
        <v>37</v>
      </c>
      <c r="C1695"/>
    </row>
    <row r="1696" spans="1:3">
      <c r="A1696" s="58">
        <v>46184</v>
      </c>
      <c r="B1696" s="100">
        <v>-3</v>
      </c>
      <c r="C1696"/>
    </row>
    <row r="1697" spans="1:3">
      <c r="A1697" s="58">
        <v>46185</v>
      </c>
      <c r="B1697" s="100">
        <v>-9</v>
      </c>
      <c r="C1697"/>
    </row>
    <row r="1698" spans="1:3">
      <c r="A1698" s="58">
        <v>46186</v>
      </c>
      <c r="B1698" s="100">
        <v>15</v>
      </c>
      <c r="C1698"/>
    </row>
    <row r="1699" spans="1:3">
      <c r="A1699" s="58">
        <v>46187</v>
      </c>
      <c r="B1699" s="100">
        <v>27</v>
      </c>
      <c r="C1699"/>
    </row>
    <row r="1700" spans="1:3">
      <c r="A1700" s="58">
        <v>46188</v>
      </c>
      <c r="B1700" s="100">
        <v>21</v>
      </c>
      <c r="C1700"/>
    </row>
    <row r="1701" spans="1:3">
      <c r="A1701" s="58">
        <v>46189</v>
      </c>
      <c r="B1701" s="100">
        <v>25</v>
      </c>
      <c r="C1701"/>
    </row>
    <row r="1702" spans="1:3">
      <c r="A1702" s="58">
        <v>46190</v>
      </c>
      <c r="B1702" s="100">
        <v>17</v>
      </c>
      <c r="C1702"/>
    </row>
    <row r="1703" spans="1:3">
      <c r="A1703" s="58">
        <v>46191</v>
      </c>
      <c r="B1703" s="100">
        <v>11</v>
      </c>
      <c r="C1703"/>
    </row>
    <row r="1704" spans="1:3">
      <c r="A1704" s="58">
        <v>46192</v>
      </c>
      <c r="B1704" s="100">
        <v>8</v>
      </c>
      <c r="C1704"/>
    </row>
    <row r="1705" spans="1:3">
      <c r="A1705" s="58">
        <v>46193</v>
      </c>
      <c r="B1705" s="100">
        <v>8</v>
      </c>
      <c r="C1705"/>
    </row>
    <row r="1706" spans="1:3">
      <c r="A1706" s="58">
        <v>46194</v>
      </c>
      <c r="B1706" s="100">
        <v>-5</v>
      </c>
      <c r="C1706"/>
    </row>
    <row r="1707" spans="1:3">
      <c r="A1707" s="58">
        <v>46195</v>
      </c>
      <c r="B1707" s="100">
        <v>9</v>
      </c>
      <c r="C1707"/>
    </row>
    <row r="1708" spans="1:3">
      <c r="A1708" s="58">
        <v>46196</v>
      </c>
      <c r="B1708" s="100">
        <v>33</v>
      </c>
      <c r="C1708"/>
    </row>
    <row r="1709" spans="1:3">
      <c r="A1709" s="58">
        <v>46197</v>
      </c>
      <c r="B1709" s="100">
        <v>31</v>
      </c>
      <c r="C1709"/>
    </row>
    <row r="1710" spans="1:3">
      <c r="A1710" s="58">
        <v>46198</v>
      </c>
      <c r="B1710" s="100">
        <v>8</v>
      </c>
      <c r="C1710"/>
    </row>
    <row r="1711" spans="1:3">
      <c r="A1711" s="58">
        <v>46199</v>
      </c>
      <c r="B1711" s="100">
        <v>-23</v>
      </c>
      <c r="C1711"/>
    </row>
    <row r="1712" spans="1:3">
      <c r="A1712" s="58">
        <v>46200</v>
      </c>
      <c r="B1712" s="100">
        <v>33</v>
      </c>
      <c r="C1712"/>
    </row>
    <row r="1713" spans="1:3">
      <c r="A1713" s="58">
        <v>46201</v>
      </c>
      <c r="B1713" s="100">
        <v>3</v>
      </c>
      <c r="C1713"/>
    </row>
    <row r="1714" spans="1:3">
      <c r="A1714" s="58">
        <v>46202</v>
      </c>
      <c r="B1714" s="100">
        <v>-7</v>
      </c>
      <c r="C1714"/>
    </row>
    <row r="1715" spans="1:3">
      <c r="A1715" s="58">
        <v>46203</v>
      </c>
      <c r="B1715" s="100">
        <v>17</v>
      </c>
      <c r="C1715"/>
    </row>
    <row r="1716" spans="1:3">
      <c r="A1716" s="58">
        <v>46204</v>
      </c>
      <c r="B1716" s="100">
        <v>17</v>
      </c>
      <c r="C1716"/>
    </row>
    <row r="1717" spans="1:3">
      <c r="A1717" s="58">
        <v>46205</v>
      </c>
      <c r="B1717" s="100">
        <v>6</v>
      </c>
      <c r="C1717"/>
    </row>
    <row r="1718" spans="1:3">
      <c r="A1718" s="58">
        <v>46206</v>
      </c>
      <c r="B1718" s="100">
        <v>19</v>
      </c>
      <c r="C1718"/>
    </row>
    <row r="1719" spans="1:3">
      <c r="A1719" s="58">
        <v>46207</v>
      </c>
      <c r="B1719" s="100">
        <v>-12</v>
      </c>
      <c r="C1719"/>
    </row>
    <row r="1720" spans="1:3">
      <c r="A1720" s="58">
        <v>46208</v>
      </c>
      <c r="B1720" s="100">
        <v>13</v>
      </c>
      <c r="C1720"/>
    </row>
    <row r="1721" spans="1:3">
      <c r="A1721" s="58">
        <v>46209</v>
      </c>
      <c r="B1721" s="100">
        <v>34</v>
      </c>
      <c r="C1721"/>
    </row>
    <row r="1722" spans="1:3">
      <c r="A1722" s="58">
        <v>46210</v>
      </c>
      <c r="B1722" s="100">
        <v>41</v>
      </c>
      <c r="C1722"/>
    </row>
    <row r="1723" spans="1:3">
      <c r="A1723" s="58">
        <v>46211</v>
      </c>
      <c r="B1723" s="100">
        <v>29</v>
      </c>
      <c r="C1723"/>
    </row>
    <row r="1724" spans="1:3">
      <c r="A1724" s="58">
        <v>46212</v>
      </c>
      <c r="B1724" s="100">
        <v>20</v>
      </c>
      <c r="C1724"/>
    </row>
    <row r="1725" spans="1:3">
      <c r="A1725" s="58">
        <v>46213</v>
      </c>
      <c r="B1725" s="100">
        <v>35</v>
      </c>
      <c r="C1725"/>
    </row>
    <row r="1726" spans="1:3">
      <c r="A1726" s="58">
        <v>46214</v>
      </c>
      <c r="B1726" s="100">
        <v>18</v>
      </c>
      <c r="C1726"/>
    </row>
    <row r="1727" spans="1:3">
      <c r="A1727" s="58">
        <v>46215</v>
      </c>
      <c r="B1727" s="100">
        <v>18</v>
      </c>
      <c r="C1727"/>
    </row>
    <row r="1728" spans="1:3">
      <c r="A1728" s="58">
        <v>46216</v>
      </c>
      <c r="B1728" s="100">
        <v>13</v>
      </c>
      <c r="C1728"/>
    </row>
    <row r="1729" spans="1:3">
      <c r="A1729" s="58">
        <v>46217</v>
      </c>
      <c r="B1729" s="100">
        <v>20</v>
      </c>
      <c r="C1729"/>
    </row>
    <row r="1730" spans="1:3">
      <c r="A1730" s="58">
        <v>46218</v>
      </c>
      <c r="B1730" s="100">
        <v>16</v>
      </c>
      <c r="C1730"/>
    </row>
    <row r="1731" spans="1:3">
      <c r="A1731" s="58">
        <v>46219</v>
      </c>
      <c r="B1731" s="100">
        <v>21</v>
      </c>
      <c r="C1731"/>
    </row>
    <row r="1732" spans="1:3">
      <c r="A1732" s="58">
        <v>46220</v>
      </c>
      <c r="B1732" s="100">
        <v>-2</v>
      </c>
      <c r="C1732"/>
    </row>
    <row r="1733" spans="1:3">
      <c r="A1733" s="58">
        <v>46221</v>
      </c>
      <c r="B1733" s="100">
        <v>15</v>
      </c>
      <c r="C1733"/>
    </row>
    <row r="1734" spans="1:3">
      <c r="A1734" s="58">
        <v>46222</v>
      </c>
      <c r="B1734" s="100">
        <v>27</v>
      </c>
      <c r="C1734"/>
    </row>
    <row r="1735" spans="1:3">
      <c r="A1735" s="58">
        <v>46223</v>
      </c>
      <c r="B1735" s="100">
        <v>3</v>
      </c>
      <c r="C1735"/>
    </row>
    <row r="1736" spans="1:3">
      <c r="A1736" s="58">
        <v>46224</v>
      </c>
      <c r="B1736" s="100">
        <v>13</v>
      </c>
      <c r="C1736"/>
    </row>
    <row r="1737" spans="1:3">
      <c r="A1737" s="58">
        <v>46227</v>
      </c>
      <c r="B1737" s="100">
        <v>3</v>
      </c>
      <c r="C1737"/>
    </row>
    <row r="1738" spans="1:3">
      <c r="A1738" s="58">
        <v>46228</v>
      </c>
      <c r="B1738" s="100">
        <v>15</v>
      </c>
      <c r="C1738"/>
    </row>
    <row r="1739" spans="1:3">
      <c r="A1739" s="89">
        <v>46232</v>
      </c>
      <c r="B1739" s="101">
        <v>9</v>
      </c>
      <c r="C1739"/>
    </row>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spans="2:13">
      <c r="B1841"/>
      <c r="C1841"/>
      <c r="D1841"/>
      <c r="E1841"/>
      <c r="F1841"/>
      <c r="G1841"/>
      <c r="H1841"/>
      <c r="I1841"/>
      <c r="J1841"/>
      <c r="K1841"/>
      <c r="L1841"/>
      <c r="M1841"/>
    </row>
    <row r="1842" spans="2:13">
      <c r="B1842"/>
      <c r="C1842"/>
      <c r="D1842"/>
      <c r="E1842"/>
      <c r="F1842"/>
      <c r="G1842"/>
      <c r="H1842"/>
      <c r="I1842"/>
      <c r="J1842"/>
      <c r="K1842"/>
      <c r="L1842"/>
      <c r="M1842"/>
    </row>
    <row r="1843" spans="2:13">
      <c r="B1843"/>
      <c r="C1843"/>
      <c r="D1843"/>
      <c r="E1843"/>
      <c r="F1843"/>
      <c r="G1843"/>
      <c r="H1843"/>
      <c r="I1843"/>
      <c r="J1843"/>
      <c r="K1843"/>
      <c r="L1843"/>
      <c r="M1843"/>
    </row>
    <row r="1844" spans="2:13">
      <c r="B1844"/>
      <c r="C1844"/>
      <c r="D1844"/>
      <c r="E1844"/>
      <c r="F1844"/>
      <c r="G1844"/>
      <c r="H1844"/>
      <c r="I1844"/>
      <c r="J1844"/>
      <c r="K1844"/>
      <c r="L1844"/>
      <c r="M1844"/>
    </row>
    <row r="1845" spans="2:13">
      <c r="B1845"/>
      <c r="C1845"/>
      <c r="D1845"/>
      <c r="E1845"/>
      <c r="F1845"/>
      <c r="G1845"/>
      <c r="H1845"/>
      <c r="I1845"/>
      <c r="J1845"/>
    </row>
    <row r="1846" spans="2:13">
      <c r="B1846"/>
      <c r="C1846"/>
      <c r="D1846"/>
      <c r="E1846"/>
      <c r="F1846"/>
      <c r="G1846"/>
      <c r="H1846"/>
      <c r="I1846"/>
      <c r="J1846"/>
    </row>
    <row r="1847" spans="2:13">
      <c r="B1847"/>
      <c r="C1847"/>
      <c r="D1847"/>
      <c r="E1847"/>
      <c r="F1847"/>
      <c r="G1847"/>
      <c r="H1847"/>
      <c r="I1847"/>
      <c r="J1847"/>
    </row>
    <row r="1848" spans="2:13">
      <c r="B1848"/>
      <c r="C1848"/>
      <c r="D1848"/>
      <c r="E1848"/>
      <c r="F1848"/>
      <c r="G1848"/>
      <c r="H1848"/>
      <c r="I1848"/>
      <c r="J1848"/>
    </row>
    <row r="1849" spans="2:13">
      <c r="B1849"/>
      <c r="C1849"/>
      <c r="D1849"/>
      <c r="E1849"/>
      <c r="F1849"/>
      <c r="G1849"/>
      <c r="H1849"/>
      <c r="I1849"/>
      <c r="J1849"/>
    </row>
    <row r="1850" spans="2:13">
      <c r="B1850"/>
      <c r="C1850"/>
      <c r="D1850"/>
      <c r="E1850"/>
      <c r="F1850"/>
      <c r="G1850"/>
      <c r="H1850"/>
      <c r="I1850"/>
      <c r="J1850"/>
    </row>
    <row r="1851" spans="2:13">
      <c r="B1851"/>
      <c r="C1851"/>
      <c r="D1851"/>
      <c r="E1851"/>
      <c r="F1851"/>
      <c r="G1851"/>
      <c r="H1851"/>
      <c r="I1851"/>
      <c r="J1851"/>
    </row>
    <row r="1852" spans="2:13">
      <c r="B1852"/>
      <c r="C1852"/>
      <c r="D1852"/>
      <c r="E1852"/>
      <c r="F1852"/>
      <c r="G1852"/>
      <c r="H1852"/>
      <c r="I1852"/>
      <c r="J1852"/>
    </row>
    <row r="1853" spans="2:13">
      <c r="B1853"/>
      <c r="C1853"/>
      <c r="D1853"/>
      <c r="E1853"/>
      <c r="F1853"/>
      <c r="G1853"/>
      <c r="H1853"/>
      <c r="I1853"/>
      <c r="J1853"/>
    </row>
    <row r="1854" spans="2:13">
      <c r="B1854"/>
      <c r="C1854"/>
      <c r="D1854"/>
      <c r="E1854"/>
      <c r="F1854"/>
      <c r="G1854"/>
      <c r="H1854"/>
      <c r="I1854"/>
      <c r="J1854"/>
    </row>
    <row r="1855" spans="2:13">
      <c r="B1855"/>
      <c r="C1855"/>
      <c r="D1855"/>
      <c r="E1855"/>
      <c r="F1855"/>
      <c r="G1855"/>
      <c r="H1855"/>
      <c r="I1855"/>
      <c r="J1855"/>
    </row>
    <row r="1856" spans="2:13">
      <c r="B1856"/>
      <c r="C1856"/>
      <c r="D1856"/>
      <c r="E1856"/>
      <c r="F1856"/>
      <c r="G1856"/>
      <c r="H1856"/>
      <c r="I1856"/>
      <c r="J1856"/>
    </row>
    <row r="1857" spans="2:10">
      <c r="B1857"/>
      <c r="C1857"/>
      <c r="D1857"/>
      <c r="E1857"/>
      <c r="F1857"/>
      <c r="G1857"/>
      <c r="H1857"/>
      <c r="I1857"/>
      <c r="J1857"/>
    </row>
    <row r="1858" spans="2:10">
      <c r="B1858"/>
      <c r="C1858"/>
      <c r="D1858"/>
      <c r="E1858"/>
      <c r="F1858"/>
      <c r="G1858"/>
      <c r="H1858"/>
      <c r="I1858"/>
      <c r="J1858"/>
    </row>
    <row r="1859" spans="2:10">
      <c r="B1859"/>
      <c r="C1859"/>
      <c r="D1859"/>
      <c r="E1859"/>
      <c r="F1859"/>
      <c r="G1859"/>
      <c r="H1859"/>
      <c r="I1859"/>
      <c r="J1859"/>
    </row>
    <row r="1860" spans="2:10">
      <c r="B1860"/>
      <c r="C1860"/>
      <c r="D1860"/>
      <c r="E1860"/>
      <c r="F1860"/>
      <c r="G1860"/>
      <c r="H1860"/>
      <c r="I1860"/>
      <c r="J1860"/>
    </row>
    <row r="1861" spans="2:10">
      <c r="B1861"/>
      <c r="C1861"/>
      <c r="D1861"/>
      <c r="E1861"/>
      <c r="F1861"/>
      <c r="G1861"/>
      <c r="H1861"/>
      <c r="I1861"/>
      <c r="J1861"/>
    </row>
    <row r="1862" spans="2:10">
      <c r="B1862"/>
      <c r="C1862"/>
      <c r="D1862"/>
      <c r="E1862"/>
      <c r="F1862"/>
      <c r="G1862"/>
      <c r="H1862"/>
      <c r="I1862"/>
      <c r="J1862"/>
    </row>
    <row r="1863" spans="2:10">
      <c r="B1863"/>
      <c r="C1863"/>
      <c r="D1863"/>
      <c r="E1863"/>
      <c r="F1863"/>
      <c r="G1863"/>
      <c r="H1863"/>
      <c r="I1863"/>
      <c r="J1863"/>
    </row>
    <row r="1864" spans="2:10">
      <c r="B1864"/>
      <c r="C1864"/>
      <c r="D1864"/>
      <c r="E1864"/>
      <c r="F1864"/>
      <c r="G1864"/>
      <c r="H1864"/>
      <c r="I1864"/>
      <c r="J1864"/>
    </row>
    <row r="1865" spans="2:10">
      <c r="B1865"/>
      <c r="C1865"/>
      <c r="D1865"/>
      <c r="E1865"/>
      <c r="F1865"/>
      <c r="G1865"/>
      <c r="H1865"/>
      <c r="I1865"/>
      <c r="J1865"/>
    </row>
    <row r="1866" spans="2:10">
      <c r="B1866"/>
      <c r="C1866"/>
      <c r="D1866"/>
      <c r="E1866"/>
      <c r="F1866"/>
      <c r="G1866"/>
      <c r="H1866"/>
      <c r="I1866"/>
      <c r="J1866"/>
    </row>
    <row r="1867" spans="2:10">
      <c r="B1867"/>
      <c r="C1867"/>
      <c r="D1867"/>
      <c r="E1867"/>
      <c r="F1867"/>
      <c r="G1867"/>
      <c r="H1867"/>
      <c r="I1867"/>
      <c r="J1867"/>
    </row>
    <row r="1868" spans="2:10">
      <c r="B1868"/>
      <c r="C1868"/>
      <c r="D1868"/>
      <c r="E1868"/>
      <c r="F1868"/>
      <c r="G1868"/>
      <c r="H1868"/>
      <c r="I1868"/>
      <c r="J1868"/>
    </row>
    <row r="1869" spans="2:10">
      <c r="B1869"/>
      <c r="C1869"/>
      <c r="D1869"/>
      <c r="E1869"/>
      <c r="F1869"/>
      <c r="G1869"/>
      <c r="H1869"/>
      <c r="I1869"/>
      <c r="J1869"/>
    </row>
    <row r="1870" spans="2:10">
      <c r="B1870"/>
      <c r="C1870"/>
      <c r="D1870"/>
      <c r="E1870"/>
      <c r="F1870"/>
      <c r="G1870"/>
      <c r="H1870"/>
      <c r="I1870"/>
      <c r="J1870"/>
    </row>
    <row r="1871" spans="2:10">
      <c r="B1871"/>
      <c r="C1871"/>
      <c r="D1871"/>
      <c r="E1871"/>
      <c r="F1871"/>
      <c r="G1871"/>
      <c r="H1871"/>
      <c r="I1871"/>
      <c r="J1871"/>
    </row>
    <row r="1872" spans="2:10">
      <c r="B1872"/>
      <c r="C1872"/>
      <c r="D1872"/>
      <c r="E1872"/>
      <c r="F1872"/>
      <c r="G1872"/>
      <c r="H1872"/>
      <c r="I1872"/>
      <c r="J1872"/>
    </row>
    <row r="1873" spans="2:10">
      <c r="B1873"/>
      <c r="C1873"/>
      <c r="D1873"/>
      <c r="E1873"/>
      <c r="F1873"/>
      <c r="G1873"/>
      <c r="H1873"/>
      <c r="I1873"/>
      <c r="J1873"/>
    </row>
    <row r="1874" spans="2:10">
      <c r="B1874"/>
      <c r="C1874"/>
      <c r="D1874"/>
      <c r="E1874"/>
      <c r="F1874"/>
      <c r="G1874"/>
      <c r="H1874"/>
      <c r="I1874"/>
      <c r="J1874"/>
    </row>
    <row r="1875" spans="2:10">
      <c r="B1875"/>
      <c r="C1875"/>
      <c r="D1875"/>
      <c r="E1875"/>
      <c r="F1875"/>
      <c r="G1875"/>
      <c r="H1875"/>
      <c r="I1875"/>
      <c r="J1875"/>
    </row>
    <row r="1876" spans="2:10">
      <c r="B1876"/>
      <c r="C1876"/>
      <c r="D1876"/>
      <c r="E1876"/>
      <c r="F1876"/>
      <c r="G1876"/>
      <c r="H1876"/>
      <c r="I1876"/>
      <c r="J1876"/>
    </row>
    <row r="1877" spans="2:10">
      <c r="B1877"/>
      <c r="C1877"/>
      <c r="D1877"/>
      <c r="E1877"/>
      <c r="F1877"/>
      <c r="G1877"/>
      <c r="H1877"/>
      <c r="I1877"/>
      <c r="J1877"/>
    </row>
    <row r="1878" spans="2:10">
      <c r="B1878"/>
      <c r="C1878"/>
      <c r="D1878"/>
      <c r="E1878"/>
      <c r="F1878"/>
      <c r="G1878"/>
      <c r="H1878"/>
      <c r="I1878"/>
      <c r="J1878"/>
    </row>
    <row r="1879" spans="2:10">
      <c r="B1879"/>
      <c r="C1879"/>
      <c r="D1879"/>
      <c r="E1879"/>
      <c r="F1879"/>
      <c r="G1879"/>
      <c r="H1879"/>
      <c r="I1879"/>
      <c r="J1879"/>
    </row>
    <row r="1880" spans="2:10">
      <c r="B1880"/>
      <c r="C1880"/>
      <c r="D1880"/>
      <c r="E1880"/>
      <c r="F1880"/>
      <c r="G1880"/>
      <c r="H1880"/>
      <c r="I1880"/>
      <c r="J1880"/>
    </row>
    <row r="1881" spans="2:10">
      <c r="B1881"/>
      <c r="C1881"/>
      <c r="D1881"/>
      <c r="E1881"/>
      <c r="F1881"/>
      <c r="G1881"/>
      <c r="H1881"/>
      <c r="I1881"/>
      <c r="J1881"/>
    </row>
    <row r="1882" spans="2:10">
      <c r="B1882"/>
      <c r="C1882"/>
      <c r="D1882"/>
      <c r="E1882"/>
      <c r="F1882"/>
      <c r="G1882"/>
      <c r="H1882"/>
      <c r="I1882"/>
      <c r="J1882"/>
    </row>
    <row r="1883" spans="2:10">
      <c r="B1883"/>
      <c r="C1883"/>
      <c r="D1883"/>
      <c r="E1883"/>
      <c r="F1883"/>
      <c r="G1883"/>
      <c r="H1883"/>
      <c r="I1883"/>
      <c r="J1883"/>
    </row>
    <row r="1884" spans="2:10">
      <c r="B1884"/>
      <c r="C1884"/>
      <c r="D1884"/>
      <c r="E1884"/>
      <c r="F1884"/>
      <c r="G1884"/>
      <c r="H1884"/>
      <c r="I1884"/>
      <c r="J1884"/>
    </row>
    <row r="1885" spans="2:10">
      <c r="B1885"/>
      <c r="C1885"/>
      <c r="D1885"/>
      <c r="E1885"/>
      <c r="F1885"/>
      <c r="G1885"/>
      <c r="H1885"/>
      <c r="I1885"/>
      <c r="J1885"/>
    </row>
    <row r="1886" spans="2:10">
      <c r="B1886"/>
      <c r="C1886"/>
      <c r="D1886"/>
      <c r="E1886"/>
      <c r="F1886"/>
      <c r="G1886"/>
      <c r="H1886"/>
      <c r="I1886"/>
      <c r="J1886"/>
    </row>
    <row r="1887" spans="2:10">
      <c r="B1887"/>
      <c r="C1887"/>
      <c r="D1887"/>
      <c r="E1887"/>
      <c r="F1887"/>
      <c r="G1887"/>
      <c r="H1887"/>
      <c r="I1887"/>
      <c r="J1887"/>
    </row>
    <row r="1888" spans="2:10">
      <c r="B1888"/>
      <c r="C1888"/>
      <c r="D1888"/>
      <c r="E1888"/>
      <c r="F1888"/>
      <c r="G1888"/>
      <c r="H1888"/>
      <c r="I1888"/>
      <c r="J1888"/>
    </row>
    <row r="1889" spans="2:10">
      <c r="B1889"/>
      <c r="C1889"/>
      <c r="D1889"/>
      <c r="E1889"/>
      <c r="F1889"/>
      <c r="G1889"/>
      <c r="H1889"/>
      <c r="I1889"/>
      <c r="J1889"/>
    </row>
    <row r="1890" spans="2:10">
      <c r="B1890"/>
      <c r="C1890"/>
      <c r="D1890"/>
      <c r="E1890"/>
      <c r="F1890"/>
      <c r="G1890"/>
      <c r="H1890"/>
      <c r="I1890"/>
      <c r="J1890"/>
    </row>
    <row r="1891" spans="2:10">
      <c r="B1891"/>
      <c r="C1891"/>
      <c r="D1891"/>
      <c r="E1891"/>
      <c r="F1891"/>
      <c r="G1891"/>
      <c r="H1891"/>
      <c r="I1891"/>
      <c r="J1891"/>
    </row>
    <row r="1892" spans="2:10">
      <c r="B1892"/>
      <c r="C1892"/>
      <c r="D1892"/>
      <c r="E1892"/>
      <c r="F1892"/>
      <c r="G1892"/>
      <c r="H1892"/>
      <c r="I1892"/>
      <c r="J1892"/>
    </row>
    <row r="1893" spans="2:10">
      <c r="B1893"/>
      <c r="C1893"/>
      <c r="D1893"/>
      <c r="E1893"/>
      <c r="F1893"/>
      <c r="G1893"/>
      <c r="H1893"/>
      <c r="I1893"/>
      <c r="J1893"/>
    </row>
    <row r="1894" spans="2:10">
      <c r="B1894"/>
      <c r="C1894"/>
      <c r="D1894"/>
      <c r="E1894"/>
      <c r="F1894"/>
      <c r="G1894"/>
      <c r="H1894"/>
      <c r="I1894"/>
      <c r="J1894"/>
    </row>
    <row r="1895" spans="2:10">
      <c r="B1895"/>
      <c r="C1895"/>
      <c r="D1895"/>
      <c r="E1895"/>
      <c r="F1895"/>
      <c r="G1895"/>
      <c r="H1895"/>
      <c r="I1895"/>
      <c r="J1895"/>
    </row>
    <row r="1896" spans="2:10">
      <c r="B1896"/>
      <c r="C1896"/>
      <c r="D1896"/>
      <c r="E1896"/>
      <c r="F1896"/>
      <c r="G1896"/>
      <c r="H1896"/>
      <c r="I1896"/>
      <c r="J1896"/>
    </row>
    <row r="1897" spans="2:10">
      <c r="B1897"/>
      <c r="C1897"/>
      <c r="D1897"/>
      <c r="E1897"/>
      <c r="F1897"/>
      <c r="G1897"/>
      <c r="H1897"/>
      <c r="I1897"/>
      <c r="J1897"/>
    </row>
    <row r="1898" spans="2:10">
      <c r="B1898"/>
      <c r="C1898"/>
      <c r="D1898"/>
      <c r="E1898"/>
      <c r="F1898"/>
      <c r="G1898"/>
      <c r="H1898"/>
      <c r="I1898"/>
      <c r="J1898"/>
    </row>
    <row r="1899" spans="2:10">
      <c r="B1899"/>
      <c r="C1899"/>
      <c r="D1899"/>
      <c r="E1899"/>
      <c r="F1899"/>
      <c r="G1899"/>
      <c r="H1899"/>
      <c r="I1899"/>
      <c r="J1899"/>
    </row>
    <row r="1900" spans="2:10">
      <c r="B1900"/>
      <c r="C1900"/>
      <c r="D1900"/>
      <c r="E1900"/>
      <c r="F1900"/>
      <c r="G1900"/>
      <c r="H1900"/>
      <c r="I1900"/>
      <c r="J1900"/>
    </row>
    <row r="1901" spans="2:10">
      <c r="B1901"/>
      <c r="C1901"/>
      <c r="D1901"/>
      <c r="E1901"/>
      <c r="F1901"/>
      <c r="G1901"/>
      <c r="H1901"/>
      <c r="I1901"/>
      <c r="J1901"/>
    </row>
    <row r="1902" spans="2:10">
      <c r="B1902"/>
      <c r="C1902"/>
      <c r="D1902"/>
      <c r="E1902"/>
      <c r="F1902"/>
      <c r="G1902"/>
      <c r="H1902"/>
      <c r="I1902"/>
      <c r="J1902"/>
    </row>
    <row r="1903" spans="2:10">
      <c r="B1903"/>
      <c r="C1903"/>
      <c r="D1903"/>
      <c r="E1903"/>
      <c r="F1903"/>
      <c r="G1903"/>
      <c r="H1903"/>
      <c r="I1903"/>
      <c r="J1903"/>
    </row>
    <row r="1904" spans="2:10">
      <c r="B1904"/>
      <c r="C1904"/>
      <c r="D1904"/>
      <c r="E1904"/>
      <c r="F1904"/>
      <c r="G1904"/>
      <c r="H1904"/>
      <c r="I1904"/>
      <c r="J1904"/>
    </row>
    <row r="1905" spans="2:10">
      <c r="B1905"/>
      <c r="C1905"/>
      <c r="D1905"/>
      <c r="E1905"/>
      <c r="F1905"/>
      <c r="G1905"/>
      <c r="H1905"/>
      <c r="I1905"/>
      <c r="J1905"/>
    </row>
    <row r="1906" spans="2:10">
      <c r="B1906"/>
      <c r="C1906"/>
      <c r="D1906"/>
      <c r="E1906"/>
      <c r="F1906"/>
      <c r="G1906"/>
      <c r="H1906"/>
      <c r="I1906"/>
      <c r="J1906"/>
    </row>
    <row r="1907" spans="2:10">
      <c r="B1907"/>
      <c r="C1907"/>
      <c r="D1907"/>
      <c r="E1907"/>
      <c r="F1907"/>
      <c r="G1907"/>
      <c r="H1907"/>
      <c r="I1907"/>
      <c r="J1907"/>
    </row>
    <row r="1908" spans="2:10">
      <c r="B1908"/>
      <c r="C1908"/>
      <c r="D1908"/>
      <c r="E1908"/>
      <c r="F1908"/>
      <c r="G1908"/>
      <c r="H1908"/>
      <c r="I1908"/>
      <c r="J1908"/>
    </row>
    <row r="1909" spans="2:10">
      <c r="B1909"/>
      <c r="C1909"/>
      <c r="D1909"/>
      <c r="E1909"/>
      <c r="F1909"/>
      <c r="G1909"/>
      <c r="H1909"/>
      <c r="I1909"/>
      <c r="J1909"/>
    </row>
    <row r="1910" spans="2:10">
      <c r="B1910"/>
      <c r="C1910"/>
      <c r="D1910"/>
      <c r="E1910"/>
      <c r="F1910"/>
      <c r="G1910"/>
      <c r="H1910"/>
      <c r="I1910"/>
      <c r="J1910"/>
    </row>
    <row r="1911" spans="2:10">
      <c r="B1911"/>
      <c r="C1911"/>
      <c r="D1911"/>
      <c r="E1911"/>
      <c r="F1911"/>
      <c r="G1911"/>
      <c r="H1911"/>
      <c r="I1911"/>
      <c r="J1911"/>
    </row>
    <row r="1912" spans="2:10">
      <c r="B1912"/>
      <c r="C1912"/>
      <c r="D1912"/>
      <c r="E1912"/>
      <c r="F1912"/>
      <c r="G1912"/>
      <c r="H1912"/>
      <c r="I1912"/>
      <c r="J1912"/>
    </row>
    <row r="1913" spans="2:10">
      <c r="B1913"/>
      <c r="C1913"/>
      <c r="D1913"/>
      <c r="E1913"/>
      <c r="F1913"/>
      <c r="G1913"/>
      <c r="H1913"/>
      <c r="I1913"/>
      <c r="J1913"/>
    </row>
    <row r="1914" spans="2:10">
      <c r="B1914"/>
      <c r="C1914"/>
      <c r="D1914"/>
      <c r="E1914"/>
      <c r="F1914"/>
      <c r="G1914"/>
      <c r="H1914"/>
      <c r="I1914"/>
      <c r="J1914"/>
    </row>
    <row r="1915" spans="2:10">
      <c r="B1915"/>
      <c r="C1915"/>
      <c r="D1915"/>
      <c r="E1915"/>
      <c r="F1915"/>
      <c r="G1915"/>
      <c r="H1915"/>
      <c r="I1915"/>
      <c r="J1915"/>
    </row>
    <row r="1916" spans="2:10">
      <c r="B1916"/>
      <c r="C1916"/>
      <c r="D1916"/>
      <c r="E1916"/>
      <c r="F1916"/>
      <c r="G1916"/>
      <c r="H1916"/>
      <c r="I1916"/>
      <c r="J1916"/>
    </row>
    <row r="1917" spans="2:10">
      <c r="B1917"/>
      <c r="C1917"/>
      <c r="D1917"/>
      <c r="E1917"/>
      <c r="F1917"/>
      <c r="G1917"/>
      <c r="H1917"/>
      <c r="I1917"/>
      <c r="J1917"/>
    </row>
    <row r="1918" spans="2:10">
      <c r="B1918"/>
      <c r="C1918"/>
      <c r="D1918"/>
      <c r="E1918"/>
      <c r="F1918"/>
      <c r="G1918"/>
      <c r="H1918"/>
      <c r="I1918"/>
      <c r="J1918"/>
    </row>
    <row r="1919" spans="2:10">
      <c r="B1919"/>
      <c r="C1919"/>
      <c r="D1919"/>
      <c r="E1919"/>
      <c r="F1919"/>
      <c r="G1919"/>
      <c r="H1919"/>
      <c r="I1919"/>
      <c r="J1919"/>
    </row>
    <row r="1920" spans="2:10">
      <c r="B1920"/>
      <c r="C1920"/>
      <c r="D1920"/>
      <c r="E1920"/>
      <c r="F1920"/>
      <c r="G1920"/>
      <c r="H1920"/>
      <c r="I1920"/>
      <c r="J1920"/>
    </row>
    <row r="1921" spans="2:10">
      <c r="B1921"/>
      <c r="C1921"/>
      <c r="D1921"/>
      <c r="E1921"/>
      <c r="F1921"/>
      <c r="G1921"/>
      <c r="H1921"/>
      <c r="I1921"/>
      <c r="J1921"/>
    </row>
    <row r="1922" spans="2:10">
      <c r="B1922"/>
      <c r="C1922"/>
      <c r="D1922"/>
      <c r="E1922"/>
      <c r="F1922"/>
      <c r="G1922"/>
      <c r="H1922"/>
      <c r="I1922"/>
      <c r="J1922"/>
    </row>
    <row r="1923" spans="2:10">
      <c r="B1923"/>
      <c r="C1923"/>
      <c r="D1923"/>
      <c r="E1923"/>
      <c r="F1923"/>
      <c r="G1923"/>
      <c r="H1923"/>
      <c r="I1923"/>
      <c r="J1923"/>
    </row>
    <row r="1924" spans="2:10">
      <c r="B1924"/>
      <c r="C1924"/>
      <c r="D1924"/>
      <c r="E1924"/>
      <c r="F1924"/>
      <c r="G1924"/>
      <c r="H1924"/>
      <c r="I1924"/>
      <c r="J1924"/>
    </row>
    <row r="1925" spans="2:10">
      <c r="B1925"/>
      <c r="C1925"/>
      <c r="D1925"/>
      <c r="E1925"/>
      <c r="F1925"/>
      <c r="G1925"/>
      <c r="H1925"/>
      <c r="I1925"/>
      <c r="J1925"/>
    </row>
    <row r="1926" spans="2:10">
      <c r="B1926"/>
      <c r="C1926"/>
      <c r="D1926"/>
      <c r="E1926"/>
      <c r="F1926"/>
      <c r="G1926"/>
      <c r="H1926"/>
      <c r="I1926"/>
      <c r="J1926"/>
    </row>
    <row r="1927" spans="2:10">
      <c r="B1927"/>
      <c r="C1927"/>
      <c r="D1927"/>
      <c r="E1927"/>
      <c r="F1927"/>
      <c r="G1927"/>
      <c r="H1927"/>
      <c r="I1927"/>
      <c r="J1927"/>
    </row>
    <row r="1928" spans="2:10">
      <c r="B1928"/>
      <c r="C1928"/>
      <c r="D1928"/>
      <c r="E1928"/>
      <c r="F1928"/>
      <c r="G1928"/>
      <c r="H1928"/>
      <c r="I1928"/>
      <c r="J1928"/>
    </row>
    <row r="1929" spans="2:10">
      <c r="B1929"/>
      <c r="C1929"/>
      <c r="D1929"/>
      <c r="E1929"/>
      <c r="F1929"/>
      <c r="G1929"/>
      <c r="H1929"/>
      <c r="I1929"/>
      <c r="J1929"/>
    </row>
    <row r="1930" spans="2:10">
      <c r="B1930"/>
      <c r="C1930"/>
      <c r="D1930"/>
      <c r="E1930"/>
      <c r="F1930"/>
      <c r="G1930"/>
      <c r="H1930"/>
      <c r="I1930"/>
      <c r="J1930"/>
    </row>
    <row r="1931" spans="2:10">
      <c r="B1931"/>
      <c r="C1931"/>
      <c r="D1931"/>
      <c r="E1931"/>
      <c r="F1931"/>
      <c r="G1931"/>
      <c r="H1931"/>
      <c r="I1931"/>
      <c r="J1931"/>
    </row>
    <row r="1932" spans="2:10">
      <c r="B1932"/>
      <c r="C1932"/>
      <c r="D1932"/>
      <c r="E1932"/>
      <c r="F1932"/>
      <c r="G1932"/>
      <c r="H1932"/>
      <c r="I1932"/>
      <c r="J1932"/>
    </row>
    <row r="1933" spans="2:10">
      <c r="B1933"/>
      <c r="C1933"/>
      <c r="D1933"/>
      <c r="E1933"/>
      <c r="F1933"/>
      <c r="G1933"/>
      <c r="H1933"/>
      <c r="I1933"/>
      <c r="J1933"/>
    </row>
    <row r="1934" spans="2:10">
      <c r="B1934"/>
      <c r="C1934"/>
      <c r="D1934"/>
      <c r="E1934"/>
      <c r="F1934"/>
      <c r="G1934"/>
      <c r="H1934"/>
      <c r="I1934"/>
      <c r="J1934"/>
    </row>
    <row r="1935" spans="2:10">
      <c r="B1935"/>
      <c r="C1935"/>
      <c r="D1935"/>
      <c r="E1935"/>
      <c r="F1935"/>
      <c r="G1935"/>
      <c r="H1935"/>
      <c r="I1935"/>
      <c r="J1935"/>
    </row>
    <row r="1936" spans="2:10">
      <c r="B1936"/>
      <c r="C1936"/>
      <c r="D1936"/>
      <c r="E1936"/>
      <c r="F1936"/>
      <c r="G1936"/>
      <c r="H1936"/>
      <c r="I1936"/>
      <c r="J1936"/>
    </row>
    <row r="1937" spans="2:10">
      <c r="B1937"/>
      <c r="C1937"/>
      <c r="D1937"/>
      <c r="E1937"/>
      <c r="F1937"/>
      <c r="G1937"/>
      <c r="H1937"/>
      <c r="I1937"/>
      <c r="J1937"/>
    </row>
    <row r="1938" spans="2:10">
      <c r="B1938"/>
      <c r="C1938"/>
      <c r="D1938"/>
      <c r="E1938"/>
      <c r="F1938"/>
      <c r="G1938"/>
      <c r="H1938"/>
      <c r="I1938"/>
      <c r="J1938"/>
    </row>
    <row r="1939" spans="2:10">
      <c r="B1939"/>
      <c r="C1939"/>
      <c r="D1939"/>
      <c r="E1939"/>
      <c r="F1939"/>
      <c r="G1939"/>
      <c r="H1939"/>
      <c r="I1939"/>
      <c r="J1939"/>
    </row>
    <row r="1940" spans="2:10">
      <c r="B1940"/>
      <c r="C1940"/>
      <c r="D1940"/>
      <c r="E1940"/>
      <c r="F1940"/>
      <c r="G1940"/>
      <c r="H1940"/>
      <c r="I1940"/>
      <c r="J1940"/>
    </row>
    <row r="1941" spans="2:10">
      <c r="B1941"/>
      <c r="C1941"/>
      <c r="D1941"/>
      <c r="E1941"/>
      <c r="F1941"/>
      <c r="G1941"/>
      <c r="H1941"/>
      <c r="I1941"/>
      <c r="J1941"/>
    </row>
    <row r="1942" spans="2:10">
      <c r="B1942"/>
      <c r="C1942"/>
      <c r="D1942"/>
      <c r="E1942"/>
      <c r="F1942"/>
      <c r="G1942"/>
      <c r="H1942"/>
      <c r="I1942"/>
      <c r="J1942"/>
    </row>
    <row r="1943" spans="2:10">
      <c r="B1943"/>
      <c r="C1943"/>
      <c r="D1943"/>
      <c r="E1943"/>
      <c r="F1943"/>
      <c r="G1943"/>
      <c r="H1943"/>
      <c r="I1943"/>
      <c r="J1943"/>
    </row>
    <row r="1944" spans="2:10">
      <c r="B1944"/>
      <c r="C1944"/>
      <c r="D1944"/>
      <c r="E1944"/>
      <c r="F1944"/>
      <c r="G1944"/>
      <c r="H1944"/>
      <c r="I1944"/>
      <c r="J1944"/>
    </row>
    <row r="1945" spans="2:10">
      <c r="B1945"/>
      <c r="C1945"/>
      <c r="D1945"/>
      <c r="E1945"/>
      <c r="F1945"/>
      <c r="G1945"/>
      <c r="H1945"/>
      <c r="I1945"/>
      <c r="J1945"/>
    </row>
    <row r="1946" spans="2:10">
      <c r="B1946"/>
      <c r="C1946"/>
      <c r="D1946"/>
      <c r="E1946"/>
      <c r="F1946"/>
      <c r="G1946"/>
      <c r="H1946"/>
      <c r="I1946"/>
      <c r="J1946"/>
    </row>
    <row r="1947" spans="2:10">
      <c r="B1947"/>
      <c r="C1947"/>
      <c r="D1947"/>
      <c r="E1947"/>
      <c r="F1947"/>
      <c r="G1947"/>
      <c r="H1947"/>
      <c r="I1947"/>
      <c r="J1947"/>
    </row>
    <row r="1948" spans="2:10">
      <c r="B1948"/>
      <c r="C1948"/>
      <c r="D1948"/>
      <c r="E1948"/>
      <c r="F1948"/>
      <c r="G1948"/>
      <c r="H1948"/>
      <c r="I1948"/>
      <c r="J1948"/>
    </row>
    <row r="1949" spans="2:10">
      <c r="B1949"/>
      <c r="C1949"/>
      <c r="D1949"/>
      <c r="E1949"/>
      <c r="F1949"/>
      <c r="G1949"/>
      <c r="H1949"/>
      <c r="I1949"/>
      <c r="J1949"/>
    </row>
    <row r="1950" spans="2:10">
      <c r="B1950"/>
      <c r="C1950"/>
      <c r="D1950"/>
      <c r="E1950"/>
      <c r="F1950"/>
      <c r="G1950"/>
      <c r="H1950"/>
      <c r="I1950"/>
      <c r="J1950"/>
    </row>
    <row r="1951" spans="2:10">
      <c r="B1951"/>
      <c r="C1951"/>
      <c r="D1951"/>
      <c r="E1951"/>
      <c r="F1951"/>
      <c r="G1951"/>
      <c r="H1951"/>
      <c r="I1951"/>
      <c r="J1951"/>
    </row>
    <row r="1952" spans="2:10">
      <c r="B1952"/>
      <c r="C1952"/>
      <c r="D1952"/>
      <c r="E1952"/>
      <c r="F1952"/>
      <c r="G1952"/>
      <c r="H1952"/>
      <c r="I1952"/>
      <c r="J1952"/>
    </row>
    <row r="1953" spans="2:10">
      <c r="B1953"/>
      <c r="C1953"/>
      <c r="D1953"/>
      <c r="E1953"/>
      <c r="F1953"/>
      <c r="G1953"/>
      <c r="H1953"/>
      <c r="I1953"/>
      <c r="J1953"/>
    </row>
    <row r="1954" spans="2:10">
      <c r="B1954"/>
      <c r="C1954"/>
      <c r="D1954"/>
      <c r="E1954"/>
      <c r="F1954"/>
      <c r="G1954"/>
      <c r="H1954"/>
      <c r="I1954"/>
      <c r="J1954"/>
    </row>
    <row r="1955" spans="2:10">
      <c r="B1955"/>
      <c r="C1955"/>
      <c r="D1955"/>
      <c r="E1955"/>
      <c r="F1955"/>
      <c r="G1955"/>
      <c r="H1955"/>
      <c r="I1955"/>
      <c r="J1955"/>
    </row>
    <row r="1956" spans="2:10">
      <c r="B1956"/>
      <c r="C1956"/>
      <c r="D1956"/>
      <c r="E1956"/>
      <c r="F1956"/>
      <c r="G1956"/>
      <c r="H1956"/>
      <c r="I1956"/>
      <c r="J1956"/>
    </row>
    <row r="1957" spans="2:10">
      <c r="B1957"/>
      <c r="C1957"/>
      <c r="D1957"/>
      <c r="E1957"/>
      <c r="F1957"/>
      <c r="G1957"/>
      <c r="H1957"/>
      <c r="I1957"/>
      <c r="J1957"/>
    </row>
    <row r="1958" spans="2:10">
      <c r="B1958"/>
      <c r="C1958"/>
      <c r="D1958"/>
      <c r="E1958"/>
      <c r="F1958"/>
      <c r="G1958"/>
      <c r="H1958"/>
      <c r="I1958"/>
      <c r="J1958"/>
    </row>
    <row r="1959" spans="2:10">
      <c r="B1959"/>
      <c r="C1959"/>
      <c r="D1959"/>
      <c r="E1959"/>
      <c r="F1959"/>
      <c r="G1959"/>
      <c r="H1959"/>
      <c r="I1959"/>
      <c r="J1959"/>
    </row>
    <row r="1960" spans="2:10">
      <c r="B1960"/>
      <c r="C1960"/>
      <c r="D1960"/>
      <c r="E1960"/>
      <c r="F1960"/>
      <c r="G1960"/>
      <c r="H1960"/>
      <c r="I1960"/>
      <c r="J1960"/>
    </row>
    <row r="1961" spans="2:10">
      <c r="B1961"/>
      <c r="C1961"/>
      <c r="D1961"/>
      <c r="E1961"/>
      <c r="F1961"/>
      <c r="G1961"/>
      <c r="H1961"/>
      <c r="I1961"/>
      <c r="J1961"/>
    </row>
    <row r="1962" spans="2:10">
      <c r="B1962"/>
      <c r="C1962"/>
      <c r="D1962"/>
      <c r="E1962"/>
      <c r="F1962"/>
      <c r="G1962"/>
      <c r="H1962"/>
      <c r="I1962"/>
      <c r="J1962"/>
    </row>
    <row r="1963" spans="2:10">
      <c r="B1963"/>
      <c r="C1963"/>
      <c r="D1963"/>
      <c r="E1963"/>
      <c r="F1963"/>
      <c r="G1963"/>
      <c r="H1963"/>
      <c r="I1963"/>
      <c r="J1963"/>
    </row>
    <row r="1964" spans="2:10">
      <c r="B1964"/>
      <c r="C1964"/>
      <c r="D1964"/>
      <c r="E1964"/>
      <c r="F1964"/>
      <c r="G1964"/>
      <c r="H1964"/>
      <c r="I1964"/>
      <c r="J1964"/>
    </row>
    <row r="1965" spans="2:10">
      <c r="B1965"/>
      <c r="C1965"/>
      <c r="D1965"/>
      <c r="E1965"/>
      <c r="F1965"/>
      <c r="G1965"/>
      <c r="H1965"/>
      <c r="I1965"/>
      <c r="J1965"/>
    </row>
    <row r="1966" spans="2:10">
      <c r="B1966"/>
      <c r="C1966"/>
      <c r="D1966"/>
      <c r="E1966"/>
      <c r="F1966"/>
      <c r="G1966"/>
      <c r="H1966"/>
      <c r="I1966"/>
      <c r="J1966"/>
    </row>
    <row r="1967" spans="2:10">
      <c r="B1967"/>
      <c r="C1967"/>
      <c r="D1967"/>
      <c r="E1967"/>
      <c r="F1967"/>
      <c r="G1967"/>
      <c r="H1967"/>
      <c r="I1967"/>
      <c r="J1967"/>
    </row>
    <row r="1968" spans="2:10">
      <c r="B1968"/>
      <c r="C1968"/>
      <c r="D1968"/>
      <c r="E1968"/>
      <c r="F1968"/>
      <c r="G1968"/>
      <c r="H1968"/>
      <c r="I1968"/>
      <c r="J1968"/>
    </row>
    <row r="1969" spans="2:10">
      <c r="B1969"/>
      <c r="C1969"/>
      <c r="D1969"/>
      <c r="E1969"/>
      <c r="F1969"/>
      <c r="G1969"/>
      <c r="H1969"/>
      <c r="I1969"/>
      <c r="J1969"/>
    </row>
    <row r="1970" spans="2:10">
      <c r="B1970"/>
      <c r="C1970"/>
      <c r="D1970"/>
      <c r="E1970"/>
      <c r="F1970"/>
      <c r="G1970"/>
      <c r="H1970"/>
      <c r="I1970"/>
      <c r="J1970"/>
    </row>
    <row r="1971" spans="2:10">
      <c r="B1971"/>
      <c r="C1971"/>
      <c r="D1971"/>
      <c r="E1971"/>
      <c r="F1971"/>
      <c r="G1971"/>
      <c r="H1971"/>
      <c r="I1971"/>
      <c r="J1971"/>
    </row>
    <row r="1972" spans="2:10">
      <c r="B1972"/>
      <c r="C1972"/>
      <c r="D1972"/>
      <c r="E1972"/>
      <c r="F1972"/>
      <c r="G1972"/>
      <c r="H1972"/>
      <c r="I1972"/>
      <c r="J1972"/>
    </row>
    <row r="1973" spans="2:10">
      <c r="B1973"/>
      <c r="C1973"/>
      <c r="D1973"/>
      <c r="E1973"/>
      <c r="F1973"/>
      <c r="G1973"/>
      <c r="H1973"/>
      <c r="I1973"/>
      <c r="J1973"/>
    </row>
    <row r="1974" spans="2:10">
      <c r="B1974"/>
      <c r="C1974"/>
      <c r="D1974"/>
    </row>
    <row r="1975" spans="2:10">
      <c r="B1975"/>
      <c r="C1975"/>
      <c r="D1975"/>
    </row>
    <row r="1976" spans="2:10">
      <c r="B1976"/>
      <c r="C1976"/>
      <c r="D1976"/>
    </row>
    <row r="1977" spans="2:10">
      <c r="B1977"/>
      <c r="C1977"/>
      <c r="D1977"/>
    </row>
    <row r="1978" spans="2:10">
      <c r="B1978"/>
      <c r="C1978"/>
      <c r="D1978"/>
    </row>
    <row r="1979" spans="2:10">
      <c r="B1979"/>
      <c r="C1979"/>
      <c r="D1979"/>
    </row>
    <row r="1980" spans="2:10">
      <c r="B1980"/>
      <c r="C1980"/>
      <c r="D1980"/>
    </row>
    <row r="1981" spans="2:10">
      <c r="B1981"/>
      <c r="C1981"/>
      <c r="D1981"/>
    </row>
    <row r="1982" spans="2:10">
      <c r="B1982"/>
      <c r="C1982"/>
      <c r="D1982"/>
    </row>
    <row r="1983" spans="2:10">
      <c r="B1983"/>
      <c r="C1983"/>
      <c r="D1983"/>
    </row>
    <row r="1984" spans="2:10">
      <c r="B1984"/>
      <c r="C1984"/>
      <c r="D1984"/>
    </row>
    <row r="1985" spans="2:4">
      <c r="B1985"/>
      <c r="C1985"/>
      <c r="D1985"/>
    </row>
    <row r="1986" spans="2:4">
      <c r="B1986"/>
      <c r="C1986"/>
      <c r="D1986"/>
    </row>
    <row r="1987" spans="2:4">
      <c r="B1987"/>
      <c r="C1987"/>
      <c r="D1987"/>
    </row>
    <row r="1988" spans="2:4">
      <c r="B1988"/>
      <c r="C1988"/>
      <c r="D1988"/>
    </row>
    <row r="1989" spans="2:4">
      <c r="B1989"/>
      <c r="C1989"/>
      <c r="D1989"/>
    </row>
    <row r="1990" spans="2:4">
      <c r="B1990"/>
      <c r="C1990"/>
      <c r="D1990"/>
    </row>
    <row r="1991" spans="2:4">
      <c r="B1991"/>
      <c r="C1991"/>
      <c r="D1991"/>
    </row>
    <row r="1992" spans="2:4">
      <c r="B1992"/>
      <c r="C1992"/>
      <c r="D1992"/>
    </row>
    <row r="1993" spans="2:4">
      <c r="B1993"/>
      <c r="C1993"/>
      <c r="D1993"/>
    </row>
    <row r="1994" spans="2:4">
      <c r="B1994"/>
      <c r="C1994"/>
      <c r="D1994"/>
    </row>
    <row r="1995" spans="2:4">
      <c r="B1995"/>
      <c r="C1995"/>
      <c r="D1995"/>
    </row>
    <row r="1996" spans="2:4">
      <c r="B1996"/>
      <c r="C1996"/>
      <c r="D1996"/>
    </row>
    <row r="1997" spans="2:4">
      <c r="B1997"/>
      <c r="C1997"/>
      <c r="D1997"/>
    </row>
    <row r="1998" spans="2:4">
      <c r="B1998"/>
      <c r="C1998"/>
      <c r="D1998"/>
    </row>
    <row r="1999" spans="2:4">
      <c r="B1999"/>
      <c r="C1999"/>
      <c r="D1999"/>
    </row>
    <row r="2000" spans="2:4">
      <c r="B2000"/>
      <c r="C2000"/>
      <c r="D2000"/>
    </row>
    <row r="2001" spans="2:4">
      <c r="B2001"/>
      <c r="C2001"/>
      <c r="D2001"/>
    </row>
    <row r="2002" spans="2:4">
      <c r="B2002"/>
      <c r="C2002"/>
      <c r="D2002"/>
    </row>
    <row r="2003" spans="2:4">
      <c r="B2003"/>
      <c r="C2003"/>
      <c r="D2003"/>
    </row>
    <row r="2004" spans="2:4">
      <c r="B2004"/>
      <c r="C2004"/>
      <c r="D2004"/>
    </row>
    <row r="2005" spans="2:4">
      <c r="B2005"/>
      <c r="C2005"/>
      <c r="D2005"/>
    </row>
    <row r="2006" spans="2:4">
      <c r="B2006"/>
      <c r="C2006"/>
      <c r="D2006"/>
    </row>
    <row r="2007" spans="2:4">
      <c r="B2007"/>
      <c r="C2007"/>
      <c r="D2007"/>
    </row>
    <row r="2008" spans="2:4">
      <c r="B2008"/>
      <c r="C2008"/>
      <c r="D2008"/>
    </row>
    <row r="2009" spans="2:4">
      <c r="B2009"/>
      <c r="C2009"/>
      <c r="D2009"/>
    </row>
    <row r="2010" spans="2:4">
      <c r="B2010"/>
      <c r="C2010"/>
      <c r="D2010"/>
    </row>
    <row r="2011" spans="2:4">
      <c r="B2011"/>
      <c r="C2011"/>
      <c r="D2011"/>
    </row>
    <row r="2012" spans="2:4">
      <c r="B2012"/>
      <c r="C2012"/>
      <c r="D2012"/>
    </row>
    <row r="2013" spans="2:4">
      <c r="B2013"/>
      <c r="C2013"/>
      <c r="D2013"/>
    </row>
    <row r="2014" spans="2:4">
      <c r="B2014"/>
      <c r="C2014"/>
      <c r="D2014"/>
    </row>
    <row r="2015" spans="2:4">
      <c r="B2015"/>
      <c r="C2015"/>
      <c r="D2015"/>
    </row>
    <row r="2016" spans="2:4">
      <c r="B2016"/>
      <c r="C2016"/>
      <c r="D2016"/>
    </row>
    <row r="2017" spans="2:4">
      <c r="B2017"/>
      <c r="C2017"/>
      <c r="D2017"/>
    </row>
    <row r="2018" spans="2:4">
      <c r="B2018"/>
      <c r="C2018"/>
      <c r="D2018"/>
    </row>
    <row r="2019" spans="2:4">
      <c r="B2019"/>
      <c r="C2019"/>
      <c r="D2019"/>
    </row>
    <row r="2020" spans="2:4">
      <c r="B2020"/>
      <c r="C2020"/>
      <c r="D2020"/>
    </row>
    <row r="2021" spans="2:4">
      <c r="B2021"/>
      <c r="C2021"/>
      <c r="D2021"/>
    </row>
    <row r="2022" spans="2:4">
      <c r="B2022"/>
      <c r="C2022"/>
      <c r="D2022"/>
    </row>
    <row r="2023" spans="2:4">
      <c r="B2023"/>
      <c r="C2023"/>
      <c r="D2023"/>
    </row>
    <row r="2024" spans="2:4">
      <c r="B2024"/>
      <c r="C2024"/>
      <c r="D2024"/>
    </row>
    <row r="2025" spans="2:4">
      <c r="B2025"/>
      <c r="C2025"/>
      <c r="D2025"/>
    </row>
    <row r="2026" spans="2:4">
      <c r="B2026"/>
      <c r="C2026"/>
      <c r="D2026"/>
    </row>
    <row r="2027" spans="2:4">
      <c r="B2027"/>
      <c r="C2027"/>
      <c r="D2027"/>
    </row>
    <row r="2028" spans="2:4">
      <c r="B2028"/>
      <c r="C2028"/>
      <c r="D2028"/>
    </row>
    <row r="2029" spans="2:4">
      <c r="B2029"/>
      <c r="C2029"/>
      <c r="D2029"/>
    </row>
    <row r="2030" spans="2:4">
      <c r="B2030"/>
      <c r="C2030"/>
      <c r="D2030"/>
    </row>
    <row r="2031" spans="2:4">
      <c r="B2031"/>
      <c r="C2031"/>
      <c r="D2031"/>
    </row>
    <row r="2032" spans="2:4">
      <c r="B2032"/>
      <c r="C2032"/>
      <c r="D2032"/>
    </row>
    <row r="2033" spans="2:4">
      <c r="B2033"/>
      <c r="C2033"/>
      <c r="D2033"/>
    </row>
    <row r="2034" spans="2:4">
      <c r="B2034"/>
      <c r="C2034"/>
      <c r="D2034"/>
    </row>
    <row r="2035" spans="2:4">
      <c r="B2035"/>
      <c r="C2035"/>
      <c r="D2035"/>
    </row>
    <row r="2036" spans="2:4">
      <c r="B2036"/>
      <c r="C2036"/>
      <c r="D2036"/>
    </row>
    <row r="2037" spans="2:4">
      <c r="B2037"/>
      <c r="C2037"/>
      <c r="D2037"/>
    </row>
    <row r="2038" spans="2:4">
      <c r="B2038"/>
      <c r="C2038"/>
      <c r="D2038"/>
    </row>
    <row r="2039" spans="2:4">
      <c r="B2039"/>
      <c r="C2039"/>
      <c r="D2039"/>
    </row>
    <row r="2040" spans="2:4">
      <c r="B2040"/>
      <c r="C2040"/>
      <c r="D2040"/>
    </row>
    <row r="2041" spans="2:4">
      <c r="B2041"/>
      <c r="C2041"/>
      <c r="D2041"/>
    </row>
    <row r="2042" spans="2:4">
      <c r="B2042"/>
      <c r="C2042"/>
      <c r="D2042"/>
    </row>
    <row r="2043" spans="2:4">
      <c r="B2043"/>
      <c r="C2043"/>
      <c r="D2043"/>
    </row>
    <row r="2044" spans="2:4">
      <c r="B2044"/>
      <c r="C2044"/>
      <c r="D2044"/>
    </row>
    <row r="2045" spans="2:4">
      <c r="B2045"/>
      <c r="C2045"/>
      <c r="D2045"/>
    </row>
    <row r="2046" spans="2:4">
      <c r="B2046"/>
      <c r="C2046"/>
      <c r="D2046"/>
    </row>
    <row r="2047" spans="2:4">
      <c r="B2047"/>
      <c r="C2047"/>
      <c r="D2047"/>
    </row>
    <row r="2048" spans="2:4">
      <c r="B2048"/>
      <c r="C2048"/>
      <c r="D2048"/>
    </row>
    <row r="2049" spans="2:4">
      <c r="B2049"/>
      <c r="C2049"/>
      <c r="D2049"/>
    </row>
    <row r="2050" spans="2:4">
      <c r="B2050"/>
      <c r="C2050"/>
      <c r="D2050"/>
    </row>
    <row r="2051" spans="2:4">
      <c r="B2051"/>
      <c r="C2051"/>
      <c r="D2051"/>
    </row>
    <row r="2052" spans="2:4">
      <c r="B2052"/>
      <c r="C2052"/>
      <c r="D2052"/>
    </row>
    <row r="2053" spans="2:4">
      <c r="B2053"/>
      <c r="C2053"/>
      <c r="D2053"/>
    </row>
    <row r="2054" spans="2:4">
      <c r="B2054"/>
      <c r="C2054"/>
      <c r="D2054"/>
    </row>
    <row r="2055" spans="2:4">
      <c r="B2055"/>
      <c r="C2055"/>
      <c r="D2055"/>
    </row>
    <row r="2056" spans="2:4">
      <c r="B2056"/>
      <c r="C2056"/>
      <c r="D2056"/>
    </row>
    <row r="2057" spans="2:4">
      <c r="B2057"/>
      <c r="C2057"/>
      <c r="D2057"/>
    </row>
    <row r="2058" spans="2:4">
      <c r="B2058"/>
      <c r="C2058"/>
      <c r="D2058"/>
    </row>
    <row r="2059" spans="2:4">
      <c r="B2059"/>
      <c r="C2059"/>
      <c r="D2059"/>
    </row>
    <row r="2060" spans="2:4">
      <c r="B2060"/>
      <c r="C2060"/>
      <c r="D2060"/>
    </row>
    <row r="2061" spans="2:4">
      <c r="B2061"/>
      <c r="C2061"/>
      <c r="D2061"/>
    </row>
    <row r="2062" spans="2:4">
      <c r="B2062"/>
      <c r="C2062"/>
      <c r="D2062"/>
    </row>
    <row r="2063" spans="2:4">
      <c r="B2063"/>
      <c r="C2063"/>
      <c r="D2063"/>
    </row>
    <row r="2064" spans="2:4">
      <c r="B2064"/>
      <c r="C2064"/>
      <c r="D2064"/>
    </row>
    <row r="2065" spans="2:4">
      <c r="B2065"/>
      <c r="C2065"/>
      <c r="D2065"/>
    </row>
    <row r="2066" spans="2:4">
      <c r="B2066"/>
      <c r="C2066"/>
      <c r="D2066"/>
    </row>
    <row r="2067" spans="2:4">
      <c r="B2067"/>
      <c r="C2067"/>
      <c r="D2067"/>
    </row>
    <row r="2068" spans="2:4">
      <c r="B2068"/>
      <c r="C2068"/>
      <c r="D2068"/>
    </row>
    <row r="2069" spans="2:4">
      <c r="B2069"/>
      <c r="C2069"/>
      <c r="D2069"/>
    </row>
    <row r="2070" spans="2:4">
      <c r="B2070"/>
      <c r="C2070"/>
      <c r="D2070"/>
    </row>
    <row r="2071" spans="2:4">
      <c r="B2071"/>
      <c r="C2071"/>
      <c r="D2071"/>
    </row>
    <row r="2072" spans="2:4">
      <c r="B2072"/>
      <c r="C2072"/>
      <c r="D2072"/>
    </row>
    <row r="2073" spans="2:4">
      <c r="B2073"/>
      <c r="C2073"/>
      <c r="D2073"/>
    </row>
    <row r="2074" spans="2:4">
      <c r="B2074"/>
      <c r="C2074"/>
      <c r="D2074"/>
    </row>
    <row r="2075" spans="2:4">
      <c r="B2075"/>
      <c r="C2075"/>
      <c r="D2075"/>
    </row>
    <row r="2076" spans="2:4">
      <c r="B2076"/>
      <c r="C2076"/>
      <c r="D2076"/>
    </row>
    <row r="2077" spans="2:4">
      <c r="B2077"/>
      <c r="C2077"/>
      <c r="D2077"/>
    </row>
    <row r="2078" spans="2:4">
      <c r="B2078"/>
      <c r="C2078"/>
      <c r="D2078"/>
    </row>
    <row r="2079" spans="2:4">
      <c r="B2079"/>
      <c r="C2079"/>
      <c r="D2079"/>
    </row>
    <row r="2080" spans="2:4">
      <c r="B2080"/>
      <c r="C2080"/>
      <c r="D2080"/>
    </row>
    <row r="2081" spans="2:4">
      <c r="B2081"/>
      <c r="C2081"/>
      <c r="D2081"/>
    </row>
    <row r="2082" spans="2:4">
      <c r="B2082"/>
      <c r="C2082"/>
      <c r="D2082"/>
    </row>
    <row r="2083" spans="2:4">
      <c r="B2083"/>
      <c r="C2083"/>
      <c r="D2083"/>
    </row>
    <row r="2084" spans="2:4">
      <c r="B2084"/>
      <c r="C2084"/>
      <c r="D2084"/>
    </row>
    <row r="2085" spans="2:4">
      <c r="B2085"/>
      <c r="C2085"/>
      <c r="D2085"/>
    </row>
    <row r="2086" spans="2:4">
      <c r="B2086"/>
      <c r="C2086"/>
      <c r="D2086"/>
    </row>
    <row r="2087" spans="2:4">
      <c r="B2087"/>
      <c r="C2087"/>
      <c r="D2087"/>
    </row>
    <row r="2088" spans="2:4">
      <c r="B2088"/>
      <c r="C2088"/>
      <c r="D2088"/>
    </row>
    <row r="2089" spans="2:4">
      <c r="B2089"/>
      <c r="C2089"/>
      <c r="D2089"/>
    </row>
    <row r="2090" spans="2:4">
      <c r="B2090"/>
      <c r="C2090"/>
      <c r="D2090"/>
    </row>
    <row r="2091" spans="2:4">
      <c r="B2091"/>
      <c r="C2091"/>
      <c r="D2091"/>
    </row>
    <row r="2092" spans="2:4">
      <c r="B2092"/>
      <c r="C2092"/>
      <c r="D2092"/>
    </row>
    <row r="2093" spans="2:4">
      <c r="B2093"/>
      <c r="C2093"/>
      <c r="D2093"/>
    </row>
    <row r="2094" spans="2:4">
      <c r="B2094"/>
      <c r="C2094"/>
      <c r="D2094"/>
    </row>
    <row r="2095" spans="2:4">
      <c r="B2095"/>
      <c r="C2095"/>
      <c r="D2095"/>
    </row>
    <row r="2096" spans="2:4">
      <c r="B2096"/>
      <c r="C2096"/>
      <c r="D2096"/>
    </row>
    <row r="2097" spans="2:4">
      <c r="B2097"/>
      <c r="C2097"/>
      <c r="D2097"/>
    </row>
    <row r="2098" spans="2:4">
      <c r="B2098"/>
      <c r="C2098"/>
      <c r="D2098"/>
    </row>
    <row r="2099" spans="2:4">
      <c r="B2099"/>
      <c r="C2099"/>
      <c r="D2099"/>
    </row>
    <row r="2100" spans="2:4">
      <c r="B2100"/>
      <c r="C2100"/>
      <c r="D2100"/>
    </row>
    <row r="2101" spans="2:4">
      <c r="B2101"/>
      <c r="C2101"/>
      <c r="D2101"/>
    </row>
    <row r="2102" spans="2:4">
      <c r="B2102"/>
      <c r="C2102"/>
      <c r="D2102"/>
    </row>
    <row r="2103" spans="2:4">
      <c r="B2103"/>
      <c r="C2103"/>
      <c r="D2103"/>
    </row>
    <row r="2104" spans="2:4">
      <c r="B2104"/>
      <c r="C2104"/>
      <c r="D2104"/>
    </row>
    <row r="2105" spans="2:4">
      <c r="B2105"/>
      <c r="C2105"/>
      <c r="D2105"/>
    </row>
    <row r="2106" spans="2:4">
      <c r="B2106"/>
      <c r="C2106"/>
      <c r="D2106"/>
    </row>
    <row r="2107" spans="2:4">
      <c r="B2107"/>
      <c r="C2107"/>
      <c r="D2107"/>
    </row>
    <row r="2108" spans="2:4">
      <c r="B2108"/>
      <c r="C2108"/>
      <c r="D2108"/>
    </row>
    <row r="2109" spans="2:4">
      <c r="B2109"/>
      <c r="C2109"/>
      <c r="D2109"/>
    </row>
    <row r="2110" spans="2:4">
      <c r="B2110"/>
      <c r="C2110"/>
      <c r="D2110"/>
    </row>
    <row r="2111" spans="2:4">
      <c r="B2111"/>
      <c r="C2111"/>
      <c r="D2111"/>
    </row>
    <row r="2112" spans="2:4">
      <c r="B2112"/>
      <c r="C2112"/>
      <c r="D2112"/>
    </row>
    <row r="2113" spans="2:4">
      <c r="B2113"/>
      <c r="C2113"/>
      <c r="D2113"/>
    </row>
    <row r="2114" spans="2:4">
      <c r="B2114"/>
      <c r="C2114"/>
      <c r="D2114"/>
    </row>
    <row r="2115" spans="2:4">
      <c r="B2115"/>
      <c r="C2115"/>
      <c r="D2115"/>
    </row>
    <row r="2116" spans="2:4">
      <c r="B2116"/>
      <c r="C2116"/>
      <c r="D2116"/>
    </row>
    <row r="2117" spans="2:4">
      <c r="B2117"/>
      <c r="C2117"/>
      <c r="D2117"/>
    </row>
    <row r="2118" spans="2:4">
      <c r="B2118"/>
      <c r="C2118"/>
      <c r="D2118"/>
    </row>
    <row r="2119" spans="2:4">
      <c r="B2119"/>
      <c r="C2119"/>
      <c r="D2119"/>
    </row>
    <row r="2120" spans="2:4">
      <c r="B2120"/>
      <c r="C2120"/>
      <c r="D2120"/>
    </row>
    <row r="2121" spans="2:4">
      <c r="B2121"/>
      <c r="C2121"/>
      <c r="D2121"/>
    </row>
    <row r="2122" spans="2:4">
      <c r="B2122"/>
      <c r="C2122"/>
      <c r="D2122"/>
    </row>
    <row r="2123" spans="2:4">
      <c r="B2123"/>
      <c r="C2123"/>
      <c r="D2123"/>
    </row>
    <row r="2124" spans="2:4">
      <c r="B2124"/>
      <c r="C2124"/>
      <c r="D2124"/>
    </row>
    <row r="2125" spans="2:4">
      <c r="B2125"/>
      <c r="C2125"/>
      <c r="D2125"/>
    </row>
    <row r="2126" spans="2:4">
      <c r="B2126"/>
      <c r="C2126"/>
      <c r="D2126"/>
    </row>
    <row r="2127" spans="2:4">
      <c r="B2127"/>
      <c r="C2127"/>
      <c r="D2127"/>
    </row>
    <row r="2128" spans="2:4">
      <c r="B2128"/>
      <c r="C2128"/>
      <c r="D2128"/>
    </row>
    <row r="2129" spans="2:4">
      <c r="B2129"/>
      <c r="C2129"/>
      <c r="D2129"/>
    </row>
    <row r="2130" spans="2:4">
      <c r="B2130"/>
      <c r="C2130"/>
      <c r="D2130"/>
    </row>
    <row r="2131" spans="2:4">
      <c r="B2131"/>
      <c r="C2131"/>
      <c r="D2131"/>
    </row>
    <row r="2132" spans="2:4">
      <c r="B2132"/>
      <c r="C2132"/>
      <c r="D2132"/>
    </row>
    <row r="2133" spans="2:4">
      <c r="B2133"/>
      <c r="C2133"/>
      <c r="D2133"/>
    </row>
    <row r="2134" spans="2:4">
      <c r="B2134"/>
      <c r="C2134"/>
      <c r="D2134"/>
    </row>
    <row r="2135" spans="2:4">
      <c r="B2135"/>
      <c r="C2135"/>
      <c r="D2135"/>
    </row>
    <row r="2136" spans="2:4">
      <c r="B2136"/>
      <c r="C2136"/>
      <c r="D2136"/>
    </row>
    <row r="2137" spans="2:4">
      <c r="B2137"/>
      <c r="C2137"/>
      <c r="D2137"/>
    </row>
    <row r="2138" spans="2:4">
      <c r="B2138"/>
      <c r="C2138"/>
      <c r="D2138"/>
    </row>
    <row r="2139" spans="2:4">
      <c r="B2139"/>
      <c r="C2139"/>
      <c r="D2139"/>
    </row>
    <row r="2140" spans="2:4">
      <c r="B2140"/>
      <c r="C2140"/>
      <c r="D2140"/>
    </row>
    <row r="2141" spans="2:4">
      <c r="B2141"/>
      <c r="C2141"/>
      <c r="D2141"/>
    </row>
    <row r="2142" spans="2:4">
      <c r="B2142"/>
      <c r="C2142"/>
      <c r="D2142"/>
    </row>
    <row r="2143" spans="2:4">
      <c r="B2143"/>
      <c r="C2143"/>
      <c r="D2143"/>
    </row>
    <row r="2144" spans="2:4">
      <c r="B2144"/>
      <c r="C2144"/>
      <c r="D2144"/>
    </row>
    <row r="2145" spans="2:4">
      <c r="B2145"/>
      <c r="C2145"/>
      <c r="D2145"/>
    </row>
    <row r="2146" spans="2:4">
      <c r="B2146"/>
      <c r="C2146"/>
      <c r="D2146"/>
    </row>
    <row r="2147" spans="2:4">
      <c r="B2147"/>
      <c r="C2147"/>
      <c r="D2147"/>
    </row>
    <row r="2148" spans="2:4">
      <c r="B2148"/>
      <c r="C2148"/>
      <c r="D2148"/>
    </row>
    <row r="2149" spans="2:4">
      <c r="B2149"/>
      <c r="C2149"/>
      <c r="D2149"/>
    </row>
    <row r="2150" spans="2:4">
      <c r="B2150"/>
      <c r="C2150"/>
      <c r="D2150"/>
    </row>
    <row r="2151" spans="2:4">
      <c r="B2151"/>
      <c r="C2151"/>
      <c r="D2151"/>
    </row>
    <row r="2152" spans="2:4">
      <c r="B2152"/>
      <c r="C2152"/>
      <c r="D2152"/>
    </row>
    <row r="2153" spans="2:4">
      <c r="B2153"/>
      <c r="C2153"/>
      <c r="D2153"/>
    </row>
    <row r="2154" spans="2:4">
      <c r="B2154"/>
      <c r="C2154"/>
      <c r="D2154"/>
    </row>
    <row r="2155" spans="2:4">
      <c r="B2155"/>
      <c r="C2155"/>
      <c r="D2155"/>
    </row>
    <row r="2156" spans="2:4">
      <c r="B2156"/>
      <c r="C2156"/>
      <c r="D2156"/>
    </row>
    <row r="2157" spans="2:4">
      <c r="B2157"/>
      <c r="C2157"/>
      <c r="D2157"/>
    </row>
    <row r="2158" spans="2:4">
      <c r="B2158"/>
      <c r="C2158"/>
      <c r="D2158"/>
    </row>
    <row r="2159" spans="2:4">
      <c r="B2159"/>
      <c r="C2159"/>
      <c r="D2159"/>
    </row>
    <row r="2160" spans="2:4">
      <c r="B2160"/>
      <c r="C2160"/>
      <c r="D2160"/>
    </row>
    <row r="2161" spans="2:4">
      <c r="B2161"/>
      <c r="C2161"/>
      <c r="D2161"/>
    </row>
    <row r="2162" spans="2:4">
      <c r="B2162"/>
      <c r="C2162"/>
      <c r="D2162"/>
    </row>
    <row r="2163" spans="2:4">
      <c r="B2163"/>
      <c r="C2163"/>
      <c r="D2163"/>
    </row>
    <row r="2164" spans="2:4">
      <c r="B2164"/>
      <c r="C2164"/>
      <c r="D2164"/>
    </row>
    <row r="2165" spans="2:4">
      <c r="B2165"/>
      <c r="C2165"/>
      <c r="D2165"/>
    </row>
    <row r="2166" spans="2:4">
      <c r="B2166"/>
      <c r="C2166"/>
      <c r="D2166"/>
    </row>
    <row r="2167" spans="2:4">
      <c r="B2167"/>
      <c r="C2167"/>
      <c r="D2167"/>
    </row>
    <row r="2168" spans="2:4">
      <c r="B2168"/>
      <c r="C2168"/>
      <c r="D2168"/>
    </row>
    <row r="2169" spans="2:4">
      <c r="B2169"/>
      <c r="C2169"/>
      <c r="D2169"/>
    </row>
    <row r="2170" spans="2:4">
      <c r="B2170"/>
      <c r="C2170"/>
      <c r="D2170"/>
    </row>
    <row r="2171" spans="2:4">
      <c r="B2171"/>
      <c r="C2171"/>
      <c r="D2171"/>
    </row>
    <row r="2172" spans="2:4">
      <c r="B2172"/>
      <c r="C2172"/>
      <c r="D2172"/>
    </row>
    <row r="2173" spans="2:4">
      <c r="B2173"/>
      <c r="C2173"/>
      <c r="D2173"/>
    </row>
    <row r="2174" spans="2:4">
      <c r="B2174"/>
      <c r="C2174"/>
      <c r="D2174"/>
    </row>
    <row r="2175" spans="2:4">
      <c r="B2175"/>
      <c r="C2175"/>
      <c r="D2175"/>
    </row>
    <row r="2176" spans="2:4">
      <c r="B2176"/>
      <c r="C2176"/>
      <c r="D2176"/>
    </row>
    <row r="2177" spans="2:4">
      <c r="B2177"/>
      <c r="C2177"/>
      <c r="D2177"/>
    </row>
    <row r="2178" spans="2:4">
      <c r="B2178"/>
      <c r="C2178"/>
      <c r="D2178"/>
    </row>
    <row r="2179" spans="2:4">
      <c r="B2179"/>
      <c r="C2179"/>
      <c r="D2179"/>
    </row>
    <row r="2180" spans="2:4">
      <c r="B2180"/>
      <c r="C2180"/>
      <c r="D2180"/>
    </row>
    <row r="2181" spans="2:4">
      <c r="B2181"/>
      <c r="C2181"/>
      <c r="D2181"/>
    </row>
    <row r="2182" spans="2:4">
      <c r="B2182"/>
      <c r="C2182"/>
      <c r="D2182"/>
    </row>
    <row r="2183" spans="2:4">
      <c r="B2183"/>
      <c r="C2183"/>
      <c r="D2183"/>
    </row>
    <row r="2184" spans="2:4">
      <c r="B2184"/>
      <c r="C2184"/>
      <c r="D2184"/>
    </row>
    <row r="2185" spans="2:4">
      <c r="B2185"/>
      <c r="C2185"/>
      <c r="D2185"/>
    </row>
    <row r="2186" spans="2:4">
      <c r="B2186"/>
      <c r="C2186"/>
      <c r="D2186"/>
    </row>
    <row r="2187" spans="2:4">
      <c r="B2187"/>
      <c r="C2187"/>
      <c r="D2187"/>
    </row>
    <row r="2188" spans="2:4">
      <c r="B2188"/>
      <c r="C2188"/>
      <c r="D2188"/>
    </row>
    <row r="2189" spans="2:4">
      <c r="B2189"/>
      <c r="C2189"/>
      <c r="D2189"/>
    </row>
    <row r="2190" spans="2:4">
      <c r="B2190"/>
      <c r="C2190"/>
      <c r="D2190"/>
    </row>
    <row r="2191" spans="2:4">
      <c r="B2191"/>
      <c r="C2191"/>
      <c r="D2191"/>
    </row>
    <row r="2192" spans="2:4">
      <c r="B2192"/>
      <c r="C2192"/>
      <c r="D2192"/>
    </row>
    <row r="2193" spans="2:4">
      <c r="B2193"/>
      <c r="C2193"/>
      <c r="D2193"/>
    </row>
    <row r="2194" spans="2:4">
      <c r="B2194"/>
      <c r="C2194"/>
      <c r="D2194"/>
    </row>
    <row r="2195" spans="2:4">
      <c r="B2195"/>
      <c r="C2195"/>
      <c r="D2195"/>
    </row>
    <row r="2196" spans="2:4">
      <c r="B2196"/>
      <c r="C2196"/>
      <c r="D2196"/>
    </row>
    <row r="2197" spans="2:4">
      <c r="B2197"/>
      <c r="C2197"/>
      <c r="D2197"/>
    </row>
    <row r="2198" spans="2:4">
      <c r="B2198"/>
      <c r="C2198"/>
      <c r="D2198"/>
    </row>
    <row r="2199" spans="2:4">
      <c r="B2199"/>
      <c r="C2199"/>
      <c r="D2199"/>
    </row>
    <row r="2200" spans="2:4">
      <c r="B2200"/>
      <c r="C2200"/>
      <c r="D2200"/>
    </row>
    <row r="2201" spans="2:4">
      <c r="B2201"/>
      <c r="C2201"/>
      <c r="D2201"/>
    </row>
    <row r="2202" spans="2:4">
      <c r="B2202"/>
      <c r="C2202"/>
      <c r="D2202"/>
    </row>
    <row r="2203" spans="2:4">
      <c r="B2203"/>
      <c r="C2203"/>
      <c r="D2203"/>
    </row>
    <row r="2204" spans="2:4">
      <c r="B2204"/>
      <c r="C2204"/>
      <c r="D2204"/>
    </row>
    <row r="2205" spans="2:4">
      <c r="B2205"/>
      <c r="C2205"/>
      <c r="D2205"/>
    </row>
    <row r="2206" spans="2:4">
      <c r="B2206"/>
      <c r="C2206"/>
      <c r="D2206"/>
    </row>
    <row r="2207" spans="2:4">
      <c r="B2207"/>
      <c r="C2207"/>
      <c r="D2207"/>
    </row>
    <row r="2208" spans="2:4">
      <c r="B2208"/>
      <c r="C2208"/>
      <c r="D2208"/>
    </row>
    <row r="2209" spans="2:4">
      <c r="B2209"/>
      <c r="C2209"/>
      <c r="D2209"/>
    </row>
    <row r="2210" spans="2:4">
      <c r="B2210"/>
      <c r="C2210"/>
      <c r="D2210"/>
    </row>
    <row r="2211" spans="2:4">
      <c r="B2211"/>
      <c r="C2211"/>
      <c r="D2211"/>
    </row>
    <row r="2212" spans="2:4">
      <c r="B2212"/>
      <c r="C2212"/>
      <c r="D2212"/>
    </row>
    <row r="2213" spans="2:4">
      <c r="B2213"/>
      <c r="C2213"/>
      <c r="D2213"/>
    </row>
    <row r="2214" spans="2:4">
      <c r="B2214"/>
      <c r="C2214"/>
      <c r="D2214"/>
    </row>
    <row r="2215" spans="2:4">
      <c r="B2215"/>
      <c r="C2215"/>
      <c r="D2215"/>
    </row>
    <row r="2216" spans="2:4">
      <c r="B2216"/>
      <c r="C2216"/>
      <c r="D2216"/>
    </row>
    <row r="2217" spans="2:4">
      <c r="B2217"/>
      <c r="C2217"/>
      <c r="D2217"/>
    </row>
    <row r="2218" spans="2:4">
      <c r="B2218"/>
      <c r="C2218"/>
      <c r="D2218"/>
    </row>
    <row r="2219" spans="2:4">
      <c r="B2219"/>
      <c r="C2219"/>
      <c r="D2219"/>
    </row>
    <row r="2220" spans="2:4">
      <c r="B2220"/>
      <c r="C2220"/>
      <c r="D2220"/>
    </row>
    <row r="2221" spans="2:4">
      <c r="B2221"/>
      <c r="C2221"/>
      <c r="D2221"/>
    </row>
    <row r="2222" spans="2:4">
      <c r="B2222"/>
      <c r="C2222"/>
      <c r="D2222"/>
    </row>
    <row r="2223" spans="2:4">
      <c r="B2223"/>
      <c r="C2223"/>
      <c r="D2223"/>
    </row>
    <row r="2224" spans="2:4">
      <c r="B2224"/>
      <c r="C2224"/>
      <c r="D2224"/>
    </row>
    <row r="2225" spans="2:4">
      <c r="B2225"/>
      <c r="C2225"/>
      <c r="D2225"/>
    </row>
    <row r="2226" spans="2:4">
      <c r="B2226"/>
      <c r="C2226"/>
      <c r="D2226"/>
    </row>
    <row r="2227" spans="2:4">
      <c r="B2227"/>
      <c r="C2227"/>
      <c r="D2227"/>
    </row>
    <row r="2228" spans="2:4">
      <c r="B2228"/>
      <c r="C2228"/>
      <c r="D2228"/>
    </row>
    <row r="2229" spans="2:4">
      <c r="B2229"/>
      <c r="C2229"/>
      <c r="D2229"/>
    </row>
    <row r="2230" spans="2:4">
      <c r="B2230"/>
      <c r="C2230"/>
      <c r="D2230"/>
    </row>
    <row r="2231" spans="2:4">
      <c r="B2231"/>
      <c r="C2231"/>
      <c r="D2231"/>
    </row>
    <row r="2232" spans="2:4">
      <c r="B2232"/>
      <c r="C2232"/>
      <c r="D2232"/>
    </row>
    <row r="2233" spans="2:4">
      <c r="B2233"/>
      <c r="C2233"/>
      <c r="D2233"/>
    </row>
    <row r="2234" spans="2:4">
      <c r="B2234"/>
      <c r="C2234"/>
      <c r="D2234"/>
    </row>
    <row r="2235" spans="2:4">
      <c r="B2235"/>
      <c r="C2235"/>
      <c r="D2235"/>
    </row>
    <row r="2236" spans="2:4">
      <c r="B2236"/>
      <c r="C2236"/>
      <c r="D2236"/>
    </row>
    <row r="2237" spans="2:4">
      <c r="B2237"/>
      <c r="C2237"/>
      <c r="D2237"/>
    </row>
    <row r="2238" spans="2:4">
      <c r="B2238"/>
      <c r="C2238"/>
      <c r="D2238"/>
    </row>
    <row r="2239" spans="2:4">
      <c r="B2239"/>
      <c r="C2239"/>
      <c r="D2239"/>
    </row>
    <row r="2240" spans="2:4">
      <c r="B2240"/>
      <c r="C2240"/>
      <c r="D2240"/>
    </row>
    <row r="2241" spans="2:4">
      <c r="B2241"/>
      <c r="C2241"/>
      <c r="D2241"/>
    </row>
    <row r="2242" spans="2:4">
      <c r="B2242"/>
      <c r="C2242"/>
      <c r="D2242"/>
    </row>
    <row r="2243" spans="2:4">
      <c r="B2243"/>
      <c r="C2243"/>
      <c r="D2243"/>
    </row>
    <row r="2244" spans="2:4">
      <c r="B2244"/>
      <c r="C2244"/>
      <c r="D2244"/>
    </row>
    <row r="2245" spans="2:4">
      <c r="B2245"/>
      <c r="C2245"/>
      <c r="D2245"/>
    </row>
    <row r="2246" spans="2:4">
      <c r="B2246"/>
      <c r="C2246"/>
      <c r="D2246"/>
    </row>
    <row r="2247" spans="2:4">
      <c r="B2247"/>
      <c r="C2247"/>
      <c r="D2247"/>
    </row>
    <row r="2248" spans="2:4">
      <c r="B2248"/>
      <c r="C2248"/>
      <c r="D2248"/>
    </row>
    <row r="2249" spans="2:4">
      <c r="B2249"/>
      <c r="C2249"/>
      <c r="D2249"/>
    </row>
    <row r="2250" spans="2:4">
      <c r="B2250"/>
      <c r="C2250"/>
      <c r="D2250"/>
    </row>
    <row r="2251" spans="2:4">
      <c r="B2251"/>
      <c r="C2251"/>
      <c r="D2251"/>
    </row>
    <row r="2252" spans="2:4">
      <c r="B2252"/>
      <c r="C2252"/>
      <c r="D2252"/>
    </row>
    <row r="2253" spans="2:4">
      <c r="B2253"/>
      <c r="C2253"/>
      <c r="D2253"/>
    </row>
    <row r="2254" spans="2:4">
      <c r="B2254"/>
      <c r="C2254"/>
      <c r="D2254"/>
    </row>
    <row r="2255" spans="2:4">
      <c r="B2255"/>
      <c r="C2255"/>
      <c r="D2255"/>
    </row>
    <row r="2256" spans="2:4">
      <c r="B2256"/>
      <c r="C2256"/>
      <c r="D2256"/>
    </row>
    <row r="2257" spans="2:4">
      <c r="B2257"/>
      <c r="C2257"/>
      <c r="D2257"/>
    </row>
    <row r="2258" spans="2:4">
      <c r="B2258"/>
      <c r="C2258"/>
      <c r="D2258"/>
    </row>
    <row r="2259" spans="2:4">
      <c r="B2259"/>
      <c r="C2259"/>
      <c r="D2259"/>
    </row>
    <row r="2260" spans="2:4">
      <c r="B2260"/>
      <c r="C2260"/>
      <c r="D2260"/>
    </row>
    <row r="2261" spans="2:4">
      <c r="B2261"/>
      <c r="C2261"/>
      <c r="D2261"/>
    </row>
    <row r="2262" spans="2:4">
      <c r="B2262"/>
      <c r="C2262"/>
      <c r="D2262"/>
    </row>
    <row r="2263" spans="2:4">
      <c r="B2263"/>
      <c r="C2263"/>
      <c r="D2263"/>
    </row>
    <row r="2264" spans="2:4">
      <c r="B2264"/>
      <c r="C2264"/>
      <c r="D2264"/>
    </row>
    <row r="2265" spans="2:4">
      <c r="B2265"/>
      <c r="C2265"/>
      <c r="D2265"/>
    </row>
    <row r="2266" spans="2:4">
      <c r="B2266"/>
      <c r="C2266"/>
      <c r="D2266"/>
    </row>
    <row r="2267" spans="2:4">
      <c r="B2267"/>
      <c r="C2267"/>
      <c r="D2267"/>
    </row>
    <row r="2268" spans="2:4">
      <c r="B2268"/>
      <c r="C2268"/>
      <c r="D2268"/>
    </row>
    <row r="2269" spans="2:4">
      <c r="B2269"/>
      <c r="C2269"/>
      <c r="D2269"/>
    </row>
    <row r="2270" spans="2:4">
      <c r="B2270"/>
      <c r="C2270"/>
      <c r="D2270"/>
    </row>
    <row r="2271" spans="2:4">
      <c r="B2271"/>
      <c r="C2271"/>
      <c r="D2271"/>
    </row>
    <row r="2272" spans="2:4">
      <c r="B2272"/>
      <c r="C2272"/>
      <c r="D2272"/>
    </row>
  </sheetData>
  <sortState xmlns:xlrd2="http://schemas.microsoft.com/office/spreadsheetml/2017/richdata2" ref="A1499:C1513">
    <sortCondition descending="1" ref="B1499:B1513"/>
  </sortState>
  <conditionalFormatting pivot="1">
    <cfRule type="colorScale" priority="2">
      <colorScale>
        <cfvo type="min"/>
        <cfvo type="percentile" val="50"/>
        <cfvo type="max"/>
        <color rgb="FF63BE7B"/>
        <color rgb="FFFFEB84"/>
        <color rgb="FFF8696B"/>
      </colorScale>
    </cfRule>
  </conditionalFormatting>
  <conditionalFormatting pivot="1">
    <cfRule type="colorScale" priority="1">
      <colorScale>
        <cfvo type="min"/>
        <cfvo type="percentile" val="50"/>
        <cfvo type="max"/>
        <color rgb="FF63BE7B"/>
        <color rgb="FFFFEB84"/>
        <color rgb="FFF8696B"/>
      </colorScale>
    </cfRule>
  </conditionalFormatting>
  <pageMargins left="0.7" right="0.7" top="0.75" bottom="0.75" header="0.3" footer="0.3"/>
  <drawing r:id="rId5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EA6DD-87C0-4FCA-86D8-513C983AA5C0}">
  <dimension ref="A1:AN1001"/>
  <sheetViews>
    <sheetView topLeftCell="V1" workbookViewId="0">
      <selection activeCell="F4" sqref="F4"/>
    </sheetView>
  </sheetViews>
  <sheetFormatPr defaultColWidth="12.6640625" defaultRowHeight="15" customHeight="1"/>
  <cols>
    <col min="1" max="2" width="15" style="64" customWidth="1"/>
    <col min="3" max="3" width="18" customWidth="1"/>
    <col min="4" max="6" width="18" style="6" customWidth="1"/>
    <col min="7" max="7" width="14" style="66" customWidth="1"/>
    <col min="8" max="8" width="17.9140625" style="64" customWidth="1"/>
    <col min="9" max="9" width="18" style="67" customWidth="1"/>
    <col min="10" max="11" width="18" style="64" customWidth="1"/>
    <col min="12" max="12" width="14" style="64" customWidth="1"/>
    <col min="13" max="13" width="19.33203125" style="64" customWidth="1"/>
    <col min="14" max="14" width="12" style="70" customWidth="1"/>
    <col min="15" max="15" width="16" style="64" customWidth="1"/>
    <col min="16" max="16" width="16" style="73" customWidth="1"/>
    <col min="17" max="17" width="16" style="70" customWidth="1"/>
    <col min="18" max="18" width="14" style="76" customWidth="1"/>
    <col min="19" max="19" width="15" customWidth="1"/>
    <col min="20" max="21" width="15" style="76" customWidth="1"/>
    <col min="22" max="22" width="16.58203125" style="76" customWidth="1"/>
    <col min="23" max="23" width="14" style="80" customWidth="1"/>
    <col min="24" max="25" width="14" style="76" customWidth="1"/>
    <col min="26" max="29" width="18" style="76" customWidth="1"/>
    <col min="30" max="32" width="18" style="64" customWidth="1"/>
    <col min="33" max="35" width="16" style="64" customWidth="1"/>
    <col min="36" max="36" width="12" style="64" customWidth="1"/>
    <col min="37" max="37" width="22" style="64" customWidth="1"/>
    <col min="38" max="38" width="14" style="70" customWidth="1"/>
    <col min="39" max="39" width="18" style="81" customWidth="1"/>
    <col min="40" max="40" width="36" style="64" customWidth="1"/>
  </cols>
  <sheetData>
    <row r="1" spans="1:40" s="3" customFormat="1" ht="37.5" customHeight="1">
      <c r="A1" s="62" t="s">
        <v>0</v>
      </c>
      <c r="B1" s="62" t="s">
        <v>1</v>
      </c>
      <c r="C1" s="2" t="s">
        <v>3079</v>
      </c>
      <c r="D1" s="5" t="s">
        <v>3081</v>
      </c>
      <c r="E1" s="5" t="s">
        <v>2</v>
      </c>
      <c r="F1" s="65" t="s">
        <v>3</v>
      </c>
      <c r="G1" s="65" t="s">
        <v>4</v>
      </c>
      <c r="H1" s="65" t="s">
        <v>5</v>
      </c>
      <c r="I1" s="62" t="s">
        <v>6</v>
      </c>
      <c r="J1" s="62" t="s">
        <v>7</v>
      </c>
      <c r="K1" s="62" t="s">
        <v>8</v>
      </c>
      <c r="L1" s="62" t="s">
        <v>9</v>
      </c>
      <c r="M1" s="87" t="s">
        <v>10</v>
      </c>
      <c r="N1" s="71" t="s">
        <v>11</v>
      </c>
      <c r="O1" s="72" t="s">
        <v>3116</v>
      </c>
      <c r="P1" s="68" t="s">
        <v>3120</v>
      </c>
      <c r="Q1" s="74" t="s">
        <v>12</v>
      </c>
      <c r="R1" s="2" t="s">
        <v>13</v>
      </c>
      <c r="S1" s="77" t="s">
        <v>3121</v>
      </c>
      <c r="T1" s="77" t="s">
        <v>3119</v>
      </c>
      <c r="U1" s="78" t="s">
        <v>14</v>
      </c>
      <c r="V1" s="79" t="s">
        <v>15</v>
      </c>
      <c r="W1" s="74" t="s">
        <v>16</v>
      </c>
      <c r="X1" s="57" t="s">
        <v>3156</v>
      </c>
      <c r="Y1" s="74" t="s">
        <v>17</v>
      </c>
      <c r="Z1" s="57" t="s">
        <v>3157</v>
      </c>
      <c r="AA1" s="57" t="s">
        <v>3186</v>
      </c>
      <c r="AB1" s="74" t="s">
        <v>18</v>
      </c>
      <c r="AC1" s="62" t="s">
        <v>19</v>
      </c>
      <c r="AD1" s="65" t="s">
        <v>20</v>
      </c>
      <c r="AE1" s="65" t="s">
        <v>21</v>
      </c>
      <c r="AF1" s="65" t="s">
        <v>22</v>
      </c>
      <c r="AG1" s="65" t="s">
        <v>23</v>
      </c>
      <c r="AH1" s="65" t="s">
        <v>24</v>
      </c>
      <c r="AI1" s="65" t="s">
        <v>25</v>
      </c>
      <c r="AJ1" s="65" t="s">
        <v>26</v>
      </c>
      <c r="AK1" s="82" t="s">
        <v>27</v>
      </c>
      <c r="AL1" s="62" t="s">
        <v>28</v>
      </c>
      <c r="AM1" s="65" t="s">
        <v>29</v>
      </c>
    </row>
    <row r="2" spans="1:40" ht="18" customHeight="1">
      <c r="A2" s="1" t="s">
        <v>30</v>
      </c>
      <c r="B2" s="1" t="s">
        <v>31</v>
      </c>
      <c r="C2" s="4">
        <v>46081</v>
      </c>
      <c r="D2" s="4">
        <v>46101</v>
      </c>
      <c r="E2" s="4">
        <v>46111</v>
      </c>
      <c r="F2" s="63" t="s">
        <v>32</v>
      </c>
      <c r="G2" s="63" t="s">
        <v>3835</v>
      </c>
      <c r="H2" s="63" t="s">
        <v>177</v>
      </c>
      <c r="I2" s="63" t="s">
        <v>34</v>
      </c>
      <c r="J2" s="63" t="s">
        <v>35</v>
      </c>
      <c r="K2" s="63" t="s">
        <v>36</v>
      </c>
      <c r="L2" s="63" t="s">
        <v>37</v>
      </c>
      <c r="M2" s="69">
        <v>353.52</v>
      </c>
      <c r="N2" s="63" t="s">
        <v>38</v>
      </c>
      <c r="O2" s="73">
        <f>_xlfn.XLOOKUP(Supplier_Perf_Table[[#This Row],[Currency]],'Comments 2'!$C$4:$C$16,'Comments 2'!$D$4:$D$16)</f>
        <v>7.7000000000000002E-3</v>
      </c>
      <c r="P2" s="69">
        <f>IFERROR(Supplier_Perf_Table[[#This Row],[Unit_Cost]]*Supplier_Perf_Table[[#This Row],[Dollar Equivalent]],"")</f>
        <v>2.7221039999999999</v>
      </c>
      <c r="Q2" s="75">
        <v>1500</v>
      </c>
      <c r="R2" s="1">
        <v>530280</v>
      </c>
      <c r="S2" s="75">
        <f>Supplier_Perf_Table[[#This Row],[Unit_Cost]]*Supplier_Perf_Table[[#This Row],[Order_Quantity]]</f>
        <v>530280</v>
      </c>
      <c r="T2" s="75">
        <f>IFERROR(Supplier_Perf_Table[[#This Row],[Dollar Equivalent]]*Supplier_Perf_Table[[#This Row],[Ordered_Value]],"")</f>
        <v>4083.1559999999999</v>
      </c>
      <c r="U2" s="75">
        <v>41</v>
      </c>
      <c r="V2" s="7">
        <v>2.7300000000000001E-2</v>
      </c>
      <c r="W2" s="75" t="s">
        <v>3080</v>
      </c>
      <c r="X2" s="55">
        <f>IFERROR(Supplier_Perf_Table[[#This Row],[Actual_Delivery_Date]]-Supplier_Perf_Table[[#This Row],[Order Date]],"")</f>
        <v>30</v>
      </c>
      <c r="Y2" s="75">
        <v>20</v>
      </c>
      <c r="Z2" s="56">
        <f>IFERROR(Supplier_Perf_Table[[#This Row],[Expected Delivery_Date]]-Supplier_Perf_Table[[#This Row],[Order Date]],"")</f>
        <v>20</v>
      </c>
      <c r="AA2" s="56">
        <f>Supplier_Perf_Table[[#This Row],[Calculated_Lead_Time2]]-Supplier_Perf_Table[[#This Row],[Calculated_Expected_Lead_Time]]</f>
        <v>10</v>
      </c>
      <c r="AB2" s="75">
        <v>10</v>
      </c>
      <c r="AC2" s="63" t="s">
        <v>39</v>
      </c>
      <c r="AD2" s="63" t="s">
        <v>40</v>
      </c>
      <c r="AE2" s="63" t="s">
        <v>41</v>
      </c>
      <c r="AF2" s="63" t="s">
        <v>42</v>
      </c>
      <c r="AG2" s="63" t="s">
        <v>43</v>
      </c>
      <c r="AH2" s="63" t="s">
        <v>3112</v>
      </c>
      <c r="AI2" s="63" t="s">
        <v>44</v>
      </c>
      <c r="AJ2" s="63" t="s">
        <v>138</v>
      </c>
      <c r="AK2" s="83">
        <v>2.2000000000000002</v>
      </c>
      <c r="AL2" s="63" t="s">
        <v>45</v>
      </c>
      <c r="AM2" s="63" t="s">
        <v>46</v>
      </c>
      <c r="AN2"/>
    </row>
    <row r="3" spans="1:40" ht="18" customHeight="1">
      <c r="A3" s="1" t="s">
        <v>30</v>
      </c>
      <c r="B3" s="1" t="s">
        <v>47</v>
      </c>
      <c r="C3" s="4">
        <v>46066</v>
      </c>
      <c r="D3" s="4">
        <v>46079</v>
      </c>
      <c r="E3" s="4">
        <v>46082</v>
      </c>
      <c r="F3" s="63" t="s">
        <v>48</v>
      </c>
      <c r="G3" s="63" t="s">
        <v>3836</v>
      </c>
      <c r="H3" s="63" t="s">
        <v>102</v>
      </c>
      <c r="I3" s="63" t="s">
        <v>49</v>
      </c>
      <c r="J3" s="63" t="s">
        <v>50</v>
      </c>
      <c r="K3" s="63" t="s">
        <v>51</v>
      </c>
      <c r="L3" s="63" t="s">
        <v>52</v>
      </c>
      <c r="M3" s="69">
        <v>24.24</v>
      </c>
      <c r="N3" s="63" t="s">
        <v>53</v>
      </c>
      <c r="O3" s="73">
        <f>_xlfn.XLOOKUP(Supplier_Perf_Table[[#This Row],[Currency]],'Comments 2'!$C$4:$C$16,'Comments 2'!$D$4:$D$16)</f>
        <v>6.0999999999999999E-2</v>
      </c>
      <c r="P3" s="69">
        <f>IFERROR(Supplier_Perf_Table[[#This Row],[Unit_Cost]]*Supplier_Perf_Table[[#This Row],[Dollar Equivalent]],"")</f>
        <v>1.47864</v>
      </c>
      <c r="Q3" s="75">
        <v>100</v>
      </c>
      <c r="R3" s="1">
        <v>2424</v>
      </c>
      <c r="S3" s="75">
        <f>Supplier_Perf_Table[[#This Row],[Unit_Cost]]*Supplier_Perf_Table[[#This Row],[Order_Quantity]]</f>
        <v>2424</v>
      </c>
      <c r="T3" s="75">
        <f>IFERROR(Supplier_Perf_Table[[#This Row],[Dollar Equivalent]]*Supplier_Perf_Table[[#This Row],[Ordered_Value]],"")</f>
        <v>147.864</v>
      </c>
      <c r="U3" s="75">
        <v>0</v>
      </c>
      <c r="V3" s="7">
        <v>0</v>
      </c>
      <c r="W3" s="75">
        <v>16</v>
      </c>
      <c r="X3" s="55">
        <f>IFERROR(Supplier_Perf_Table[[#This Row],[Actual_Delivery_Date]]-Supplier_Perf_Table[[#This Row],[Order Date]],"")</f>
        <v>16</v>
      </c>
      <c r="Y3" s="75">
        <v>13</v>
      </c>
      <c r="Z3" s="56">
        <f>IFERROR(Supplier_Perf_Table[[#This Row],[Expected Delivery_Date]]-Supplier_Perf_Table[[#This Row],[Order Date]],"")</f>
        <v>13</v>
      </c>
      <c r="AA3" s="56">
        <f>Supplier_Perf_Table[[#This Row],[Calculated_Lead_Time2]]-Supplier_Perf_Table[[#This Row],[Calculated_Expected_Lead_Time]]</f>
        <v>3</v>
      </c>
      <c r="AB3" s="75">
        <v>3</v>
      </c>
      <c r="AC3" s="63" t="s">
        <v>135</v>
      </c>
      <c r="AD3" s="63" t="s">
        <v>40</v>
      </c>
      <c r="AE3" s="63" t="s">
        <v>41</v>
      </c>
      <c r="AF3" s="63" t="s">
        <v>3088</v>
      </c>
      <c r="AG3" s="63" t="s">
        <v>54</v>
      </c>
      <c r="AH3" s="63" t="s">
        <v>55</v>
      </c>
      <c r="AI3" s="63" t="s">
        <v>56</v>
      </c>
      <c r="AJ3" s="63" t="s">
        <v>138</v>
      </c>
      <c r="AK3" s="83">
        <v>5</v>
      </c>
      <c r="AL3" s="63" t="s">
        <v>57</v>
      </c>
      <c r="AM3" s="63" t="s">
        <v>46</v>
      </c>
      <c r="AN3"/>
    </row>
    <row r="4" spans="1:40" ht="18" customHeight="1">
      <c r="A4" s="1" t="s">
        <v>58</v>
      </c>
      <c r="B4" s="1" t="s">
        <v>59</v>
      </c>
      <c r="C4" s="4">
        <v>46151</v>
      </c>
      <c r="D4" s="4">
        <v>46160</v>
      </c>
      <c r="E4" s="4">
        <v>46165</v>
      </c>
      <c r="F4" s="63" t="s">
        <v>60</v>
      </c>
      <c r="G4" s="63" t="s">
        <v>3837</v>
      </c>
      <c r="H4" s="63" t="s">
        <v>152</v>
      </c>
      <c r="I4" s="63" t="s">
        <v>61</v>
      </c>
      <c r="J4" s="63" t="s">
        <v>62</v>
      </c>
      <c r="K4" s="63" t="s">
        <v>63</v>
      </c>
      <c r="L4" s="63" t="s">
        <v>64</v>
      </c>
      <c r="M4" s="69">
        <v>690.99</v>
      </c>
      <c r="N4" s="63" t="s">
        <v>65</v>
      </c>
      <c r="O4" s="73">
        <f>_xlfn.XLOOKUP(Supplier_Perf_Table[[#This Row],[Currency]],'Comments 2'!$C$4:$C$16,'Comments 2'!$D$4:$D$16)</f>
        <v>1</v>
      </c>
      <c r="P4" s="69">
        <f>IFERROR(Supplier_Perf_Table[[#This Row],[Unit_Cost]]*Supplier_Perf_Table[[#This Row],[Dollar Equivalent]],"")</f>
        <v>690.99</v>
      </c>
      <c r="Q4" s="75">
        <v>300</v>
      </c>
      <c r="R4" s="1">
        <v>207297</v>
      </c>
      <c r="S4" s="75">
        <f>Supplier_Perf_Table[[#This Row],[Unit_Cost]]*Supplier_Perf_Table[[#This Row],[Order_Quantity]]</f>
        <v>207297</v>
      </c>
      <c r="T4" s="75">
        <f>IFERROR(Supplier_Perf_Table[[#This Row],[Dollar Equivalent]]*Supplier_Perf_Table[[#This Row],[Ordered_Value]],"")</f>
        <v>207297</v>
      </c>
      <c r="U4" s="75">
        <v>5</v>
      </c>
      <c r="V4" s="7">
        <v>1.67E-2</v>
      </c>
      <c r="W4" s="75">
        <v>14</v>
      </c>
      <c r="X4" s="55">
        <f>IFERROR(Supplier_Perf_Table[[#This Row],[Actual_Delivery_Date]]-Supplier_Perf_Table[[#This Row],[Order Date]],"")</f>
        <v>14</v>
      </c>
      <c r="Y4" s="75">
        <v>9</v>
      </c>
      <c r="Z4" s="56">
        <f>IFERROR(Supplier_Perf_Table[[#This Row],[Expected Delivery_Date]]-Supplier_Perf_Table[[#This Row],[Order Date]],"")</f>
        <v>9</v>
      </c>
      <c r="AA4" s="56">
        <f>Supplier_Perf_Table[[#This Row],[Calculated_Lead_Time2]]-Supplier_Perf_Table[[#This Row],[Calculated_Expected_Lead_Time]]</f>
        <v>5</v>
      </c>
      <c r="AB4" s="75">
        <v>5</v>
      </c>
      <c r="AC4" s="63" t="s">
        <v>135</v>
      </c>
      <c r="AD4" s="63" t="s">
        <v>40</v>
      </c>
      <c r="AE4" s="63" t="s">
        <v>105</v>
      </c>
      <c r="AF4" s="63" t="s">
        <v>66</v>
      </c>
      <c r="AG4" s="63" t="s">
        <v>173</v>
      </c>
      <c r="AH4" s="63" t="s">
        <v>3112</v>
      </c>
      <c r="AI4" s="63" t="s">
        <v>44</v>
      </c>
      <c r="AJ4" s="63" t="s">
        <v>138</v>
      </c>
      <c r="AK4" s="83">
        <v>4.9000000000000004</v>
      </c>
      <c r="AL4" s="63" t="s">
        <v>45</v>
      </c>
      <c r="AM4" s="63" t="s">
        <v>46</v>
      </c>
      <c r="AN4"/>
    </row>
    <row r="5" spans="1:40" ht="18" customHeight="1">
      <c r="A5" s="1" t="s">
        <v>67</v>
      </c>
      <c r="B5" s="1" t="s">
        <v>68</v>
      </c>
      <c r="C5" s="4">
        <v>46127</v>
      </c>
      <c r="D5" s="4">
        <v>46139</v>
      </c>
      <c r="E5" s="4">
        <v>46147</v>
      </c>
      <c r="F5" s="63" t="s">
        <v>69</v>
      </c>
      <c r="G5" s="63" t="s">
        <v>3838</v>
      </c>
      <c r="H5" s="63" t="s">
        <v>194</v>
      </c>
      <c r="I5" s="63" t="s">
        <v>70</v>
      </c>
      <c r="J5" s="63" t="s">
        <v>71</v>
      </c>
      <c r="K5" s="63" t="s">
        <v>72</v>
      </c>
      <c r="L5" s="63" t="s">
        <v>73</v>
      </c>
      <c r="M5" s="69">
        <v>375.45</v>
      </c>
      <c r="N5" s="63" t="s">
        <v>65</v>
      </c>
      <c r="O5" s="73">
        <f>_xlfn.XLOOKUP(Supplier_Perf_Table[[#This Row],[Currency]],'Comments 2'!$C$4:$C$16,'Comments 2'!$D$4:$D$16)</f>
        <v>1</v>
      </c>
      <c r="P5" s="69">
        <f>IFERROR(Supplier_Perf_Table[[#This Row],[Unit_Cost]]*Supplier_Perf_Table[[#This Row],[Dollar Equivalent]],"")</f>
        <v>375.45</v>
      </c>
      <c r="Q5" s="75">
        <v>1000</v>
      </c>
      <c r="R5" s="1">
        <v>375450</v>
      </c>
      <c r="S5" s="75">
        <f>Supplier_Perf_Table[[#This Row],[Unit_Cost]]*Supplier_Perf_Table[[#This Row],[Order_Quantity]]</f>
        <v>375450</v>
      </c>
      <c r="T5" s="75">
        <f>IFERROR(Supplier_Perf_Table[[#This Row],[Dollar Equivalent]]*Supplier_Perf_Table[[#This Row],[Ordered_Value]],"")</f>
        <v>375450</v>
      </c>
      <c r="U5" s="75">
        <v>49</v>
      </c>
      <c r="V5" s="7">
        <v>4.9000000000000002E-2</v>
      </c>
      <c r="W5" s="75">
        <v>-5</v>
      </c>
      <c r="X5" s="55">
        <f>IFERROR(Supplier_Perf_Table[[#This Row],[Actual_Delivery_Date]]-Supplier_Perf_Table[[#This Row],[Order Date]],"")</f>
        <v>20</v>
      </c>
      <c r="Y5" s="75">
        <v>12</v>
      </c>
      <c r="Z5" s="56">
        <f>IFERROR(Supplier_Perf_Table[[#This Row],[Expected Delivery_Date]]-Supplier_Perf_Table[[#This Row],[Order Date]],"")</f>
        <v>12</v>
      </c>
      <c r="AA5" s="56">
        <f>Supplier_Perf_Table[[#This Row],[Calculated_Lead_Time2]]-Supplier_Perf_Table[[#This Row],[Calculated_Expected_Lead_Time]]</f>
        <v>8</v>
      </c>
      <c r="AB5" s="75"/>
      <c r="AC5" s="63" t="s">
        <v>39</v>
      </c>
      <c r="AD5" s="63" t="s">
        <v>74</v>
      </c>
      <c r="AE5" s="63" t="s">
        <v>41</v>
      </c>
      <c r="AF5" s="63" t="s">
        <v>66</v>
      </c>
      <c r="AG5" s="63" t="s">
        <v>43</v>
      </c>
      <c r="AH5" s="63" t="s">
        <v>3112</v>
      </c>
      <c r="AI5" s="63" t="s">
        <v>44</v>
      </c>
      <c r="AJ5" s="63" t="s">
        <v>75</v>
      </c>
      <c r="AK5" s="83">
        <v>3.3</v>
      </c>
      <c r="AL5" s="63" t="s">
        <v>76</v>
      </c>
      <c r="AM5" s="63" t="s">
        <v>77</v>
      </c>
      <c r="AN5"/>
    </row>
    <row r="6" spans="1:40" ht="18" customHeight="1">
      <c r="A6" s="1" t="s">
        <v>78</v>
      </c>
      <c r="B6" s="1" t="s">
        <v>79</v>
      </c>
      <c r="C6" s="4">
        <v>46178</v>
      </c>
      <c r="D6" s="4">
        <v>46191</v>
      </c>
      <c r="E6" s="4">
        <v>46185</v>
      </c>
      <c r="F6" s="63" t="s">
        <v>80</v>
      </c>
      <c r="G6" s="63" t="s">
        <v>3839</v>
      </c>
      <c r="H6" s="63" t="s">
        <v>82</v>
      </c>
      <c r="I6" s="63" t="s">
        <v>83</v>
      </c>
      <c r="J6" s="63" t="s">
        <v>35</v>
      </c>
      <c r="K6" s="63" t="s">
        <v>84</v>
      </c>
      <c r="L6" s="63" t="s">
        <v>85</v>
      </c>
      <c r="M6" s="69">
        <v>2996.25</v>
      </c>
      <c r="N6" s="63" t="s">
        <v>86</v>
      </c>
      <c r="O6" s="73">
        <f>_xlfn.XLOOKUP(Supplier_Perf_Table[[#This Row],[Currency]],'Comments 2'!$C$4:$C$16,'Comments 2'!$D$4:$D$16)</f>
        <v>8.8999999999999996E-2</v>
      </c>
      <c r="P6" s="69">
        <f>IFERROR(Supplier_Perf_Table[[#This Row],[Unit_Cost]]*Supplier_Perf_Table[[#This Row],[Dollar Equivalent]],"")</f>
        <v>266.66624999999999</v>
      </c>
      <c r="Q6" s="75">
        <v>75</v>
      </c>
      <c r="R6" s="1">
        <v>224718.75</v>
      </c>
      <c r="S6" s="75">
        <f>Supplier_Perf_Table[[#This Row],[Unit_Cost]]*Supplier_Perf_Table[[#This Row],[Order_Quantity]]</f>
        <v>224718.75</v>
      </c>
      <c r="T6" s="75">
        <f>IFERROR(Supplier_Perf_Table[[#This Row],[Dollar Equivalent]]*Supplier_Perf_Table[[#This Row],[Ordered_Value]],"")</f>
        <v>19999.96875</v>
      </c>
      <c r="U6" s="75">
        <v>0</v>
      </c>
      <c r="V6" s="7">
        <v>0</v>
      </c>
      <c r="W6" s="75">
        <v>7</v>
      </c>
      <c r="X6" s="55">
        <f>IFERROR(Supplier_Perf_Table[[#This Row],[Actual_Delivery_Date]]-Supplier_Perf_Table[[#This Row],[Order Date]],"")</f>
        <v>7</v>
      </c>
      <c r="Y6" s="75">
        <v>13</v>
      </c>
      <c r="Z6" s="56">
        <f>IFERROR(Supplier_Perf_Table[[#This Row],[Expected Delivery_Date]]-Supplier_Perf_Table[[#This Row],[Order Date]],"")</f>
        <v>13</v>
      </c>
      <c r="AA6" s="56">
        <f>Supplier_Perf_Table[[#This Row],[Calculated_Lead_Time2]]-Supplier_Perf_Table[[#This Row],[Calculated_Expected_Lead_Time]]</f>
        <v>-6</v>
      </c>
      <c r="AB6" s="75">
        <v>-6</v>
      </c>
      <c r="AC6" s="63" t="s">
        <v>87</v>
      </c>
      <c r="AD6" s="63" t="s">
        <v>40</v>
      </c>
      <c r="AE6" s="63" t="s">
        <v>105</v>
      </c>
      <c r="AF6" s="63" t="s">
        <v>106</v>
      </c>
      <c r="AG6" s="63" t="s">
        <v>3088</v>
      </c>
      <c r="AH6" s="63" t="s">
        <v>88</v>
      </c>
      <c r="AI6" s="63" t="s">
        <v>56</v>
      </c>
      <c r="AJ6" s="63" t="s">
        <v>138</v>
      </c>
      <c r="AK6" s="83">
        <v>3.4</v>
      </c>
      <c r="AL6" s="63" t="s">
        <v>76</v>
      </c>
      <c r="AM6" s="63" t="s">
        <v>138</v>
      </c>
      <c r="AN6"/>
    </row>
    <row r="7" spans="1:40" ht="18" customHeight="1">
      <c r="A7" s="1" t="s">
        <v>67</v>
      </c>
      <c r="B7" s="1" t="s">
        <v>89</v>
      </c>
      <c r="C7" s="4">
        <v>46149</v>
      </c>
      <c r="D7" s="4">
        <v>46163</v>
      </c>
      <c r="E7" s="4">
        <v>46160</v>
      </c>
      <c r="F7" s="63" t="s">
        <v>90</v>
      </c>
      <c r="G7" s="63" t="s">
        <v>3840</v>
      </c>
      <c r="H7" s="63" t="s">
        <v>133</v>
      </c>
      <c r="I7" s="63" t="s">
        <v>92</v>
      </c>
      <c r="J7" s="63" t="s">
        <v>62</v>
      </c>
      <c r="K7" s="63" t="s">
        <v>93</v>
      </c>
      <c r="L7" s="63" t="s">
        <v>94</v>
      </c>
      <c r="M7" s="69">
        <v>224.15</v>
      </c>
      <c r="N7" s="63" t="s">
        <v>38</v>
      </c>
      <c r="O7" s="73">
        <f>_xlfn.XLOOKUP(Supplier_Perf_Table[[#This Row],[Currency]],'Comments 2'!$C$4:$C$16,'Comments 2'!$D$4:$D$16)</f>
        <v>7.7000000000000002E-3</v>
      </c>
      <c r="P7" s="69">
        <f>IFERROR(Supplier_Perf_Table[[#This Row],[Unit_Cost]]*Supplier_Perf_Table[[#This Row],[Dollar Equivalent]],"")</f>
        <v>1.7259550000000001</v>
      </c>
      <c r="Q7" s="75">
        <v>1000</v>
      </c>
      <c r="R7" s="1">
        <v>224150</v>
      </c>
      <c r="S7" s="75">
        <f>Supplier_Perf_Table[[#This Row],[Unit_Cost]]*Supplier_Perf_Table[[#This Row],[Order_Quantity]]</f>
        <v>224150</v>
      </c>
      <c r="T7" s="75">
        <f>IFERROR(Supplier_Perf_Table[[#This Row],[Dollar Equivalent]]*Supplier_Perf_Table[[#This Row],[Ordered_Value]],"")</f>
        <v>1725.9550000000002</v>
      </c>
      <c r="U7" s="75">
        <v>70</v>
      </c>
      <c r="V7" s="7">
        <v>7.0000000000000007E-2</v>
      </c>
      <c r="W7" s="75">
        <v>11</v>
      </c>
      <c r="X7" s="55">
        <f>IFERROR(Supplier_Perf_Table[[#This Row],[Actual_Delivery_Date]]-Supplier_Perf_Table[[#This Row],[Order Date]],"")</f>
        <v>11</v>
      </c>
      <c r="Y7" s="75">
        <v>14</v>
      </c>
      <c r="Z7" s="56">
        <f>IFERROR(Supplier_Perf_Table[[#This Row],[Expected Delivery_Date]]-Supplier_Perf_Table[[#This Row],[Order Date]],"")</f>
        <v>14</v>
      </c>
      <c r="AA7" s="56">
        <f>Supplier_Perf_Table[[#This Row],[Calculated_Lead_Time2]]-Supplier_Perf_Table[[#This Row],[Calculated_Expected_Lead_Time]]</f>
        <v>-3</v>
      </c>
      <c r="AB7" s="75">
        <v>-3</v>
      </c>
      <c r="AC7" s="63" t="s">
        <v>87</v>
      </c>
      <c r="AD7" s="63" t="s">
        <v>74</v>
      </c>
      <c r="AE7" s="63" t="s">
        <v>41</v>
      </c>
      <c r="AF7" s="63" t="s">
        <v>66</v>
      </c>
      <c r="AG7" s="63" t="s">
        <v>43</v>
      </c>
      <c r="AH7" s="63" t="s">
        <v>88</v>
      </c>
      <c r="AI7" s="63" t="s">
        <v>95</v>
      </c>
      <c r="AJ7" s="63" t="s">
        <v>96</v>
      </c>
      <c r="AK7" s="83">
        <v>1.8</v>
      </c>
      <c r="AL7" s="63" t="s">
        <v>76</v>
      </c>
      <c r="AM7" s="63" t="s">
        <v>97</v>
      </c>
      <c r="AN7"/>
    </row>
    <row r="8" spans="1:40" ht="18" customHeight="1">
      <c r="A8" s="1" t="s">
        <v>98</v>
      </c>
      <c r="B8" s="1" t="s">
        <v>99</v>
      </c>
      <c r="C8" s="4">
        <v>46120</v>
      </c>
      <c r="D8" s="4">
        <v>46137</v>
      </c>
      <c r="E8" s="4">
        <v>46142</v>
      </c>
      <c r="F8" s="63" t="s">
        <v>100</v>
      </c>
      <c r="G8" s="63" t="s">
        <v>3841</v>
      </c>
      <c r="H8" s="63" t="s">
        <v>102</v>
      </c>
      <c r="I8" s="63" t="s">
        <v>34</v>
      </c>
      <c r="J8" s="63" t="s">
        <v>50</v>
      </c>
      <c r="K8" s="63" t="s">
        <v>103</v>
      </c>
      <c r="L8" s="63" t="s">
        <v>52</v>
      </c>
      <c r="M8" s="69">
        <v>3665.29</v>
      </c>
      <c r="N8" s="63" t="s">
        <v>104</v>
      </c>
      <c r="O8" s="73">
        <f>_xlfn.XLOOKUP(Supplier_Perf_Table[[#This Row],[Currency]],'Comments 2'!$C$4:$C$16,'Comments 2'!$D$4:$D$16)</f>
        <v>1.9E-2</v>
      </c>
      <c r="P8" s="69">
        <f>IFERROR(Supplier_Perf_Table[[#This Row],[Unit_Cost]]*Supplier_Perf_Table[[#This Row],[Dollar Equivalent]],"")</f>
        <v>69.640509999999992</v>
      </c>
      <c r="Q8" s="75">
        <v>1000</v>
      </c>
      <c r="R8" s="1">
        <v>3665290</v>
      </c>
      <c r="S8" s="75">
        <f>Supplier_Perf_Table[[#This Row],[Unit_Cost]]*Supplier_Perf_Table[[#This Row],[Order_Quantity]]</f>
        <v>3665290</v>
      </c>
      <c r="T8" s="75">
        <f>IFERROR(Supplier_Perf_Table[[#This Row],[Dollar Equivalent]]*Supplier_Perf_Table[[#This Row],[Ordered_Value]],"")</f>
        <v>69640.509999999995</v>
      </c>
      <c r="U8" s="75">
        <v>14</v>
      </c>
      <c r="V8" s="7">
        <v>1.4E-2</v>
      </c>
      <c r="W8" s="75">
        <v>22</v>
      </c>
      <c r="X8" s="55">
        <f>IFERROR(Supplier_Perf_Table[[#This Row],[Actual_Delivery_Date]]-Supplier_Perf_Table[[#This Row],[Order Date]],"")</f>
        <v>22</v>
      </c>
      <c r="Y8" s="75">
        <v>17</v>
      </c>
      <c r="Z8" s="56">
        <f>IFERROR(Supplier_Perf_Table[[#This Row],[Expected Delivery_Date]]-Supplier_Perf_Table[[#This Row],[Order Date]],"")</f>
        <v>17</v>
      </c>
      <c r="AA8" s="56">
        <f>Supplier_Perf_Table[[#This Row],[Calculated_Lead_Time2]]-Supplier_Perf_Table[[#This Row],[Calculated_Expected_Lead_Time]]</f>
        <v>5</v>
      </c>
      <c r="AB8" s="75">
        <v>5</v>
      </c>
      <c r="AC8" s="63" t="s">
        <v>39</v>
      </c>
      <c r="AD8" s="63" t="s">
        <v>40</v>
      </c>
      <c r="AE8" s="63" t="s">
        <v>105</v>
      </c>
      <c r="AF8" s="63" t="s">
        <v>106</v>
      </c>
      <c r="AG8" s="63" t="s">
        <v>107</v>
      </c>
      <c r="AH8" s="63" t="s">
        <v>88</v>
      </c>
      <c r="AI8" s="63" t="s">
        <v>95</v>
      </c>
      <c r="AJ8" s="63" t="s">
        <v>138</v>
      </c>
      <c r="AK8" s="83">
        <v>3.4</v>
      </c>
      <c r="AL8" s="63" t="s">
        <v>108</v>
      </c>
      <c r="AM8" s="63" t="s">
        <v>46</v>
      </c>
      <c r="AN8"/>
    </row>
    <row r="9" spans="1:40" ht="18" customHeight="1">
      <c r="A9" s="1" t="s">
        <v>109</v>
      </c>
      <c r="B9" s="1" t="s">
        <v>110</v>
      </c>
      <c r="C9" s="4">
        <v>46097</v>
      </c>
      <c r="D9" s="4">
        <v>46113</v>
      </c>
      <c r="E9" s="4">
        <v>46098</v>
      </c>
      <c r="F9" s="63" t="s">
        <v>69</v>
      </c>
      <c r="G9" s="63" t="s">
        <v>3838</v>
      </c>
      <c r="H9" s="63" t="s">
        <v>194</v>
      </c>
      <c r="I9" s="63" t="s">
        <v>83</v>
      </c>
      <c r="J9" s="63" t="s">
        <v>112</v>
      </c>
      <c r="K9" s="63" t="s">
        <v>113</v>
      </c>
      <c r="L9" s="63" t="s">
        <v>114</v>
      </c>
      <c r="M9" s="69">
        <v>719.98</v>
      </c>
      <c r="N9" s="63" t="s">
        <v>104</v>
      </c>
      <c r="O9" s="73">
        <f>_xlfn.XLOOKUP(Supplier_Perf_Table[[#This Row],[Currency]],'Comments 2'!$C$4:$C$16,'Comments 2'!$D$4:$D$16)</f>
        <v>1.9E-2</v>
      </c>
      <c r="P9" s="69">
        <f>IFERROR(Supplier_Perf_Table[[#This Row],[Unit_Cost]]*Supplier_Perf_Table[[#This Row],[Dollar Equivalent]],"")</f>
        <v>13.67962</v>
      </c>
      <c r="Q9" s="75">
        <v>1000</v>
      </c>
      <c r="R9" s="1">
        <v>719980</v>
      </c>
      <c r="S9" s="75">
        <f>Supplier_Perf_Table[[#This Row],[Unit_Cost]]*Supplier_Perf_Table[[#This Row],[Order_Quantity]]</f>
        <v>719980</v>
      </c>
      <c r="T9" s="75">
        <f>IFERROR(Supplier_Perf_Table[[#This Row],[Dollar Equivalent]]*Supplier_Perf_Table[[#This Row],[Ordered_Value]],"")</f>
        <v>13679.619999999999</v>
      </c>
      <c r="U9" s="75">
        <v>32</v>
      </c>
      <c r="V9" s="7">
        <v>3.2000000000000001E-2</v>
      </c>
      <c r="W9" s="75">
        <v>1</v>
      </c>
      <c r="X9" s="55">
        <f>IFERROR(Supplier_Perf_Table[[#This Row],[Actual_Delivery_Date]]-Supplier_Perf_Table[[#This Row],[Order Date]],"")</f>
        <v>1</v>
      </c>
      <c r="Y9" s="75">
        <v>16</v>
      </c>
      <c r="Z9" s="56">
        <f>IFERROR(Supplier_Perf_Table[[#This Row],[Expected Delivery_Date]]-Supplier_Perf_Table[[#This Row],[Order Date]],"")</f>
        <v>16</v>
      </c>
      <c r="AA9" s="56">
        <f>Supplier_Perf_Table[[#This Row],[Calculated_Lead_Time2]]-Supplier_Perf_Table[[#This Row],[Calculated_Expected_Lead_Time]]</f>
        <v>-15</v>
      </c>
      <c r="AB9" s="75">
        <v>-15</v>
      </c>
      <c r="AC9" s="63" t="s">
        <v>87</v>
      </c>
      <c r="AD9" s="63" t="s">
        <v>40</v>
      </c>
      <c r="AE9" s="63" t="s">
        <v>41</v>
      </c>
      <c r="AF9" s="63" t="s">
        <v>3088</v>
      </c>
      <c r="AG9" s="63" t="s">
        <v>54</v>
      </c>
      <c r="AH9" s="63" t="s">
        <v>88</v>
      </c>
      <c r="AI9" s="63" t="s">
        <v>95</v>
      </c>
      <c r="AJ9" s="63" t="s">
        <v>138</v>
      </c>
      <c r="AK9" s="83">
        <v>2.9</v>
      </c>
      <c r="AL9" s="63" t="s">
        <v>115</v>
      </c>
      <c r="AM9" s="63" t="s">
        <v>138</v>
      </c>
      <c r="AN9"/>
    </row>
    <row r="10" spans="1:40" ht="18" customHeight="1">
      <c r="A10" s="1" t="s">
        <v>116</v>
      </c>
      <c r="B10" s="1" t="s">
        <v>117</v>
      </c>
      <c r="C10" s="4">
        <v>46069</v>
      </c>
      <c r="D10" s="4">
        <v>46087</v>
      </c>
      <c r="E10" s="4">
        <v>46085</v>
      </c>
      <c r="F10" s="63" t="s">
        <v>118</v>
      </c>
      <c r="G10" s="63" t="s">
        <v>3842</v>
      </c>
      <c r="H10" s="63" t="s">
        <v>301</v>
      </c>
      <c r="I10" s="63" t="s">
        <v>120</v>
      </c>
      <c r="J10" s="63" t="s">
        <v>62</v>
      </c>
      <c r="K10" s="63" t="s">
        <v>121</v>
      </c>
      <c r="L10" s="63" t="s">
        <v>122</v>
      </c>
      <c r="M10" s="69">
        <v>200.24</v>
      </c>
      <c r="N10" s="63" t="s">
        <v>65</v>
      </c>
      <c r="O10" s="73">
        <f>_xlfn.XLOOKUP(Supplier_Perf_Table[[#This Row],[Currency]],'Comments 2'!$C$4:$C$16,'Comments 2'!$D$4:$D$16)</f>
        <v>1</v>
      </c>
      <c r="P10" s="69">
        <f>IFERROR(Supplier_Perf_Table[[#This Row],[Unit_Cost]]*Supplier_Perf_Table[[#This Row],[Dollar Equivalent]],"")</f>
        <v>200.24</v>
      </c>
      <c r="Q10" s="75">
        <v>500</v>
      </c>
      <c r="R10" s="1">
        <v>100120</v>
      </c>
      <c r="S10" s="75">
        <f>Supplier_Perf_Table[[#This Row],[Unit_Cost]]*Supplier_Perf_Table[[#This Row],[Order_Quantity]]</f>
        <v>100120</v>
      </c>
      <c r="T10" s="75">
        <f>IFERROR(Supplier_Perf_Table[[#This Row],[Dollar Equivalent]]*Supplier_Perf_Table[[#This Row],[Ordered_Value]],"")</f>
        <v>100120</v>
      </c>
      <c r="U10" s="75">
        <v>13</v>
      </c>
      <c r="V10" s="7">
        <v>2.5999999999999999E-2</v>
      </c>
      <c r="W10" s="75">
        <v>16</v>
      </c>
      <c r="X10" s="55">
        <f>IFERROR(Supplier_Perf_Table[[#This Row],[Actual_Delivery_Date]]-Supplier_Perf_Table[[#This Row],[Order Date]],"")</f>
        <v>16</v>
      </c>
      <c r="Y10" s="75">
        <v>18</v>
      </c>
      <c r="Z10" s="56">
        <f>IFERROR(Supplier_Perf_Table[[#This Row],[Expected Delivery_Date]]-Supplier_Perf_Table[[#This Row],[Order Date]],"")</f>
        <v>18</v>
      </c>
      <c r="AA10" s="56">
        <f>Supplier_Perf_Table[[#This Row],[Calculated_Lead_Time2]]-Supplier_Perf_Table[[#This Row],[Calculated_Expected_Lead_Time]]</f>
        <v>-2</v>
      </c>
      <c r="AB10" s="75">
        <v>-2</v>
      </c>
      <c r="AC10" s="63" t="s">
        <v>87</v>
      </c>
      <c r="AD10" s="63" t="s">
        <v>40</v>
      </c>
      <c r="AE10" s="63" t="s">
        <v>41</v>
      </c>
      <c r="AF10" s="63" t="s">
        <v>66</v>
      </c>
      <c r="AG10" s="63" t="s">
        <v>43</v>
      </c>
      <c r="AH10" s="63" t="s">
        <v>3112</v>
      </c>
      <c r="AI10" s="63" t="s">
        <v>44</v>
      </c>
      <c r="AJ10" s="63" t="s">
        <v>138</v>
      </c>
      <c r="AK10" s="83">
        <v>4.5999999999999996</v>
      </c>
      <c r="AL10" s="63" t="s">
        <v>76</v>
      </c>
      <c r="AM10" s="63" t="s">
        <v>138</v>
      </c>
      <c r="AN10"/>
    </row>
    <row r="11" spans="1:40" ht="18" customHeight="1">
      <c r="A11" s="1" t="s">
        <v>123</v>
      </c>
      <c r="B11" s="1" t="s">
        <v>124</v>
      </c>
      <c r="C11" s="4">
        <v>46167</v>
      </c>
      <c r="D11" s="4">
        <v>46180</v>
      </c>
      <c r="E11" s="4">
        <v>46180</v>
      </c>
      <c r="F11" s="63" t="s">
        <v>100</v>
      </c>
      <c r="G11" s="63" t="s">
        <v>3841</v>
      </c>
      <c r="H11" s="63" t="s">
        <v>102</v>
      </c>
      <c r="I11" s="63" t="s">
        <v>120</v>
      </c>
      <c r="J11" s="63" t="s">
        <v>50</v>
      </c>
      <c r="K11" s="63" t="s">
        <v>125</v>
      </c>
      <c r="L11" s="63" t="s">
        <v>126</v>
      </c>
      <c r="M11" s="69">
        <v>3659.46</v>
      </c>
      <c r="N11" s="63" t="s">
        <v>38</v>
      </c>
      <c r="O11" s="73">
        <f>_xlfn.XLOOKUP(Supplier_Perf_Table[[#This Row],[Currency]],'Comments 2'!$C$4:$C$16,'Comments 2'!$D$4:$D$16)</f>
        <v>7.7000000000000002E-3</v>
      </c>
      <c r="P11" s="69">
        <f>IFERROR(Supplier_Perf_Table[[#This Row],[Unit_Cost]]*Supplier_Perf_Table[[#This Row],[Dollar Equivalent]],"")</f>
        <v>28.177842000000002</v>
      </c>
      <c r="Q11" s="75">
        <v>300</v>
      </c>
      <c r="R11" s="1">
        <v>1097838</v>
      </c>
      <c r="S11" s="75">
        <f>Supplier_Perf_Table[[#This Row],[Unit_Cost]]*Supplier_Perf_Table[[#This Row],[Order_Quantity]]</f>
        <v>1097838</v>
      </c>
      <c r="T11" s="75">
        <f>IFERROR(Supplier_Perf_Table[[#This Row],[Dollar Equivalent]]*Supplier_Perf_Table[[#This Row],[Ordered_Value]],"")</f>
        <v>8453.3526000000002</v>
      </c>
      <c r="U11" s="75">
        <v>7</v>
      </c>
      <c r="V11" s="7">
        <v>2.3300000000000001E-2</v>
      </c>
      <c r="W11" s="75">
        <v>13</v>
      </c>
      <c r="X11" s="55">
        <f>IFERROR(Supplier_Perf_Table[[#This Row],[Actual_Delivery_Date]]-Supplier_Perf_Table[[#This Row],[Order Date]],"")</f>
        <v>13</v>
      </c>
      <c r="Y11" s="75">
        <v>13</v>
      </c>
      <c r="Z11" s="56">
        <f>IFERROR(Supplier_Perf_Table[[#This Row],[Expected Delivery_Date]]-Supplier_Perf_Table[[#This Row],[Order Date]],"")</f>
        <v>13</v>
      </c>
      <c r="AA11" s="56">
        <f>Supplier_Perf_Table[[#This Row],[Calculated_Lead_Time2]]-Supplier_Perf_Table[[#This Row],[Calculated_Expected_Lead_Time]]</f>
        <v>0</v>
      </c>
      <c r="AB11" s="75">
        <v>0</v>
      </c>
      <c r="AC11" s="63" t="s">
        <v>87</v>
      </c>
      <c r="AD11" s="63" t="s">
        <v>40</v>
      </c>
      <c r="AE11" s="63" t="s">
        <v>127</v>
      </c>
      <c r="AF11" s="63" t="s">
        <v>3088</v>
      </c>
      <c r="AG11" s="63" t="s">
        <v>128</v>
      </c>
      <c r="AH11" s="63" t="s">
        <v>129</v>
      </c>
      <c r="AI11" s="63" t="s">
        <v>56</v>
      </c>
      <c r="AJ11" s="63" t="s">
        <v>138</v>
      </c>
      <c r="AK11" s="83">
        <v>2.2000000000000002</v>
      </c>
      <c r="AL11" s="63" t="s">
        <v>45</v>
      </c>
      <c r="AM11" s="63" t="s">
        <v>130</v>
      </c>
      <c r="AN11"/>
    </row>
    <row r="12" spans="1:40" ht="18" customHeight="1">
      <c r="A12" s="1" t="s">
        <v>131</v>
      </c>
      <c r="B12" s="1" t="s">
        <v>132</v>
      </c>
      <c r="C12" s="4">
        <v>46041</v>
      </c>
      <c r="D12" s="4">
        <v>46057</v>
      </c>
      <c r="E12" s="4">
        <v>46058</v>
      </c>
      <c r="F12" s="63" t="s">
        <v>90</v>
      </c>
      <c r="G12" s="63" t="s">
        <v>3840</v>
      </c>
      <c r="H12" s="63" t="s">
        <v>133</v>
      </c>
      <c r="I12" s="63" t="s">
        <v>70</v>
      </c>
      <c r="J12" s="63" t="s">
        <v>71</v>
      </c>
      <c r="K12" s="63" t="s">
        <v>134</v>
      </c>
      <c r="L12" s="63" t="s">
        <v>73</v>
      </c>
      <c r="M12" s="69">
        <v>361.63</v>
      </c>
      <c r="N12" s="63" t="s">
        <v>65</v>
      </c>
      <c r="O12" s="73">
        <f>_xlfn.XLOOKUP(Supplier_Perf_Table[[#This Row],[Currency]],'Comments 2'!$C$4:$C$16,'Comments 2'!$D$4:$D$16)</f>
        <v>1</v>
      </c>
      <c r="P12" s="69">
        <f>IFERROR(Supplier_Perf_Table[[#This Row],[Unit_Cost]]*Supplier_Perf_Table[[#This Row],[Dollar Equivalent]],"")</f>
        <v>361.63</v>
      </c>
      <c r="Q12" s="75">
        <v>2000</v>
      </c>
      <c r="R12" s="1">
        <v>723260</v>
      </c>
      <c r="S12" s="75">
        <f>Supplier_Perf_Table[[#This Row],[Unit_Cost]]*Supplier_Perf_Table[[#This Row],[Order_Quantity]]</f>
        <v>723260</v>
      </c>
      <c r="T12" s="75">
        <f>IFERROR(Supplier_Perf_Table[[#This Row],[Dollar Equivalent]]*Supplier_Perf_Table[[#This Row],[Ordered_Value]],"")</f>
        <v>723260</v>
      </c>
      <c r="U12" s="75">
        <v>102</v>
      </c>
      <c r="V12" s="7">
        <v>5.0999999999999997E-2</v>
      </c>
      <c r="W12" s="75">
        <v>17</v>
      </c>
      <c r="X12" s="55">
        <f>IFERROR(Supplier_Perf_Table[[#This Row],[Actual_Delivery_Date]]-Supplier_Perf_Table[[#This Row],[Order Date]],"")</f>
        <v>17</v>
      </c>
      <c r="Y12" s="75">
        <v>16</v>
      </c>
      <c r="Z12" s="56">
        <f>IFERROR(Supplier_Perf_Table[[#This Row],[Expected Delivery_Date]]-Supplier_Perf_Table[[#This Row],[Order Date]],"")</f>
        <v>16</v>
      </c>
      <c r="AA12" s="56">
        <f>Supplier_Perf_Table[[#This Row],[Calculated_Lead_Time2]]-Supplier_Perf_Table[[#This Row],[Calculated_Expected_Lead_Time]]</f>
        <v>1</v>
      </c>
      <c r="AB12" s="75">
        <v>1</v>
      </c>
      <c r="AC12" s="63" t="s">
        <v>135</v>
      </c>
      <c r="AD12" s="63" t="s">
        <v>74</v>
      </c>
      <c r="AE12" s="63" t="s">
        <v>41</v>
      </c>
      <c r="AF12" s="63" t="s">
        <v>106</v>
      </c>
      <c r="AG12" s="63" t="s">
        <v>54</v>
      </c>
      <c r="AH12" s="63" t="s">
        <v>136</v>
      </c>
      <c r="AI12" s="63" t="s">
        <v>137</v>
      </c>
      <c r="AJ12" s="63" t="s">
        <v>96</v>
      </c>
      <c r="AK12" s="83">
        <v>3</v>
      </c>
      <c r="AL12" s="63" t="s">
        <v>139</v>
      </c>
      <c r="AM12" s="63" t="s">
        <v>77</v>
      </c>
      <c r="AN12"/>
    </row>
    <row r="13" spans="1:40" ht="18" customHeight="1">
      <c r="A13" s="1" t="s">
        <v>140</v>
      </c>
      <c r="B13" s="1" t="s">
        <v>141</v>
      </c>
      <c r="C13" s="4">
        <v>46094</v>
      </c>
      <c r="D13" s="4">
        <v>46111</v>
      </c>
      <c r="E13" s="4">
        <v>46116</v>
      </c>
      <c r="F13" s="63" t="s">
        <v>142</v>
      </c>
      <c r="G13" s="63" t="s">
        <v>3843</v>
      </c>
      <c r="H13" s="63" t="s">
        <v>102</v>
      </c>
      <c r="I13" s="63" t="s">
        <v>92</v>
      </c>
      <c r="J13" s="63" t="s">
        <v>50</v>
      </c>
      <c r="K13" s="63" t="s">
        <v>144</v>
      </c>
      <c r="L13" s="63" t="s">
        <v>145</v>
      </c>
      <c r="M13" s="69">
        <v>2943</v>
      </c>
      <c r="N13" s="63" t="s">
        <v>38</v>
      </c>
      <c r="O13" s="73">
        <f>_xlfn.XLOOKUP(Supplier_Perf_Table[[#This Row],[Currency]],'Comments 2'!$C$4:$C$16,'Comments 2'!$D$4:$D$16)</f>
        <v>7.7000000000000002E-3</v>
      </c>
      <c r="P13" s="69">
        <f>IFERROR(Supplier_Perf_Table[[#This Row],[Unit_Cost]]*Supplier_Perf_Table[[#This Row],[Dollar Equivalent]],"")</f>
        <v>22.661100000000001</v>
      </c>
      <c r="Q13" s="75">
        <v>50</v>
      </c>
      <c r="R13" s="1">
        <v>147150</v>
      </c>
      <c r="S13" s="75">
        <f>Supplier_Perf_Table[[#This Row],[Unit_Cost]]*Supplier_Perf_Table[[#This Row],[Order_Quantity]]</f>
        <v>147150</v>
      </c>
      <c r="T13" s="75">
        <f>IFERROR(Supplier_Perf_Table[[#This Row],[Dollar Equivalent]]*Supplier_Perf_Table[[#This Row],[Ordered_Value]],"")</f>
        <v>1133.0550000000001</v>
      </c>
      <c r="U13" s="75">
        <v>0</v>
      </c>
      <c r="V13" s="7">
        <v>0</v>
      </c>
      <c r="W13" s="75">
        <v>22</v>
      </c>
      <c r="X13" s="55">
        <f>IFERROR(Supplier_Perf_Table[[#This Row],[Actual_Delivery_Date]]-Supplier_Perf_Table[[#This Row],[Order Date]],"")</f>
        <v>22</v>
      </c>
      <c r="Y13" s="75">
        <v>17</v>
      </c>
      <c r="Z13" s="56">
        <f>IFERROR(Supplier_Perf_Table[[#This Row],[Expected Delivery_Date]]-Supplier_Perf_Table[[#This Row],[Order Date]],"")</f>
        <v>17</v>
      </c>
      <c r="AA13" s="56">
        <f>Supplier_Perf_Table[[#This Row],[Calculated_Lead_Time2]]-Supplier_Perf_Table[[#This Row],[Calculated_Expected_Lead_Time]]</f>
        <v>5</v>
      </c>
      <c r="AB13" s="75">
        <v>5</v>
      </c>
      <c r="AC13" s="63" t="s">
        <v>39</v>
      </c>
      <c r="AD13" s="63" t="s">
        <v>40</v>
      </c>
      <c r="AE13" s="63" t="s">
        <v>146</v>
      </c>
      <c r="AF13" s="63" t="s">
        <v>106</v>
      </c>
      <c r="AG13" s="63" t="s">
        <v>107</v>
      </c>
      <c r="AH13" s="63" t="s">
        <v>55</v>
      </c>
      <c r="AI13" s="63" t="s">
        <v>147</v>
      </c>
      <c r="AJ13" s="63" t="s">
        <v>138</v>
      </c>
      <c r="AK13" s="83">
        <v>4.5</v>
      </c>
      <c r="AL13" s="63" t="s">
        <v>115</v>
      </c>
      <c r="AM13" s="63" t="s">
        <v>148</v>
      </c>
      <c r="AN13"/>
    </row>
    <row r="14" spans="1:40" ht="18" customHeight="1">
      <c r="A14" s="1" t="s">
        <v>149</v>
      </c>
      <c r="B14" s="1" t="s">
        <v>150</v>
      </c>
      <c r="C14" s="4">
        <v>46118</v>
      </c>
      <c r="D14" s="4">
        <v>46184</v>
      </c>
      <c r="E14" s="4">
        <v>46183</v>
      </c>
      <c r="F14" s="63" t="s">
        <v>151</v>
      </c>
      <c r="G14" s="63" t="s">
        <v>3844</v>
      </c>
      <c r="H14" s="63" t="s">
        <v>152</v>
      </c>
      <c r="I14" s="63" t="s">
        <v>120</v>
      </c>
      <c r="J14" s="63" t="s">
        <v>153</v>
      </c>
      <c r="K14" s="63" t="s">
        <v>154</v>
      </c>
      <c r="L14" s="63" t="s">
        <v>155</v>
      </c>
      <c r="M14" s="69">
        <v>719.52</v>
      </c>
      <c r="N14" s="63" t="s">
        <v>53</v>
      </c>
      <c r="O14" s="73">
        <f>_xlfn.XLOOKUP(Supplier_Perf_Table[[#This Row],[Currency]],'Comments 2'!$C$4:$C$16,'Comments 2'!$D$4:$D$16)</f>
        <v>6.0999999999999999E-2</v>
      </c>
      <c r="P14" s="69">
        <f>IFERROR(Supplier_Perf_Table[[#This Row],[Unit_Cost]]*Supplier_Perf_Table[[#This Row],[Dollar Equivalent]],"")</f>
        <v>43.890719999999995</v>
      </c>
      <c r="Q14" s="75">
        <v>1000</v>
      </c>
      <c r="R14" s="1">
        <v>719520</v>
      </c>
      <c r="S14" s="75">
        <f>Supplier_Perf_Table[[#This Row],[Unit_Cost]]*Supplier_Perf_Table[[#This Row],[Order_Quantity]]</f>
        <v>719520</v>
      </c>
      <c r="T14" s="75">
        <f>IFERROR(Supplier_Perf_Table[[#This Row],[Dollar Equivalent]]*Supplier_Perf_Table[[#This Row],[Ordered_Value]],"")</f>
        <v>43890.720000000001</v>
      </c>
      <c r="U14" s="75">
        <v>1</v>
      </c>
      <c r="V14" s="7">
        <v>1E-3</v>
      </c>
      <c r="W14" s="75">
        <v>6</v>
      </c>
      <c r="X14" s="55">
        <f>IFERROR(Supplier_Perf_Table[[#This Row],[Actual_Delivery_Date]]-Supplier_Perf_Table[[#This Row],[Order Date]],"")</f>
        <v>65</v>
      </c>
      <c r="Y14" s="75">
        <v>7</v>
      </c>
      <c r="Z14" s="56">
        <f>IFERROR(Supplier_Perf_Table[[#This Row],[Expected Delivery_Date]]-Supplier_Perf_Table[[#This Row],[Order Date]],"")</f>
        <v>66</v>
      </c>
      <c r="AA14" s="56">
        <f>Supplier_Perf_Table[[#This Row],[Calculated_Lead_Time2]]-Supplier_Perf_Table[[#This Row],[Calculated_Expected_Lead_Time]]</f>
        <v>-1</v>
      </c>
      <c r="AB14" s="75"/>
      <c r="AC14" s="63" t="s">
        <v>87</v>
      </c>
      <c r="AD14" s="63" t="s">
        <v>40</v>
      </c>
      <c r="AE14" s="63" t="s">
        <v>146</v>
      </c>
      <c r="AF14" s="63" t="s">
        <v>3088</v>
      </c>
      <c r="AG14" s="63" t="s">
        <v>54</v>
      </c>
      <c r="AH14" s="63" t="s">
        <v>55</v>
      </c>
      <c r="AI14" s="63" t="s">
        <v>95</v>
      </c>
      <c r="AJ14" s="63" t="s">
        <v>138</v>
      </c>
      <c r="AK14" s="83">
        <v>3.3</v>
      </c>
      <c r="AL14" s="63" t="s">
        <v>108</v>
      </c>
      <c r="AM14" s="63" t="s">
        <v>130</v>
      </c>
      <c r="AN14"/>
    </row>
    <row r="15" spans="1:40" ht="18" customHeight="1">
      <c r="A15" s="1" t="s">
        <v>156</v>
      </c>
      <c r="B15" s="1" t="s">
        <v>157</v>
      </c>
      <c r="C15" s="4">
        <v>46165</v>
      </c>
      <c r="D15" s="4">
        <v>46172</v>
      </c>
      <c r="E15" s="4">
        <v>46173</v>
      </c>
      <c r="F15" s="63" t="s">
        <v>151</v>
      </c>
      <c r="G15" s="63" t="s">
        <v>3844</v>
      </c>
      <c r="H15" s="63" t="s">
        <v>152</v>
      </c>
      <c r="I15" s="63" t="s">
        <v>61</v>
      </c>
      <c r="J15" s="63" t="s">
        <v>153</v>
      </c>
      <c r="K15" s="63" t="s">
        <v>158</v>
      </c>
      <c r="L15" s="63" t="s">
        <v>155</v>
      </c>
      <c r="M15" s="69">
        <v>286.22000000000003</v>
      </c>
      <c r="N15" s="63" t="s">
        <v>159</v>
      </c>
      <c r="O15" s="73">
        <f>_xlfn.XLOOKUP(Supplier_Perf_Table[[#This Row],[Currency]],'Comments 2'!$C$4:$C$16,'Comments 2'!$D$4:$D$16)</f>
        <v>7.2999999999999996E-4</v>
      </c>
      <c r="P15" s="69">
        <f>IFERROR(Supplier_Perf_Table[[#This Row],[Unit_Cost]]*Supplier_Perf_Table[[#This Row],[Dollar Equivalent]],"")</f>
        <v>0.2089406</v>
      </c>
      <c r="Q15" s="75">
        <v>150</v>
      </c>
      <c r="R15" s="1">
        <v>42933</v>
      </c>
      <c r="S15" s="75">
        <f>Supplier_Perf_Table[[#This Row],[Unit_Cost]]*Supplier_Perf_Table[[#This Row],[Order_Quantity]]</f>
        <v>42933.000000000007</v>
      </c>
      <c r="T15" s="75">
        <f>IFERROR(Supplier_Perf_Table[[#This Row],[Dollar Equivalent]]*Supplier_Perf_Table[[#This Row],[Ordered_Value]],"")</f>
        <v>31.341089999999998</v>
      </c>
      <c r="U15" s="75">
        <v>2</v>
      </c>
      <c r="V15" s="7">
        <v>1.3299999999999999E-2</v>
      </c>
      <c r="W15" s="75">
        <v>8</v>
      </c>
      <c r="X15" s="55">
        <f>IFERROR(Supplier_Perf_Table[[#This Row],[Actual_Delivery_Date]]-Supplier_Perf_Table[[#This Row],[Order Date]],"")</f>
        <v>8</v>
      </c>
      <c r="Y15" s="75">
        <v>7</v>
      </c>
      <c r="Z15" s="56">
        <f>IFERROR(Supplier_Perf_Table[[#This Row],[Expected Delivery_Date]]-Supplier_Perf_Table[[#This Row],[Order Date]],"")</f>
        <v>7</v>
      </c>
      <c r="AA15" s="56">
        <f>Supplier_Perf_Table[[#This Row],[Calculated_Lead_Time2]]-Supplier_Perf_Table[[#This Row],[Calculated_Expected_Lead_Time]]</f>
        <v>1</v>
      </c>
      <c r="AB15" s="75">
        <v>1</v>
      </c>
      <c r="AC15" s="63" t="s">
        <v>135</v>
      </c>
      <c r="AD15" s="63" t="s">
        <v>40</v>
      </c>
      <c r="AE15" s="63" t="s">
        <v>41</v>
      </c>
      <c r="AF15" s="63" t="s">
        <v>106</v>
      </c>
      <c r="AG15" s="63" t="s">
        <v>173</v>
      </c>
      <c r="AH15" s="63" t="s">
        <v>88</v>
      </c>
      <c r="AI15" s="63" t="s">
        <v>95</v>
      </c>
      <c r="AJ15" s="63" t="s">
        <v>138</v>
      </c>
      <c r="AK15" s="83">
        <v>4.2</v>
      </c>
      <c r="AL15" s="63" t="s">
        <v>139</v>
      </c>
      <c r="AM15" s="63" t="s">
        <v>46</v>
      </c>
      <c r="AN15"/>
    </row>
    <row r="16" spans="1:40" ht="18" customHeight="1">
      <c r="A16" s="1" t="s">
        <v>160</v>
      </c>
      <c r="B16" s="1" t="s">
        <v>161</v>
      </c>
      <c r="C16" s="4">
        <v>46195</v>
      </c>
      <c r="D16" s="4">
        <v>46197</v>
      </c>
      <c r="E16" s="4">
        <v>46199</v>
      </c>
      <c r="F16" s="63" t="s">
        <v>162</v>
      </c>
      <c r="G16" s="63" t="s">
        <v>3847</v>
      </c>
      <c r="H16" s="63" t="s">
        <v>152</v>
      </c>
      <c r="I16" s="63" t="s">
        <v>83</v>
      </c>
      <c r="J16" s="63" t="s">
        <v>163</v>
      </c>
      <c r="K16" s="63" t="s">
        <v>164</v>
      </c>
      <c r="L16" s="63" t="s">
        <v>165</v>
      </c>
      <c r="M16" s="69">
        <v>997.52</v>
      </c>
      <c r="N16" s="63" t="s">
        <v>86</v>
      </c>
      <c r="O16" s="73">
        <f>_xlfn.XLOOKUP(Supplier_Perf_Table[[#This Row],[Currency]],'Comments 2'!$C$4:$C$16,'Comments 2'!$D$4:$D$16)</f>
        <v>8.8999999999999996E-2</v>
      </c>
      <c r="P16" s="69">
        <f>IFERROR(Supplier_Perf_Table[[#This Row],[Unit_Cost]]*Supplier_Perf_Table[[#This Row],[Dollar Equivalent]],"")</f>
        <v>88.77928</v>
      </c>
      <c r="Q16" s="75">
        <v>2000</v>
      </c>
      <c r="R16" s="1">
        <v>1995040</v>
      </c>
      <c r="S16" s="75">
        <f>Supplier_Perf_Table[[#This Row],[Unit_Cost]]*Supplier_Perf_Table[[#This Row],[Order_Quantity]]</f>
        <v>1995040</v>
      </c>
      <c r="T16" s="75">
        <f>IFERROR(Supplier_Perf_Table[[#This Row],[Dollar Equivalent]]*Supplier_Perf_Table[[#This Row],[Ordered_Value]],"")</f>
        <v>177558.56</v>
      </c>
      <c r="U16" s="75">
        <v>31</v>
      </c>
      <c r="V16" s="7">
        <v>1.55E-2</v>
      </c>
      <c r="W16" s="75">
        <v>4</v>
      </c>
      <c r="X16" s="55">
        <f>IFERROR(Supplier_Perf_Table[[#This Row],[Actual_Delivery_Date]]-Supplier_Perf_Table[[#This Row],[Order Date]],"")</f>
        <v>4</v>
      </c>
      <c r="Y16" s="75">
        <v>2</v>
      </c>
      <c r="Z16" s="56">
        <f>IFERROR(Supplier_Perf_Table[[#This Row],[Expected Delivery_Date]]-Supplier_Perf_Table[[#This Row],[Order Date]],"")</f>
        <v>2</v>
      </c>
      <c r="AA16" s="56">
        <f>Supplier_Perf_Table[[#This Row],[Calculated_Lead_Time2]]-Supplier_Perf_Table[[#This Row],[Calculated_Expected_Lead_Time]]</f>
        <v>2</v>
      </c>
      <c r="AB16" s="75">
        <v>2</v>
      </c>
      <c r="AC16" s="63" t="s">
        <v>166</v>
      </c>
      <c r="AD16" s="63" t="s">
        <v>40</v>
      </c>
      <c r="AE16" s="63" t="s">
        <v>3088</v>
      </c>
      <c r="AF16" s="63" t="s">
        <v>66</v>
      </c>
      <c r="AG16" s="63" t="s">
        <v>43</v>
      </c>
      <c r="AH16" s="63" t="s">
        <v>55</v>
      </c>
      <c r="AI16" s="63" t="s">
        <v>138</v>
      </c>
      <c r="AJ16" s="63" t="s">
        <v>138</v>
      </c>
      <c r="AK16" s="83">
        <v>4</v>
      </c>
      <c r="AL16" s="63" t="s">
        <v>115</v>
      </c>
      <c r="AM16" s="63" t="s">
        <v>148</v>
      </c>
      <c r="AN16"/>
    </row>
    <row r="17" spans="1:40" ht="18" customHeight="1">
      <c r="A17" s="1" t="s">
        <v>167</v>
      </c>
      <c r="B17" s="1" t="s">
        <v>168</v>
      </c>
      <c r="C17" s="4">
        <v>46159</v>
      </c>
      <c r="D17" s="4">
        <v>46177</v>
      </c>
      <c r="E17" s="4">
        <v>46183</v>
      </c>
      <c r="F17" s="63" t="s">
        <v>142</v>
      </c>
      <c r="G17" s="63" t="s">
        <v>3843</v>
      </c>
      <c r="H17" s="63" t="s">
        <v>169</v>
      </c>
      <c r="I17" s="63" t="s">
        <v>70</v>
      </c>
      <c r="J17" s="63" t="s">
        <v>163</v>
      </c>
      <c r="K17" s="63" t="s">
        <v>170</v>
      </c>
      <c r="L17" s="63" t="s">
        <v>171</v>
      </c>
      <c r="M17" s="69">
        <v>1754.18</v>
      </c>
      <c r="N17" s="63" t="s">
        <v>3114</v>
      </c>
      <c r="O17" s="73">
        <f>_xlfn.XLOOKUP(Supplier_Perf_Table[[#This Row],[Currency]],'Comments 2'!$C$4:$C$16,'Comments 2'!$D$4:$D$16)</f>
        <v>0.11</v>
      </c>
      <c r="P17" s="69">
        <f>IFERROR(Supplier_Perf_Table[[#This Row],[Unit_Cost]]*Supplier_Perf_Table[[#This Row],[Dollar Equivalent]],"")</f>
        <v>192.9598</v>
      </c>
      <c r="Q17" s="75">
        <v>200</v>
      </c>
      <c r="R17" s="1">
        <v>350836</v>
      </c>
      <c r="S17" s="75">
        <f>Supplier_Perf_Table[[#This Row],[Unit_Cost]]*Supplier_Perf_Table[[#This Row],[Order_Quantity]]</f>
        <v>350836</v>
      </c>
      <c r="T17" s="75">
        <f>IFERROR(Supplier_Perf_Table[[#This Row],[Dollar Equivalent]]*Supplier_Perf_Table[[#This Row],[Ordered_Value]],"")</f>
        <v>38591.96</v>
      </c>
      <c r="U17" s="75">
        <v>6</v>
      </c>
      <c r="V17" s="7">
        <v>0.03</v>
      </c>
      <c r="W17" s="75">
        <v>24</v>
      </c>
      <c r="X17" s="55">
        <f>IFERROR(Supplier_Perf_Table[[#This Row],[Actual_Delivery_Date]]-Supplier_Perf_Table[[#This Row],[Order Date]],"")</f>
        <v>24</v>
      </c>
      <c r="Y17" s="75">
        <v>18</v>
      </c>
      <c r="Z17" s="56">
        <f>IFERROR(Supplier_Perf_Table[[#This Row],[Expected Delivery_Date]]-Supplier_Perf_Table[[#This Row],[Order Date]],"")</f>
        <v>18</v>
      </c>
      <c r="AA17" s="56">
        <f>Supplier_Perf_Table[[#This Row],[Calculated_Lead_Time2]]-Supplier_Perf_Table[[#This Row],[Calculated_Expected_Lead_Time]]</f>
        <v>6</v>
      </c>
      <c r="AB17" s="75">
        <v>6</v>
      </c>
      <c r="AC17" s="63" t="s">
        <v>39</v>
      </c>
      <c r="AD17" s="63" t="s">
        <v>40</v>
      </c>
      <c r="AE17" s="63" t="s">
        <v>127</v>
      </c>
      <c r="AF17" s="63" t="s">
        <v>42</v>
      </c>
      <c r="AG17" s="63" t="s">
        <v>173</v>
      </c>
      <c r="AH17" s="63" t="s">
        <v>174</v>
      </c>
      <c r="AI17" s="63" t="s">
        <v>95</v>
      </c>
      <c r="AJ17" s="63" t="s">
        <v>138</v>
      </c>
      <c r="AK17" s="83">
        <v>2.1</v>
      </c>
      <c r="AL17" s="63" t="s">
        <v>115</v>
      </c>
      <c r="AM17" s="63" t="s">
        <v>148</v>
      </c>
      <c r="AN17"/>
    </row>
    <row r="18" spans="1:40" ht="18" customHeight="1">
      <c r="A18" s="1" t="s">
        <v>175</v>
      </c>
      <c r="B18" s="1" t="s">
        <v>176</v>
      </c>
      <c r="C18" s="4">
        <v>46163</v>
      </c>
      <c r="D18" s="4">
        <v>46177</v>
      </c>
      <c r="E18" s="4">
        <v>46183</v>
      </c>
      <c r="F18" s="63" t="s">
        <v>32</v>
      </c>
      <c r="G18" s="63" t="s">
        <v>3835</v>
      </c>
      <c r="H18" s="63" t="s">
        <v>177</v>
      </c>
      <c r="I18" s="63" t="s">
        <v>178</v>
      </c>
      <c r="J18" s="63" t="s">
        <v>35</v>
      </c>
      <c r="K18" s="63" t="s">
        <v>179</v>
      </c>
      <c r="L18" s="63" t="s">
        <v>180</v>
      </c>
      <c r="M18" s="69">
        <v>2499.94</v>
      </c>
      <c r="N18" s="63" t="s">
        <v>86</v>
      </c>
      <c r="O18" s="73">
        <f>_xlfn.XLOOKUP(Supplier_Perf_Table[[#This Row],[Currency]],'Comments 2'!$C$4:$C$16,'Comments 2'!$D$4:$D$16)</f>
        <v>8.8999999999999996E-2</v>
      </c>
      <c r="P18" s="69">
        <f>IFERROR(Supplier_Perf_Table[[#This Row],[Unit_Cost]]*Supplier_Perf_Table[[#This Row],[Dollar Equivalent]],"")</f>
        <v>222.49465999999998</v>
      </c>
      <c r="Q18" s="75">
        <v>200</v>
      </c>
      <c r="R18" s="1">
        <v>499988</v>
      </c>
      <c r="S18" s="75">
        <f>Supplier_Perf_Table[[#This Row],[Unit_Cost]]*Supplier_Perf_Table[[#This Row],[Order_Quantity]]</f>
        <v>499988</v>
      </c>
      <c r="T18" s="75">
        <f>IFERROR(Supplier_Perf_Table[[#This Row],[Dollar Equivalent]]*Supplier_Perf_Table[[#This Row],[Ordered_Value]],"")</f>
        <v>44498.932000000001</v>
      </c>
      <c r="U18" s="75">
        <v>5</v>
      </c>
      <c r="V18" s="7">
        <v>2.5000000000000001E-2</v>
      </c>
      <c r="W18" s="75">
        <v>20</v>
      </c>
      <c r="X18" s="55">
        <f>IFERROR(Supplier_Perf_Table[[#This Row],[Actual_Delivery_Date]]-Supplier_Perf_Table[[#This Row],[Order Date]],"")</f>
        <v>20</v>
      </c>
      <c r="Y18" s="75">
        <v>14</v>
      </c>
      <c r="Z18" s="56">
        <f>IFERROR(Supplier_Perf_Table[[#This Row],[Expected Delivery_Date]]-Supplier_Perf_Table[[#This Row],[Order Date]],"")</f>
        <v>14</v>
      </c>
      <c r="AA18" s="56">
        <f>Supplier_Perf_Table[[#This Row],[Calculated_Lead_Time2]]-Supplier_Perf_Table[[#This Row],[Calculated_Expected_Lead_Time]]</f>
        <v>6</v>
      </c>
      <c r="AB18" s="75">
        <v>6</v>
      </c>
      <c r="AC18" s="63" t="s">
        <v>39</v>
      </c>
      <c r="AD18" s="63" t="s">
        <v>40</v>
      </c>
      <c r="AE18" s="63" t="s">
        <v>105</v>
      </c>
      <c r="AF18" s="63" t="s">
        <v>66</v>
      </c>
      <c r="AG18" s="63" t="s">
        <v>107</v>
      </c>
      <c r="AH18" s="63" t="s">
        <v>174</v>
      </c>
      <c r="AI18" s="63" t="s">
        <v>95</v>
      </c>
      <c r="AJ18" s="63" t="s">
        <v>138</v>
      </c>
      <c r="AK18" s="83">
        <v>2.5</v>
      </c>
      <c r="AL18" s="63" t="s">
        <v>115</v>
      </c>
      <c r="AM18" s="63" t="s">
        <v>46</v>
      </c>
      <c r="AN18"/>
    </row>
    <row r="19" spans="1:40" ht="18" customHeight="1">
      <c r="A19" s="1" t="s">
        <v>131</v>
      </c>
      <c r="B19" s="1" t="s">
        <v>181</v>
      </c>
      <c r="C19" s="4">
        <v>46079</v>
      </c>
      <c r="D19" s="4">
        <v>46091</v>
      </c>
      <c r="E19" s="4">
        <v>46092</v>
      </c>
      <c r="F19" s="63" t="s">
        <v>69</v>
      </c>
      <c r="G19" s="63" t="s">
        <v>3838</v>
      </c>
      <c r="H19" s="63" t="s">
        <v>194</v>
      </c>
      <c r="I19" s="63" t="s">
        <v>120</v>
      </c>
      <c r="J19" s="63" t="s">
        <v>35</v>
      </c>
      <c r="K19" s="63" t="s">
        <v>182</v>
      </c>
      <c r="L19" s="63" t="s">
        <v>85</v>
      </c>
      <c r="M19" s="69">
        <v>375.4</v>
      </c>
      <c r="N19" s="63" t="s">
        <v>65</v>
      </c>
      <c r="O19" s="73">
        <f>_xlfn.XLOOKUP(Supplier_Perf_Table[[#This Row],[Currency]],'Comments 2'!$C$4:$C$16,'Comments 2'!$D$4:$D$16)</f>
        <v>1</v>
      </c>
      <c r="P19" s="69">
        <f>IFERROR(Supplier_Perf_Table[[#This Row],[Unit_Cost]]*Supplier_Perf_Table[[#This Row],[Dollar Equivalent]],"")</f>
        <v>375.4</v>
      </c>
      <c r="Q19" s="75">
        <v>200</v>
      </c>
      <c r="R19" s="1">
        <v>75080</v>
      </c>
      <c r="S19" s="75">
        <f>Supplier_Perf_Table[[#This Row],[Unit_Cost]]*Supplier_Perf_Table[[#This Row],[Order_Quantity]]</f>
        <v>75080</v>
      </c>
      <c r="T19" s="75">
        <f>IFERROR(Supplier_Perf_Table[[#This Row],[Dollar Equivalent]]*Supplier_Perf_Table[[#This Row],[Ordered_Value]],"")</f>
        <v>75080</v>
      </c>
      <c r="U19" s="75">
        <v>11</v>
      </c>
      <c r="V19" s="7">
        <v>5.5E-2</v>
      </c>
      <c r="W19" s="75">
        <v>13</v>
      </c>
      <c r="X19" s="55">
        <f>IFERROR(Supplier_Perf_Table[[#This Row],[Actual_Delivery_Date]]-Supplier_Perf_Table[[#This Row],[Order Date]],"")</f>
        <v>13</v>
      </c>
      <c r="Y19" s="75">
        <v>12</v>
      </c>
      <c r="Z19" s="56">
        <f>IFERROR(Supplier_Perf_Table[[#This Row],[Expected Delivery_Date]]-Supplier_Perf_Table[[#This Row],[Order Date]],"")</f>
        <v>12</v>
      </c>
      <c r="AA19" s="56">
        <f>Supplier_Perf_Table[[#This Row],[Calculated_Lead_Time2]]-Supplier_Perf_Table[[#This Row],[Calculated_Expected_Lead_Time]]</f>
        <v>1</v>
      </c>
      <c r="AB19" s="75">
        <v>1</v>
      </c>
      <c r="AC19" s="63" t="s">
        <v>135</v>
      </c>
      <c r="AD19" s="63" t="s">
        <v>74</v>
      </c>
      <c r="AE19" s="63" t="s">
        <v>146</v>
      </c>
      <c r="AF19" s="63" t="s">
        <v>42</v>
      </c>
      <c r="AG19" s="63" t="s">
        <v>54</v>
      </c>
      <c r="AH19" s="63" t="s">
        <v>3112</v>
      </c>
      <c r="AI19" s="63" t="s">
        <v>95</v>
      </c>
      <c r="AJ19" s="63" t="s">
        <v>183</v>
      </c>
      <c r="AK19" s="83">
        <v>1.5</v>
      </c>
      <c r="AL19" s="63" t="s">
        <v>184</v>
      </c>
      <c r="AM19" s="63" t="s">
        <v>185</v>
      </c>
      <c r="AN19"/>
    </row>
    <row r="20" spans="1:40" ht="18" customHeight="1">
      <c r="A20" s="1" t="s">
        <v>186</v>
      </c>
      <c r="B20" s="1" t="s">
        <v>187</v>
      </c>
      <c r="C20" s="4">
        <v>46045</v>
      </c>
      <c r="D20" s="4">
        <v>46056</v>
      </c>
      <c r="E20" s="4">
        <v>46057</v>
      </c>
      <c r="F20" s="63" t="s">
        <v>100</v>
      </c>
      <c r="G20" s="63" t="s">
        <v>3841</v>
      </c>
      <c r="H20" s="63" t="s">
        <v>102</v>
      </c>
      <c r="I20" s="63" t="s">
        <v>70</v>
      </c>
      <c r="J20" s="63" t="s">
        <v>50</v>
      </c>
      <c r="K20" s="63" t="s">
        <v>188</v>
      </c>
      <c r="L20" s="63" t="s">
        <v>189</v>
      </c>
      <c r="M20" s="69">
        <v>3315.83</v>
      </c>
      <c r="N20" s="63" t="s">
        <v>65</v>
      </c>
      <c r="O20" s="73">
        <f>_xlfn.XLOOKUP(Supplier_Perf_Table[[#This Row],[Currency]],'Comments 2'!$C$4:$C$16,'Comments 2'!$D$4:$D$16)</f>
        <v>1</v>
      </c>
      <c r="P20" s="69">
        <f>IFERROR(Supplier_Perf_Table[[#This Row],[Unit_Cost]]*Supplier_Perf_Table[[#This Row],[Dollar Equivalent]],"")</f>
        <v>3315.83</v>
      </c>
      <c r="Q20" s="75">
        <v>50</v>
      </c>
      <c r="R20" s="1">
        <v>165791.5</v>
      </c>
      <c r="S20" s="75">
        <f>Supplier_Perf_Table[[#This Row],[Unit_Cost]]*Supplier_Perf_Table[[#This Row],[Order_Quantity]]</f>
        <v>165791.5</v>
      </c>
      <c r="T20" s="75">
        <f>IFERROR(Supplier_Perf_Table[[#This Row],[Dollar Equivalent]]*Supplier_Perf_Table[[#This Row],[Ordered_Value]],"")</f>
        <v>165791.5</v>
      </c>
      <c r="U20" s="75">
        <v>0</v>
      </c>
      <c r="V20" s="7">
        <v>0</v>
      </c>
      <c r="W20" s="75">
        <v>12</v>
      </c>
      <c r="X20" s="55">
        <f>IFERROR(Supplier_Perf_Table[[#This Row],[Actual_Delivery_Date]]-Supplier_Perf_Table[[#This Row],[Order Date]],"")</f>
        <v>12</v>
      </c>
      <c r="Y20" s="75">
        <v>11</v>
      </c>
      <c r="Z20" s="56">
        <f>IFERROR(Supplier_Perf_Table[[#This Row],[Expected Delivery_Date]]-Supplier_Perf_Table[[#This Row],[Order Date]],"")</f>
        <v>11</v>
      </c>
      <c r="AA20" s="56">
        <f>Supplier_Perf_Table[[#This Row],[Calculated_Lead_Time2]]-Supplier_Perf_Table[[#This Row],[Calculated_Expected_Lead_Time]]</f>
        <v>1</v>
      </c>
      <c r="AB20" s="75">
        <v>1</v>
      </c>
      <c r="AC20" s="63" t="s">
        <v>135</v>
      </c>
      <c r="AD20" s="63" t="s">
        <v>40</v>
      </c>
      <c r="AE20" s="63" t="s">
        <v>41</v>
      </c>
      <c r="AF20" s="63" t="s">
        <v>190</v>
      </c>
      <c r="AG20" s="63" t="s">
        <v>3088</v>
      </c>
      <c r="AH20" s="63" t="s">
        <v>129</v>
      </c>
      <c r="AI20" s="63" t="s">
        <v>191</v>
      </c>
      <c r="AJ20" s="63" t="s">
        <v>138</v>
      </c>
      <c r="AK20" s="83">
        <v>2.2000000000000002</v>
      </c>
      <c r="AL20" s="63" t="s">
        <v>139</v>
      </c>
      <c r="AM20" s="63" t="s">
        <v>46</v>
      </c>
      <c r="AN20"/>
    </row>
    <row r="21" spans="1:40" ht="18" customHeight="1">
      <c r="A21" s="1" t="s">
        <v>192</v>
      </c>
      <c r="B21" s="1" t="s">
        <v>193</v>
      </c>
      <c r="C21" s="4">
        <v>46073</v>
      </c>
      <c r="D21" s="4">
        <v>46082</v>
      </c>
      <c r="E21" s="4">
        <v>46086</v>
      </c>
      <c r="F21" s="63" t="s">
        <v>69</v>
      </c>
      <c r="G21" s="63" t="s">
        <v>3838</v>
      </c>
      <c r="H21" s="63" t="s">
        <v>194</v>
      </c>
      <c r="I21" s="63" t="s">
        <v>34</v>
      </c>
      <c r="J21" s="63" t="s">
        <v>35</v>
      </c>
      <c r="K21" s="63" t="s">
        <v>195</v>
      </c>
      <c r="L21" s="63" t="s">
        <v>85</v>
      </c>
      <c r="M21" s="69">
        <v>1685.89</v>
      </c>
      <c r="N21" s="63" t="s">
        <v>38</v>
      </c>
      <c r="O21" s="73">
        <f>_xlfn.XLOOKUP(Supplier_Perf_Table[[#This Row],[Currency]],'Comments 2'!$C$4:$C$16,'Comments 2'!$D$4:$D$16)</f>
        <v>7.7000000000000002E-3</v>
      </c>
      <c r="P21" s="69">
        <f>IFERROR(Supplier_Perf_Table[[#This Row],[Unit_Cost]]*Supplier_Perf_Table[[#This Row],[Dollar Equivalent]],"")</f>
        <v>12.981353</v>
      </c>
      <c r="Q21" s="75">
        <v>750</v>
      </c>
      <c r="R21" s="1">
        <v>1264417.5</v>
      </c>
      <c r="S21" s="75">
        <f>Supplier_Perf_Table[[#This Row],[Unit_Cost]]*Supplier_Perf_Table[[#This Row],[Order_Quantity]]</f>
        <v>1264417.5</v>
      </c>
      <c r="T21" s="75">
        <f>IFERROR(Supplier_Perf_Table[[#This Row],[Dollar Equivalent]]*Supplier_Perf_Table[[#This Row],[Ordered_Value]],"")</f>
        <v>9736.0147500000003</v>
      </c>
      <c r="U21" s="75">
        <v>17</v>
      </c>
      <c r="V21" s="7">
        <v>2.2700000000000001E-2</v>
      </c>
      <c r="W21" s="75">
        <v>13</v>
      </c>
      <c r="X21" s="55">
        <f>IFERROR(Supplier_Perf_Table[[#This Row],[Actual_Delivery_Date]]-Supplier_Perf_Table[[#This Row],[Order Date]],"")</f>
        <v>13</v>
      </c>
      <c r="Y21" s="75">
        <v>9</v>
      </c>
      <c r="Z21" s="56">
        <f>IFERROR(Supplier_Perf_Table[[#This Row],[Expected Delivery_Date]]-Supplier_Perf_Table[[#This Row],[Order Date]],"")</f>
        <v>9</v>
      </c>
      <c r="AA21" s="56">
        <f>Supplier_Perf_Table[[#This Row],[Calculated_Lead_Time2]]-Supplier_Perf_Table[[#This Row],[Calculated_Expected_Lead_Time]]</f>
        <v>4</v>
      </c>
      <c r="AB21" s="75">
        <v>4</v>
      </c>
      <c r="AC21" s="63" t="s">
        <v>39</v>
      </c>
      <c r="AD21" s="63" t="s">
        <v>40</v>
      </c>
      <c r="AE21" s="63" t="s">
        <v>127</v>
      </c>
      <c r="AF21" s="63" t="s">
        <v>106</v>
      </c>
      <c r="AG21" s="63" t="s">
        <v>43</v>
      </c>
      <c r="AH21" s="63" t="s">
        <v>129</v>
      </c>
      <c r="AI21" s="63" t="s">
        <v>147</v>
      </c>
      <c r="AJ21" s="63" t="s">
        <v>138</v>
      </c>
      <c r="AK21" s="83">
        <v>4.8</v>
      </c>
      <c r="AL21" s="63" t="s">
        <v>57</v>
      </c>
      <c r="AM21" s="63" t="s">
        <v>196</v>
      </c>
      <c r="AN21"/>
    </row>
    <row r="22" spans="1:40" ht="18" customHeight="1">
      <c r="A22" s="63" t="s">
        <v>197</v>
      </c>
      <c r="B22" s="63" t="s">
        <v>198</v>
      </c>
      <c r="C22" s="4">
        <v>46095</v>
      </c>
      <c r="D22" s="4">
        <v>46107</v>
      </c>
      <c r="E22" s="4">
        <v>46099</v>
      </c>
      <c r="F22" s="63" t="s">
        <v>69</v>
      </c>
      <c r="G22" s="63" t="s">
        <v>3838</v>
      </c>
      <c r="H22" s="63" t="s">
        <v>194</v>
      </c>
      <c r="I22" s="63" t="s">
        <v>120</v>
      </c>
      <c r="J22" s="63" t="s">
        <v>35</v>
      </c>
      <c r="K22" s="63" t="s">
        <v>199</v>
      </c>
      <c r="L22" s="63" t="s">
        <v>200</v>
      </c>
      <c r="M22" s="69">
        <v>1181.69</v>
      </c>
      <c r="N22" s="63" t="s">
        <v>104</v>
      </c>
      <c r="O22" s="73">
        <f>_xlfn.XLOOKUP(Supplier_Perf_Table[[#This Row],[Currency]],'Comments 2'!$C$4:$C$16,'Comments 2'!$D$4:$D$16)</f>
        <v>1.9E-2</v>
      </c>
      <c r="P22" s="69">
        <f>IFERROR(Supplier_Perf_Table[[#This Row],[Unit_Cost]]*Supplier_Perf_Table[[#This Row],[Dollar Equivalent]],"")</f>
        <v>22.452110000000001</v>
      </c>
      <c r="Q22" s="75">
        <v>500</v>
      </c>
      <c r="R22" s="1">
        <v>590845</v>
      </c>
      <c r="S22" s="75">
        <f>Supplier_Perf_Table[[#This Row],[Unit_Cost]]*Supplier_Perf_Table[[#This Row],[Order_Quantity]]</f>
        <v>590845</v>
      </c>
      <c r="T22" s="75">
        <f>IFERROR(Supplier_Perf_Table[[#This Row],[Dollar Equivalent]]*Supplier_Perf_Table[[#This Row],[Ordered_Value]],"")</f>
        <v>11226.055</v>
      </c>
      <c r="U22" s="75">
        <v>6</v>
      </c>
      <c r="V22" s="7">
        <v>1.2E-2</v>
      </c>
      <c r="W22" s="75">
        <v>4</v>
      </c>
      <c r="X22" s="55">
        <f>IFERROR(Supplier_Perf_Table[[#This Row],[Actual_Delivery_Date]]-Supplier_Perf_Table[[#This Row],[Order Date]],"")</f>
        <v>4</v>
      </c>
      <c r="Y22" s="75">
        <v>12</v>
      </c>
      <c r="Z22" s="56">
        <f>IFERROR(Supplier_Perf_Table[[#This Row],[Expected Delivery_Date]]-Supplier_Perf_Table[[#This Row],[Order Date]],"")</f>
        <v>12</v>
      </c>
      <c r="AA22" s="56">
        <f>Supplier_Perf_Table[[#This Row],[Calculated_Lead_Time2]]-Supplier_Perf_Table[[#This Row],[Calculated_Expected_Lead_Time]]</f>
        <v>-8</v>
      </c>
      <c r="AB22" s="75">
        <v>-8</v>
      </c>
      <c r="AC22" s="63" t="s">
        <v>87</v>
      </c>
      <c r="AD22" s="63" t="s">
        <v>40</v>
      </c>
      <c r="AE22" s="63" t="s">
        <v>105</v>
      </c>
      <c r="AF22" s="63" t="s">
        <v>3088</v>
      </c>
      <c r="AG22" s="63" t="s">
        <v>128</v>
      </c>
      <c r="AH22" s="63" t="s">
        <v>136</v>
      </c>
      <c r="AI22" s="63" t="s">
        <v>138</v>
      </c>
      <c r="AJ22" s="63" t="s">
        <v>138</v>
      </c>
      <c r="AK22" s="83">
        <v>2.9</v>
      </c>
      <c r="AL22" s="63" t="s">
        <v>139</v>
      </c>
      <c r="AM22" s="63" t="s">
        <v>138</v>
      </c>
      <c r="AN22"/>
    </row>
    <row r="23" spans="1:40" ht="18" customHeight="1">
      <c r="A23" s="63" t="s">
        <v>201</v>
      </c>
      <c r="B23" s="63" t="s">
        <v>202</v>
      </c>
      <c r="C23" s="4">
        <v>46111</v>
      </c>
      <c r="D23" s="4">
        <v>46125</v>
      </c>
      <c r="E23" s="4">
        <v>46137</v>
      </c>
      <c r="F23" s="63" t="s">
        <v>100</v>
      </c>
      <c r="G23" s="63" t="s">
        <v>3841</v>
      </c>
      <c r="H23" s="63" t="s">
        <v>102</v>
      </c>
      <c r="I23" s="63" t="s">
        <v>92</v>
      </c>
      <c r="J23" s="63" t="s">
        <v>153</v>
      </c>
      <c r="K23" s="63" t="s">
        <v>203</v>
      </c>
      <c r="L23" s="63" t="s">
        <v>204</v>
      </c>
      <c r="M23" s="69" t="s">
        <v>3080</v>
      </c>
      <c r="N23" s="63" t="s">
        <v>38</v>
      </c>
      <c r="O23" s="73">
        <f>_xlfn.XLOOKUP(Supplier_Perf_Table[[#This Row],[Currency]],'Comments 2'!$C$4:$C$16,'Comments 2'!$D$4:$D$16)</f>
        <v>7.7000000000000002E-3</v>
      </c>
      <c r="P23" s="69" t="str">
        <f>IFERROR(Supplier_Perf_Table[[#This Row],[Unit_Cost]]*Supplier_Perf_Table[[#This Row],[Dollar Equivalent]],"")</f>
        <v/>
      </c>
      <c r="Q23" s="75">
        <v>750</v>
      </c>
      <c r="R23" s="1">
        <v>359227.5</v>
      </c>
      <c r="S23" s="75" t="e">
        <f>Supplier_Perf_Table[[#This Row],[Unit_Cost]]*Supplier_Perf_Table[[#This Row],[Order_Quantity]]</f>
        <v>#VALUE!</v>
      </c>
      <c r="T23" s="75">
        <f>IFERROR(Supplier_Perf_Table[[#This Row],[Dollar Equivalent]]*Supplier_Perf_Table[[#This Row],[Ordered_Value]],"")</f>
        <v>2766.0517500000001</v>
      </c>
      <c r="U23" s="75"/>
      <c r="V23" s="7">
        <v>0</v>
      </c>
      <c r="W23" s="75">
        <v>26</v>
      </c>
      <c r="X23" s="55">
        <f>IFERROR(Supplier_Perf_Table[[#This Row],[Actual_Delivery_Date]]-Supplier_Perf_Table[[#This Row],[Order Date]],"")</f>
        <v>26</v>
      </c>
      <c r="Y23" s="75">
        <v>14</v>
      </c>
      <c r="Z23" s="56">
        <f>IFERROR(Supplier_Perf_Table[[#This Row],[Expected Delivery_Date]]-Supplier_Perf_Table[[#This Row],[Order Date]],"")</f>
        <v>14</v>
      </c>
      <c r="AA23" s="56">
        <f>Supplier_Perf_Table[[#This Row],[Calculated_Lead_Time2]]-Supplier_Perf_Table[[#This Row],[Calculated_Expected_Lead_Time]]</f>
        <v>12</v>
      </c>
      <c r="AB23" s="75">
        <v>12</v>
      </c>
      <c r="AC23" s="63" t="s">
        <v>205</v>
      </c>
      <c r="AD23" s="63" t="s">
        <v>40</v>
      </c>
      <c r="AE23" s="63" t="s">
        <v>105</v>
      </c>
      <c r="AF23" s="63" t="s">
        <v>106</v>
      </c>
      <c r="AG23" s="63" t="s">
        <v>54</v>
      </c>
      <c r="AH23" s="63" t="s">
        <v>206</v>
      </c>
      <c r="AI23" s="63" t="s">
        <v>191</v>
      </c>
      <c r="AJ23" s="63" t="s">
        <v>138</v>
      </c>
      <c r="AK23" s="83">
        <v>1.6</v>
      </c>
      <c r="AL23" s="63" t="s">
        <v>139</v>
      </c>
      <c r="AM23" s="63" t="s">
        <v>46</v>
      </c>
      <c r="AN23"/>
    </row>
    <row r="24" spans="1:40" ht="18" customHeight="1">
      <c r="A24" s="1" t="s">
        <v>207</v>
      </c>
      <c r="B24" s="1" t="s">
        <v>208</v>
      </c>
      <c r="C24" s="4">
        <v>46082</v>
      </c>
      <c r="D24" s="4">
        <v>46093</v>
      </c>
      <c r="E24" s="4">
        <v>46104</v>
      </c>
      <c r="F24" s="63" t="s">
        <v>209</v>
      </c>
      <c r="G24" s="63" t="s">
        <v>3845</v>
      </c>
      <c r="H24" s="63" t="s">
        <v>316</v>
      </c>
      <c r="I24" s="63" t="s">
        <v>70</v>
      </c>
      <c r="J24" s="63" t="s">
        <v>153</v>
      </c>
      <c r="K24" s="63" t="s">
        <v>211</v>
      </c>
      <c r="L24" s="63" t="s">
        <v>155</v>
      </c>
      <c r="M24" s="69">
        <v>194.64</v>
      </c>
      <c r="N24" s="63" t="s">
        <v>86</v>
      </c>
      <c r="O24" s="73">
        <f>_xlfn.XLOOKUP(Supplier_Perf_Table[[#This Row],[Currency]],'Comments 2'!$C$4:$C$16,'Comments 2'!$D$4:$D$16)</f>
        <v>8.8999999999999996E-2</v>
      </c>
      <c r="P24" s="69">
        <f>IFERROR(Supplier_Perf_Table[[#This Row],[Unit_Cost]]*Supplier_Perf_Table[[#This Row],[Dollar Equivalent]],"")</f>
        <v>17.322959999999998</v>
      </c>
      <c r="Q24" s="75">
        <v>150</v>
      </c>
      <c r="R24" s="1">
        <v>29196</v>
      </c>
      <c r="S24" s="75">
        <f>Supplier_Perf_Table[[#This Row],[Unit_Cost]]*Supplier_Perf_Table[[#This Row],[Order_Quantity]]</f>
        <v>29195.999999999996</v>
      </c>
      <c r="T24" s="75">
        <f>IFERROR(Supplier_Perf_Table[[#This Row],[Dollar Equivalent]]*Supplier_Perf_Table[[#This Row],[Ordered_Value]],"")</f>
        <v>2598.444</v>
      </c>
      <c r="U24" s="75">
        <v>2</v>
      </c>
      <c r="V24" s="7">
        <v>1.3299999999999999E-2</v>
      </c>
      <c r="W24" s="75">
        <v>22</v>
      </c>
      <c r="X24" s="55">
        <f>IFERROR(Supplier_Perf_Table[[#This Row],[Actual_Delivery_Date]]-Supplier_Perf_Table[[#This Row],[Order Date]],"")</f>
        <v>22</v>
      </c>
      <c r="Y24" s="75">
        <v>11</v>
      </c>
      <c r="Z24" s="56">
        <f>IFERROR(Supplier_Perf_Table[[#This Row],[Expected Delivery_Date]]-Supplier_Perf_Table[[#This Row],[Order Date]],"")</f>
        <v>11</v>
      </c>
      <c r="AA24" s="56">
        <f>Supplier_Perf_Table[[#This Row],[Calculated_Lead_Time2]]-Supplier_Perf_Table[[#This Row],[Calculated_Expected_Lead_Time]]</f>
        <v>11</v>
      </c>
      <c r="AB24" s="75">
        <v>11</v>
      </c>
      <c r="AC24" s="63" t="s">
        <v>135</v>
      </c>
      <c r="AD24" s="63" t="s">
        <v>40</v>
      </c>
      <c r="AE24" s="63" t="s">
        <v>3088</v>
      </c>
      <c r="AF24" s="63" t="s">
        <v>212</v>
      </c>
      <c r="AG24" s="63" t="s">
        <v>43</v>
      </c>
      <c r="AH24" s="63" t="s">
        <v>3112</v>
      </c>
      <c r="AI24" s="63" t="s">
        <v>95</v>
      </c>
      <c r="AJ24" s="63" t="s">
        <v>138</v>
      </c>
      <c r="AK24" s="83">
        <v>3</v>
      </c>
      <c r="AL24" s="63" t="s">
        <v>76</v>
      </c>
      <c r="AM24" s="63" t="s">
        <v>148</v>
      </c>
      <c r="AN24"/>
    </row>
    <row r="25" spans="1:40" ht="18" customHeight="1">
      <c r="A25" s="1" t="s">
        <v>213</v>
      </c>
      <c r="B25" s="1" t="s">
        <v>214</v>
      </c>
      <c r="C25" s="4">
        <v>46067</v>
      </c>
      <c r="D25" s="4">
        <v>46070</v>
      </c>
      <c r="E25" s="4">
        <v>46075</v>
      </c>
      <c r="F25" s="63" t="s">
        <v>215</v>
      </c>
      <c r="G25" s="63" t="s">
        <v>3846</v>
      </c>
      <c r="H25" s="63" t="s">
        <v>152</v>
      </c>
      <c r="I25" s="63" t="s">
        <v>34</v>
      </c>
      <c r="J25" s="63" t="s">
        <v>112</v>
      </c>
      <c r="K25" s="63" t="s">
        <v>217</v>
      </c>
      <c r="L25" s="63" t="s">
        <v>218</v>
      </c>
      <c r="M25" s="69">
        <v>439.15</v>
      </c>
      <c r="N25" s="63" t="s">
        <v>86</v>
      </c>
      <c r="O25" s="73">
        <f>_xlfn.XLOOKUP(Supplier_Perf_Table[[#This Row],[Currency]],'Comments 2'!$C$4:$C$16,'Comments 2'!$D$4:$D$16)</f>
        <v>8.8999999999999996E-2</v>
      </c>
      <c r="P25" s="69">
        <f>IFERROR(Supplier_Perf_Table[[#This Row],[Unit_Cost]]*Supplier_Perf_Table[[#This Row],[Dollar Equivalent]],"")</f>
        <v>39.084349999999993</v>
      </c>
      <c r="Q25" s="75">
        <v>1500</v>
      </c>
      <c r="R25" s="1">
        <v>658725</v>
      </c>
      <c r="S25" s="75">
        <f>Supplier_Perf_Table[[#This Row],[Unit_Cost]]*Supplier_Perf_Table[[#This Row],[Order_Quantity]]</f>
        <v>658725</v>
      </c>
      <c r="T25" s="75">
        <f>IFERROR(Supplier_Perf_Table[[#This Row],[Dollar Equivalent]]*Supplier_Perf_Table[[#This Row],[Ordered_Value]],"")</f>
        <v>58626.524999999994</v>
      </c>
      <c r="U25" s="75">
        <v>15</v>
      </c>
      <c r="V25" s="7">
        <v>0.01</v>
      </c>
      <c r="W25" s="75">
        <v>8</v>
      </c>
      <c r="X25" s="55">
        <f>IFERROR(Supplier_Perf_Table[[#This Row],[Actual_Delivery_Date]]-Supplier_Perf_Table[[#This Row],[Order Date]],"")</f>
        <v>8</v>
      </c>
      <c r="Y25" s="75">
        <v>3</v>
      </c>
      <c r="Z25" s="56">
        <f>IFERROR(Supplier_Perf_Table[[#This Row],[Expected Delivery_Date]]-Supplier_Perf_Table[[#This Row],[Order Date]],"")</f>
        <v>3</v>
      </c>
      <c r="AA25" s="56">
        <f>Supplier_Perf_Table[[#This Row],[Calculated_Lead_Time2]]-Supplier_Perf_Table[[#This Row],[Calculated_Expected_Lead_Time]]</f>
        <v>5</v>
      </c>
      <c r="AB25" s="75">
        <v>5</v>
      </c>
      <c r="AC25" s="63" t="s">
        <v>205</v>
      </c>
      <c r="AD25" s="63" t="s">
        <v>40</v>
      </c>
      <c r="AE25" s="63" t="s">
        <v>3088</v>
      </c>
      <c r="AF25" s="63" t="s">
        <v>66</v>
      </c>
      <c r="AG25" s="63" t="s">
        <v>3088</v>
      </c>
      <c r="AH25" s="63" t="s">
        <v>55</v>
      </c>
      <c r="AI25" s="63" t="s">
        <v>138</v>
      </c>
      <c r="AJ25" s="63" t="s">
        <v>138</v>
      </c>
      <c r="AK25" s="83">
        <v>2.7</v>
      </c>
      <c r="AL25" s="63" t="s">
        <v>76</v>
      </c>
      <c r="AM25" s="63" t="s">
        <v>148</v>
      </c>
      <c r="AN25"/>
    </row>
    <row r="26" spans="1:40" ht="18" customHeight="1">
      <c r="A26" s="1" t="s">
        <v>219</v>
      </c>
      <c r="B26" s="1" t="s">
        <v>220</v>
      </c>
      <c r="C26" s="4">
        <v>46141</v>
      </c>
      <c r="D26" s="4">
        <v>46155</v>
      </c>
      <c r="E26" s="4">
        <v>46163</v>
      </c>
      <c r="F26" s="63" t="s">
        <v>118</v>
      </c>
      <c r="G26" s="63" t="s">
        <v>3842</v>
      </c>
      <c r="H26" s="63" t="s">
        <v>301</v>
      </c>
      <c r="I26" s="63" t="s">
        <v>70</v>
      </c>
      <c r="J26" s="63" t="s">
        <v>62</v>
      </c>
      <c r="K26" s="63" t="s">
        <v>221</v>
      </c>
      <c r="L26" s="63" t="s">
        <v>64</v>
      </c>
      <c r="M26" s="69">
        <v>747.31</v>
      </c>
      <c r="N26" s="63" t="s">
        <v>159</v>
      </c>
      <c r="O26" s="73">
        <f>_xlfn.XLOOKUP(Supplier_Perf_Table[[#This Row],[Currency]],'Comments 2'!$C$4:$C$16,'Comments 2'!$D$4:$D$16)</f>
        <v>7.2999999999999996E-4</v>
      </c>
      <c r="P26" s="69">
        <f>IFERROR(Supplier_Perf_Table[[#This Row],[Unit_Cost]]*Supplier_Perf_Table[[#This Row],[Dollar Equivalent]],"")</f>
        <v>0.54553629999999997</v>
      </c>
      <c r="Q26" s="75">
        <v>1000</v>
      </c>
      <c r="R26" s="1">
        <v>747310</v>
      </c>
      <c r="S26" s="75">
        <f>Supplier_Perf_Table[[#This Row],[Unit_Cost]]*Supplier_Perf_Table[[#This Row],[Order_Quantity]]</f>
        <v>747310</v>
      </c>
      <c r="T26" s="75">
        <f>IFERROR(Supplier_Perf_Table[[#This Row],[Dollar Equivalent]]*Supplier_Perf_Table[[#This Row],[Ordered_Value]],"")</f>
        <v>545.53629999999998</v>
      </c>
      <c r="U26" s="75">
        <v>14</v>
      </c>
      <c r="V26" s="7">
        <v>1.4E-2</v>
      </c>
      <c r="W26" s="75">
        <v>22</v>
      </c>
      <c r="X26" s="55">
        <f>IFERROR(Supplier_Perf_Table[[#This Row],[Actual_Delivery_Date]]-Supplier_Perf_Table[[#This Row],[Order Date]],"")</f>
        <v>22</v>
      </c>
      <c r="Y26" s="75">
        <v>14</v>
      </c>
      <c r="Z26" s="56">
        <f>IFERROR(Supplier_Perf_Table[[#This Row],[Expected Delivery_Date]]-Supplier_Perf_Table[[#This Row],[Order Date]],"")</f>
        <v>14</v>
      </c>
      <c r="AA26" s="56">
        <f>Supplier_Perf_Table[[#This Row],[Calculated_Lead_Time2]]-Supplier_Perf_Table[[#This Row],[Calculated_Expected_Lead_Time]]</f>
        <v>8</v>
      </c>
      <c r="AB26" s="75">
        <v>8</v>
      </c>
      <c r="AC26" s="63" t="s">
        <v>205</v>
      </c>
      <c r="AD26" s="63" t="s">
        <v>40</v>
      </c>
      <c r="AE26" s="63" t="s">
        <v>105</v>
      </c>
      <c r="AF26" s="63" t="s">
        <v>190</v>
      </c>
      <c r="AG26" s="63" t="s">
        <v>54</v>
      </c>
      <c r="AH26" s="63" t="s">
        <v>174</v>
      </c>
      <c r="AI26" s="63" t="s">
        <v>138</v>
      </c>
      <c r="AJ26" s="63" t="s">
        <v>138</v>
      </c>
      <c r="AK26" s="83">
        <v>2.9</v>
      </c>
      <c r="AL26" s="63" t="s">
        <v>184</v>
      </c>
      <c r="AM26" s="63" t="s">
        <v>46</v>
      </c>
      <c r="AN26"/>
    </row>
    <row r="27" spans="1:40" ht="18" customHeight="1">
      <c r="A27" s="1" t="s">
        <v>222</v>
      </c>
      <c r="B27" s="1" t="s">
        <v>223</v>
      </c>
      <c r="C27" s="4">
        <v>46049</v>
      </c>
      <c r="D27" s="4">
        <v>46068</v>
      </c>
      <c r="E27" s="4">
        <v>46073</v>
      </c>
      <c r="F27" s="63" t="s">
        <v>118</v>
      </c>
      <c r="G27" s="63" t="s">
        <v>3842</v>
      </c>
      <c r="H27" s="63" t="s">
        <v>301</v>
      </c>
      <c r="I27" s="63" t="s">
        <v>61</v>
      </c>
      <c r="J27" s="63" t="s">
        <v>62</v>
      </c>
      <c r="K27" s="63" t="s">
        <v>224</v>
      </c>
      <c r="L27" s="63" t="s">
        <v>225</v>
      </c>
      <c r="M27" s="69">
        <v>765.07</v>
      </c>
      <c r="N27" s="63" t="s">
        <v>38</v>
      </c>
      <c r="O27" s="73">
        <f>_xlfn.XLOOKUP(Supplier_Perf_Table[[#This Row],[Currency]],'Comments 2'!$C$4:$C$16,'Comments 2'!$D$4:$D$16)</f>
        <v>7.7000000000000002E-3</v>
      </c>
      <c r="P27" s="69">
        <f>IFERROR(Supplier_Perf_Table[[#This Row],[Unit_Cost]]*Supplier_Perf_Table[[#This Row],[Dollar Equivalent]],"")</f>
        <v>5.8910390000000001</v>
      </c>
      <c r="Q27" s="75">
        <v>500</v>
      </c>
      <c r="R27" s="1">
        <v>382535</v>
      </c>
      <c r="S27" s="75">
        <f>Supplier_Perf_Table[[#This Row],[Unit_Cost]]*Supplier_Perf_Table[[#This Row],[Order_Quantity]]</f>
        <v>382535</v>
      </c>
      <c r="T27" s="75">
        <f>IFERROR(Supplier_Perf_Table[[#This Row],[Dollar Equivalent]]*Supplier_Perf_Table[[#This Row],[Ordered_Value]],"")</f>
        <v>2945.5194999999999</v>
      </c>
      <c r="U27" s="75">
        <v>6</v>
      </c>
      <c r="V27" s="7">
        <v>1.2E-2</v>
      </c>
      <c r="W27" s="75">
        <v>24</v>
      </c>
      <c r="X27" s="55">
        <f>IFERROR(Supplier_Perf_Table[[#This Row],[Actual_Delivery_Date]]-Supplier_Perf_Table[[#This Row],[Order Date]],"")</f>
        <v>24</v>
      </c>
      <c r="Y27" s="75">
        <v>19</v>
      </c>
      <c r="Z27" s="56">
        <f>IFERROR(Supplier_Perf_Table[[#This Row],[Expected Delivery_Date]]-Supplier_Perf_Table[[#This Row],[Order Date]],"")</f>
        <v>19</v>
      </c>
      <c r="AA27" s="56">
        <f>Supplier_Perf_Table[[#This Row],[Calculated_Lead_Time2]]-Supplier_Perf_Table[[#This Row],[Calculated_Expected_Lead_Time]]</f>
        <v>5</v>
      </c>
      <c r="AB27" s="75">
        <v>5</v>
      </c>
      <c r="AC27" s="63" t="s">
        <v>135</v>
      </c>
      <c r="AD27" s="63" t="s">
        <v>40</v>
      </c>
      <c r="AE27" s="63" t="s">
        <v>105</v>
      </c>
      <c r="AF27" s="63" t="s">
        <v>3088</v>
      </c>
      <c r="AG27" s="63" t="s">
        <v>3088</v>
      </c>
      <c r="AH27" s="63" t="s">
        <v>129</v>
      </c>
      <c r="AI27" s="63" t="s">
        <v>44</v>
      </c>
      <c r="AJ27" s="63" t="s">
        <v>138</v>
      </c>
      <c r="AK27" s="83">
        <v>2.4</v>
      </c>
      <c r="AL27" s="63" t="s">
        <v>108</v>
      </c>
      <c r="AM27" s="63" t="s">
        <v>46</v>
      </c>
      <c r="AN27"/>
    </row>
    <row r="28" spans="1:40" ht="18" customHeight="1">
      <c r="A28" s="1" t="s">
        <v>226</v>
      </c>
      <c r="B28" s="1" t="s">
        <v>227</v>
      </c>
      <c r="C28" s="4">
        <v>46117</v>
      </c>
      <c r="D28" s="4">
        <v>46126</v>
      </c>
      <c r="E28" s="4">
        <v>46128</v>
      </c>
      <c r="F28" s="63" t="s">
        <v>215</v>
      </c>
      <c r="G28" s="63" t="s">
        <v>3846</v>
      </c>
      <c r="H28" s="63" t="s">
        <v>152</v>
      </c>
      <c r="I28" s="63" t="s">
        <v>70</v>
      </c>
      <c r="J28" s="63" t="s">
        <v>112</v>
      </c>
      <c r="K28" s="63" t="s">
        <v>228</v>
      </c>
      <c r="L28" s="63" t="s">
        <v>229</v>
      </c>
      <c r="M28" s="69">
        <v>601.05999999999995</v>
      </c>
      <c r="N28" s="63" t="s">
        <v>53</v>
      </c>
      <c r="O28" s="73">
        <f>_xlfn.XLOOKUP(Supplier_Perf_Table[[#This Row],[Currency]],'Comments 2'!$C$4:$C$16,'Comments 2'!$D$4:$D$16)</f>
        <v>6.0999999999999999E-2</v>
      </c>
      <c r="P28" s="69">
        <f>IFERROR(Supplier_Perf_Table[[#This Row],[Unit_Cost]]*Supplier_Perf_Table[[#This Row],[Dollar Equivalent]],"")</f>
        <v>36.664659999999998</v>
      </c>
      <c r="Q28" s="75">
        <v>100</v>
      </c>
      <c r="R28" s="1">
        <v>60106</v>
      </c>
      <c r="S28" s="75">
        <f>Supplier_Perf_Table[[#This Row],[Unit_Cost]]*Supplier_Perf_Table[[#This Row],[Order_Quantity]]</f>
        <v>60105.999999999993</v>
      </c>
      <c r="T28" s="75">
        <f>IFERROR(Supplier_Perf_Table[[#This Row],[Dollar Equivalent]]*Supplier_Perf_Table[[#This Row],[Ordered_Value]],"")</f>
        <v>3666.4659999999999</v>
      </c>
      <c r="U28" s="75">
        <v>2</v>
      </c>
      <c r="V28" s="7">
        <v>0.02</v>
      </c>
      <c r="W28" s="75">
        <v>11</v>
      </c>
      <c r="X28" s="55">
        <f>IFERROR(Supplier_Perf_Table[[#This Row],[Actual_Delivery_Date]]-Supplier_Perf_Table[[#This Row],[Order Date]],"")</f>
        <v>11</v>
      </c>
      <c r="Y28" s="75">
        <v>9</v>
      </c>
      <c r="Z28" s="56">
        <f>IFERROR(Supplier_Perf_Table[[#This Row],[Expected Delivery_Date]]-Supplier_Perf_Table[[#This Row],[Order Date]],"")</f>
        <v>9</v>
      </c>
      <c r="AA28" s="56">
        <f>Supplier_Perf_Table[[#This Row],[Calculated_Lead_Time2]]-Supplier_Perf_Table[[#This Row],[Calculated_Expected_Lead_Time]]</f>
        <v>2</v>
      </c>
      <c r="AB28" s="75">
        <v>2</v>
      </c>
      <c r="AC28" s="63" t="s">
        <v>166</v>
      </c>
      <c r="AD28" s="63" t="s">
        <v>40</v>
      </c>
      <c r="AE28" s="63" t="s">
        <v>41</v>
      </c>
      <c r="AF28" s="63" t="s">
        <v>3088</v>
      </c>
      <c r="AG28" s="63" t="s">
        <v>128</v>
      </c>
      <c r="AH28" s="63" t="s">
        <v>136</v>
      </c>
      <c r="AI28" s="63" t="s">
        <v>191</v>
      </c>
      <c r="AJ28" s="63" t="s">
        <v>138</v>
      </c>
      <c r="AK28" s="83">
        <v>4.7</v>
      </c>
      <c r="AL28" s="63" t="s">
        <v>45</v>
      </c>
      <c r="AM28" s="63" t="s">
        <v>46</v>
      </c>
      <c r="AN28"/>
    </row>
    <row r="29" spans="1:40" ht="18" customHeight="1">
      <c r="A29" s="1" t="s">
        <v>230</v>
      </c>
      <c r="B29" s="1" t="s">
        <v>231</v>
      </c>
      <c r="C29" s="4">
        <v>46166</v>
      </c>
      <c r="D29" s="4">
        <v>46184</v>
      </c>
      <c r="E29" s="4">
        <v>46173</v>
      </c>
      <c r="F29" s="63" t="s">
        <v>48</v>
      </c>
      <c r="G29" s="63" t="s">
        <v>3836</v>
      </c>
      <c r="H29" s="63" t="s">
        <v>102</v>
      </c>
      <c r="I29" s="63" t="s">
        <v>120</v>
      </c>
      <c r="J29" s="63" t="s">
        <v>50</v>
      </c>
      <c r="K29" s="63" t="s">
        <v>233</v>
      </c>
      <c r="L29" s="63" t="s">
        <v>52</v>
      </c>
      <c r="M29" s="69">
        <v>719.17</v>
      </c>
      <c r="N29" s="63" t="s">
        <v>65</v>
      </c>
      <c r="O29" s="73">
        <f>_xlfn.XLOOKUP(Supplier_Perf_Table[[#This Row],[Currency]],'Comments 2'!$C$4:$C$16,'Comments 2'!$D$4:$D$16)</f>
        <v>1</v>
      </c>
      <c r="P29" s="69">
        <f>IFERROR(Supplier_Perf_Table[[#This Row],[Unit_Cost]]*Supplier_Perf_Table[[#This Row],[Dollar Equivalent]],"")</f>
        <v>719.17</v>
      </c>
      <c r="Q29" s="75">
        <v>500</v>
      </c>
      <c r="R29" s="1">
        <v>359585</v>
      </c>
      <c r="S29" s="75">
        <f>Supplier_Perf_Table[[#This Row],[Unit_Cost]]*Supplier_Perf_Table[[#This Row],[Order_Quantity]]</f>
        <v>359585</v>
      </c>
      <c r="T29" s="75">
        <f>IFERROR(Supplier_Perf_Table[[#This Row],[Dollar Equivalent]]*Supplier_Perf_Table[[#This Row],[Ordered_Value]],"")</f>
        <v>359585</v>
      </c>
      <c r="U29" s="75">
        <v>2</v>
      </c>
      <c r="V29" s="7">
        <v>4.0000000000000001E-3</v>
      </c>
      <c r="W29" s="75">
        <v>7</v>
      </c>
      <c r="X29" s="55">
        <f>IFERROR(Supplier_Perf_Table[[#This Row],[Actual_Delivery_Date]]-Supplier_Perf_Table[[#This Row],[Order Date]],"")</f>
        <v>7</v>
      </c>
      <c r="Y29" s="75" t="s">
        <v>3080</v>
      </c>
      <c r="Z29" s="56">
        <f>IFERROR(Supplier_Perf_Table[[#This Row],[Expected Delivery_Date]]-Supplier_Perf_Table[[#This Row],[Order Date]],"")</f>
        <v>18</v>
      </c>
      <c r="AA29" s="56">
        <f>Supplier_Perf_Table[[#This Row],[Calculated_Lead_Time2]]-Supplier_Perf_Table[[#This Row],[Calculated_Expected_Lead_Time]]</f>
        <v>-11</v>
      </c>
      <c r="AB29" s="75">
        <v>-11</v>
      </c>
      <c r="AC29" s="63" t="s">
        <v>87</v>
      </c>
      <c r="AD29" s="63" t="s">
        <v>40</v>
      </c>
      <c r="AE29" s="63" t="s">
        <v>41</v>
      </c>
      <c r="AF29" s="63" t="s">
        <v>66</v>
      </c>
      <c r="AG29" s="63" t="s">
        <v>173</v>
      </c>
      <c r="AH29" s="63" t="s">
        <v>136</v>
      </c>
      <c r="AI29" s="63" t="s">
        <v>44</v>
      </c>
      <c r="AJ29" s="63" t="s">
        <v>138</v>
      </c>
      <c r="AK29" s="83">
        <v>3.6</v>
      </c>
      <c r="AL29" s="63" t="s">
        <v>57</v>
      </c>
      <c r="AM29" s="63" t="s">
        <v>138</v>
      </c>
      <c r="AN29"/>
    </row>
    <row r="30" spans="1:40" ht="18" customHeight="1">
      <c r="A30" s="1" t="s">
        <v>116</v>
      </c>
      <c r="B30" s="1" t="s">
        <v>234</v>
      </c>
      <c r="C30" s="4">
        <v>46128</v>
      </c>
      <c r="D30" s="4">
        <v>46138</v>
      </c>
      <c r="E30" s="4">
        <v>46141</v>
      </c>
      <c r="F30" s="63" t="s">
        <v>235</v>
      </c>
      <c r="G30" s="63" t="s">
        <v>3848</v>
      </c>
      <c r="H30" s="63" t="s">
        <v>479</v>
      </c>
      <c r="I30" s="63" t="s">
        <v>61</v>
      </c>
      <c r="J30" s="63" t="s">
        <v>71</v>
      </c>
      <c r="K30" s="63" t="s">
        <v>237</v>
      </c>
      <c r="L30" s="63" t="s">
        <v>238</v>
      </c>
      <c r="M30" s="69">
        <v>230.96</v>
      </c>
      <c r="N30" s="63" t="s">
        <v>159</v>
      </c>
      <c r="O30" s="73">
        <f>_xlfn.XLOOKUP(Supplier_Perf_Table[[#This Row],[Currency]],'Comments 2'!$C$4:$C$16,'Comments 2'!$D$4:$D$16)</f>
        <v>7.2999999999999996E-4</v>
      </c>
      <c r="P30" s="69">
        <f>IFERROR(Supplier_Perf_Table[[#This Row],[Unit_Cost]]*Supplier_Perf_Table[[#This Row],[Dollar Equivalent]],"")</f>
        <v>0.1686008</v>
      </c>
      <c r="Q30" s="75">
        <v>750</v>
      </c>
      <c r="R30" s="1">
        <v>173220</v>
      </c>
      <c r="S30" s="75">
        <f>Supplier_Perf_Table[[#This Row],[Unit_Cost]]*Supplier_Perf_Table[[#This Row],[Order_Quantity]]</f>
        <v>173220</v>
      </c>
      <c r="T30" s="75">
        <f>IFERROR(Supplier_Perf_Table[[#This Row],[Dollar Equivalent]]*Supplier_Perf_Table[[#This Row],[Ordered_Value]],"")</f>
        <v>126.45059999999999</v>
      </c>
      <c r="U30" s="75">
        <v>17</v>
      </c>
      <c r="V30" s="7">
        <v>2.2700000000000001E-2</v>
      </c>
      <c r="W30" s="75">
        <v>13</v>
      </c>
      <c r="X30" s="55">
        <f>IFERROR(Supplier_Perf_Table[[#This Row],[Actual_Delivery_Date]]-Supplier_Perf_Table[[#This Row],[Order Date]],"")</f>
        <v>13</v>
      </c>
      <c r="Y30" s="75">
        <v>10</v>
      </c>
      <c r="Z30" s="56">
        <f>IFERROR(Supplier_Perf_Table[[#This Row],[Expected Delivery_Date]]-Supplier_Perf_Table[[#This Row],[Order Date]],"")</f>
        <v>10</v>
      </c>
      <c r="AA30" s="56">
        <f>Supplier_Perf_Table[[#This Row],[Calculated_Lead_Time2]]-Supplier_Perf_Table[[#This Row],[Calculated_Expected_Lead_Time]]</f>
        <v>3</v>
      </c>
      <c r="AB30" s="75">
        <v>3</v>
      </c>
      <c r="AC30" s="63" t="s">
        <v>135</v>
      </c>
      <c r="AD30" s="63" t="s">
        <v>40</v>
      </c>
      <c r="AE30" s="63" t="s">
        <v>105</v>
      </c>
      <c r="AF30" s="63" t="s">
        <v>106</v>
      </c>
      <c r="AG30" s="63" t="s">
        <v>43</v>
      </c>
      <c r="AH30" s="63" t="s">
        <v>129</v>
      </c>
      <c r="AI30" s="63" t="s">
        <v>95</v>
      </c>
      <c r="AJ30" s="63" t="s">
        <v>138</v>
      </c>
      <c r="AK30" s="83">
        <v>3.9</v>
      </c>
      <c r="AL30" s="63" t="s">
        <v>76</v>
      </c>
      <c r="AM30" s="63" t="s">
        <v>46</v>
      </c>
      <c r="AN30"/>
    </row>
    <row r="31" spans="1:40" ht="18" customHeight="1">
      <c r="A31" s="1" t="s">
        <v>239</v>
      </c>
      <c r="B31" s="1" t="s">
        <v>240</v>
      </c>
      <c r="C31" s="4">
        <v>46078</v>
      </c>
      <c r="D31" s="4">
        <v>46090</v>
      </c>
      <c r="E31" s="4">
        <v>46086</v>
      </c>
      <c r="F31" s="63" t="s">
        <v>60</v>
      </c>
      <c r="G31" s="63" t="s">
        <v>3837</v>
      </c>
      <c r="H31" s="63" t="s">
        <v>152</v>
      </c>
      <c r="I31" s="63" t="s">
        <v>241</v>
      </c>
      <c r="J31" s="63" t="s">
        <v>62</v>
      </c>
      <c r="K31" s="63" t="s">
        <v>242</v>
      </c>
      <c r="L31" s="63" t="s">
        <v>122</v>
      </c>
      <c r="M31" s="69">
        <v>606.01</v>
      </c>
      <c r="N31" s="63" t="s">
        <v>104</v>
      </c>
      <c r="O31" s="73">
        <f>_xlfn.XLOOKUP(Supplier_Perf_Table[[#This Row],[Currency]],'Comments 2'!$C$4:$C$16,'Comments 2'!$D$4:$D$16)</f>
        <v>1.9E-2</v>
      </c>
      <c r="P31" s="69">
        <f>IFERROR(Supplier_Perf_Table[[#This Row],[Unit_Cost]]*Supplier_Perf_Table[[#This Row],[Dollar Equivalent]],"")</f>
        <v>11.514189999999999</v>
      </c>
      <c r="Q31" s="75">
        <v>75</v>
      </c>
      <c r="R31" s="1">
        <v>45450.75</v>
      </c>
      <c r="S31" s="75">
        <f>Supplier_Perf_Table[[#This Row],[Unit_Cost]]*Supplier_Perf_Table[[#This Row],[Order_Quantity]]</f>
        <v>45450.75</v>
      </c>
      <c r="T31" s="75">
        <f>IFERROR(Supplier_Perf_Table[[#This Row],[Dollar Equivalent]]*Supplier_Perf_Table[[#This Row],[Ordered_Value]],"")</f>
        <v>863.56425000000002</v>
      </c>
      <c r="U31" s="75">
        <v>0</v>
      </c>
      <c r="V31" s="7">
        <v>0</v>
      </c>
      <c r="W31" s="75">
        <v>8</v>
      </c>
      <c r="X31" s="55">
        <f>IFERROR(Supplier_Perf_Table[[#This Row],[Actual_Delivery_Date]]-Supplier_Perf_Table[[#This Row],[Order Date]],"")</f>
        <v>8</v>
      </c>
      <c r="Y31" s="75">
        <v>12</v>
      </c>
      <c r="Z31" s="56">
        <f>IFERROR(Supplier_Perf_Table[[#This Row],[Expected Delivery_Date]]-Supplier_Perf_Table[[#This Row],[Order Date]],"")</f>
        <v>12</v>
      </c>
      <c r="AA31" s="56">
        <f>Supplier_Perf_Table[[#This Row],[Calculated_Lead_Time2]]-Supplier_Perf_Table[[#This Row],[Calculated_Expected_Lead_Time]]</f>
        <v>-4</v>
      </c>
      <c r="AB31" s="75">
        <v>-4</v>
      </c>
      <c r="AC31" s="63" t="s">
        <v>87</v>
      </c>
      <c r="AD31" s="63" t="s">
        <v>40</v>
      </c>
      <c r="AE31" s="63" t="s">
        <v>105</v>
      </c>
      <c r="AF31" s="63" t="s">
        <v>190</v>
      </c>
      <c r="AG31" s="63" t="s">
        <v>173</v>
      </c>
      <c r="AH31" s="63" t="s">
        <v>129</v>
      </c>
      <c r="AI31" s="63" t="s">
        <v>147</v>
      </c>
      <c r="AJ31" s="63" t="s">
        <v>138</v>
      </c>
      <c r="AK31" s="83">
        <v>3.9</v>
      </c>
      <c r="AL31" s="63" t="s">
        <v>115</v>
      </c>
      <c r="AM31" s="63" t="s">
        <v>138</v>
      </c>
      <c r="AN31"/>
    </row>
    <row r="32" spans="1:40" ht="18" customHeight="1">
      <c r="A32" s="1" t="s">
        <v>192</v>
      </c>
      <c r="B32" s="1" t="s">
        <v>243</v>
      </c>
      <c r="C32" s="4">
        <v>46134</v>
      </c>
      <c r="D32" s="4">
        <v>46141</v>
      </c>
      <c r="E32" s="4">
        <v>46134</v>
      </c>
      <c r="F32" s="63" t="s">
        <v>151</v>
      </c>
      <c r="G32" s="63" t="s">
        <v>3844</v>
      </c>
      <c r="H32" s="63" t="s">
        <v>152</v>
      </c>
      <c r="I32" s="63" t="s">
        <v>92</v>
      </c>
      <c r="J32" s="63" t="s">
        <v>112</v>
      </c>
      <c r="K32" s="63" t="s">
        <v>245</v>
      </c>
      <c r="L32" s="63" t="s">
        <v>246</v>
      </c>
      <c r="M32" s="69">
        <v>604.62</v>
      </c>
      <c r="N32" s="63" t="s">
        <v>53</v>
      </c>
      <c r="O32" s="73">
        <f>_xlfn.XLOOKUP(Supplier_Perf_Table[[#This Row],[Currency]],'Comments 2'!$C$4:$C$16,'Comments 2'!$D$4:$D$16)</f>
        <v>6.0999999999999999E-2</v>
      </c>
      <c r="P32" s="69">
        <f>IFERROR(Supplier_Perf_Table[[#This Row],[Unit_Cost]]*Supplier_Perf_Table[[#This Row],[Dollar Equivalent]],"")</f>
        <v>36.881819999999998</v>
      </c>
      <c r="Q32" s="75">
        <v>2000</v>
      </c>
      <c r="R32" s="1">
        <v>1209240</v>
      </c>
      <c r="S32" s="75">
        <f>Supplier_Perf_Table[[#This Row],[Unit_Cost]]*Supplier_Perf_Table[[#This Row],[Order_Quantity]]</f>
        <v>1209240</v>
      </c>
      <c r="T32" s="75">
        <f>IFERROR(Supplier_Perf_Table[[#This Row],[Dollar Equivalent]]*Supplier_Perf_Table[[#This Row],[Ordered_Value]],"")</f>
        <v>73763.64</v>
      </c>
      <c r="U32" s="75">
        <v>26</v>
      </c>
      <c r="V32" s="7">
        <v>1.2999999999999999E-2</v>
      </c>
      <c r="W32" s="75">
        <v>0</v>
      </c>
      <c r="X32" s="55">
        <f>IFERROR(Supplier_Perf_Table[[#This Row],[Actual_Delivery_Date]]-Supplier_Perf_Table[[#This Row],[Order Date]],"")</f>
        <v>0</v>
      </c>
      <c r="Y32" s="75">
        <v>7</v>
      </c>
      <c r="Z32" s="56">
        <f>IFERROR(Supplier_Perf_Table[[#This Row],[Expected Delivery_Date]]-Supplier_Perf_Table[[#This Row],[Order Date]],"")</f>
        <v>7</v>
      </c>
      <c r="AA32" s="56">
        <f>Supplier_Perf_Table[[#This Row],[Calculated_Lead_Time2]]-Supplier_Perf_Table[[#This Row],[Calculated_Expected_Lead_Time]]</f>
        <v>-7</v>
      </c>
      <c r="AB32" s="75">
        <v>-7</v>
      </c>
      <c r="AC32" s="63" t="s">
        <v>87</v>
      </c>
      <c r="AD32" s="63" t="s">
        <v>40</v>
      </c>
      <c r="AE32" s="63" t="s">
        <v>127</v>
      </c>
      <c r="AF32" s="63" t="s">
        <v>3088</v>
      </c>
      <c r="AG32" s="63" t="s">
        <v>43</v>
      </c>
      <c r="AH32" s="63" t="s">
        <v>136</v>
      </c>
      <c r="AI32" s="63" t="s">
        <v>95</v>
      </c>
      <c r="AJ32" s="63" t="s">
        <v>138</v>
      </c>
      <c r="AK32" s="83">
        <v>2.5</v>
      </c>
      <c r="AL32" s="63" t="s">
        <v>57</v>
      </c>
      <c r="AM32" s="63" t="s">
        <v>130</v>
      </c>
      <c r="AN32"/>
    </row>
    <row r="33" spans="1:40" ht="18" customHeight="1">
      <c r="A33" s="1" t="s">
        <v>247</v>
      </c>
      <c r="B33" s="1" t="s">
        <v>248</v>
      </c>
      <c r="C33" s="4">
        <v>46187</v>
      </c>
      <c r="D33" s="4">
        <v>46198</v>
      </c>
      <c r="E33" s="4">
        <v>46200</v>
      </c>
      <c r="F33" s="63" t="s">
        <v>235</v>
      </c>
      <c r="G33" s="63" t="s">
        <v>3848</v>
      </c>
      <c r="H33" s="63" t="s">
        <v>479</v>
      </c>
      <c r="I33" s="63" t="s">
        <v>241</v>
      </c>
      <c r="J33" s="63" t="s">
        <v>153</v>
      </c>
      <c r="K33" s="63" t="s">
        <v>249</v>
      </c>
      <c r="L33" s="63" t="s">
        <v>204</v>
      </c>
      <c r="M33" s="69">
        <v>139.41</v>
      </c>
      <c r="N33" s="63" t="s">
        <v>159</v>
      </c>
      <c r="O33" s="73">
        <f>_xlfn.XLOOKUP(Supplier_Perf_Table[[#This Row],[Currency]],'Comments 2'!$C$4:$C$16,'Comments 2'!$D$4:$D$16)</f>
        <v>7.2999999999999996E-4</v>
      </c>
      <c r="P33" s="69">
        <f>IFERROR(Supplier_Perf_Table[[#This Row],[Unit_Cost]]*Supplier_Perf_Table[[#This Row],[Dollar Equivalent]],"")</f>
        <v>0.10176929999999999</v>
      </c>
      <c r="Q33" s="75">
        <v>75</v>
      </c>
      <c r="R33" s="1">
        <v>10455.75</v>
      </c>
      <c r="S33" s="75">
        <f>Supplier_Perf_Table[[#This Row],[Unit_Cost]]*Supplier_Perf_Table[[#This Row],[Order_Quantity]]</f>
        <v>10455.75</v>
      </c>
      <c r="T33" s="75">
        <f>IFERROR(Supplier_Perf_Table[[#This Row],[Dollar Equivalent]]*Supplier_Perf_Table[[#This Row],[Ordered_Value]],"")</f>
        <v>7.6326974999999999</v>
      </c>
      <c r="U33" s="75">
        <v>0</v>
      </c>
      <c r="V33" s="7">
        <v>0</v>
      </c>
      <c r="W33" s="75">
        <v>13</v>
      </c>
      <c r="X33" s="55">
        <f>IFERROR(Supplier_Perf_Table[[#This Row],[Actual_Delivery_Date]]-Supplier_Perf_Table[[#This Row],[Order Date]],"")</f>
        <v>13</v>
      </c>
      <c r="Y33" s="75">
        <v>11</v>
      </c>
      <c r="Z33" s="56">
        <f>IFERROR(Supplier_Perf_Table[[#This Row],[Expected Delivery_Date]]-Supplier_Perf_Table[[#This Row],[Order Date]],"")</f>
        <v>11</v>
      </c>
      <c r="AA33" s="56">
        <f>Supplier_Perf_Table[[#This Row],[Calculated_Lead_Time2]]-Supplier_Perf_Table[[#This Row],[Calculated_Expected_Lead_Time]]</f>
        <v>2</v>
      </c>
      <c r="AB33" s="75">
        <v>2</v>
      </c>
      <c r="AC33" s="63" t="s">
        <v>135</v>
      </c>
      <c r="AD33" s="63" t="s">
        <v>40</v>
      </c>
      <c r="AE33" s="63" t="s">
        <v>105</v>
      </c>
      <c r="AF33" s="63" t="s">
        <v>42</v>
      </c>
      <c r="AG33" s="63" t="s">
        <v>54</v>
      </c>
      <c r="AH33" s="63" t="s">
        <v>3112</v>
      </c>
      <c r="AI33" s="63" t="s">
        <v>95</v>
      </c>
      <c r="AJ33" s="63" t="s">
        <v>138</v>
      </c>
      <c r="AK33" s="83">
        <v>2.5</v>
      </c>
      <c r="AL33" s="63" t="s">
        <v>45</v>
      </c>
      <c r="AM33" s="63" t="s">
        <v>46</v>
      </c>
      <c r="AN33"/>
    </row>
    <row r="34" spans="1:40" ht="18" customHeight="1">
      <c r="A34" s="1" t="s">
        <v>250</v>
      </c>
      <c r="B34" s="1" t="s">
        <v>251</v>
      </c>
      <c r="C34" s="4">
        <v>46023</v>
      </c>
      <c r="D34" s="4">
        <v>46027</v>
      </c>
      <c r="E34" s="4">
        <v>46046</v>
      </c>
      <c r="F34" s="63" t="s">
        <v>162</v>
      </c>
      <c r="G34" s="63" t="s">
        <v>3847</v>
      </c>
      <c r="H34" s="63" t="s">
        <v>152</v>
      </c>
      <c r="I34" s="63" t="s">
        <v>49</v>
      </c>
      <c r="J34" s="63" t="s">
        <v>163</v>
      </c>
      <c r="K34" s="63" t="s">
        <v>252</v>
      </c>
      <c r="L34" s="63" t="s">
        <v>253</v>
      </c>
      <c r="M34" s="69">
        <v>1980.29</v>
      </c>
      <c r="N34" s="63" t="s">
        <v>53</v>
      </c>
      <c r="O34" s="73">
        <f>_xlfn.XLOOKUP(Supplier_Perf_Table[[#This Row],[Currency]],'Comments 2'!$C$4:$C$16,'Comments 2'!$D$4:$D$16)</f>
        <v>6.0999999999999999E-2</v>
      </c>
      <c r="P34" s="69">
        <f>IFERROR(Supplier_Perf_Table[[#This Row],[Unit_Cost]]*Supplier_Perf_Table[[#This Row],[Dollar Equivalent]],"")</f>
        <v>120.79768999999999</v>
      </c>
      <c r="Q34" s="75">
        <v>150</v>
      </c>
      <c r="R34" s="1">
        <v>297043.5</v>
      </c>
      <c r="S34" s="75">
        <f>Supplier_Perf_Table[[#This Row],[Unit_Cost]]*Supplier_Perf_Table[[#This Row],[Order_Quantity]]</f>
        <v>297043.5</v>
      </c>
      <c r="T34" s="75">
        <f>IFERROR(Supplier_Perf_Table[[#This Row],[Dollar Equivalent]]*Supplier_Perf_Table[[#This Row],[Ordered_Value]],"")</f>
        <v>18119.6535</v>
      </c>
      <c r="U34" s="75">
        <v>0</v>
      </c>
      <c r="V34" s="7">
        <v>0</v>
      </c>
      <c r="W34" s="75">
        <v>23</v>
      </c>
      <c r="X34" s="55">
        <f>IFERROR(Supplier_Perf_Table[[#This Row],[Actual_Delivery_Date]]-Supplier_Perf_Table[[#This Row],[Order Date]],"")</f>
        <v>23</v>
      </c>
      <c r="Y34" s="75">
        <v>4</v>
      </c>
      <c r="Z34" s="56">
        <f>IFERROR(Supplier_Perf_Table[[#This Row],[Expected Delivery_Date]]-Supplier_Perf_Table[[#This Row],[Order Date]],"")</f>
        <v>4</v>
      </c>
      <c r="AA34" s="56">
        <f>Supplier_Perf_Table[[#This Row],[Calculated_Lead_Time2]]-Supplier_Perf_Table[[#This Row],[Calculated_Expected_Lead_Time]]</f>
        <v>19</v>
      </c>
      <c r="AB34" s="75">
        <v>19</v>
      </c>
      <c r="AC34" s="63" t="s">
        <v>135</v>
      </c>
      <c r="AD34" s="63" t="s">
        <v>40</v>
      </c>
      <c r="AE34" s="63" t="s">
        <v>105</v>
      </c>
      <c r="AF34" s="63" t="s">
        <v>66</v>
      </c>
      <c r="AG34" s="63" t="s">
        <v>43</v>
      </c>
      <c r="AH34" s="63" t="s">
        <v>206</v>
      </c>
      <c r="AI34" s="63" t="s">
        <v>95</v>
      </c>
      <c r="AJ34" s="63" t="s">
        <v>138</v>
      </c>
      <c r="AK34" s="83">
        <v>2.9</v>
      </c>
      <c r="AL34" s="63" t="s">
        <v>76</v>
      </c>
      <c r="AM34" s="63" t="s">
        <v>46</v>
      </c>
      <c r="AN34"/>
    </row>
    <row r="35" spans="1:40" ht="18" customHeight="1">
      <c r="A35" s="1" t="s">
        <v>254</v>
      </c>
      <c r="B35" s="1" t="s">
        <v>255</v>
      </c>
      <c r="C35" s="4">
        <v>46090</v>
      </c>
      <c r="D35" s="4">
        <v>46100</v>
      </c>
      <c r="E35" s="4">
        <v>46105</v>
      </c>
      <c r="F35" s="63" t="s">
        <v>256</v>
      </c>
      <c r="G35" s="63" t="s">
        <v>3849</v>
      </c>
      <c r="H35" s="63" t="s">
        <v>258</v>
      </c>
      <c r="I35" s="63" t="s">
        <v>241</v>
      </c>
      <c r="J35" s="63" t="s">
        <v>71</v>
      </c>
      <c r="K35" s="63" t="s">
        <v>259</v>
      </c>
      <c r="L35" s="63" t="s">
        <v>238</v>
      </c>
      <c r="M35" s="69">
        <v>84.39</v>
      </c>
      <c r="N35" s="63" t="s">
        <v>159</v>
      </c>
      <c r="O35" s="73">
        <f>_xlfn.XLOOKUP(Supplier_Perf_Table[[#This Row],[Currency]],'Comments 2'!$C$4:$C$16,'Comments 2'!$D$4:$D$16)</f>
        <v>7.2999999999999996E-4</v>
      </c>
      <c r="P35" s="69">
        <f>IFERROR(Supplier_Perf_Table[[#This Row],[Unit_Cost]]*Supplier_Perf_Table[[#This Row],[Dollar Equivalent]],"")</f>
        <v>6.1604699999999998E-2</v>
      </c>
      <c r="Q35" s="75">
        <v>200</v>
      </c>
      <c r="R35" s="1">
        <v>16878</v>
      </c>
      <c r="S35" s="75">
        <f>Supplier_Perf_Table[[#This Row],[Unit_Cost]]*Supplier_Perf_Table[[#This Row],[Order_Quantity]]</f>
        <v>16878</v>
      </c>
      <c r="T35" s="75">
        <f>IFERROR(Supplier_Perf_Table[[#This Row],[Dollar Equivalent]]*Supplier_Perf_Table[[#This Row],[Ordered_Value]],"")</f>
        <v>12.32094</v>
      </c>
      <c r="U35" s="75">
        <v>6</v>
      </c>
      <c r="V35" s="7">
        <v>0.03</v>
      </c>
      <c r="W35" s="75">
        <v>15</v>
      </c>
      <c r="X35" s="55">
        <f>IFERROR(Supplier_Perf_Table[[#This Row],[Actual_Delivery_Date]]-Supplier_Perf_Table[[#This Row],[Order Date]],"")</f>
        <v>15</v>
      </c>
      <c r="Y35" s="75">
        <v>10</v>
      </c>
      <c r="Z35" s="56">
        <f>IFERROR(Supplier_Perf_Table[[#This Row],[Expected Delivery_Date]]-Supplier_Perf_Table[[#This Row],[Order Date]],"")</f>
        <v>10</v>
      </c>
      <c r="AA35" s="56">
        <f>Supplier_Perf_Table[[#This Row],[Calculated_Lead_Time2]]-Supplier_Perf_Table[[#This Row],[Calculated_Expected_Lead_Time]]</f>
        <v>5</v>
      </c>
      <c r="AB35" s="75">
        <v>5</v>
      </c>
      <c r="AC35" s="63" t="s">
        <v>135</v>
      </c>
      <c r="AD35" s="63" t="s">
        <v>40</v>
      </c>
      <c r="AE35" s="63" t="s">
        <v>105</v>
      </c>
      <c r="AF35" s="63" t="s">
        <v>106</v>
      </c>
      <c r="AG35" s="63" t="s">
        <v>128</v>
      </c>
      <c r="AH35" s="63" t="s">
        <v>136</v>
      </c>
      <c r="AI35" s="63" t="s">
        <v>191</v>
      </c>
      <c r="AJ35" s="63" t="s">
        <v>138</v>
      </c>
      <c r="AK35" s="83">
        <v>3.8</v>
      </c>
      <c r="AL35" s="63" t="s">
        <v>45</v>
      </c>
      <c r="AM35" s="63" t="s">
        <v>46</v>
      </c>
      <c r="AN35"/>
    </row>
    <row r="36" spans="1:40" ht="18" customHeight="1">
      <c r="A36" s="1" t="s">
        <v>260</v>
      </c>
      <c r="B36" s="1" t="s">
        <v>261</v>
      </c>
      <c r="C36" s="4">
        <v>46183</v>
      </c>
      <c r="D36" s="4">
        <v>46198</v>
      </c>
      <c r="E36" s="4">
        <v>46201</v>
      </c>
      <c r="F36" s="63" t="s">
        <v>69</v>
      </c>
      <c r="G36" s="63" t="s">
        <v>3838</v>
      </c>
      <c r="H36" s="63" t="s">
        <v>194</v>
      </c>
      <c r="I36" s="63" t="s">
        <v>241</v>
      </c>
      <c r="J36" s="63" t="s">
        <v>62</v>
      </c>
      <c r="K36" s="63" t="s">
        <v>262</v>
      </c>
      <c r="L36" s="63" t="s">
        <v>225</v>
      </c>
      <c r="M36" s="69">
        <v>159.74</v>
      </c>
      <c r="N36" s="63" t="s">
        <v>159</v>
      </c>
      <c r="O36" s="73">
        <f>_xlfn.XLOOKUP(Supplier_Perf_Table[[#This Row],[Currency]],'Comments 2'!$C$4:$C$16,'Comments 2'!$D$4:$D$16)</f>
        <v>7.2999999999999996E-4</v>
      </c>
      <c r="P36" s="69">
        <f>IFERROR(Supplier_Perf_Table[[#This Row],[Unit_Cost]]*Supplier_Perf_Table[[#This Row],[Dollar Equivalent]],"")</f>
        <v>0.1166102</v>
      </c>
      <c r="Q36" s="75">
        <v>250</v>
      </c>
      <c r="R36" s="1">
        <v>39935</v>
      </c>
      <c r="S36" s="75">
        <f>Supplier_Perf_Table[[#This Row],[Unit_Cost]]*Supplier_Perf_Table[[#This Row],[Order_Quantity]]</f>
        <v>39935</v>
      </c>
      <c r="T36" s="75">
        <f>IFERROR(Supplier_Perf_Table[[#This Row],[Dollar Equivalent]]*Supplier_Perf_Table[[#This Row],[Ordered_Value]],"")</f>
        <v>29.152549999999998</v>
      </c>
      <c r="U36" s="75">
        <v>7</v>
      </c>
      <c r="V36" s="7">
        <v>2.8000000000000001E-2</v>
      </c>
      <c r="W36" s="75">
        <v>18</v>
      </c>
      <c r="X36" s="55">
        <f>IFERROR(Supplier_Perf_Table[[#This Row],[Actual_Delivery_Date]]-Supplier_Perf_Table[[#This Row],[Order Date]],"")</f>
        <v>18</v>
      </c>
      <c r="Y36" s="75">
        <v>15</v>
      </c>
      <c r="Z36" s="56">
        <f>IFERROR(Supplier_Perf_Table[[#This Row],[Expected Delivery_Date]]-Supplier_Perf_Table[[#This Row],[Order Date]],"")</f>
        <v>15</v>
      </c>
      <c r="AA36" s="56">
        <f>Supplier_Perf_Table[[#This Row],[Calculated_Lead_Time2]]-Supplier_Perf_Table[[#This Row],[Calculated_Expected_Lead_Time]]</f>
        <v>3</v>
      </c>
      <c r="AB36" s="75">
        <v>3</v>
      </c>
      <c r="AC36" s="63" t="s">
        <v>135</v>
      </c>
      <c r="AD36" s="63" t="s">
        <v>40</v>
      </c>
      <c r="AE36" s="63" t="s">
        <v>41</v>
      </c>
      <c r="AF36" s="63" t="s">
        <v>42</v>
      </c>
      <c r="AG36" s="63" t="s">
        <v>3088</v>
      </c>
      <c r="AH36" s="63" t="s">
        <v>55</v>
      </c>
      <c r="AI36" s="63" t="s">
        <v>56</v>
      </c>
      <c r="AJ36" s="63" t="s">
        <v>138</v>
      </c>
      <c r="AK36" s="83">
        <v>3.3</v>
      </c>
      <c r="AL36" s="63" t="s">
        <v>57</v>
      </c>
      <c r="AM36" s="63" t="s">
        <v>46</v>
      </c>
      <c r="AN36"/>
    </row>
    <row r="37" spans="1:40" ht="18" customHeight="1">
      <c r="A37" s="1" t="s">
        <v>263</v>
      </c>
      <c r="B37" s="1" t="s">
        <v>264</v>
      </c>
      <c r="C37" s="4">
        <v>46149</v>
      </c>
      <c r="D37" s="4">
        <v>46164</v>
      </c>
      <c r="E37" s="4">
        <v>46170</v>
      </c>
      <c r="F37" s="63" t="s">
        <v>100</v>
      </c>
      <c r="G37" s="63" t="s">
        <v>3841</v>
      </c>
      <c r="H37" s="63" t="s">
        <v>102</v>
      </c>
      <c r="I37" s="63" t="s">
        <v>241</v>
      </c>
      <c r="J37" s="63" t="s">
        <v>50</v>
      </c>
      <c r="K37" s="63" t="s">
        <v>265</v>
      </c>
      <c r="L37" s="63" t="s">
        <v>145</v>
      </c>
      <c r="M37" s="69">
        <v>529.21</v>
      </c>
      <c r="N37" s="63" t="s">
        <v>159</v>
      </c>
      <c r="O37" s="73">
        <f>_xlfn.XLOOKUP(Supplier_Perf_Table[[#This Row],[Currency]],'Comments 2'!$C$4:$C$16,'Comments 2'!$D$4:$D$16)</f>
        <v>7.2999999999999996E-4</v>
      </c>
      <c r="P37" s="69">
        <f>IFERROR(Supplier_Perf_Table[[#This Row],[Unit_Cost]]*Supplier_Perf_Table[[#This Row],[Dollar Equivalent]],"")</f>
        <v>0.38632329999999998</v>
      </c>
      <c r="Q37" s="75">
        <v>50</v>
      </c>
      <c r="R37" s="1" t="s">
        <v>3080</v>
      </c>
      <c r="S37" s="75">
        <f>Supplier_Perf_Table[[#This Row],[Unit_Cost]]*Supplier_Perf_Table[[#This Row],[Order_Quantity]]</f>
        <v>26460.5</v>
      </c>
      <c r="T37" s="75" t="str">
        <f>IFERROR(Supplier_Perf_Table[[#This Row],[Dollar Equivalent]]*Supplier_Perf_Table[[#This Row],[Ordered_Value]],"")</f>
        <v/>
      </c>
      <c r="U37" s="75">
        <v>4</v>
      </c>
      <c r="V37" s="7">
        <v>0.08</v>
      </c>
      <c r="W37" s="75">
        <v>21</v>
      </c>
      <c r="X37" s="55">
        <f>IFERROR(Supplier_Perf_Table[[#This Row],[Actual_Delivery_Date]]-Supplier_Perf_Table[[#This Row],[Order Date]],"")</f>
        <v>21</v>
      </c>
      <c r="Y37" s="75" t="s">
        <v>3080</v>
      </c>
      <c r="Z37" s="56">
        <f>IFERROR(Supplier_Perf_Table[[#This Row],[Expected Delivery_Date]]-Supplier_Perf_Table[[#This Row],[Order Date]],"")</f>
        <v>15</v>
      </c>
      <c r="AA37" s="56">
        <f>Supplier_Perf_Table[[#This Row],[Calculated_Lead_Time2]]-Supplier_Perf_Table[[#This Row],[Calculated_Expected_Lead_Time]]</f>
        <v>6</v>
      </c>
      <c r="AB37" s="75"/>
      <c r="AC37" s="63" t="s">
        <v>39</v>
      </c>
      <c r="AD37" s="63" t="s">
        <v>74</v>
      </c>
      <c r="AE37" s="63" t="s">
        <v>146</v>
      </c>
      <c r="AF37" s="63" t="s">
        <v>3088</v>
      </c>
      <c r="AG37" s="63" t="s">
        <v>128</v>
      </c>
      <c r="AH37" s="63" t="s">
        <v>55</v>
      </c>
      <c r="AI37" s="63" t="s">
        <v>138</v>
      </c>
      <c r="AJ37" s="63" t="s">
        <v>96</v>
      </c>
      <c r="AK37" s="83">
        <v>1.5</v>
      </c>
      <c r="AL37" s="63" t="s">
        <v>108</v>
      </c>
      <c r="AM37" s="63" t="s">
        <v>185</v>
      </c>
      <c r="AN37"/>
    </row>
    <row r="38" spans="1:40" ht="18" customHeight="1">
      <c r="A38" s="1" t="s">
        <v>266</v>
      </c>
      <c r="B38" s="1" t="s">
        <v>267</v>
      </c>
      <c r="C38" s="4">
        <v>46114</v>
      </c>
      <c r="D38" s="4">
        <v>46118</v>
      </c>
      <c r="E38" s="4">
        <v>46114</v>
      </c>
      <c r="F38" s="63" t="s">
        <v>162</v>
      </c>
      <c r="G38" s="63" t="s">
        <v>3847</v>
      </c>
      <c r="H38" s="63" t="s">
        <v>152</v>
      </c>
      <c r="I38" s="63" t="s">
        <v>34</v>
      </c>
      <c r="J38" s="63" t="s">
        <v>163</v>
      </c>
      <c r="K38" s="63" t="s">
        <v>268</v>
      </c>
      <c r="L38" s="63" t="s">
        <v>269</v>
      </c>
      <c r="M38" s="69">
        <v>952.66</v>
      </c>
      <c r="N38" s="63" t="s">
        <v>65</v>
      </c>
      <c r="O38" s="73">
        <f>_xlfn.XLOOKUP(Supplier_Perf_Table[[#This Row],[Currency]],'Comments 2'!$C$4:$C$16,'Comments 2'!$D$4:$D$16)</f>
        <v>1</v>
      </c>
      <c r="P38" s="69">
        <f>IFERROR(Supplier_Perf_Table[[#This Row],[Unit_Cost]]*Supplier_Perf_Table[[#This Row],[Dollar Equivalent]],"")</f>
        <v>952.66</v>
      </c>
      <c r="Q38" s="75">
        <v>1500</v>
      </c>
      <c r="R38" s="1">
        <v>1428990</v>
      </c>
      <c r="S38" s="75">
        <f>Supplier_Perf_Table[[#This Row],[Unit_Cost]]*Supplier_Perf_Table[[#This Row],[Order_Quantity]]</f>
        <v>1428990</v>
      </c>
      <c r="T38" s="75">
        <f>IFERROR(Supplier_Perf_Table[[#This Row],[Dollar Equivalent]]*Supplier_Perf_Table[[#This Row],[Ordered_Value]],"")</f>
        <v>1428990</v>
      </c>
      <c r="U38" s="75">
        <v>30</v>
      </c>
      <c r="V38" s="7">
        <v>0.02</v>
      </c>
      <c r="W38" s="75">
        <v>0</v>
      </c>
      <c r="X38" s="55">
        <f>IFERROR(Supplier_Perf_Table[[#This Row],[Actual_Delivery_Date]]-Supplier_Perf_Table[[#This Row],[Order Date]],"")</f>
        <v>0</v>
      </c>
      <c r="Y38" s="75">
        <v>4</v>
      </c>
      <c r="Z38" s="56">
        <f>IFERROR(Supplier_Perf_Table[[#This Row],[Expected Delivery_Date]]-Supplier_Perf_Table[[#This Row],[Order Date]],"")</f>
        <v>4</v>
      </c>
      <c r="AA38" s="56">
        <f>Supplier_Perf_Table[[#This Row],[Calculated_Lead_Time2]]-Supplier_Perf_Table[[#This Row],[Calculated_Expected_Lead_Time]]</f>
        <v>-4</v>
      </c>
      <c r="AB38" s="75">
        <v>-4</v>
      </c>
      <c r="AC38" s="63" t="s">
        <v>270</v>
      </c>
      <c r="AD38" s="63" t="s">
        <v>40</v>
      </c>
      <c r="AE38" s="63" t="s">
        <v>41</v>
      </c>
      <c r="AF38" s="63" t="s">
        <v>190</v>
      </c>
      <c r="AG38" s="63" t="s">
        <v>107</v>
      </c>
      <c r="AH38" s="63" t="s">
        <v>88</v>
      </c>
      <c r="AI38" s="63" t="s">
        <v>147</v>
      </c>
      <c r="AJ38" s="63" t="s">
        <v>138</v>
      </c>
      <c r="AK38" s="83">
        <v>3</v>
      </c>
      <c r="AL38" s="63" t="s">
        <v>184</v>
      </c>
      <c r="AM38" s="63" t="s">
        <v>138</v>
      </c>
      <c r="AN38"/>
    </row>
    <row r="39" spans="1:40" ht="18" customHeight="1">
      <c r="A39" s="1" t="s">
        <v>271</v>
      </c>
      <c r="B39" s="1" t="s">
        <v>272</v>
      </c>
      <c r="C39" s="4">
        <v>46119</v>
      </c>
      <c r="D39" s="4">
        <v>46134</v>
      </c>
      <c r="E39" s="4">
        <v>46142</v>
      </c>
      <c r="F39" s="63" t="s">
        <v>100</v>
      </c>
      <c r="G39" s="63" t="s">
        <v>3841</v>
      </c>
      <c r="H39" s="63" t="s">
        <v>102</v>
      </c>
      <c r="I39" s="63" t="s">
        <v>70</v>
      </c>
      <c r="J39" s="63" t="s">
        <v>50</v>
      </c>
      <c r="K39" s="63" t="s">
        <v>273</v>
      </c>
      <c r="L39" s="63" t="s">
        <v>52</v>
      </c>
      <c r="M39" s="69">
        <v>885.65</v>
      </c>
      <c r="N39" s="63" t="s">
        <v>53</v>
      </c>
      <c r="O39" s="73">
        <f>_xlfn.XLOOKUP(Supplier_Perf_Table[[#This Row],[Currency]],'Comments 2'!$C$4:$C$16,'Comments 2'!$D$4:$D$16)</f>
        <v>6.0999999999999999E-2</v>
      </c>
      <c r="P39" s="69">
        <f>IFERROR(Supplier_Perf_Table[[#This Row],[Unit_Cost]]*Supplier_Perf_Table[[#This Row],[Dollar Equivalent]],"")</f>
        <v>54.024649999999994</v>
      </c>
      <c r="Q39" s="75">
        <v>500</v>
      </c>
      <c r="R39" s="1">
        <v>442825</v>
      </c>
      <c r="S39" s="75">
        <f>Supplier_Perf_Table[[#This Row],[Unit_Cost]]*Supplier_Perf_Table[[#This Row],[Order_Quantity]]</f>
        <v>442825</v>
      </c>
      <c r="T39" s="75">
        <f>IFERROR(Supplier_Perf_Table[[#This Row],[Dollar Equivalent]]*Supplier_Perf_Table[[#This Row],[Ordered_Value]],"")</f>
        <v>27012.325000000001</v>
      </c>
      <c r="U39" s="75">
        <v>8</v>
      </c>
      <c r="V39" s="7">
        <v>1.6E-2</v>
      </c>
      <c r="W39" s="75">
        <v>23</v>
      </c>
      <c r="X39" s="55">
        <f>IFERROR(Supplier_Perf_Table[[#This Row],[Actual_Delivery_Date]]-Supplier_Perf_Table[[#This Row],[Order Date]],"")</f>
        <v>23</v>
      </c>
      <c r="Y39" s="75">
        <v>15</v>
      </c>
      <c r="Z39" s="56">
        <f>IFERROR(Supplier_Perf_Table[[#This Row],[Expected Delivery_Date]]-Supplier_Perf_Table[[#This Row],[Order Date]],"")</f>
        <v>15</v>
      </c>
      <c r="AA39" s="56">
        <f>Supplier_Perf_Table[[#This Row],[Calculated_Lead_Time2]]-Supplier_Perf_Table[[#This Row],[Calculated_Expected_Lead_Time]]</f>
        <v>8</v>
      </c>
      <c r="AB39" s="75">
        <v>8</v>
      </c>
      <c r="AC39" s="63" t="s">
        <v>205</v>
      </c>
      <c r="AD39" s="63" t="s">
        <v>40</v>
      </c>
      <c r="AE39" s="63" t="s">
        <v>105</v>
      </c>
      <c r="AF39" s="63" t="s">
        <v>106</v>
      </c>
      <c r="AG39" s="63" t="s">
        <v>107</v>
      </c>
      <c r="AH39" s="63" t="s">
        <v>174</v>
      </c>
      <c r="AI39" s="63" t="s">
        <v>138</v>
      </c>
      <c r="AJ39" s="63" t="s">
        <v>138</v>
      </c>
      <c r="AK39" s="83">
        <v>1.6</v>
      </c>
      <c r="AL39" s="63" t="s">
        <v>57</v>
      </c>
      <c r="AM39" s="63" t="s">
        <v>46</v>
      </c>
      <c r="AN39"/>
    </row>
    <row r="40" spans="1:40" ht="18" customHeight="1">
      <c r="A40" s="1" t="s">
        <v>274</v>
      </c>
      <c r="B40" s="1" t="s">
        <v>275</v>
      </c>
      <c r="C40" s="4">
        <v>46152</v>
      </c>
      <c r="D40" s="4">
        <v>46158</v>
      </c>
      <c r="E40" s="4">
        <v>46163</v>
      </c>
      <c r="F40" s="63" t="s">
        <v>162</v>
      </c>
      <c r="G40" s="63" t="s">
        <v>3847</v>
      </c>
      <c r="H40" s="63" t="s">
        <v>152</v>
      </c>
      <c r="I40" s="63" t="s">
        <v>120</v>
      </c>
      <c r="J40" s="63" t="s">
        <v>163</v>
      </c>
      <c r="K40" s="63" t="s">
        <v>276</v>
      </c>
      <c r="L40" s="63" t="s">
        <v>165</v>
      </c>
      <c r="M40" s="69">
        <v>3265.48</v>
      </c>
      <c r="N40" s="63" t="s">
        <v>65</v>
      </c>
      <c r="O40" s="73">
        <f>_xlfn.XLOOKUP(Supplier_Perf_Table[[#This Row],[Currency]],'Comments 2'!$C$4:$C$16,'Comments 2'!$D$4:$D$16)</f>
        <v>1</v>
      </c>
      <c r="P40" s="69">
        <f>IFERROR(Supplier_Perf_Table[[#This Row],[Unit_Cost]]*Supplier_Perf_Table[[#This Row],[Dollar Equivalent]],"")</f>
        <v>3265.48</v>
      </c>
      <c r="Q40" s="75">
        <v>500</v>
      </c>
      <c r="R40" s="1">
        <v>1632740</v>
      </c>
      <c r="S40" s="75">
        <f>Supplier_Perf_Table[[#This Row],[Unit_Cost]]*Supplier_Perf_Table[[#This Row],[Order_Quantity]]</f>
        <v>1632740</v>
      </c>
      <c r="T40" s="75">
        <f>IFERROR(Supplier_Perf_Table[[#This Row],[Dollar Equivalent]]*Supplier_Perf_Table[[#This Row],[Ordered_Value]],"")</f>
        <v>1632740</v>
      </c>
      <c r="U40" s="75">
        <v>25</v>
      </c>
      <c r="V40" s="7">
        <v>0.05</v>
      </c>
      <c r="W40" s="75">
        <v>11</v>
      </c>
      <c r="X40" s="55">
        <f>IFERROR(Supplier_Perf_Table[[#This Row],[Actual_Delivery_Date]]-Supplier_Perf_Table[[#This Row],[Order Date]],"")</f>
        <v>11</v>
      </c>
      <c r="Y40" s="75">
        <v>6</v>
      </c>
      <c r="Z40" s="56">
        <f>IFERROR(Supplier_Perf_Table[[#This Row],[Expected Delivery_Date]]-Supplier_Perf_Table[[#This Row],[Order Date]],"")</f>
        <v>6</v>
      </c>
      <c r="AA40" s="56">
        <f>Supplier_Perf_Table[[#This Row],[Calculated_Lead_Time2]]-Supplier_Perf_Table[[#This Row],[Calculated_Expected_Lead_Time]]</f>
        <v>5</v>
      </c>
      <c r="AB40" s="75">
        <v>5</v>
      </c>
      <c r="AC40" s="63" t="s">
        <v>135</v>
      </c>
      <c r="AD40" s="63" t="s">
        <v>74</v>
      </c>
      <c r="AE40" s="63" t="s">
        <v>3088</v>
      </c>
      <c r="AF40" s="63" t="s">
        <v>66</v>
      </c>
      <c r="AG40" s="63" t="s">
        <v>128</v>
      </c>
      <c r="AH40" s="63" t="s">
        <v>3112</v>
      </c>
      <c r="AI40" s="63" t="s">
        <v>147</v>
      </c>
      <c r="AJ40" s="63" t="s">
        <v>75</v>
      </c>
      <c r="AK40" s="83">
        <v>-1</v>
      </c>
      <c r="AL40" s="63" t="s">
        <v>45</v>
      </c>
      <c r="AM40" s="63" t="s">
        <v>185</v>
      </c>
      <c r="AN40"/>
    </row>
    <row r="41" spans="1:40" ht="18" customHeight="1">
      <c r="A41" s="1" t="s">
        <v>277</v>
      </c>
      <c r="B41" s="1" t="s">
        <v>278</v>
      </c>
      <c r="C41" s="4">
        <v>46160</v>
      </c>
      <c r="D41" s="4">
        <v>46173</v>
      </c>
      <c r="E41" s="4">
        <v>46180</v>
      </c>
      <c r="F41" s="63" t="s">
        <v>48</v>
      </c>
      <c r="G41" s="63" t="s">
        <v>3836</v>
      </c>
      <c r="H41" s="63" t="s">
        <v>102</v>
      </c>
      <c r="I41" s="63" t="s">
        <v>61</v>
      </c>
      <c r="J41" s="63" t="s">
        <v>50</v>
      </c>
      <c r="K41" s="63" t="s">
        <v>279</v>
      </c>
      <c r="L41" s="63" t="s">
        <v>52</v>
      </c>
      <c r="M41" s="69">
        <v>530.05999999999995</v>
      </c>
      <c r="N41" s="63" t="s">
        <v>86</v>
      </c>
      <c r="O41" s="73">
        <f>_xlfn.XLOOKUP(Supplier_Perf_Table[[#This Row],[Currency]],'Comments 2'!$C$4:$C$16,'Comments 2'!$D$4:$D$16)</f>
        <v>8.8999999999999996E-2</v>
      </c>
      <c r="P41" s="69">
        <f>IFERROR(Supplier_Perf_Table[[#This Row],[Unit_Cost]]*Supplier_Perf_Table[[#This Row],[Dollar Equivalent]],"")</f>
        <v>47.175339999999991</v>
      </c>
      <c r="Q41" s="75">
        <v>250</v>
      </c>
      <c r="R41" s="1">
        <v>132515</v>
      </c>
      <c r="S41" s="75">
        <f>Supplier_Perf_Table[[#This Row],[Unit_Cost]]*Supplier_Perf_Table[[#This Row],[Order_Quantity]]</f>
        <v>132515</v>
      </c>
      <c r="T41" s="75">
        <f>IFERROR(Supplier_Perf_Table[[#This Row],[Dollar Equivalent]]*Supplier_Perf_Table[[#This Row],[Ordered_Value]],"")</f>
        <v>11793.834999999999</v>
      </c>
      <c r="U41" s="75">
        <v>7</v>
      </c>
      <c r="V41" s="7">
        <v>2.8000000000000001E-2</v>
      </c>
      <c r="W41" s="75">
        <v>20</v>
      </c>
      <c r="X41" s="55">
        <f>IFERROR(Supplier_Perf_Table[[#This Row],[Actual_Delivery_Date]]-Supplier_Perf_Table[[#This Row],[Order Date]],"")</f>
        <v>20</v>
      </c>
      <c r="Y41" s="75">
        <v>13</v>
      </c>
      <c r="Z41" s="56">
        <f>IFERROR(Supplier_Perf_Table[[#This Row],[Expected Delivery_Date]]-Supplier_Perf_Table[[#This Row],[Order Date]],"")</f>
        <v>13</v>
      </c>
      <c r="AA41" s="56">
        <f>Supplier_Perf_Table[[#This Row],[Calculated_Lead_Time2]]-Supplier_Perf_Table[[#This Row],[Calculated_Expected_Lead_Time]]</f>
        <v>7</v>
      </c>
      <c r="AB41" s="75">
        <v>7</v>
      </c>
      <c r="AC41" s="63" t="s">
        <v>135</v>
      </c>
      <c r="AD41" s="63" t="s">
        <v>40</v>
      </c>
      <c r="AE41" s="63" t="s">
        <v>105</v>
      </c>
      <c r="AF41" s="63" t="s">
        <v>42</v>
      </c>
      <c r="AG41" s="63" t="s">
        <v>43</v>
      </c>
      <c r="AH41" s="63" t="s">
        <v>3112</v>
      </c>
      <c r="AI41" s="63" t="s">
        <v>147</v>
      </c>
      <c r="AJ41" s="63" t="s">
        <v>138</v>
      </c>
      <c r="AK41" s="83">
        <v>2.2000000000000002</v>
      </c>
      <c r="AL41" s="63" t="s">
        <v>76</v>
      </c>
      <c r="AM41" s="63" t="s">
        <v>46</v>
      </c>
      <c r="AN41"/>
    </row>
    <row r="42" spans="1:40" ht="18" customHeight="1">
      <c r="A42" s="1" t="s">
        <v>280</v>
      </c>
      <c r="B42" s="1" t="s">
        <v>281</v>
      </c>
      <c r="C42" s="4">
        <v>46188</v>
      </c>
      <c r="D42" s="4">
        <v>46205</v>
      </c>
      <c r="E42" s="4">
        <v>46205</v>
      </c>
      <c r="F42" s="63" t="s">
        <v>90</v>
      </c>
      <c r="G42" s="63" t="s">
        <v>3840</v>
      </c>
      <c r="H42" s="63" t="s">
        <v>133</v>
      </c>
      <c r="I42" s="63" t="s">
        <v>178</v>
      </c>
      <c r="J42" s="63" t="s">
        <v>71</v>
      </c>
      <c r="K42" s="63" t="s">
        <v>282</v>
      </c>
      <c r="L42" s="63" t="s">
        <v>73</v>
      </c>
      <c r="M42" s="69">
        <v>785.86</v>
      </c>
      <c r="N42" s="63" t="s">
        <v>104</v>
      </c>
      <c r="O42" s="73">
        <f>_xlfn.XLOOKUP(Supplier_Perf_Table[[#This Row],[Currency]],'Comments 2'!$C$4:$C$16,'Comments 2'!$D$4:$D$16)</f>
        <v>1.9E-2</v>
      </c>
      <c r="P42" s="69">
        <f>IFERROR(Supplier_Perf_Table[[#This Row],[Unit_Cost]]*Supplier_Perf_Table[[#This Row],[Dollar Equivalent]],"")</f>
        <v>14.931340000000001</v>
      </c>
      <c r="Q42" s="75">
        <v>500</v>
      </c>
      <c r="R42" s="1">
        <v>392930</v>
      </c>
      <c r="S42" s="75">
        <f>Supplier_Perf_Table[[#This Row],[Unit_Cost]]*Supplier_Perf_Table[[#This Row],[Order_Quantity]]</f>
        <v>392930</v>
      </c>
      <c r="T42" s="75">
        <f>IFERROR(Supplier_Perf_Table[[#This Row],[Dollar Equivalent]]*Supplier_Perf_Table[[#This Row],[Ordered_Value]],"")</f>
        <v>7465.67</v>
      </c>
      <c r="U42" s="75">
        <v>26</v>
      </c>
      <c r="V42" s="7">
        <v>5.1999999999999998E-2</v>
      </c>
      <c r="W42" s="75">
        <v>17</v>
      </c>
      <c r="X42" s="55">
        <f>IFERROR(Supplier_Perf_Table[[#This Row],[Actual_Delivery_Date]]-Supplier_Perf_Table[[#This Row],[Order Date]],"")</f>
        <v>17</v>
      </c>
      <c r="Y42" s="75">
        <v>17</v>
      </c>
      <c r="Z42" s="56">
        <f>IFERROR(Supplier_Perf_Table[[#This Row],[Expected Delivery_Date]]-Supplier_Perf_Table[[#This Row],[Order Date]],"")</f>
        <v>17</v>
      </c>
      <c r="AA42" s="56">
        <f>Supplier_Perf_Table[[#This Row],[Calculated_Lead_Time2]]-Supplier_Perf_Table[[#This Row],[Calculated_Expected_Lead_Time]]</f>
        <v>0</v>
      </c>
      <c r="AB42" s="75">
        <v>0</v>
      </c>
      <c r="AC42" s="63" t="s">
        <v>87</v>
      </c>
      <c r="AD42" s="63" t="s">
        <v>74</v>
      </c>
      <c r="AE42" s="63" t="s">
        <v>127</v>
      </c>
      <c r="AF42" s="63" t="s">
        <v>190</v>
      </c>
      <c r="AG42" s="63" t="s">
        <v>3088</v>
      </c>
      <c r="AH42" s="63" t="s">
        <v>88</v>
      </c>
      <c r="AI42" s="63" t="s">
        <v>138</v>
      </c>
      <c r="AJ42" s="63" t="s">
        <v>283</v>
      </c>
      <c r="AK42" s="83">
        <v>1.2</v>
      </c>
      <c r="AL42" s="63" t="s">
        <v>108</v>
      </c>
      <c r="AM42" s="63" t="s">
        <v>284</v>
      </c>
      <c r="AN42"/>
    </row>
    <row r="43" spans="1:40" ht="18" customHeight="1">
      <c r="A43" s="1" t="s">
        <v>285</v>
      </c>
      <c r="B43" s="1" t="s">
        <v>286</v>
      </c>
      <c r="C43" s="4">
        <v>46168</v>
      </c>
      <c r="D43" s="4">
        <v>46172</v>
      </c>
      <c r="E43" s="4">
        <v>46180</v>
      </c>
      <c r="F43" s="63" t="s">
        <v>151</v>
      </c>
      <c r="G43" s="63" t="s">
        <v>3844</v>
      </c>
      <c r="H43" s="63" t="s">
        <v>152</v>
      </c>
      <c r="I43" s="63" t="s">
        <v>92</v>
      </c>
      <c r="J43" s="63" t="s">
        <v>112</v>
      </c>
      <c r="K43" s="63" t="s">
        <v>287</v>
      </c>
      <c r="L43" s="63" t="s">
        <v>114</v>
      </c>
      <c r="M43" s="69" t="s">
        <v>3080</v>
      </c>
      <c r="N43" s="63" t="s">
        <v>86</v>
      </c>
      <c r="O43" s="73">
        <f>_xlfn.XLOOKUP(Supplier_Perf_Table[[#This Row],[Currency]],'Comments 2'!$C$4:$C$16,'Comments 2'!$D$4:$D$16)</f>
        <v>8.8999999999999996E-2</v>
      </c>
      <c r="P43" s="69" t="str">
        <f>IFERROR(Supplier_Perf_Table[[#This Row],[Unit_Cost]]*Supplier_Perf_Table[[#This Row],[Dollar Equivalent]],"")</f>
        <v/>
      </c>
      <c r="Q43" s="75" t="s">
        <v>3080</v>
      </c>
      <c r="R43" s="1">
        <v>11792</v>
      </c>
      <c r="S43" s="75" t="e">
        <f>Supplier_Perf_Table[[#This Row],[Unit_Cost]]*Supplier_Perf_Table[[#This Row],[Order_Quantity]]</f>
        <v>#VALUE!</v>
      </c>
      <c r="T43" s="75">
        <f>IFERROR(Supplier_Perf_Table[[#This Row],[Dollar Equivalent]]*Supplier_Perf_Table[[#This Row],[Ordered_Value]],"")</f>
        <v>1049.4880000000001</v>
      </c>
      <c r="U43" s="75">
        <v>0</v>
      </c>
      <c r="V43" s="7">
        <v>0</v>
      </c>
      <c r="W43" s="75">
        <v>12</v>
      </c>
      <c r="X43" s="55">
        <f>IFERROR(Supplier_Perf_Table[[#This Row],[Actual_Delivery_Date]]-Supplier_Perf_Table[[#This Row],[Order Date]],"")</f>
        <v>12</v>
      </c>
      <c r="Y43" s="75">
        <v>4</v>
      </c>
      <c r="Z43" s="56">
        <f>IFERROR(Supplier_Perf_Table[[#This Row],[Expected Delivery_Date]]-Supplier_Perf_Table[[#This Row],[Order Date]],"")</f>
        <v>4</v>
      </c>
      <c r="AA43" s="56">
        <f>Supplier_Perf_Table[[#This Row],[Calculated_Lead_Time2]]-Supplier_Perf_Table[[#This Row],[Calculated_Expected_Lead_Time]]</f>
        <v>8</v>
      </c>
      <c r="AB43" s="75"/>
      <c r="AC43" s="63" t="s">
        <v>135</v>
      </c>
      <c r="AD43" s="63" t="s">
        <v>40</v>
      </c>
      <c r="AE43" s="63" t="s">
        <v>41</v>
      </c>
      <c r="AF43" s="63" t="s">
        <v>190</v>
      </c>
      <c r="AG43" s="63" t="s">
        <v>173</v>
      </c>
      <c r="AH43" s="63" t="s">
        <v>88</v>
      </c>
      <c r="AI43" s="63" t="s">
        <v>138</v>
      </c>
      <c r="AJ43" s="63" t="s">
        <v>138</v>
      </c>
      <c r="AK43" s="83">
        <v>3.3</v>
      </c>
      <c r="AL43" s="63" t="s">
        <v>57</v>
      </c>
      <c r="AM43" s="63" t="s">
        <v>46</v>
      </c>
      <c r="AN43"/>
    </row>
    <row r="44" spans="1:40" ht="18" customHeight="1">
      <c r="A44" s="1" t="s">
        <v>288</v>
      </c>
      <c r="B44" s="1" t="s">
        <v>289</v>
      </c>
      <c r="C44" s="4">
        <v>46174</v>
      </c>
      <c r="D44" s="4">
        <v>46194</v>
      </c>
      <c r="E44" s="4">
        <v>46201</v>
      </c>
      <c r="F44" s="63" t="s">
        <v>90</v>
      </c>
      <c r="G44" s="63" t="s">
        <v>3840</v>
      </c>
      <c r="H44" s="63" t="s">
        <v>133</v>
      </c>
      <c r="I44" s="63" t="s">
        <v>70</v>
      </c>
      <c r="J44" s="63" t="s">
        <v>71</v>
      </c>
      <c r="K44" s="63" t="s">
        <v>290</v>
      </c>
      <c r="L44" s="63" t="s">
        <v>238</v>
      </c>
      <c r="M44" s="69">
        <v>72.87</v>
      </c>
      <c r="N44" s="63" t="s">
        <v>291</v>
      </c>
      <c r="O44" s="73">
        <f>_xlfn.XLOOKUP(Supplier_Perf_Table[[#This Row],[Currency]],'Comments 2'!$C$4:$C$16,'Comments 2'!$D$4:$D$16)</f>
        <v>7.2999999999999996E-4</v>
      </c>
      <c r="P44" s="69">
        <f>IFERROR(Supplier_Perf_Table[[#This Row],[Unit_Cost]]*Supplier_Perf_Table[[#This Row],[Dollar Equivalent]],"")</f>
        <v>5.3195100000000002E-2</v>
      </c>
      <c r="Q44" s="75">
        <v>750</v>
      </c>
      <c r="R44" s="1">
        <v>54652.5</v>
      </c>
      <c r="S44" s="75">
        <f>Supplier_Perf_Table[[#This Row],[Unit_Cost]]*Supplier_Perf_Table[[#This Row],[Order_Quantity]]</f>
        <v>54652.5</v>
      </c>
      <c r="T44" s="75">
        <f>IFERROR(Supplier_Perf_Table[[#This Row],[Dollar Equivalent]]*Supplier_Perf_Table[[#This Row],[Ordered_Value]],"")</f>
        <v>39.896324999999997</v>
      </c>
      <c r="U44" s="75">
        <v>30</v>
      </c>
      <c r="V44" s="7">
        <v>0.04</v>
      </c>
      <c r="W44" s="75">
        <v>27</v>
      </c>
      <c r="X44" s="55">
        <f>IFERROR(Supplier_Perf_Table[[#This Row],[Actual_Delivery_Date]]-Supplier_Perf_Table[[#This Row],[Order Date]],"")</f>
        <v>27</v>
      </c>
      <c r="Y44" s="75">
        <v>20</v>
      </c>
      <c r="Z44" s="56">
        <f>IFERROR(Supplier_Perf_Table[[#This Row],[Expected Delivery_Date]]-Supplier_Perf_Table[[#This Row],[Order Date]],"")</f>
        <v>20</v>
      </c>
      <c r="AA44" s="56">
        <f>Supplier_Perf_Table[[#This Row],[Calculated_Lead_Time2]]-Supplier_Perf_Table[[#This Row],[Calculated_Expected_Lead_Time]]</f>
        <v>7</v>
      </c>
      <c r="AB44" s="75">
        <v>7</v>
      </c>
      <c r="AC44" s="63" t="s">
        <v>39</v>
      </c>
      <c r="AD44" s="63" t="s">
        <v>40</v>
      </c>
      <c r="AE44" s="63" t="s">
        <v>127</v>
      </c>
      <c r="AF44" s="63" t="s">
        <v>106</v>
      </c>
      <c r="AG44" s="63" t="s">
        <v>173</v>
      </c>
      <c r="AH44" s="63" t="s">
        <v>136</v>
      </c>
      <c r="AI44" s="63" t="s">
        <v>44</v>
      </c>
      <c r="AJ44" s="63" t="s">
        <v>138</v>
      </c>
      <c r="AK44" s="83">
        <v>1.4</v>
      </c>
      <c r="AL44" s="63" t="s">
        <v>57</v>
      </c>
      <c r="AM44" s="63" t="s">
        <v>148</v>
      </c>
      <c r="AN44"/>
    </row>
    <row r="45" spans="1:40" ht="18" customHeight="1">
      <c r="A45" s="1" t="s">
        <v>292</v>
      </c>
      <c r="B45" s="1" t="s">
        <v>293</v>
      </c>
      <c r="C45" s="4">
        <v>46073</v>
      </c>
      <c r="D45" s="4">
        <v>46084</v>
      </c>
      <c r="E45" s="4">
        <v>46077</v>
      </c>
      <c r="F45" s="63" t="s">
        <v>209</v>
      </c>
      <c r="G45" s="63" t="s">
        <v>3845</v>
      </c>
      <c r="H45" s="63" t="s">
        <v>316</v>
      </c>
      <c r="I45" s="63" t="s">
        <v>70</v>
      </c>
      <c r="J45" s="63" t="s">
        <v>153</v>
      </c>
      <c r="K45" s="63" t="s">
        <v>294</v>
      </c>
      <c r="L45" s="63" t="s">
        <v>295</v>
      </c>
      <c r="M45" s="69">
        <v>79.2</v>
      </c>
      <c r="N45" s="63" t="s">
        <v>38</v>
      </c>
      <c r="O45" s="73">
        <f>_xlfn.XLOOKUP(Supplier_Perf_Table[[#This Row],[Currency]],'Comments 2'!$C$4:$C$16,'Comments 2'!$D$4:$D$16)</f>
        <v>7.7000000000000002E-3</v>
      </c>
      <c r="P45" s="69">
        <f>IFERROR(Supplier_Perf_Table[[#This Row],[Unit_Cost]]*Supplier_Perf_Table[[#This Row],[Dollar Equivalent]],"")</f>
        <v>0.60984000000000005</v>
      </c>
      <c r="Q45" s="75">
        <v>750</v>
      </c>
      <c r="R45" s="1">
        <v>59400</v>
      </c>
      <c r="S45" s="75">
        <f>Supplier_Perf_Table[[#This Row],[Unit_Cost]]*Supplier_Perf_Table[[#This Row],[Order_Quantity]]</f>
        <v>59400</v>
      </c>
      <c r="T45" s="75">
        <f>IFERROR(Supplier_Perf_Table[[#This Row],[Dollar Equivalent]]*Supplier_Perf_Table[[#This Row],[Ordered_Value]],"")</f>
        <v>457.38</v>
      </c>
      <c r="U45" s="75">
        <v>36</v>
      </c>
      <c r="V45" s="7">
        <v>4.8000000000000001E-2</v>
      </c>
      <c r="W45" s="75">
        <v>4</v>
      </c>
      <c r="X45" s="55">
        <f>IFERROR(Supplier_Perf_Table[[#This Row],[Actual_Delivery_Date]]-Supplier_Perf_Table[[#This Row],[Order Date]],"")</f>
        <v>4</v>
      </c>
      <c r="Y45" s="75">
        <v>11</v>
      </c>
      <c r="Z45" s="56">
        <f>IFERROR(Supplier_Perf_Table[[#This Row],[Expected Delivery_Date]]-Supplier_Perf_Table[[#This Row],[Order Date]],"")</f>
        <v>11</v>
      </c>
      <c r="AA45" s="56">
        <f>Supplier_Perf_Table[[#This Row],[Calculated_Lead_Time2]]-Supplier_Perf_Table[[#This Row],[Calculated_Expected_Lead_Time]]</f>
        <v>-7</v>
      </c>
      <c r="AB45" s="75">
        <v>-7</v>
      </c>
      <c r="AC45" s="63" t="s">
        <v>87</v>
      </c>
      <c r="AD45" s="63" t="s">
        <v>74</v>
      </c>
      <c r="AE45" s="63" t="s">
        <v>105</v>
      </c>
      <c r="AF45" s="63" t="s">
        <v>66</v>
      </c>
      <c r="AG45" s="63" t="s">
        <v>107</v>
      </c>
      <c r="AH45" s="63" t="s">
        <v>174</v>
      </c>
      <c r="AI45" s="63" t="s">
        <v>95</v>
      </c>
      <c r="AJ45" s="63" t="s">
        <v>96</v>
      </c>
      <c r="AK45" s="83">
        <v>1.7</v>
      </c>
      <c r="AL45" s="63" t="s">
        <v>184</v>
      </c>
      <c r="AM45" s="63" t="s">
        <v>97</v>
      </c>
      <c r="AN45"/>
    </row>
    <row r="46" spans="1:40" ht="18" customHeight="1">
      <c r="A46" s="1" t="s">
        <v>296</v>
      </c>
      <c r="B46" s="1" t="s">
        <v>297</v>
      </c>
      <c r="C46" s="4">
        <v>46148</v>
      </c>
      <c r="D46" s="4">
        <v>46166</v>
      </c>
      <c r="E46" s="4">
        <v>46180</v>
      </c>
      <c r="F46" s="63" t="s">
        <v>142</v>
      </c>
      <c r="G46" s="63" t="s">
        <v>3843</v>
      </c>
      <c r="H46" s="63" t="s">
        <v>169</v>
      </c>
      <c r="I46" s="63" t="s">
        <v>49</v>
      </c>
      <c r="J46" s="63" t="s">
        <v>50</v>
      </c>
      <c r="K46" s="63" t="s">
        <v>298</v>
      </c>
      <c r="L46" s="63" t="s">
        <v>52</v>
      </c>
      <c r="M46" s="69">
        <v>2231.9299999999998</v>
      </c>
      <c r="N46" s="63" t="s">
        <v>53</v>
      </c>
      <c r="O46" s="73">
        <f>_xlfn.XLOOKUP(Supplier_Perf_Table[[#This Row],[Currency]],'Comments 2'!$C$4:$C$16,'Comments 2'!$D$4:$D$16)</f>
        <v>6.0999999999999999E-2</v>
      </c>
      <c r="P46" s="69">
        <f>IFERROR(Supplier_Perf_Table[[#This Row],[Unit_Cost]]*Supplier_Perf_Table[[#This Row],[Dollar Equivalent]],"")</f>
        <v>136.14773</v>
      </c>
      <c r="Q46" s="75">
        <v>500</v>
      </c>
      <c r="R46" s="1">
        <v>1115965</v>
      </c>
      <c r="S46" s="75">
        <f>Supplier_Perf_Table[[#This Row],[Unit_Cost]]*Supplier_Perf_Table[[#This Row],[Order_Quantity]]</f>
        <v>1115965</v>
      </c>
      <c r="T46" s="75">
        <f>IFERROR(Supplier_Perf_Table[[#This Row],[Dollar Equivalent]]*Supplier_Perf_Table[[#This Row],[Ordered_Value]],"")</f>
        <v>68073.865000000005</v>
      </c>
      <c r="U46" s="75">
        <v>4</v>
      </c>
      <c r="V46" s="7">
        <v>8.0000000000000002E-3</v>
      </c>
      <c r="W46" s="75">
        <v>32</v>
      </c>
      <c r="X46" s="55">
        <f>IFERROR(Supplier_Perf_Table[[#This Row],[Actual_Delivery_Date]]-Supplier_Perf_Table[[#This Row],[Order Date]],"")</f>
        <v>32</v>
      </c>
      <c r="Y46" s="75">
        <v>18</v>
      </c>
      <c r="Z46" s="56">
        <f>IFERROR(Supplier_Perf_Table[[#This Row],[Expected Delivery_Date]]-Supplier_Perf_Table[[#This Row],[Order Date]],"")</f>
        <v>18</v>
      </c>
      <c r="AA46" s="56">
        <f>Supplier_Perf_Table[[#This Row],[Calculated_Lead_Time2]]-Supplier_Perf_Table[[#This Row],[Calculated_Expected_Lead_Time]]</f>
        <v>14</v>
      </c>
      <c r="AB46" s="75">
        <v>14</v>
      </c>
      <c r="AC46" s="63" t="s">
        <v>205</v>
      </c>
      <c r="AD46" s="63" t="s">
        <v>40</v>
      </c>
      <c r="AE46" s="63" t="s">
        <v>146</v>
      </c>
      <c r="AF46" s="63" t="s">
        <v>106</v>
      </c>
      <c r="AG46" s="63" t="s">
        <v>3088</v>
      </c>
      <c r="AH46" s="63" t="s">
        <v>136</v>
      </c>
      <c r="AI46" s="63" t="s">
        <v>44</v>
      </c>
      <c r="AJ46" s="63" t="s">
        <v>138</v>
      </c>
      <c r="AK46" s="83">
        <v>2</v>
      </c>
      <c r="AL46" s="63" t="s">
        <v>45</v>
      </c>
      <c r="AM46" s="63" t="s">
        <v>148</v>
      </c>
      <c r="AN46"/>
    </row>
    <row r="47" spans="1:40" ht="18" customHeight="1">
      <c r="A47" s="1" t="s">
        <v>299</v>
      </c>
      <c r="B47" s="1" t="s">
        <v>300</v>
      </c>
      <c r="C47" s="4">
        <v>46059</v>
      </c>
      <c r="D47" s="4">
        <v>46082</v>
      </c>
      <c r="E47" s="4">
        <v>46092</v>
      </c>
      <c r="F47" s="63" t="s">
        <v>118</v>
      </c>
      <c r="G47" s="63" t="s">
        <v>3842</v>
      </c>
      <c r="H47" s="63" t="s">
        <v>301</v>
      </c>
      <c r="I47" s="63" t="s">
        <v>241</v>
      </c>
      <c r="J47" s="63" t="s">
        <v>62</v>
      </c>
      <c r="K47" s="63" t="s">
        <v>302</v>
      </c>
      <c r="L47" s="63" t="s">
        <v>94</v>
      </c>
      <c r="M47" s="69">
        <v>211.15</v>
      </c>
      <c r="N47" s="63" t="s">
        <v>53</v>
      </c>
      <c r="O47" s="73">
        <f>_xlfn.XLOOKUP(Supplier_Perf_Table[[#This Row],[Currency]],'Comments 2'!$C$4:$C$16,'Comments 2'!$D$4:$D$16)</f>
        <v>6.0999999999999999E-2</v>
      </c>
      <c r="P47" s="69">
        <f>IFERROR(Supplier_Perf_Table[[#This Row],[Unit_Cost]]*Supplier_Perf_Table[[#This Row],[Dollar Equivalent]],"")</f>
        <v>12.88015</v>
      </c>
      <c r="Q47" s="75">
        <v>2000</v>
      </c>
      <c r="R47" s="1">
        <v>422300</v>
      </c>
      <c r="S47" s="75">
        <f>Supplier_Perf_Table[[#This Row],[Unit_Cost]]*Supplier_Perf_Table[[#This Row],[Order_Quantity]]</f>
        <v>422300</v>
      </c>
      <c r="T47" s="75">
        <f>IFERROR(Supplier_Perf_Table[[#This Row],[Dollar Equivalent]]*Supplier_Perf_Table[[#This Row],[Ordered_Value]],"")</f>
        <v>25760.3</v>
      </c>
      <c r="U47" s="75">
        <v>9</v>
      </c>
      <c r="V47" s="7">
        <v>4.4999999999999997E-3</v>
      </c>
      <c r="W47" s="75" t="s">
        <v>3080</v>
      </c>
      <c r="X47" s="55">
        <f>IFERROR(Supplier_Perf_Table[[#This Row],[Actual_Delivery_Date]]-Supplier_Perf_Table[[#This Row],[Order Date]],"")</f>
        <v>33</v>
      </c>
      <c r="Y47" s="75">
        <v>23</v>
      </c>
      <c r="Z47" s="56">
        <f>IFERROR(Supplier_Perf_Table[[#This Row],[Expected Delivery_Date]]-Supplier_Perf_Table[[#This Row],[Order Date]],"")</f>
        <v>23</v>
      </c>
      <c r="AA47" s="56">
        <f>Supplier_Perf_Table[[#This Row],[Calculated_Lead_Time2]]-Supplier_Perf_Table[[#This Row],[Calculated_Expected_Lead_Time]]</f>
        <v>10</v>
      </c>
      <c r="AB47" s="75">
        <v>10</v>
      </c>
      <c r="AC47" s="63" t="s">
        <v>205</v>
      </c>
      <c r="AD47" s="63" t="s">
        <v>40</v>
      </c>
      <c r="AE47" s="63" t="s">
        <v>41</v>
      </c>
      <c r="AF47" s="63" t="s">
        <v>212</v>
      </c>
      <c r="AG47" s="63" t="s">
        <v>43</v>
      </c>
      <c r="AH47" s="63" t="s">
        <v>88</v>
      </c>
      <c r="AI47" s="63" t="s">
        <v>56</v>
      </c>
      <c r="AJ47" s="63" t="s">
        <v>138</v>
      </c>
      <c r="AK47" s="83">
        <v>1.7</v>
      </c>
      <c r="AL47" s="63" t="s">
        <v>139</v>
      </c>
      <c r="AM47" s="63" t="s">
        <v>46</v>
      </c>
      <c r="AN47"/>
    </row>
    <row r="48" spans="1:40" ht="18" customHeight="1">
      <c r="A48" s="1" t="s">
        <v>303</v>
      </c>
      <c r="B48" s="1" t="s">
        <v>304</v>
      </c>
      <c r="C48" s="4">
        <v>46045</v>
      </c>
      <c r="D48" s="4">
        <v>46063</v>
      </c>
      <c r="E48" s="4">
        <v>46071</v>
      </c>
      <c r="F48" s="63" t="s">
        <v>32</v>
      </c>
      <c r="G48" s="63" t="s">
        <v>3835</v>
      </c>
      <c r="H48" s="63" t="s">
        <v>177</v>
      </c>
      <c r="I48" s="63" t="s">
        <v>178</v>
      </c>
      <c r="J48" s="63" t="s">
        <v>50</v>
      </c>
      <c r="K48" s="63" t="s">
        <v>305</v>
      </c>
      <c r="L48" s="63" t="s">
        <v>189</v>
      </c>
      <c r="M48" s="69">
        <v>2274.23</v>
      </c>
      <c r="N48" s="63" t="s">
        <v>53</v>
      </c>
      <c r="O48" s="73">
        <f>_xlfn.XLOOKUP(Supplier_Perf_Table[[#This Row],[Currency]],'Comments 2'!$C$4:$C$16,'Comments 2'!$D$4:$D$16)</f>
        <v>6.0999999999999999E-2</v>
      </c>
      <c r="P48" s="69">
        <f>IFERROR(Supplier_Perf_Table[[#This Row],[Unit_Cost]]*Supplier_Perf_Table[[#This Row],[Dollar Equivalent]],"")</f>
        <v>138.72802999999999</v>
      </c>
      <c r="Q48" s="75">
        <v>200</v>
      </c>
      <c r="R48" s="1">
        <v>454846</v>
      </c>
      <c r="S48" s="75">
        <f>Supplier_Perf_Table[[#This Row],[Unit_Cost]]*Supplier_Perf_Table[[#This Row],[Order_Quantity]]</f>
        <v>454846</v>
      </c>
      <c r="T48" s="75">
        <f>IFERROR(Supplier_Perf_Table[[#This Row],[Dollar Equivalent]]*Supplier_Perf_Table[[#This Row],[Ordered_Value]],"")</f>
        <v>27745.606</v>
      </c>
      <c r="U48" s="75">
        <v>0</v>
      </c>
      <c r="V48" s="7">
        <v>0</v>
      </c>
      <c r="W48" s="75">
        <v>26</v>
      </c>
      <c r="X48" s="55">
        <f>IFERROR(Supplier_Perf_Table[[#This Row],[Actual_Delivery_Date]]-Supplier_Perf_Table[[#This Row],[Order Date]],"")</f>
        <v>26</v>
      </c>
      <c r="Y48" s="75">
        <v>18</v>
      </c>
      <c r="Z48" s="56">
        <f>IFERROR(Supplier_Perf_Table[[#This Row],[Expected Delivery_Date]]-Supplier_Perf_Table[[#This Row],[Order Date]],"")</f>
        <v>18</v>
      </c>
      <c r="AA48" s="56">
        <f>Supplier_Perf_Table[[#This Row],[Calculated_Lead_Time2]]-Supplier_Perf_Table[[#This Row],[Calculated_Expected_Lead_Time]]</f>
        <v>8</v>
      </c>
      <c r="AB48" s="75"/>
      <c r="AC48" s="63" t="s">
        <v>135</v>
      </c>
      <c r="AD48" s="63" t="s">
        <v>40</v>
      </c>
      <c r="AE48" s="63" t="s">
        <v>105</v>
      </c>
      <c r="AF48" s="63" t="s">
        <v>42</v>
      </c>
      <c r="AG48" s="63" t="s">
        <v>3088</v>
      </c>
      <c r="AH48" s="63" t="s">
        <v>3112</v>
      </c>
      <c r="AI48" s="63" t="s">
        <v>138</v>
      </c>
      <c r="AJ48" s="63" t="s">
        <v>138</v>
      </c>
      <c r="AK48" s="83">
        <v>2</v>
      </c>
      <c r="AL48" s="63" t="s">
        <v>57</v>
      </c>
      <c r="AM48" s="63" t="s">
        <v>46</v>
      </c>
      <c r="AN48"/>
    </row>
    <row r="49" spans="1:40" ht="18" customHeight="1">
      <c r="A49" s="1" t="s">
        <v>306</v>
      </c>
      <c r="B49" s="1" t="s">
        <v>307</v>
      </c>
      <c r="C49" s="4">
        <v>46032</v>
      </c>
      <c r="D49" s="4">
        <v>46049</v>
      </c>
      <c r="E49" s="4">
        <v>46053</v>
      </c>
      <c r="F49" s="63" t="s">
        <v>48</v>
      </c>
      <c r="G49" s="63" t="s">
        <v>3836</v>
      </c>
      <c r="H49" s="63" t="s">
        <v>102</v>
      </c>
      <c r="I49" s="63" t="s">
        <v>83</v>
      </c>
      <c r="J49" s="63" t="s">
        <v>112</v>
      </c>
      <c r="K49" s="63" t="s">
        <v>308</v>
      </c>
      <c r="L49" s="63" t="s">
        <v>218</v>
      </c>
      <c r="M49" s="69">
        <v>111.49</v>
      </c>
      <c r="N49" s="63" t="s">
        <v>104</v>
      </c>
      <c r="O49" s="73">
        <f>_xlfn.XLOOKUP(Supplier_Perf_Table[[#This Row],[Currency]],'Comments 2'!$C$4:$C$16,'Comments 2'!$D$4:$D$16)</f>
        <v>1.9E-2</v>
      </c>
      <c r="P49" s="69">
        <f>IFERROR(Supplier_Perf_Table[[#This Row],[Unit_Cost]]*Supplier_Perf_Table[[#This Row],[Dollar Equivalent]],"")</f>
        <v>2.1183099999999997</v>
      </c>
      <c r="Q49" s="75">
        <v>750</v>
      </c>
      <c r="R49" s="1">
        <v>83617.5</v>
      </c>
      <c r="S49" s="75">
        <f>Supplier_Perf_Table[[#This Row],[Unit_Cost]]*Supplier_Perf_Table[[#This Row],[Order_Quantity]]</f>
        <v>83617.5</v>
      </c>
      <c r="T49" s="75">
        <f>IFERROR(Supplier_Perf_Table[[#This Row],[Dollar Equivalent]]*Supplier_Perf_Table[[#This Row],[Ordered_Value]],"")</f>
        <v>1588.7325000000001</v>
      </c>
      <c r="U49" s="75">
        <v>32</v>
      </c>
      <c r="V49" s="7">
        <v>4.2700000000000002E-2</v>
      </c>
      <c r="W49" s="75">
        <v>21</v>
      </c>
      <c r="X49" s="55">
        <f>IFERROR(Supplier_Perf_Table[[#This Row],[Actual_Delivery_Date]]-Supplier_Perf_Table[[#This Row],[Order Date]],"")</f>
        <v>21</v>
      </c>
      <c r="Y49" s="75">
        <v>17</v>
      </c>
      <c r="Z49" s="56">
        <f>IFERROR(Supplier_Perf_Table[[#This Row],[Expected Delivery_Date]]-Supplier_Perf_Table[[#This Row],[Order Date]],"")</f>
        <v>17</v>
      </c>
      <c r="AA49" s="56">
        <f>Supplier_Perf_Table[[#This Row],[Calculated_Lead_Time2]]-Supplier_Perf_Table[[#This Row],[Calculated_Expected_Lead_Time]]</f>
        <v>4</v>
      </c>
      <c r="AB49" s="75">
        <v>4</v>
      </c>
      <c r="AC49" s="63" t="s">
        <v>205</v>
      </c>
      <c r="AD49" s="63" t="s">
        <v>74</v>
      </c>
      <c r="AE49" s="63" t="s">
        <v>41</v>
      </c>
      <c r="AF49" s="63" t="s">
        <v>66</v>
      </c>
      <c r="AG49" s="63" t="s">
        <v>54</v>
      </c>
      <c r="AH49" s="63" t="s">
        <v>129</v>
      </c>
      <c r="AI49" s="63" t="s">
        <v>44</v>
      </c>
      <c r="AJ49" s="63" t="s">
        <v>75</v>
      </c>
      <c r="AK49" s="83">
        <v>3.2</v>
      </c>
      <c r="AL49" s="63" t="s">
        <v>45</v>
      </c>
      <c r="AM49" s="63" t="s">
        <v>77</v>
      </c>
      <c r="AN49"/>
    </row>
    <row r="50" spans="1:40" ht="18" customHeight="1">
      <c r="A50" s="1" t="s">
        <v>116</v>
      </c>
      <c r="B50" s="1" t="s">
        <v>309</v>
      </c>
      <c r="C50" s="4">
        <v>46138</v>
      </c>
      <c r="D50" s="4">
        <v>46147</v>
      </c>
      <c r="E50" s="4">
        <v>46147</v>
      </c>
      <c r="F50" s="63" t="s">
        <v>162</v>
      </c>
      <c r="G50" s="63" t="s">
        <v>3847</v>
      </c>
      <c r="H50" s="63" t="s">
        <v>152</v>
      </c>
      <c r="I50" s="63" t="s">
        <v>49</v>
      </c>
      <c r="J50" s="63" t="s">
        <v>35</v>
      </c>
      <c r="K50" s="63" t="s">
        <v>310</v>
      </c>
      <c r="L50" s="63" t="s">
        <v>180</v>
      </c>
      <c r="M50" s="69">
        <v>247.1</v>
      </c>
      <c r="N50" s="63" t="s">
        <v>53</v>
      </c>
      <c r="O50" s="73">
        <f>_xlfn.XLOOKUP(Supplier_Perf_Table[[#This Row],[Currency]],'Comments 2'!$C$4:$C$16,'Comments 2'!$D$4:$D$16)</f>
        <v>6.0999999999999999E-2</v>
      </c>
      <c r="P50" s="69">
        <f>IFERROR(Supplier_Perf_Table[[#This Row],[Unit_Cost]]*Supplier_Perf_Table[[#This Row],[Dollar Equivalent]],"")</f>
        <v>15.0731</v>
      </c>
      <c r="Q50" s="75">
        <v>75</v>
      </c>
      <c r="R50" s="1">
        <v>18532.5</v>
      </c>
      <c r="S50" s="75">
        <f>Supplier_Perf_Table[[#This Row],[Unit_Cost]]*Supplier_Perf_Table[[#This Row],[Order_Quantity]]</f>
        <v>18532.5</v>
      </c>
      <c r="T50" s="75">
        <f>IFERROR(Supplier_Perf_Table[[#This Row],[Dollar Equivalent]]*Supplier_Perf_Table[[#This Row],[Ordered_Value]],"")</f>
        <v>1130.4825000000001</v>
      </c>
      <c r="U50" s="75">
        <v>1</v>
      </c>
      <c r="V50" s="7">
        <v>1.3299999999999999E-2</v>
      </c>
      <c r="W50" s="75">
        <v>9</v>
      </c>
      <c r="X50" s="55">
        <f>IFERROR(Supplier_Perf_Table[[#This Row],[Actual_Delivery_Date]]-Supplier_Perf_Table[[#This Row],[Order Date]],"")</f>
        <v>9</v>
      </c>
      <c r="Y50" s="75">
        <v>9</v>
      </c>
      <c r="Z50" s="56">
        <f>IFERROR(Supplier_Perf_Table[[#This Row],[Expected Delivery_Date]]-Supplier_Perf_Table[[#This Row],[Order Date]],"")</f>
        <v>9</v>
      </c>
      <c r="AA50" s="56">
        <f>Supplier_Perf_Table[[#This Row],[Calculated_Lead_Time2]]-Supplier_Perf_Table[[#This Row],[Calculated_Expected_Lead_Time]]</f>
        <v>0</v>
      </c>
      <c r="AB50" s="75">
        <v>0</v>
      </c>
      <c r="AC50" s="63" t="s">
        <v>270</v>
      </c>
      <c r="AD50" s="63" t="s">
        <v>40</v>
      </c>
      <c r="AE50" s="63" t="s">
        <v>127</v>
      </c>
      <c r="AF50" s="63" t="s">
        <v>42</v>
      </c>
      <c r="AG50" s="63" t="s">
        <v>43</v>
      </c>
      <c r="AH50" s="63" t="s">
        <v>136</v>
      </c>
      <c r="AI50" s="63" t="s">
        <v>44</v>
      </c>
      <c r="AJ50" s="63" t="s">
        <v>138</v>
      </c>
      <c r="AK50" s="83">
        <v>3.8</v>
      </c>
      <c r="AL50" s="63" t="s">
        <v>76</v>
      </c>
      <c r="AM50" s="63" t="s">
        <v>130</v>
      </c>
      <c r="AN50"/>
    </row>
    <row r="51" spans="1:40" ht="18" customHeight="1">
      <c r="A51" s="1" t="s">
        <v>311</v>
      </c>
      <c r="B51" s="1" t="s">
        <v>312</v>
      </c>
      <c r="C51" s="4">
        <v>46191</v>
      </c>
      <c r="D51" s="4">
        <v>46205</v>
      </c>
      <c r="E51" s="4">
        <v>46202</v>
      </c>
      <c r="F51" s="63" t="s">
        <v>209</v>
      </c>
      <c r="G51" s="63" t="s">
        <v>3845</v>
      </c>
      <c r="H51" s="63" t="s">
        <v>316</v>
      </c>
      <c r="I51" s="63" t="s">
        <v>120</v>
      </c>
      <c r="J51" s="63" t="s">
        <v>112</v>
      </c>
      <c r="K51" s="63" t="s">
        <v>313</v>
      </c>
      <c r="L51" s="63" t="s">
        <v>114</v>
      </c>
      <c r="M51" s="69">
        <v>496.7</v>
      </c>
      <c r="N51" s="63" t="s">
        <v>104</v>
      </c>
      <c r="O51" s="73">
        <f>_xlfn.XLOOKUP(Supplier_Perf_Table[[#This Row],[Currency]],'Comments 2'!$C$4:$C$16,'Comments 2'!$D$4:$D$16)</f>
        <v>1.9E-2</v>
      </c>
      <c r="P51" s="69">
        <f>IFERROR(Supplier_Perf_Table[[#This Row],[Unit_Cost]]*Supplier_Perf_Table[[#This Row],[Dollar Equivalent]],"")</f>
        <v>9.4372999999999987</v>
      </c>
      <c r="Q51" s="75">
        <v>75</v>
      </c>
      <c r="R51" s="1">
        <v>37252.5</v>
      </c>
      <c r="S51" s="75">
        <f>Supplier_Perf_Table[[#This Row],[Unit_Cost]]*Supplier_Perf_Table[[#This Row],[Order_Quantity]]</f>
        <v>37252.5</v>
      </c>
      <c r="T51" s="75">
        <f>IFERROR(Supplier_Perf_Table[[#This Row],[Dollar Equivalent]]*Supplier_Perf_Table[[#This Row],[Ordered_Value]],"")</f>
        <v>707.79750000000001</v>
      </c>
      <c r="U51" s="75">
        <v>0</v>
      </c>
      <c r="V51" s="7">
        <v>0</v>
      </c>
      <c r="W51" s="75">
        <v>11</v>
      </c>
      <c r="X51" s="55">
        <f>IFERROR(Supplier_Perf_Table[[#This Row],[Actual_Delivery_Date]]-Supplier_Perf_Table[[#This Row],[Order Date]],"")</f>
        <v>11</v>
      </c>
      <c r="Y51" s="75">
        <v>14</v>
      </c>
      <c r="Z51" s="56">
        <f>IFERROR(Supplier_Perf_Table[[#This Row],[Expected Delivery_Date]]-Supplier_Perf_Table[[#This Row],[Order Date]],"")</f>
        <v>14</v>
      </c>
      <c r="AA51" s="56">
        <f>Supplier_Perf_Table[[#This Row],[Calculated_Lead_Time2]]-Supplier_Perf_Table[[#This Row],[Calculated_Expected_Lead_Time]]</f>
        <v>-3</v>
      </c>
      <c r="AB51" s="75">
        <v>-3</v>
      </c>
      <c r="AC51" s="63" t="s">
        <v>87</v>
      </c>
      <c r="AD51" s="63" t="s">
        <v>40</v>
      </c>
      <c r="AE51" s="63" t="s">
        <v>3088</v>
      </c>
      <c r="AF51" s="63" t="s">
        <v>66</v>
      </c>
      <c r="AG51" s="63" t="s">
        <v>128</v>
      </c>
      <c r="AH51" s="63" t="s">
        <v>3112</v>
      </c>
      <c r="AI51" s="63" t="s">
        <v>44</v>
      </c>
      <c r="AJ51" s="63" t="s">
        <v>138</v>
      </c>
      <c r="AK51" s="83">
        <v>3.3</v>
      </c>
      <c r="AL51" s="63" t="s">
        <v>57</v>
      </c>
      <c r="AM51" s="63" t="s">
        <v>130</v>
      </c>
      <c r="AN51"/>
    </row>
    <row r="52" spans="1:40" ht="18" customHeight="1">
      <c r="A52" s="1" t="s">
        <v>314</v>
      </c>
      <c r="B52" s="1" t="s">
        <v>315</v>
      </c>
      <c r="C52" s="4">
        <v>46053</v>
      </c>
      <c r="D52" s="4">
        <v>46061</v>
      </c>
      <c r="E52" s="4">
        <v>46065</v>
      </c>
      <c r="F52" s="63" t="s">
        <v>209</v>
      </c>
      <c r="G52" s="63" t="s">
        <v>3845</v>
      </c>
      <c r="H52" s="63" t="s">
        <v>316</v>
      </c>
      <c r="I52" s="63" t="s">
        <v>49</v>
      </c>
      <c r="J52" s="63" t="s">
        <v>153</v>
      </c>
      <c r="K52" s="63" t="s">
        <v>317</v>
      </c>
      <c r="L52" s="63" t="s">
        <v>318</v>
      </c>
      <c r="M52" s="69">
        <v>672.03</v>
      </c>
      <c r="N52" s="63" t="s">
        <v>65</v>
      </c>
      <c r="O52" s="73">
        <f>_xlfn.XLOOKUP(Supplier_Perf_Table[[#This Row],[Currency]],'Comments 2'!$C$4:$C$16,'Comments 2'!$D$4:$D$16)</f>
        <v>1</v>
      </c>
      <c r="P52" s="69">
        <f>IFERROR(Supplier_Perf_Table[[#This Row],[Unit_Cost]]*Supplier_Perf_Table[[#This Row],[Dollar Equivalent]],"")</f>
        <v>672.03</v>
      </c>
      <c r="Q52" s="75">
        <v>200</v>
      </c>
      <c r="R52" s="1">
        <v>134406</v>
      </c>
      <c r="S52" s="75">
        <f>Supplier_Perf_Table[[#This Row],[Unit_Cost]]*Supplier_Perf_Table[[#This Row],[Order_Quantity]]</f>
        <v>134406</v>
      </c>
      <c r="T52" s="75">
        <f>IFERROR(Supplier_Perf_Table[[#This Row],[Dollar Equivalent]]*Supplier_Perf_Table[[#This Row],[Ordered_Value]],"")</f>
        <v>134406</v>
      </c>
      <c r="U52" s="75">
        <v>3</v>
      </c>
      <c r="V52" s="7">
        <v>1.4999999999999999E-2</v>
      </c>
      <c r="W52" s="75">
        <v>12</v>
      </c>
      <c r="X52" s="55">
        <f>IFERROR(Supplier_Perf_Table[[#This Row],[Actual_Delivery_Date]]-Supplier_Perf_Table[[#This Row],[Order Date]],"")</f>
        <v>12</v>
      </c>
      <c r="Y52" s="75">
        <v>8</v>
      </c>
      <c r="Z52" s="56">
        <f>IFERROR(Supplier_Perf_Table[[#This Row],[Expected Delivery_Date]]-Supplier_Perf_Table[[#This Row],[Order Date]],"")</f>
        <v>8</v>
      </c>
      <c r="AA52" s="56">
        <f>Supplier_Perf_Table[[#This Row],[Calculated_Lead_Time2]]-Supplier_Perf_Table[[#This Row],[Calculated_Expected_Lead_Time]]</f>
        <v>4</v>
      </c>
      <c r="AB52" s="75">
        <v>4</v>
      </c>
      <c r="AC52" s="63" t="s">
        <v>39</v>
      </c>
      <c r="AD52" s="63" t="s">
        <v>40</v>
      </c>
      <c r="AE52" s="63" t="s">
        <v>105</v>
      </c>
      <c r="AF52" s="63" t="s">
        <v>106</v>
      </c>
      <c r="AG52" s="63" t="s">
        <v>128</v>
      </c>
      <c r="AH52" s="63" t="s">
        <v>136</v>
      </c>
      <c r="AI52" s="63" t="s">
        <v>137</v>
      </c>
      <c r="AJ52" s="63" t="s">
        <v>138</v>
      </c>
      <c r="AK52" s="83">
        <v>2.6</v>
      </c>
      <c r="AL52" s="63" t="s">
        <v>57</v>
      </c>
      <c r="AM52" s="63" t="s">
        <v>46</v>
      </c>
      <c r="AN52"/>
    </row>
    <row r="53" spans="1:40" ht="18" customHeight="1">
      <c r="A53" s="1" t="s">
        <v>319</v>
      </c>
      <c r="B53" s="1" t="s">
        <v>320</v>
      </c>
      <c r="C53" s="4">
        <v>46191</v>
      </c>
      <c r="D53" s="4">
        <v>46201</v>
      </c>
      <c r="E53" s="4">
        <v>46197</v>
      </c>
      <c r="F53" s="63" t="s">
        <v>69</v>
      </c>
      <c r="G53" s="63" t="s">
        <v>3838</v>
      </c>
      <c r="H53" s="63" t="s">
        <v>194</v>
      </c>
      <c r="I53" s="63" t="s">
        <v>92</v>
      </c>
      <c r="J53" s="63" t="s">
        <v>112</v>
      </c>
      <c r="K53" s="63" t="s">
        <v>321</v>
      </c>
      <c r="L53" s="63" t="s">
        <v>218</v>
      </c>
      <c r="M53" s="69">
        <v>766.08</v>
      </c>
      <c r="N53" s="63" t="s">
        <v>104</v>
      </c>
      <c r="O53" s="73">
        <f>_xlfn.XLOOKUP(Supplier_Perf_Table[[#This Row],[Currency]],'Comments 2'!$C$4:$C$16,'Comments 2'!$D$4:$D$16)</f>
        <v>1.9E-2</v>
      </c>
      <c r="P53" s="69">
        <f>IFERROR(Supplier_Perf_Table[[#This Row],[Unit_Cost]]*Supplier_Perf_Table[[#This Row],[Dollar Equivalent]],"")</f>
        <v>14.55552</v>
      </c>
      <c r="Q53" s="75">
        <v>75</v>
      </c>
      <c r="R53" s="1">
        <v>57456</v>
      </c>
      <c r="S53" s="75">
        <f>Supplier_Perf_Table[[#This Row],[Unit_Cost]]*Supplier_Perf_Table[[#This Row],[Order_Quantity]]</f>
        <v>57456</v>
      </c>
      <c r="T53" s="75">
        <f>IFERROR(Supplier_Perf_Table[[#This Row],[Dollar Equivalent]]*Supplier_Perf_Table[[#This Row],[Ordered_Value]],"")</f>
        <v>1091.664</v>
      </c>
      <c r="U53" s="75">
        <v>0</v>
      </c>
      <c r="V53" s="7">
        <v>0</v>
      </c>
      <c r="W53" s="75">
        <v>6</v>
      </c>
      <c r="X53" s="55">
        <f>IFERROR(Supplier_Perf_Table[[#This Row],[Actual_Delivery_Date]]-Supplier_Perf_Table[[#This Row],[Order Date]],"")</f>
        <v>6</v>
      </c>
      <c r="Y53" s="75">
        <v>10</v>
      </c>
      <c r="Z53" s="56">
        <f>IFERROR(Supplier_Perf_Table[[#This Row],[Expected Delivery_Date]]-Supplier_Perf_Table[[#This Row],[Order Date]],"")</f>
        <v>10</v>
      </c>
      <c r="AA53" s="56">
        <f>Supplier_Perf_Table[[#This Row],[Calculated_Lead_Time2]]-Supplier_Perf_Table[[#This Row],[Calculated_Expected_Lead_Time]]</f>
        <v>-4</v>
      </c>
      <c r="AB53" s="75">
        <v>-4</v>
      </c>
      <c r="AC53" s="63" t="s">
        <v>87</v>
      </c>
      <c r="AD53" s="63" t="s">
        <v>40</v>
      </c>
      <c r="AE53" s="63" t="s">
        <v>105</v>
      </c>
      <c r="AF53" s="63" t="s">
        <v>106</v>
      </c>
      <c r="AG53" s="63" t="s">
        <v>43</v>
      </c>
      <c r="AH53" s="63" t="s">
        <v>206</v>
      </c>
      <c r="AI53" s="63" t="s">
        <v>44</v>
      </c>
      <c r="AJ53" s="63" t="s">
        <v>138</v>
      </c>
      <c r="AK53" s="83">
        <v>3.9</v>
      </c>
      <c r="AL53" s="63" t="s">
        <v>57</v>
      </c>
      <c r="AM53" s="63" t="s">
        <v>138</v>
      </c>
      <c r="AN53"/>
    </row>
    <row r="54" spans="1:40" ht="18" customHeight="1">
      <c r="A54" s="1" t="s">
        <v>322</v>
      </c>
      <c r="B54" s="1" t="s">
        <v>323</v>
      </c>
      <c r="C54" s="4">
        <v>46035</v>
      </c>
      <c r="D54" s="4">
        <v>46053</v>
      </c>
      <c r="E54" s="4">
        <v>46064</v>
      </c>
      <c r="F54" s="63" t="s">
        <v>90</v>
      </c>
      <c r="G54" s="63" t="s">
        <v>3840</v>
      </c>
      <c r="H54" s="63" t="s">
        <v>133</v>
      </c>
      <c r="I54" s="63" t="s">
        <v>83</v>
      </c>
      <c r="J54" s="63" t="s">
        <v>71</v>
      </c>
      <c r="K54" s="63" t="s">
        <v>324</v>
      </c>
      <c r="L54" s="63" t="s">
        <v>73</v>
      </c>
      <c r="M54" s="69">
        <v>651.67999999999995</v>
      </c>
      <c r="N54" s="63" t="s">
        <v>38</v>
      </c>
      <c r="O54" s="73">
        <f>_xlfn.XLOOKUP(Supplier_Perf_Table[[#This Row],[Currency]],'Comments 2'!$C$4:$C$16,'Comments 2'!$D$4:$D$16)</f>
        <v>7.7000000000000002E-3</v>
      </c>
      <c r="P54" s="69">
        <f>IFERROR(Supplier_Perf_Table[[#This Row],[Unit_Cost]]*Supplier_Perf_Table[[#This Row],[Dollar Equivalent]],"")</f>
        <v>5.0179359999999997</v>
      </c>
      <c r="Q54" s="75">
        <v>75</v>
      </c>
      <c r="R54" s="1">
        <v>48876</v>
      </c>
      <c r="S54" s="75">
        <f>Supplier_Perf_Table[[#This Row],[Unit_Cost]]*Supplier_Perf_Table[[#This Row],[Order_Quantity]]</f>
        <v>48875.999999999993</v>
      </c>
      <c r="T54" s="75">
        <f>IFERROR(Supplier_Perf_Table[[#This Row],[Dollar Equivalent]]*Supplier_Perf_Table[[#This Row],[Ordered_Value]],"")</f>
        <v>376.34520000000003</v>
      </c>
      <c r="U54" s="75">
        <v>0</v>
      </c>
      <c r="V54" s="7">
        <v>0</v>
      </c>
      <c r="W54" s="75" t="s">
        <v>3080</v>
      </c>
      <c r="X54" s="55">
        <f>IFERROR(Supplier_Perf_Table[[#This Row],[Actual_Delivery_Date]]-Supplier_Perf_Table[[#This Row],[Order Date]],"")</f>
        <v>29</v>
      </c>
      <c r="Y54" s="75">
        <v>18</v>
      </c>
      <c r="Z54" s="56">
        <f>IFERROR(Supplier_Perf_Table[[#This Row],[Expected Delivery_Date]]-Supplier_Perf_Table[[#This Row],[Order Date]],"")</f>
        <v>18</v>
      </c>
      <c r="AA54" s="56">
        <f>Supplier_Perf_Table[[#This Row],[Calculated_Lead_Time2]]-Supplier_Perf_Table[[#This Row],[Calculated_Expected_Lead_Time]]</f>
        <v>11</v>
      </c>
      <c r="AB54" s="75">
        <v>11</v>
      </c>
      <c r="AC54" s="63" t="s">
        <v>39</v>
      </c>
      <c r="AD54" s="63" t="s">
        <v>40</v>
      </c>
      <c r="AE54" s="63" t="s">
        <v>127</v>
      </c>
      <c r="AF54" s="63" t="s">
        <v>66</v>
      </c>
      <c r="AG54" s="63" t="s">
        <v>43</v>
      </c>
      <c r="AH54" s="63" t="s">
        <v>3112</v>
      </c>
      <c r="AI54" s="63" t="s">
        <v>56</v>
      </c>
      <c r="AJ54" s="63" t="s">
        <v>138</v>
      </c>
      <c r="AK54" s="83">
        <v>3.3</v>
      </c>
      <c r="AL54" s="63" t="s">
        <v>139</v>
      </c>
      <c r="AM54" s="63" t="s">
        <v>148</v>
      </c>
      <c r="AN54"/>
    </row>
    <row r="55" spans="1:40" ht="18" customHeight="1">
      <c r="A55" s="1" t="s">
        <v>325</v>
      </c>
      <c r="B55" s="1" t="s">
        <v>326</v>
      </c>
      <c r="C55" s="4">
        <v>46106</v>
      </c>
      <c r="D55" s="4">
        <v>46113</v>
      </c>
      <c r="E55" s="4">
        <v>46118</v>
      </c>
      <c r="F55" s="63" t="s">
        <v>151</v>
      </c>
      <c r="G55" s="63" t="s">
        <v>3844</v>
      </c>
      <c r="H55" s="63" t="s">
        <v>152</v>
      </c>
      <c r="I55" s="63" t="s">
        <v>49</v>
      </c>
      <c r="J55" s="63" t="s">
        <v>112</v>
      </c>
      <c r="K55" s="63" t="s">
        <v>327</v>
      </c>
      <c r="L55" s="63" t="s">
        <v>218</v>
      </c>
      <c r="M55" s="69">
        <v>193.09</v>
      </c>
      <c r="N55" s="63" t="s">
        <v>104</v>
      </c>
      <c r="O55" s="73">
        <f>_xlfn.XLOOKUP(Supplier_Perf_Table[[#This Row],[Currency]],'Comments 2'!$C$4:$C$16,'Comments 2'!$D$4:$D$16)</f>
        <v>1.9E-2</v>
      </c>
      <c r="P55" s="69">
        <f>IFERROR(Supplier_Perf_Table[[#This Row],[Unit_Cost]]*Supplier_Perf_Table[[#This Row],[Dollar Equivalent]],"")</f>
        <v>3.6687099999999999</v>
      </c>
      <c r="Q55" s="75">
        <v>500</v>
      </c>
      <c r="R55" s="1">
        <v>96545</v>
      </c>
      <c r="S55" s="75">
        <f>Supplier_Perf_Table[[#This Row],[Unit_Cost]]*Supplier_Perf_Table[[#This Row],[Order_Quantity]]</f>
        <v>96545</v>
      </c>
      <c r="T55" s="75">
        <f>IFERROR(Supplier_Perf_Table[[#This Row],[Dollar Equivalent]]*Supplier_Perf_Table[[#This Row],[Ordered_Value]],"")</f>
        <v>1834.355</v>
      </c>
      <c r="U55" s="75">
        <v>0</v>
      </c>
      <c r="V55" s="7">
        <v>0</v>
      </c>
      <c r="W55" s="75">
        <v>12</v>
      </c>
      <c r="X55" s="55">
        <f>IFERROR(Supplier_Perf_Table[[#This Row],[Actual_Delivery_Date]]-Supplier_Perf_Table[[#This Row],[Order Date]],"")</f>
        <v>12</v>
      </c>
      <c r="Y55" s="75">
        <v>7</v>
      </c>
      <c r="Z55" s="56">
        <f>IFERROR(Supplier_Perf_Table[[#This Row],[Expected Delivery_Date]]-Supplier_Perf_Table[[#This Row],[Order Date]],"")</f>
        <v>7</v>
      </c>
      <c r="AA55" s="56">
        <f>Supplier_Perf_Table[[#This Row],[Calculated_Lead_Time2]]-Supplier_Perf_Table[[#This Row],[Calculated_Expected_Lead_Time]]</f>
        <v>5</v>
      </c>
      <c r="AB55" s="75">
        <v>5</v>
      </c>
      <c r="AC55" s="63" t="s">
        <v>205</v>
      </c>
      <c r="AD55" s="63" t="s">
        <v>40</v>
      </c>
      <c r="AE55" s="63" t="s">
        <v>3088</v>
      </c>
      <c r="AF55" s="63" t="s">
        <v>106</v>
      </c>
      <c r="AG55" s="63" t="s">
        <v>173</v>
      </c>
      <c r="AH55" s="63" t="s">
        <v>129</v>
      </c>
      <c r="AI55" s="63" t="s">
        <v>137</v>
      </c>
      <c r="AJ55" s="63" t="s">
        <v>138</v>
      </c>
      <c r="AK55" s="83">
        <v>4.2</v>
      </c>
      <c r="AL55" s="63" t="s">
        <v>115</v>
      </c>
      <c r="AM55" s="63" t="s">
        <v>148</v>
      </c>
      <c r="AN55"/>
    </row>
    <row r="56" spans="1:40" ht="18" customHeight="1">
      <c r="A56" s="1" t="s">
        <v>328</v>
      </c>
      <c r="B56" s="1" t="s">
        <v>329</v>
      </c>
      <c r="C56" s="4">
        <v>46098</v>
      </c>
      <c r="D56" s="4">
        <v>46115</v>
      </c>
      <c r="E56" s="4">
        <v>46124</v>
      </c>
      <c r="F56" s="63" t="s">
        <v>142</v>
      </c>
      <c r="G56" s="63" t="s">
        <v>3843</v>
      </c>
      <c r="H56" s="63" t="s">
        <v>169</v>
      </c>
      <c r="I56" s="63" t="s">
        <v>178</v>
      </c>
      <c r="J56" s="63" t="s">
        <v>153</v>
      </c>
      <c r="K56" s="63" t="s">
        <v>330</v>
      </c>
      <c r="L56" s="63" t="s">
        <v>155</v>
      </c>
      <c r="M56" s="69">
        <v>745.01</v>
      </c>
      <c r="N56" s="63" t="s">
        <v>53</v>
      </c>
      <c r="O56" s="73">
        <f>_xlfn.XLOOKUP(Supplier_Perf_Table[[#This Row],[Currency]],'Comments 2'!$C$4:$C$16,'Comments 2'!$D$4:$D$16)</f>
        <v>6.0999999999999999E-2</v>
      </c>
      <c r="P56" s="69">
        <f>IFERROR(Supplier_Perf_Table[[#This Row],[Unit_Cost]]*Supplier_Perf_Table[[#This Row],[Dollar Equivalent]],"")</f>
        <v>45.445609999999995</v>
      </c>
      <c r="Q56" s="75">
        <v>150</v>
      </c>
      <c r="R56" s="1">
        <v>111751.5</v>
      </c>
      <c r="S56" s="75">
        <f>Supplier_Perf_Table[[#This Row],[Unit_Cost]]*Supplier_Perf_Table[[#This Row],[Order_Quantity]]</f>
        <v>111751.5</v>
      </c>
      <c r="T56" s="75">
        <f>IFERROR(Supplier_Perf_Table[[#This Row],[Dollar Equivalent]]*Supplier_Perf_Table[[#This Row],[Ordered_Value]],"")</f>
        <v>6816.8414999999995</v>
      </c>
      <c r="U56" s="75"/>
      <c r="V56" s="7">
        <v>6.7000000000000002E-3</v>
      </c>
      <c r="W56" s="75" t="s">
        <v>3080</v>
      </c>
      <c r="X56" s="55">
        <f>IFERROR(Supplier_Perf_Table[[#This Row],[Actual_Delivery_Date]]-Supplier_Perf_Table[[#This Row],[Order Date]],"")</f>
        <v>26</v>
      </c>
      <c r="Y56" s="75">
        <v>17</v>
      </c>
      <c r="Z56" s="56">
        <f>IFERROR(Supplier_Perf_Table[[#This Row],[Expected Delivery_Date]]-Supplier_Perf_Table[[#This Row],[Order Date]],"")</f>
        <v>17</v>
      </c>
      <c r="AA56" s="56">
        <f>Supplier_Perf_Table[[#This Row],[Calculated_Lead_Time2]]-Supplier_Perf_Table[[#This Row],[Calculated_Expected_Lead_Time]]</f>
        <v>9</v>
      </c>
      <c r="AB56" s="75">
        <v>9</v>
      </c>
      <c r="AC56" s="63" t="s">
        <v>39</v>
      </c>
      <c r="AD56" s="63" t="s">
        <v>40</v>
      </c>
      <c r="AE56" s="63" t="s">
        <v>3088</v>
      </c>
      <c r="AF56" s="63" t="s">
        <v>3088</v>
      </c>
      <c r="AG56" s="63" t="s">
        <v>107</v>
      </c>
      <c r="AH56" s="63" t="s">
        <v>174</v>
      </c>
      <c r="AI56" s="63" t="s">
        <v>95</v>
      </c>
      <c r="AJ56" s="63" t="s">
        <v>138</v>
      </c>
      <c r="AK56" s="83">
        <v>2.9</v>
      </c>
      <c r="AL56" s="63" t="s">
        <v>57</v>
      </c>
      <c r="AM56" s="63" t="s">
        <v>148</v>
      </c>
      <c r="AN56"/>
    </row>
    <row r="57" spans="1:40" ht="18" customHeight="1">
      <c r="A57" s="1" t="s">
        <v>331</v>
      </c>
      <c r="B57" s="1" t="s">
        <v>332</v>
      </c>
      <c r="C57" s="4">
        <v>46155</v>
      </c>
      <c r="D57" s="4">
        <v>46175</v>
      </c>
      <c r="E57" s="4">
        <v>46183</v>
      </c>
      <c r="F57" s="63" t="s">
        <v>118</v>
      </c>
      <c r="G57" s="63" t="s">
        <v>3842</v>
      </c>
      <c r="H57" s="63" t="s">
        <v>301</v>
      </c>
      <c r="I57" s="63" t="s">
        <v>61</v>
      </c>
      <c r="J57" s="63" t="s">
        <v>62</v>
      </c>
      <c r="K57" s="63" t="s">
        <v>333</v>
      </c>
      <c r="L57" s="63" t="s">
        <v>122</v>
      </c>
      <c r="M57" s="69">
        <v>408.48</v>
      </c>
      <c r="N57" s="63" t="s">
        <v>86</v>
      </c>
      <c r="O57" s="73">
        <f>_xlfn.XLOOKUP(Supplier_Perf_Table[[#This Row],[Currency]],'Comments 2'!$C$4:$C$16,'Comments 2'!$D$4:$D$16)</f>
        <v>8.8999999999999996E-2</v>
      </c>
      <c r="P57" s="69">
        <f>IFERROR(Supplier_Perf_Table[[#This Row],[Unit_Cost]]*Supplier_Perf_Table[[#This Row],[Dollar Equivalent]],"")</f>
        <v>36.35472</v>
      </c>
      <c r="Q57" s="75">
        <v>1000</v>
      </c>
      <c r="R57" s="1">
        <v>408480</v>
      </c>
      <c r="S57" s="75">
        <f>Supplier_Perf_Table[[#This Row],[Unit_Cost]]*Supplier_Perf_Table[[#This Row],[Order_Quantity]]</f>
        <v>408480</v>
      </c>
      <c r="T57" s="75">
        <f>IFERROR(Supplier_Perf_Table[[#This Row],[Dollar Equivalent]]*Supplier_Perf_Table[[#This Row],[Ordered_Value]],"")</f>
        <v>36354.720000000001</v>
      </c>
      <c r="U57" s="75">
        <v>1016</v>
      </c>
      <c r="V57" s="7">
        <v>1.4E-2</v>
      </c>
      <c r="W57" s="75">
        <v>28</v>
      </c>
      <c r="X57" s="55">
        <f>IFERROR(Supplier_Perf_Table[[#This Row],[Actual_Delivery_Date]]-Supplier_Perf_Table[[#This Row],[Order Date]],"")</f>
        <v>28</v>
      </c>
      <c r="Y57" s="75">
        <v>20</v>
      </c>
      <c r="Z57" s="56">
        <f>IFERROR(Supplier_Perf_Table[[#This Row],[Expected Delivery_Date]]-Supplier_Perf_Table[[#This Row],[Order Date]],"")</f>
        <v>20</v>
      </c>
      <c r="AA57" s="56">
        <f>Supplier_Perf_Table[[#This Row],[Calculated_Lead_Time2]]-Supplier_Perf_Table[[#This Row],[Calculated_Expected_Lead_Time]]</f>
        <v>8</v>
      </c>
      <c r="AB57" s="75">
        <v>8</v>
      </c>
      <c r="AC57" s="63" t="s">
        <v>39</v>
      </c>
      <c r="AD57" s="63" t="s">
        <v>40</v>
      </c>
      <c r="AE57" s="63" t="s">
        <v>3088</v>
      </c>
      <c r="AF57" s="63" t="s">
        <v>212</v>
      </c>
      <c r="AG57" s="63" t="s">
        <v>173</v>
      </c>
      <c r="AH57" s="63" t="s">
        <v>55</v>
      </c>
      <c r="AI57" s="63" t="s">
        <v>56</v>
      </c>
      <c r="AJ57" s="63" t="s">
        <v>138</v>
      </c>
      <c r="AK57" s="83">
        <v>1.8</v>
      </c>
      <c r="AL57" s="63" t="s">
        <v>139</v>
      </c>
      <c r="AM57" s="63" t="s">
        <v>148</v>
      </c>
      <c r="AN57"/>
    </row>
    <row r="58" spans="1:40" ht="18" customHeight="1">
      <c r="A58" s="1" t="s">
        <v>334</v>
      </c>
      <c r="B58" s="1" t="s">
        <v>335</v>
      </c>
      <c r="C58" s="4">
        <v>46189</v>
      </c>
      <c r="D58" s="4">
        <v>46201</v>
      </c>
      <c r="E58" s="4">
        <v>46212</v>
      </c>
      <c r="F58" s="63" t="s">
        <v>215</v>
      </c>
      <c r="G58" s="63" t="s">
        <v>3846</v>
      </c>
      <c r="H58" s="63" t="s">
        <v>152</v>
      </c>
      <c r="I58" s="63" t="s">
        <v>83</v>
      </c>
      <c r="J58" s="63" t="s">
        <v>71</v>
      </c>
      <c r="K58" s="63" t="s">
        <v>336</v>
      </c>
      <c r="L58" s="63" t="s">
        <v>337</v>
      </c>
      <c r="M58" s="69">
        <v>507.98</v>
      </c>
      <c r="N58" s="63" t="s">
        <v>86</v>
      </c>
      <c r="O58" s="73">
        <f>_xlfn.XLOOKUP(Supplier_Perf_Table[[#This Row],[Currency]],'Comments 2'!$C$4:$C$16,'Comments 2'!$D$4:$D$16)</f>
        <v>8.8999999999999996E-2</v>
      </c>
      <c r="P58" s="69">
        <f>IFERROR(Supplier_Perf_Table[[#This Row],[Unit_Cost]]*Supplier_Perf_Table[[#This Row],[Dollar Equivalent]],"")</f>
        <v>45.21022</v>
      </c>
      <c r="Q58" s="75">
        <v>50</v>
      </c>
      <c r="R58" s="1">
        <v>25399</v>
      </c>
      <c r="S58" s="75">
        <f>Supplier_Perf_Table[[#This Row],[Unit_Cost]]*Supplier_Perf_Table[[#This Row],[Order_Quantity]]</f>
        <v>25399</v>
      </c>
      <c r="T58" s="75">
        <f>IFERROR(Supplier_Perf_Table[[#This Row],[Dollar Equivalent]]*Supplier_Perf_Table[[#This Row],[Ordered_Value]],"")</f>
        <v>2260.511</v>
      </c>
      <c r="U58" s="75">
        <v>3</v>
      </c>
      <c r="V58" s="7">
        <v>0.06</v>
      </c>
      <c r="W58" s="75">
        <v>23</v>
      </c>
      <c r="X58" s="55">
        <f>IFERROR(Supplier_Perf_Table[[#This Row],[Actual_Delivery_Date]]-Supplier_Perf_Table[[#This Row],[Order Date]],"")</f>
        <v>23</v>
      </c>
      <c r="Y58" s="75">
        <v>12</v>
      </c>
      <c r="Z58" s="56">
        <f>IFERROR(Supplier_Perf_Table[[#This Row],[Expected Delivery_Date]]-Supplier_Perf_Table[[#This Row],[Order Date]],"")</f>
        <v>12</v>
      </c>
      <c r="AA58" s="56">
        <f>Supplier_Perf_Table[[#This Row],[Calculated_Lead_Time2]]-Supplier_Perf_Table[[#This Row],[Calculated_Expected_Lead_Time]]</f>
        <v>11</v>
      </c>
      <c r="AB58" s="75">
        <v>11</v>
      </c>
      <c r="AC58" s="63" t="s">
        <v>135</v>
      </c>
      <c r="AD58" s="63" t="s">
        <v>74</v>
      </c>
      <c r="AE58" s="63" t="s">
        <v>105</v>
      </c>
      <c r="AF58" s="63" t="s">
        <v>106</v>
      </c>
      <c r="AG58" s="63" t="s">
        <v>128</v>
      </c>
      <c r="AH58" s="63" t="s">
        <v>174</v>
      </c>
      <c r="AI58" s="63" t="s">
        <v>138</v>
      </c>
      <c r="AJ58" s="63" t="s">
        <v>283</v>
      </c>
      <c r="AK58" s="83">
        <v>3.4</v>
      </c>
      <c r="AL58" s="63" t="s">
        <v>57</v>
      </c>
      <c r="AM58" s="63" t="s">
        <v>77</v>
      </c>
      <c r="AN58"/>
    </row>
    <row r="59" spans="1:40" ht="18" customHeight="1">
      <c r="A59" s="1" t="s">
        <v>338</v>
      </c>
      <c r="B59" s="1" t="s">
        <v>339</v>
      </c>
      <c r="C59" s="4">
        <v>46101</v>
      </c>
      <c r="D59" s="4">
        <v>46112</v>
      </c>
      <c r="E59" s="4">
        <v>46111</v>
      </c>
      <c r="F59" s="63" t="s">
        <v>48</v>
      </c>
      <c r="G59" s="63" t="s">
        <v>3836</v>
      </c>
      <c r="H59" s="63" t="s">
        <v>102</v>
      </c>
      <c r="I59" s="63" t="s">
        <v>92</v>
      </c>
      <c r="J59" s="63" t="s">
        <v>62</v>
      </c>
      <c r="K59" s="63" t="s">
        <v>340</v>
      </c>
      <c r="L59" s="63" t="s">
        <v>94</v>
      </c>
      <c r="M59" s="69">
        <v>510.27</v>
      </c>
      <c r="N59" s="63" t="s">
        <v>104</v>
      </c>
      <c r="O59" s="73">
        <f>_xlfn.XLOOKUP(Supplier_Perf_Table[[#This Row],[Currency]],'Comments 2'!$C$4:$C$16,'Comments 2'!$D$4:$D$16)</f>
        <v>1.9E-2</v>
      </c>
      <c r="P59" s="69">
        <f>IFERROR(Supplier_Perf_Table[[#This Row],[Unit_Cost]]*Supplier_Perf_Table[[#This Row],[Dollar Equivalent]],"")</f>
        <v>9.6951299999999989</v>
      </c>
      <c r="Q59" s="75">
        <v>1000</v>
      </c>
      <c r="R59" s="1">
        <v>510270</v>
      </c>
      <c r="S59" s="75">
        <f>Supplier_Perf_Table[[#This Row],[Unit_Cost]]*Supplier_Perf_Table[[#This Row],[Order_Quantity]]</f>
        <v>510270</v>
      </c>
      <c r="T59" s="75">
        <f>IFERROR(Supplier_Perf_Table[[#This Row],[Dollar Equivalent]]*Supplier_Perf_Table[[#This Row],[Ordered_Value]],"")</f>
        <v>9695.1299999999992</v>
      </c>
      <c r="U59" s="75">
        <v>10</v>
      </c>
      <c r="V59" s="7">
        <v>0.01</v>
      </c>
      <c r="W59" s="75">
        <v>10</v>
      </c>
      <c r="X59" s="55">
        <f>IFERROR(Supplier_Perf_Table[[#This Row],[Actual_Delivery_Date]]-Supplier_Perf_Table[[#This Row],[Order Date]],"")</f>
        <v>10</v>
      </c>
      <c r="Y59" s="75">
        <v>11</v>
      </c>
      <c r="Z59" s="56">
        <f>IFERROR(Supplier_Perf_Table[[#This Row],[Expected Delivery_Date]]-Supplier_Perf_Table[[#This Row],[Order Date]],"")</f>
        <v>11</v>
      </c>
      <c r="AA59" s="56">
        <f>Supplier_Perf_Table[[#This Row],[Calculated_Lead_Time2]]-Supplier_Perf_Table[[#This Row],[Calculated_Expected_Lead_Time]]</f>
        <v>-1</v>
      </c>
      <c r="AB59" s="75">
        <v>-1</v>
      </c>
      <c r="AC59" s="63" t="s">
        <v>87</v>
      </c>
      <c r="AD59" s="63" t="s">
        <v>40</v>
      </c>
      <c r="AE59" s="63" t="s">
        <v>146</v>
      </c>
      <c r="AF59" s="63" t="s">
        <v>42</v>
      </c>
      <c r="AG59" s="63" t="s">
        <v>107</v>
      </c>
      <c r="AH59" s="63" t="s">
        <v>88</v>
      </c>
      <c r="AI59" s="63" t="s">
        <v>147</v>
      </c>
      <c r="AJ59" s="63" t="s">
        <v>138</v>
      </c>
      <c r="AK59" s="83">
        <v>4.8</v>
      </c>
      <c r="AL59" s="63" t="s">
        <v>139</v>
      </c>
      <c r="AM59" s="63" t="s">
        <v>130</v>
      </c>
      <c r="AN59"/>
    </row>
    <row r="60" spans="1:40" ht="18" customHeight="1">
      <c r="A60" s="1" t="s">
        <v>341</v>
      </c>
      <c r="B60" s="1" t="s">
        <v>342</v>
      </c>
      <c r="C60" s="4">
        <v>46150</v>
      </c>
      <c r="D60" s="4">
        <v>46162</v>
      </c>
      <c r="E60" s="4">
        <v>46169</v>
      </c>
      <c r="F60" s="63" t="s">
        <v>256</v>
      </c>
      <c r="G60" s="63" t="s">
        <v>3849</v>
      </c>
      <c r="H60" s="63" t="s">
        <v>258</v>
      </c>
      <c r="I60" s="63" t="s">
        <v>83</v>
      </c>
      <c r="J60" s="63" t="s">
        <v>62</v>
      </c>
      <c r="K60" s="63" t="s">
        <v>343</v>
      </c>
      <c r="L60" s="63" t="s">
        <v>122</v>
      </c>
      <c r="M60" s="69">
        <v>509.27</v>
      </c>
      <c r="N60" s="63" t="s">
        <v>53</v>
      </c>
      <c r="O60" s="73">
        <f>_xlfn.XLOOKUP(Supplier_Perf_Table[[#This Row],[Currency]],'Comments 2'!$C$4:$C$16,'Comments 2'!$D$4:$D$16)</f>
        <v>6.0999999999999999E-2</v>
      </c>
      <c r="P60" s="69">
        <f>IFERROR(Supplier_Perf_Table[[#This Row],[Unit_Cost]]*Supplier_Perf_Table[[#This Row],[Dollar Equivalent]],"")</f>
        <v>31.065469999999998</v>
      </c>
      <c r="Q60" s="75">
        <v>750</v>
      </c>
      <c r="R60" s="1">
        <v>381952.5</v>
      </c>
      <c r="S60" s="75">
        <f>Supplier_Perf_Table[[#This Row],[Unit_Cost]]*Supplier_Perf_Table[[#This Row],[Order_Quantity]]</f>
        <v>381952.5</v>
      </c>
      <c r="T60" s="75">
        <f>IFERROR(Supplier_Perf_Table[[#This Row],[Dollar Equivalent]]*Supplier_Perf_Table[[#This Row],[Ordered_Value]],"")</f>
        <v>23299.102500000001</v>
      </c>
      <c r="U60" s="75">
        <v>56</v>
      </c>
      <c r="V60" s="7">
        <v>7.4700000000000003E-2</v>
      </c>
      <c r="W60" s="75">
        <v>19</v>
      </c>
      <c r="X60" s="55">
        <f>IFERROR(Supplier_Perf_Table[[#This Row],[Actual_Delivery_Date]]-Supplier_Perf_Table[[#This Row],[Order Date]],"")</f>
        <v>19</v>
      </c>
      <c r="Y60" s="75">
        <v>12</v>
      </c>
      <c r="Z60" s="56">
        <f>IFERROR(Supplier_Perf_Table[[#This Row],[Expected Delivery_Date]]-Supplier_Perf_Table[[#This Row],[Order Date]],"")</f>
        <v>12</v>
      </c>
      <c r="AA60" s="56">
        <f>Supplier_Perf_Table[[#This Row],[Calculated_Lead_Time2]]-Supplier_Perf_Table[[#This Row],[Calculated_Expected_Lead_Time]]</f>
        <v>7</v>
      </c>
      <c r="AB60" s="75">
        <v>7</v>
      </c>
      <c r="AC60" s="63" t="s">
        <v>39</v>
      </c>
      <c r="AD60" s="63" t="s">
        <v>74</v>
      </c>
      <c r="AE60" s="63" t="s">
        <v>41</v>
      </c>
      <c r="AF60" s="63" t="s">
        <v>190</v>
      </c>
      <c r="AG60" s="63" t="s">
        <v>128</v>
      </c>
      <c r="AH60" s="63" t="s">
        <v>136</v>
      </c>
      <c r="AI60" s="63" t="s">
        <v>44</v>
      </c>
      <c r="AJ60" s="63" t="s">
        <v>283</v>
      </c>
      <c r="AK60" s="83">
        <v>1.3</v>
      </c>
      <c r="AL60" s="63" t="s">
        <v>76</v>
      </c>
      <c r="AM60" s="63" t="s">
        <v>77</v>
      </c>
      <c r="AN60"/>
    </row>
    <row r="61" spans="1:40" ht="18" customHeight="1">
      <c r="A61" s="1" t="s">
        <v>344</v>
      </c>
      <c r="B61" s="1" t="s">
        <v>345</v>
      </c>
      <c r="C61" s="4">
        <v>46108</v>
      </c>
      <c r="D61" s="4">
        <v>46113</v>
      </c>
      <c r="E61" s="4">
        <v>46116</v>
      </c>
      <c r="F61" s="63" t="s">
        <v>151</v>
      </c>
      <c r="G61" s="63" t="s">
        <v>3844</v>
      </c>
      <c r="H61" s="63" t="s">
        <v>152</v>
      </c>
      <c r="I61" s="63" t="s">
        <v>61</v>
      </c>
      <c r="J61" s="63" t="s">
        <v>112</v>
      </c>
      <c r="K61" s="63" t="s">
        <v>346</v>
      </c>
      <c r="L61" s="63" t="s">
        <v>246</v>
      </c>
      <c r="M61" s="69">
        <v>693.41</v>
      </c>
      <c r="N61" s="63" t="s">
        <v>159</v>
      </c>
      <c r="O61" s="73">
        <f>_xlfn.XLOOKUP(Supplier_Perf_Table[[#This Row],[Currency]],'Comments 2'!$C$4:$C$16,'Comments 2'!$D$4:$D$16)</f>
        <v>7.2999999999999996E-4</v>
      </c>
      <c r="P61" s="69">
        <f>IFERROR(Supplier_Perf_Table[[#This Row],[Unit_Cost]]*Supplier_Perf_Table[[#This Row],[Dollar Equivalent]],"")</f>
        <v>0.50618929999999995</v>
      </c>
      <c r="Q61" s="75">
        <v>75</v>
      </c>
      <c r="R61" s="1">
        <v>52005.75</v>
      </c>
      <c r="S61" s="75">
        <f>Supplier_Perf_Table[[#This Row],[Unit_Cost]]*Supplier_Perf_Table[[#This Row],[Order_Quantity]]</f>
        <v>52005.75</v>
      </c>
      <c r="T61" s="75">
        <f>IFERROR(Supplier_Perf_Table[[#This Row],[Dollar Equivalent]]*Supplier_Perf_Table[[#This Row],[Ordered_Value]],"")</f>
        <v>37.964197499999997</v>
      </c>
      <c r="U61" s="75">
        <v>1</v>
      </c>
      <c r="V61" s="7">
        <v>1.3299999999999999E-2</v>
      </c>
      <c r="W61" s="75">
        <v>8</v>
      </c>
      <c r="X61" s="55">
        <f>IFERROR(Supplier_Perf_Table[[#This Row],[Actual_Delivery_Date]]-Supplier_Perf_Table[[#This Row],[Order Date]],"")</f>
        <v>8</v>
      </c>
      <c r="Y61" s="75">
        <v>5</v>
      </c>
      <c r="Z61" s="56">
        <f>IFERROR(Supplier_Perf_Table[[#This Row],[Expected Delivery_Date]]-Supplier_Perf_Table[[#This Row],[Order Date]],"")</f>
        <v>5</v>
      </c>
      <c r="AA61" s="56">
        <f>Supplier_Perf_Table[[#This Row],[Calculated_Lead_Time2]]-Supplier_Perf_Table[[#This Row],[Calculated_Expected_Lead_Time]]</f>
        <v>3</v>
      </c>
      <c r="AB61" s="75">
        <v>3</v>
      </c>
      <c r="AC61" s="63" t="s">
        <v>166</v>
      </c>
      <c r="AD61" s="63" t="s">
        <v>40</v>
      </c>
      <c r="AE61" s="63" t="s">
        <v>127</v>
      </c>
      <c r="AF61" s="63" t="s">
        <v>42</v>
      </c>
      <c r="AG61" s="63" t="s">
        <v>128</v>
      </c>
      <c r="AH61" s="63" t="s">
        <v>55</v>
      </c>
      <c r="AI61" s="63" t="s">
        <v>147</v>
      </c>
      <c r="AJ61" s="63" t="s">
        <v>138</v>
      </c>
      <c r="AK61" s="83">
        <v>3.7</v>
      </c>
      <c r="AL61" s="63" t="s">
        <v>184</v>
      </c>
      <c r="AM61" s="63" t="s">
        <v>196</v>
      </c>
      <c r="AN61"/>
    </row>
    <row r="62" spans="1:40" ht="18" customHeight="1">
      <c r="A62" s="1" t="s">
        <v>347</v>
      </c>
      <c r="B62" s="1" t="s">
        <v>348</v>
      </c>
      <c r="C62" s="4">
        <v>46187</v>
      </c>
      <c r="D62" s="4">
        <v>46204</v>
      </c>
      <c r="E62" s="4">
        <v>46199</v>
      </c>
      <c r="F62" s="63" t="s">
        <v>100</v>
      </c>
      <c r="G62" s="63" t="s">
        <v>3841</v>
      </c>
      <c r="H62" s="63" t="s">
        <v>102</v>
      </c>
      <c r="I62" s="63" t="s">
        <v>70</v>
      </c>
      <c r="J62" s="63" t="s">
        <v>50</v>
      </c>
      <c r="K62" s="63" t="s">
        <v>349</v>
      </c>
      <c r="L62" s="63" t="s">
        <v>145</v>
      </c>
      <c r="M62" s="69">
        <v>947.08</v>
      </c>
      <c r="N62" s="63" t="s">
        <v>38</v>
      </c>
      <c r="O62" s="73">
        <f>_xlfn.XLOOKUP(Supplier_Perf_Table[[#This Row],[Currency]],'Comments 2'!$C$4:$C$16,'Comments 2'!$D$4:$D$16)</f>
        <v>7.7000000000000002E-3</v>
      </c>
      <c r="P62" s="69">
        <f>IFERROR(Supplier_Perf_Table[[#This Row],[Unit_Cost]]*Supplier_Perf_Table[[#This Row],[Dollar Equivalent]],"")</f>
        <v>7.2925160000000009</v>
      </c>
      <c r="Q62" s="75">
        <v>1000</v>
      </c>
      <c r="R62" s="1">
        <v>0</v>
      </c>
      <c r="S62" s="75">
        <f>Supplier_Perf_Table[[#This Row],[Unit_Cost]]*Supplier_Perf_Table[[#This Row],[Order_Quantity]]</f>
        <v>947080</v>
      </c>
      <c r="T62" s="75">
        <f>IFERROR(Supplier_Perf_Table[[#This Row],[Dollar Equivalent]]*Supplier_Perf_Table[[#This Row],[Ordered_Value]],"")</f>
        <v>0</v>
      </c>
      <c r="U62" s="75">
        <v>0</v>
      </c>
      <c r="V62" s="7">
        <v>0</v>
      </c>
      <c r="W62" s="75">
        <v>12</v>
      </c>
      <c r="X62" s="55">
        <f>IFERROR(Supplier_Perf_Table[[#This Row],[Actual_Delivery_Date]]-Supplier_Perf_Table[[#This Row],[Order Date]],"")</f>
        <v>12</v>
      </c>
      <c r="Y62" s="75" t="s">
        <v>3080</v>
      </c>
      <c r="Z62" s="56">
        <f>IFERROR(Supplier_Perf_Table[[#This Row],[Expected Delivery_Date]]-Supplier_Perf_Table[[#This Row],[Order Date]],"")</f>
        <v>17</v>
      </c>
      <c r="AA62" s="56">
        <f>Supplier_Perf_Table[[#This Row],[Calculated_Lead_Time2]]-Supplier_Perf_Table[[#This Row],[Calculated_Expected_Lead_Time]]</f>
        <v>-5</v>
      </c>
      <c r="AB62" s="75"/>
      <c r="AC62" s="63" t="s">
        <v>87</v>
      </c>
      <c r="AD62" s="63" t="s">
        <v>40</v>
      </c>
      <c r="AE62" s="63" t="s">
        <v>146</v>
      </c>
      <c r="AF62" s="63" t="s">
        <v>106</v>
      </c>
      <c r="AG62" s="63" t="s">
        <v>173</v>
      </c>
      <c r="AH62" s="63" t="s">
        <v>3112</v>
      </c>
      <c r="AI62" s="63" t="s">
        <v>147</v>
      </c>
      <c r="AJ62" s="63" t="s">
        <v>138</v>
      </c>
      <c r="AK62" s="83">
        <v>4.0999999999999996</v>
      </c>
      <c r="AL62" s="63" t="s">
        <v>115</v>
      </c>
      <c r="AM62" s="63" t="s">
        <v>130</v>
      </c>
      <c r="AN62"/>
    </row>
    <row r="63" spans="1:40" ht="18" customHeight="1">
      <c r="A63" s="1" t="s">
        <v>350</v>
      </c>
      <c r="B63" s="1" t="s">
        <v>351</v>
      </c>
      <c r="C63" s="4">
        <v>46135</v>
      </c>
      <c r="D63" s="4">
        <v>46144</v>
      </c>
      <c r="E63" s="4">
        <v>46158</v>
      </c>
      <c r="F63" s="63" t="s">
        <v>80</v>
      </c>
      <c r="G63" s="63" t="s">
        <v>3839</v>
      </c>
      <c r="H63" s="63" t="s">
        <v>82</v>
      </c>
      <c r="I63" s="63" t="s">
        <v>120</v>
      </c>
      <c r="J63" s="63" t="s">
        <v>153</v>
      </c>
      <c r="K63" s="63" t="s">
        <v>352</v>
      </c>
      <c r="L63" s="63" t="s">
        <v>318</v>
      </c>
      <c r="M63" s="69">
        <v>515.38</v>
      </c>
      <c r="N63" s="63" t="s">
        <v>159</v>
      </c>
      <c r="O63" s="73">
        <f>_xlfn.XLOOKUP(Supplier_Perf_Table[[#This Row],[Currency]],'Comments 2'!$C$4:$C$16,'Comments 2'!$D$4:$D$16)</f>
        <v>7.2999999999999996E-4</v>
      </c>
      <c r="P63" s="69">
        <f>IFERROR(Supplier_Perf_Table[[#This Row],[Unit_Cost]]*Supplier_Perf_Table[[#This Row],[Dollar Equivalent]],"")</f>
        <v>0.37622739999999999</v>
      </c>
      <c r="Q63" s="75">
        <v>500</v>
      </c>
      <c r="R63" s="1">
        <v>257690</v>
      </c>
      <c r="S63" s="75">
        <f>Supplier_Perf_Table[[#This Row],[Unit_Cost]]*Supplier_Perf_Table[[#This Row],[Order_Quantity]]</f>
        <v>257690</v>
      </c>
      <c r="T63" s="75">
        <f>IFERROR(Supplier_Perf_Table[[#This Row],[Dollar Equivalent]]*Supplier_Perf_Table[[#This Row],[Ordered_Value]],"")</f>
        <v>188.11369999999999</v>
      </c>
      <c r="U63" s="75">
        <v>7</v>
      </c>
      <c r="V63" s="7">
        <v>1.4E-2</v>
      </c>
      <c r="W63" s="75">
        <v>23</v>
      </c>
      <c r="X63" s="55">
        <f>IFERROR(Supplier_Perf_Table[[#This Row],[Actual_Delivery_Date]]-Supplier_Perf_Table[[#This Row],[Order Date]],"")</f>
        <v>23</v>
      </c>
      <c r="Y63" s="75">
        <v>9</v>
      </c>
      <c r="Z63" s="56">
        <f>IFERROR(Supplier_Perf_Table[[#This Row],[Expected Delivery_Date]]-Supplier_Perf_Table[[#This Row],[Order Date]],"")</f>
        <v>9</v>
      </c>
      <c r="AA63" s="56">
        <f>Supplier_Perf_Table[[#This Row],[Calculated_Lead_Time2]]-Supplier_Perf_Table[[#This Row],[Calculated_Expected_Lead_Time]]</f>
        <v>14</v>
      </c>
      <c r="AB63" s="75">
        <v>14</v>
      </c>
      <c r="AC63" s="63" t="s">
        <v>205</v>
      </c>
      <c r="AD63" s="63" t="s">
        <v>40</v>
      </c>
      <c r="AE63" s="63" t="s">
        <v>146</v>
      </c>
      <c r="AF63" s="63" t="s">
        <v>42</v>
      </c>
      <c r="AG63" s="63" t="s">
        <v>3088</v>
      </c>
      <c r="AH63" s="63" t="s">
        <v>136</v>
      </c>
      <c r="AI63" s="63" t="s">
        <v>95</v>
      </c>
      <c r="AJ63" s="63" t="s">
        <v>138</v>
      </c>
      <c r="AK63" s="83">
        <v>1.6</v>
      </c>
      <c r="AL63" s="63" t="s">
        <v>115</v>
      </c>
      <c r="AM63" s="63" t="s">
        <v>148</v>
      </c>
      <c r="AN63"/>
    </row>
    <row r="64" spans="1:40" ht="18" customHeight="1">
      <c r="A64" s="1" t="s">
        <v>353</v>
      </c>
      <c r="B64" s="1" t="s">
        <v>354</v>
      </c>
      <c r="C64" s="4">
        <v>46089</v>
      </c>
      <c r="D64" s="4">
        <v>46101</v>
      </c>
      <c r="E64" s="4">
        <v>46093</v>
      </c>
      <c r="F64" s="63" t="s">
        <v>215</v>
      </c>
      <c r="G64" s="63" t="s">
        <v>3846</v>
      </c>
      <c r="H64" s="63" t="s">
        <v>152</v>
      </c>
      <c r="I64" s="63" t="s">
        <v>120</v>
      </c>
      <c r="J64" s="63" t="s">
        <v>112</v>
      </c>
      <c r="K64" s="63" t="s">
        <v>355</v>
      </c>
      <c r="L64" s="63" t="s">
        <v>229</v>
      </c>
      <c r="M64" s="69">
        <v>611.26</v>
      </c>
      <c r="N64" s="63" t="s">
        <v>38</v>
      </c>
      <c r="O64" s="73">
        <f>_xlfn.XLOOKUP(Supplier_Perf_Table[[#This Row],[Currency]],'Comments 2'!$C$4:$C$16,'Comments 2'!$D$4:$D$16)</f>
        <v>7.7000000000000002E-3</v>
      </c>
      <c r="P64" s="69">
        <f>IFERROR(Supplier_Perf_Table[[#This Row],[Unit_Cost]]*Supplier_Perf_Table[[#This Row],[Dollar Equivalent]],"")</f>
        <v>4.7067019999999999</v>
      </c>
      <c r="Q64" s="75">
        <v>2000</v>
      </c>
      <c r="R64" s="1">
        <v>1222520</v>
      </c>
      <c r="S64" s="75">
        <f>Supplier_Perf_Table[[#This Row],[Unit_Cost]]*Supplier_Perf_Table[[#This Row],[Order_Quantity]]</f>
        <v>1222520</v>
      </c>
      <c r="T64" s="75">
        <f>IFERROR(Supplier_Perf_Table[[#This Row],[Dollar Equivalent]]*Supplier_Perf_Table[[#This Row],[Ordered_Value]],"")</f>
        <v>9413.4040000000005</v>
      </c>
      <c r="U64" s="75">
        <v>64</v>
      </c>
      <c r="V64" s="7">
        <v>3.2000000000000001E-2</v>
      </c>
      <c r="W64" s="75">
        <v>4</v>
      </c>
      <c r="X64" s="55">
        <f>IFERROR(Supplier_Perf_Table[[#This Row],[Actual_Delivery_Date]]-Supplier_Perf_Table[[#This Row],[Order Date]],"")</f>
        <v>4</v>
      </c>
      <c r="Y64" s="75">
        <v>12</v>
      </c>
      <c r="Z64" s="56">
        <f>IFERROR(Supplier_Perf_Table[[#This Row],[Expected Delivery_Date]]-Supplier_Perf_Table[[#This Row],[Order Date]],"")</f>
        <v>12</v>
      </c>
      <c r="AA64" s="56">
        <f>Supplier_Perf_Table[[#This Row],[Calculated_Lead_Time2]]-Supplier_Perf_Table[[#This Row],[Calculated_Expected_Lead_Time]]</f>
        <v>-8</v>
      </c>
      <c r="AB64" s="75">
        <v>-8</v>
      </c>
      <c r="AC64" s="63" t="s">
        <v>270</v>
      </c>
      <c r="AD64" s="63" t="s">
        <v>40</v>
      </c>
      <c r="AE64" s="63" t="s">
        <v>105</v>
      </c>
      <c r="AF64" s="63" t="s">
        <v>212</v>
      </c>
      <c r="AG64" s="63" t="s">
        <v>43</v>
      </c>
      <c r="AH64" s="63" t="s">
        <v>174</v>
      </c>
      <c r="AI64" s="63" t="s">
        <v>95</v>
      </c>
      <c r="AJ64" s="63" t="s">
        <v>138</v>
      </c>
      <c r="AK64" s="83">
        <v>2.2000000000000002</v>
      </c>
      <c r="AL64" s="63" t="s">
        <v>76</v>
      </c>
      <c r="AM64" s="63" t="s">
        <v>138</v>
      </c>
      <c r="AN64"/>
    </row>
    <row r="65" spans="1:40" ht="18" customHeight="1">
      <c r="A65" s="1" t="s">
        <v>356</v>
      </c>
      <c r="B65" s="1" t="s">
        <v>357</v>
      </c>
      <c r="C65" s="4">
        <v>46085</v>
      </c>
      <c r="D65" s="4">
        <v>46106</v>
      </c>
      <c r="E65" s="4">
        <v>46108</v>
      </c>
      <c r="F65" s="63" t="s">
        <v>118</v>
      </c>
      <c r="G65" s="63" t="s">
        <v>3842</v>
      </c>
      <c r="H65" s="63" t="s">
        <v>301</v>
      </c>
      <c r="I65" s="63" t="s">
        <v>34</v>
      </c>
      <c r="J65" s="63" t="s">
        <v>163</v>
      </c>
      <c r="K65" s="63" t="s">
        <v>358</v>
      </c>
      <c r="L65" s="63" t="s">
        <v>269</v>
      </c>
      <c r="M65" s="69">
        <v>2046.47</v>
      </c>
      <c r="N65" s="63" t="s">
        <v>53</v>
      </c>
      <c r="O65" s="73">
        <f>_xlfn.XLOOKUP(Supplier_Perf_Table[[#This Row],[Currency]],'Comments 2'!$C$4:$C$16,'Comments 2'!$D$4:$D$16)</f>
        <v>6.0999999999999999E-2</v>
      </c>
      <c r="P65" s="69">
        <f>IFERROR(Supplier_Perf_Table[[#This Row],[Unit_Cost]]*Supplier_Perf_Table[[#This Row],[Dollar Equivalent]],"")</f>
        <v>124.83467</v>
      </c>
      <c r="Q65" s="75">
        <v>750</v>
      </c>
      <c r="R65" s="1">
        <v>1534852.5</v>
      </c>
      <c r="S65" s="75">
        <f>Supplier_Perf_Table[[#This Row],[Unit_Cost]]*Supplier_Perf_Table[[#This Row],[Order_Quantity]]</f>
        <v>1534852.5</v>
      </c>
      <c r="T65" s="75">
        <f>IFERROR(Supplier_Perf_Table[[#This Row],[Dollar Equivalent]]*Supplier_Perf_Table[[#This Row],[Ordered_Value]],"")</f>
        <v>93626.002500000002</v>
      </c>
      <c r="U65" s="75">
        <v>24</v>
      </c>
      <c r="V65" s="7">
        <v>3.2000000000000001E-2</v>
      </c>
      <c r="W65" s="75">
        <v>23</v>
      </c>
      <c r="X65" s="55">
        <f>IFERROR(Supplier_Perf_Table[[#This Row],[Actual_Delivery_Date]]-Supplier_Perf_Table[[#This Row],[Order Date]],"")</f>
        <v>23</v>
      </c>
      <c r="Y65" s="75">
        <v>21</v>
      </c>
      <c r="Z65" s="56">
        <f>IFERROR(Supplier_Perf_Table[[#This Row],[Expected Delivery_Date]]-Supplier_Perf_Table[[#This Row],[Order Date]],"")</f>
        <v>21</v>
      </c>
      <c r="AA65" s="56">
        <f>Supplier_Perf_Table[[#This Row],[Calculated_Lead_Time2]]-Supplier_Perf_Table[[#This Row],[Calculated_Expected_Lead_Time]]</f>
        <v>2</v>
      </c>
      <c r="AB65" s="75">
        <v>2</v>
      </c>
      <c r="AC65" s="63" t="s">
        <v>166</v>
      </c>
      <c r="AD65" s="63" t="s">
        <v>40</v>
      </c>
      <c r="AE65" s="63" t="s">
        <v>127</v>
      </c>
      <c r="AF65" s="63" t="s">
        <v>212</v>
      </c>
      <c r="AG65" s="63" t="s">
        <v>173</v>
      </c>
      <c r="AH65" s="63" t="s">
        <v>206</v>
      </c>
      <c r="AI65" s="63" t="s">
        <v>56</v>
      </c>
      <c r="AJ65" s="63" t="s">
        <v>138</v>
      </c>
      <c r="AK65" s="83">
        <v>3.8</v>
      </c>
      <c r="AL65" s="63" t="s">
        <v>57</v>
      </c>
      <c r="AM65" s="63" t="s">
        <v>148</v>
      </c>
      <c r="AN65"/>
    </row>
    <row r="66" spans="1:40" ht="18" customHeight="1">
      <c r="A66" s="1" t="s">
        <v>359</v>
      </c>
      <c r="B66" s="1" t="s">
        <v>360</v>
      </c>
      <c r="C66" s="4">
        <v>46096</v>
      </c>
      <c r="D66" s="4">
        <v>46105</v>
      </c>
      <c r="E66" s="4">
        <v>46095</v>
      </c>
      <c r="F66" s="63" t="s">
        <v>215</v>
      </c>
      <c r="G66" s="63" t="s">
        <v>3846</v>
      </c>
      <c r="H66" s="63" t="s">
        <v>152</v>
      </c>
      <c r="I66" s="63" t="s">
        <v>83</v>
      </c>
      <c r="J66" s="63" t="s">
        <v>112</v>
      </c>
      <c r="K66" s="63" t="s">
        <v>361</v>
      </c>
      <c r="L66" s="63" t="s">
        <v>218</v>
      </c>
      <c r="M66" s="69">
        <v>454.03</v>
      </c>
      <c r="N66" s="63" t="s">
        <v>86</v>
      </c>
      <c r="O66" s="73">
        <f>_xlfn.XLOOKUP(Supplier_Perf_Table[[#This Row],[Currency]],'Comments 2'!$C$4:$C$16,'Comments 2'!$D$4:$D$16)</f>
        <v>8.8999999999999996E-2</v>
      </c>
      <c r="P66" s="69">
        <f>IFERROR(Supplier_Perf_Table[[#This Row],[Unit_Cost]]*Supplier_Perf_Table[[#This Row],[Dollar Equivalent]],"")</f>
        <v>40.408669999999994</v>
      </c>
      <c r="Q66" s="75">
        <v>1500</v>
      </c>
      <c r="R66" s="1">
        <v>681045</v>
      </c>
      <c r="S66" s="75">
        <f>Supplier_Perf_Table[[#This Row],[Unit_Cost]]*Supplier_Perf_Table[[#This Row],[Order_Quantity]]</f>
        <v>681045</v>
      </c>
      <c r="T66" s="75">
        <f>IFERROR(Supplier_Perf_Table[[#This Row],[Dollar Equivalent]]*Supplier_Perf_Table[[#This Row],[Ordered_Value]],"")</f>
        <v>60613.004999999997</v>
      </c>
      <c r="U66" s="75">
        <v>35</v>
      </c>
      <c r="V66" s="7">
        <v>2.3300000000000001E-2</v>
      </c>
      <c r="W66" s="75">
        <v>-1</v>
      </c>
      <c r="X66" s="55">
        <f>IFERROR(Supplier_Perf_Table[[#This Row],[Actual_Delivery_Date]]-Supplier_Perf_Table[[#This Row],[Order Date]],"")</f>
        <v>-1</v>
      </c>
      <c r="Y66" s="75">
        <v>9</v>
      </c>
      <c r="Z66" s="56">
        <f>IFERROR(Supplier_Perf_Table[[#This Row],[Expected Delivery_Date]]-Supplier_Perf_Table[[#This Row],[Order Date]],"")</f>
        <v>9</v>
      </c>
      <c r="AA66" s="56">
        <f>Supplier_Perf_Table[[#This Row],[Calculated_Lead_Time2]]-Supplier_Perf_Table[[#This Row],[Calculated_Expected_Lead_Time]]</f>
        <v>-10</v>
      </c>
      <c r="AB66" s="75">
        <v>-10</v>
      </c>
      <c r="AC66" s="63" t="s">
        <v>362</v>
      </c>
      <c r="AD66" s="63" t="s">
        <v>40</v>
      </c>
      <c r="AE66" s="63" t="s">
        <v>41</v>
      </c>
      <c r="AF66" s="63" t="s">
        <v>66</v>
      </c>
      <c r="AG66" s="63" t="s">
        <v>54</v>
      </c>
      <c r="AH66" s="63" t="s">
        <v>88</v>
      </c>
      <c r="AI66" s="63" t="s">
        <v>95</v>
      </c>
      <c r="AJ66" s="63" t="s">
        <v>138</v>
      </c>
      <c r="AK66" s="83">
        <v>3.6</v>
      </c>
      <c r="AL66" s="63" t="s">
        <v>139</v>
      </c>
      <c r="AM66" s="63" t="s">
        <v>138</v>
      </c>
      <c r="AN66"/>
    </row>
    <row r="67" spans="1:40" ht="18" customHeight="1">
      <c r="A67" s="1" t="s">
        <v>363</v>
      </c>
      <c r="B67" s="1" t="s">
        <v>364</v>
      </c>
      <c r="C67" s="4">
        <v>46071</v>
      </c>
      <c r="D67" s="4">
        <v>46077</v>
      </c>
      <c r="E67" s="4">
        <v>46081</v>
      </c>
      <c r="F67" s="63" t="s">
        <v>162</v>
      </c>
      <c r="G67" s="63" t="s">
        <v>3847</v>
      </c>
      <c r="H67" s="63" t="s">
        <v>152</v>
      </c>
      <c r="I67" s="63" t="s">
        <v>92</v>
      </c>
      <c r="J67" s="63" t="s">
        <v>163</v>
      </c>
      <c r="K67" s="63" t="s">
        <v>365</v>
      </c>
      <c r="L67" s="63" t="s">
        <v>253</v>
      </c>
      <c r="M67" s="69">
        <v>3062.64</v>
      </c>
      <c r="N67" s="63" t="s">
        <v>159</v>
      </c>
      <c r="O67" s="73">
        <f>_xlfn.XLOOKUP(Supplier_Perf_Table[[#This Row],[Currency]],'Comments 2'!$C$4:$C$16,'Comments 2'!$D$4:$D$16)</f>
        <v>7.2999999999999996E-4</v>
      </c>
      <c r="P67" s="69">
        <f>IFERROR(Supplier_Perf_Table[[#This Row],[Unit_Cost]]*Supplier_Perf_Table[[#This Row],[Dollar Equivalent]],"")</f>
        <v>2.2357271999999999</v>
      </c>
      <c r="Q67" s="75">
        <v>300</v>
      </c>
      <c r="R67" s="1">
        <v>918792</v>
      </c>
      <c r="S67" s="75">
        <f>Supplier_Perf_Table[[#This Row],[Unit_Cost]]*Supplier_Perf_Table[[#This Row],[Order_Quantity]]</f>
        <v>918792</v>
      </c>
      <c r="T67" s="75">
        <f>IFERROR(Supplier_Perf_Table[[#This Row],[Dollar Equivalent]]*Supplier_Perf_Table[[#This Row],[Ordered_Value]],"")</f>
        <v>670.71816000000001</v>
      </c>
      <c r="U67" s="75">
        <v>15</v>
      </c>
      <c r="V67" s="7">
        <v>0.05</v>
      </c>
      <c r="W67" s="75">
        <v>10</v>
      </c>
      <c r="X67" s="55">
        <f>IFERROR(Supplier_Perf_Table[[#This Row],[Actual_Delivery_Date]]-Supplier_Perf_Table[[#This Row],[Order Date]],"")</f>
        <v>10</v>
      </c>
      <c r="Y67" s="75">
        <v>6</v>
      </c>
      <c r="Z67" s="56">
        <f>IFERROR(Supplier_Perf_Table[[#This Row],[Expected Delivery_Date]]-Supplier_Perf_Table[[#This Row],[Order Date]],"")</f>
        <v>6</v>
      </c>
      <c r="AA67" s="56">
        <f>Supplier_Perf_Table[[#This Row],[Calculated_Lead_Time2]]-Supplier_Perf_Table[[#This Row],[Calculated_Expected_Lead_Time]]</f>
        <v>4</v>
      </c>
      <c r="AB67" s="75">
        <v>4</v>
      </c>
      <c r="AC67" s="63" t="s">
        <v>39</v>
      </c>
      <c r="AD67" s="63" t="s">
        <v>366</v>
      </c>
      <c r="AE67" s="63" t="s">
        <v>105</v>
      </c>
      <c r="AF67" s="63" t="s">
        <v>106</v>
      </c>
      <c r="AG67" s="63" t="s">
        <v>173</v>
      </c>
      <c r="AH67" s="63" t="s">
        <v>206</v>
      </c>
      <c r="AI67" s="63" t="s">
        <v>44</v>
      </c>
      <c r="AJ67" s="63" t="s">
        <v>183</v>
      </c>
      <c r="AK67" s="83">
        <v>1.2</v>
      </c>
      <c r="AL67" s="63" t="s">
        <v>115</v>
      </c>
      <c r="AM67" s="63" t="s">
        <v>77</v>
      </c>
      <c r="AN67"/>
    </row>
    <row r="68" spans="1:40" ht="18" customHeight="1">
      <c r="A68" s="1" t="s">
        <v>367</v>
      </c>
      <c r="B68" s="1" t="s">
        <v>368</v>
      </c>
      <c r="C68" s="4">
        <v>46137</v>
      </c>
      <c r="D68" s="4">
        <v>46155</v>
      </c>
      <c r="E68" s="4">
        <v>46151</v>
      </c>
      <c r="F68" s="63" t="s">
        <v>256</v>
      </c>
      <c r="G68" s="63" t="s">
        <v>3849</v>
      </c>
      <c r="H68" s="63" t="s">
        <v>258</v>
      </c>
      <c r="I68" s="63" t="s">
        <v>70</v>
      </c>
      <c r="J68" s="63" t="s">
        <v>153</v>
      </c>
      <c r="K68" s="63" t="s">
        <v>369</v>
      </c>
      <c r="L68" s="63" t="s">
        <v>155</v>
      </c>
      <c r="M68" s="69">
        <v>492.51</v>
      </c>
      <c r="N68" s="63" t="s">
        <v>53</v>
      </c>
      <c r="O68" s="73">
        <f>_xlfn.XLOOKUP(Supplier_Perf_Table[[#This Row],[Currency]],'Comments 2'!$C$4:$C$16,'Comments 2'!$D$4:$D$16)</f>
        <v>6.0999999999999999E-2</v>
      </c>
      <c r="P68" s="69">
        <f>IFERROR(Supplier_Perf_Table[[#This Row],[Unit_Cost]]*Supplier_Perf_Table[[#This Row],[Dollar Equivalent]],"")</f>
        <v>30.043109999999999</v>
      </c>
      <c r="Q68" s="75">
        <v>200</v>
      </c>
      <c r="R68" s="1" t="s">
        <v>3080</v>
      </c>
      <c r="S68" s="75">
        <f>Supplier_Perf_Table[[#This Row],[Unit_Cost]]*Supplier_Perf_Table[[#This Row],[Order_Quantity]]</f>
        <v>98502</v>
      </c>
      <c r="T68" s="75" t="str">
        <f>IFERROR(Supplier_Perf_Table[[#This Row],[Dollar Equivalent]]*Supplier_Perf_Table[[#This Row],[Ordered_Value]],"")</f>
        <v/>
      </c>
      <c r="U68" s="75">
        <v>8</v>
      </c>
      <c r="V68" s="7">
        <v>0.04</v>
      </c>
      <c r="W68" s="75">
        <v>14</v>
      </c>
      <c r="X68" s="55">
        <f>IFERROR(Supplier_Perf_Table[[#This Row],[Actual_Delivery_Date]]-Supplier_Perf_Table[[#This Row],[Order Date]],"")</f>
        <v>14</v>
      </c>
      <c r="Y68" s="75">
        <v>18</v>
      </c>
      <c r="Z68" s="56">
        <f>IFERROR(Supplier_Perf_Table[[#This Row],[Expected Delivery_Date]]-Supplier_Perf_Table[[#This Row],[Order Date]],"")</f>
        <v>18</v>
      </c>
      <c r="AA68" s="56">
        <f>Supplier_Perf_Table[[#This Row],[Calculated_Lead_Time2]]-Supplier_Perf_Table[[#This Row],[Calculated_Expected_Lead_Time]]</f>
        <v>-4</v>
      </c>
      <c r="AB68" s="75">
        <v>-4</v>
      </c>
      <c r="AC68" s="63" t="s">
        <v>87</v>
      </c>
      <c r="AD68" s="63" t="s">
        <v>40</v>
      </c>
      <c r="AE68" s="63" t="s">
        <v>146</v>
      </c>
      <c r="AF68" s="63" t="s">
        <v>106</v>
      </c>
      <c r="AG68" s="63" t="s">
        <v>43</v>
      </c>
      <c r="AH68" s="63" t="s">
        <v>206</v>
      </c>
      <c r="AI68" s="63" t="s">
        <v>56</v>
      </c>
      <c r="AJ68" s="63" t="s">
        <v>138</v>
      </c>
      <c r="AK68" s="83">
        <v>3</v>
      </c>
      <c r="AL68" s="63" t="s">
        <v>76</v>
      </c>
      <c r="AM68" s="63" t="s">
        <v>130</v>
      </c>
      <c r="AN68"/>
    </row>
    <row r="69" spans="1:40" ht="18" customHeight="1">
      <c r="A69" s="1" t="s">
        <v>370</v>
      </c>
      <c r="B69" s="1" t="s">
        <v>371</v>
      </c>
      <c r="C69" s="4">
        <v>46090</v>
      </c>
      <c r="D69" s="4">
        <v>46104</v>
      </c>
      <c r="E69" s="4">
        <v>46118</v>
      </c>
      <c r="F69" s="63" t="s">
        <v>32</v>
      </c>
      <c r="G69" s="63" t="s">
        <v>3835</v>
      </c>
      <c r="H69" s="63" t="s">
        <v>177</v>
      </c>
      <c r="I69" s="63" t="s">
        <v>120</v>
      </c>
      <c r="J69" s="63" t="s">
        <v>50</v>
      </c>
      <c r="K69" s="63" t="s">
        <v>372</v>
      </c>
      <c r="L69" s="63" t="s">
        <v>145</v>
      </c>
      <c r="M69" s="69">
        <v>1944.57</v>
      </c>
      <c r="N69" s="63" t="s">
        <v>65</v>
      </c>
      <c r="O69" s="73">
        <f>_xlfn.XLOOKUP(Supplier_Perf_Table[[#This Row],[Currency]],'Comments 2'!$C$4:$C$16,'Comments 2'!$D$4:$D$16)</f>
        <v>1</v>
      </c>
      <c r="P69" s="69">
        <f>IFERROR(Supplier_Perf_Table[[#This Row],[Unit_Cost]]*Supplier_Perf_Table[[#This Row],[Dollar Equivalent]],"")</f>
        <v>1944.57</v>
      </c>
      <c r="Q69" s="75">
        <v>750</v>
      </c>
      <c r="R69" s="1">
        <v>1458427.5</v>
      </c>
      <c r="S69" s="75">
        <f>Supplier_Perf_Table[[#This Row],[Unit_Cost]]*Supplier_Perf_Table[[#This Row],[Order_Quantity]]</f>
        <v>1458427.5</v>
      </c>
      <c r="T69" s="75">
        <f>IFERROR(Supplier_Perf_Table[[#This Row],[Dollar Equivalent]]*Supplier_Perf_Table[[#This Row],[Ordered_Value]],"")</f>
        <v>1458427.5</v>
      </c>
      <c r="U69" s="75">
        <v>62</v>
      </c>
      <c r="V69" s="7">
        <v>8.2699999999999996E-2</v>
      </c>
      <c r="W69" s="75">
        <v>28</v>
      </c>
      <c r="X69" s="55">
        <f>IFERROR(Supplier_Perf_Table[[#This Row],[Actual_Delivery_Date]]-Supplier_Perf_Table[[#This Row],[Order Date]],"")</f>
        <v>28</v>
      </c>
      <c r="Y69" s="75">
        <v>14</v>
      </c>
      <c r="Z69" s="56">
        <f>IFERROR(Supplier_Perf_Table[[#This Row],[Expected Delivery_Date]]-Supplier_Perf_Table[[#This Row],[Order Date]],"")</f>
        <v>14</v>
      </c>
      <c r="AA69" s="56">
        <f>Supplier_Perf_Table[[#This Row],[Calculated_Lead_Time2]]-Supplier_Perf_Table[[#This Row],[Calculated_Expected_Lead_Time]]</f>
        <v>14</v>
      </c>
      <c r="AB69" s="75">
        <v>14</v>
      </c>
      <c r="AC69" s="63" t="s">
        <v>205</v>
      </c>
      <c r="AD69" s="63" t="s">
        <v>74</v>
      </c>
      <c r="AE69" s="63" t="s">
        <v>127</v>
      </c>
      <c r="AF69" s="63" t="s">
        <v>190</v>
      </c>
      <c r="AG69" s="63" t="s">
        <v>54</v>
      </c>
      <c r="AH69" s="63" t="s">
        <v>88</v>
      </c>
      <c r="AI69" s="63" t="s">
        <v>138</v>
      </c>
      <c r="AJ69" s="63" t="s">
        <v>373</v>
      </c>
      <c r="AK69" s="83">
        <v>3.2</v>
      </c>
      <c r="AL69" s="63" t="s">
        <v>57</v>
      </c>
      <c r="AM69" s="63" t="s">
        <v>185</v>
      </c>
      <c r="AN69"/>
    </row>
    <row r="70" spans="1:40" ht="18" customHeight="1">
      <c r="A70" s="63" t="s">
        <v>374</v>
      </c>
      <c r="B70" s="63" t="s">
        <v>375</v>
      </c>
      <c r="C70" s="4">
        <v>46162</v>
      </c>
      <c r="D70" s="4">
        <v>46167</v>
      </c>
      <c r="E70" s="4">
        <v>46173</v>
      </c>
      <c r="F70" s="63" t="s">
        <v>69</v>
      </c>
      <c r="G70" s="63" t="s">
        <v>3838</v>
      </c>
      <c r="H70" s="63" t="s">
        <v>194</v>
      </c>
      <c r="I70" s="63" t="s">
        <v>92</v>
      </c>
      <c r="J70" s="63" t="s">
        <v>71</v>
      </c>
      <c r="K70" s="63" t="s">
        <v>376</v>
      </c>
      <c r="L70" s="63" t="s">
        <v>337</v>
      </c>
      <c r="M70" s="69">
        <v>654.76</v>
      </c>
      <c r="N70" s="63" t="s">
        <v>38</v>
      </c>
      <c r="O70" s="73">
        <f>_xlfn.XLOOKUP(Supplier_Perf_Table[[#This Row],[Currency]],'Comments 2'!$C$4:$C$16,'Comments 2'!$D$4:$D$16)</f>
        <v>7.7000000000000002E-3</v>
      </c>
      <c r="P70" s="69">
        <f>IFERROR(Supplier_Perf_Table[[#This Row],[Unit_Cost]]*Supplier_Perf_Table[[#This Row],[Dollar Equivalent]],"")</f>
        <v>5.041652</v>
      </c>
      <c r="Q70" s="75">
        <v>75</v>
      </c>
      <c r="R70" s="1">
        <v>49107</v>
      </c>
      <c r="S70" s="75">
        <f>Supplier_Perf_Table[[#This Row],[Unit_Cost]]*Supplier_Perf_Table[[#This Row],[Order_Quantity]]</f>
        <v>49107</v>
      </c>
      <c r="T70" s="75">
        <f>IFERROR(Supplier_Perf_Table[[#This Row],[Dollar Equivalent]]*Supplier_Perf_Table[[#This Row],[Ordered_Value]],"")</f>
        <v>378.12389999999999</v>
      </c>
      <c r="U70" s="75">
        <v>0</v>
      </c>
      <c r="V70" s="7">
        <v>0</v>
      </c>
      <c r="W70" s="75">
        <v>11</v>
      </c>
      <c r="X70" s="55">
        <f>IFERROR(Supplier_Perf_Table[[#This Row],[Actual_Delivery_Date]]-Supplier_Perf_Table[[#This Row],[Order Date]],"")</f>
        <v>11</v>
      </c>
      <c r="Y70" s="75">
        <v>5</v>
      </c>
      <c r="Z70" s="56">
        <f>IFERROR(Supplier_Perf_Table[[#This Row],[Expected Delivery_Date]]-Supplier_Perf_Table[[#This Row],[Order Date]],"")</f>
        <v>5</v>
      </c>
      <c r="AA70" s="56">
        <f>Supplier_Perf_Table[[#This Row],[Calculated_Lead_Time2]]-Supplier_Perf_Table[[#This Row],[Calculated_Expected_Lead_Time]]</f>
        <v>6</v>
      </c>
      <c r="AB70" s="75">
        <v>6</v>
      </c>
      <c r="AC70" s="63" t="s">
        <v>135</v>
      </c>
      <c r="AD70" s="63" t="s">
        <v>40</v>
      </c>
      <c r="AE70" s="63" t="s">
        <v>105</v>
      </c>
      <c r="AF70" s="63" t="s">
        <v>66</v>
      </c>
      <c r="AG70" s="63" t="s">
        <v>54</v>
      </c>
      <c r="AH70" s="63" t="s">
        <v>88</v>
      </c>
      <c r="AI70" s="63" t="s">
        <v>95</v>
      </c>
      <c r="AJ70" s="63" t="s">
        <v>138</v>
      </c>
      <c r="AK70" s="83">
        <v>2.4</v>
      </c>
      <c r="AL70" s="63" t="s">
        <v>139</v>
      </c>
      <c r="AM70" s="63" t="s">
        <v>46</v>
      </c>
      <c r="AN70"/>
    </row>
    <row r="71" spans="1:40" ht="18" customHeight="1">
      <c r="A71" s="1" t="s">
        <v>377</v>
      </c>
      <c r="B71" s="1" t="s">
        <v>378</v>
      </c>
      <c r="C71" s="4">
        <v>46116</v>
      </c>
      <c r="D71" s="4">
        <v>46135</v>
      </c>
      <c r="E71" s="4">
        <v>46138</v>
      </c>
      <c r="F71" s="63" t="s">
        <v>118</v>
      </c>
      <c r="G71" s="63" t="s">
        <v>3842</v>
      </c>
      <c r="H71" s="63" t="s">
        <v>301</v>
      </c>
      <c r="I71" s="63" t="s">
        <v>178</v>
      </c>
      <c r="J71" s="63" t="s">
        <v>163</v>
      </c>
      <c r="K71" s="63" t="s">
        <v>379</v>
      </c>
      <c r="L71" s="63" t="s">
        <v>269</v>
      </c>
      <c r="M71" s="69">
        <v>1111.1400000000001</v>
      </c>
      <c r="N71" s="63" t="s">
        <v>159</v>
      </c>
      <c r="O71" s="73">
        <f>_xlfn.XLOOKUP(Supplier_Perf_Table[[#This Row],[Currency]],'Comments 2'!$C$4:$C$16,'Comments 2'!$D$4:$D$16)</f>
        <v>7.2999999999999996E-4</v>
      </c>
      <c r="P71" s="69">
        <f>IFERROR(Supplier_Perf_Table[[#This Row],[Unit_Cost]]*Supplier_Perf_Table[[#This Row],[Dollar Equivalent]],"")</f>
        <v>0.81113220000000008</v>
      </c>
      <c r="Q71" s="75">
        <v>150</v>
      </c>
      <c r="R71" s="1">
        <v>166671</v>
      </c>
      <c r="S71" s="75">
        <f>Supplier_Perf_Table[[#This Row],[Unit_Cost]]*Supplier_Perf_Table[[#This Row],[Order_Quantity]]</f>
        <v>166671.00000000003</v>
      </c>
      <c r="T71" s="75">
        <f>IFERROR(Supplier_Perf_Table[[#This Row],[Dollar Equivalent]]*Supplier_Perf_Table[[#This Row],[Ordered_Value]],"")</f>
        <v>121.66982999999999</v>
      </c>
      <c r="U71" s="75">
        <v>8</v>
      </c>
      <c r="V71" s="7">
        <v>5.33E-2</v>
      </c>
      <c r="W71" s="75">
        <v>22</v>
      </c>
      <c r="X71" s="55">
        <f>IFERROR(Supplier_Perf_Table[[#This Row],[Actual_Delivery_Date]]-Supplier_Perf_Table[[#This Row],[Order Date]],"")</f>
        <v>22</v>
      </c>
      <c r="Y71" s="75">
        <v>19</v>
      </c>
      <c r="Z71" s="56">
        <f>IFERROR(Supplier_Perf_Table[[#This Row],[Expected Delivery_Date]]-Supplier_Perf_Table[[#This Row],[Order Date]],"")</f>
        <v>19</v>
      </c>
      <c r="AA71" s="56">
        <f>Supplier_Perf_Table[[#This Row],[Calculated_Lead_Time2]]-Supplier_Perf_Table[[#This Row],[Calculated_Expected_Lead_Time]]</f>
        <v>3</v>
      </c>
      <c r="AB71" s="75">
        <v>3</v>
      </c>
      <c r="AC71" s="63" t="s">
        <v>166</v>
      </c>
      <c r="AD71" s="63" t="s">
        <v>74</v>
      </c>
      <c r="AE71" s="63" t="s">
        <v>41</v>
      </c>
      <c r="AF71" s="63" t="s">
        <v>66</v>
      </c>
      <c r="AG71" s="63" t="s">
        <v>43</v>
      </c>
      <c r="AH71" s="63" t="s">
        <v>88</v>
      </c>
      <c r="AI71" s="63" t="s">
        <v>56</v>
      </c>
      <c r="AJ71" s="63" t="s">
        <v>96</v>
      </c>
      <c r="AK71" s="83">
        <v>2.1</v>
      </c>
      <c r="AL71" s="63" t="s">
        <v>76</v>
      </c>
      <c r="AM71" s="63" t="s">
        <v>77</v>
      </c>
      <c r="AN71"/>
    </row>
    <row r="72" spans="1:40" ht="18" customHeight="1">
      <c r="A72" s="1" t="s">
        <v>380</v>
      </c>
      <c r="B72" s="1" t="s">
        <v>381</v>
      </c>
      <c r="C72" s="4">
        <v>46120</v>
      </c>
      <c r="D72" s="4">
        <v>46127</v>
      </c>
      <c r="E72" s="4">
        <v>46129</v>
      </c>
      <c r="F72" s="63" t="s">
        <v>162</v>
      </c>
      <c r="G72" s="63" t="s">
        <v>3847</v>
      </c>
      <c r="H72" s="63" t="s">
        <v>152</v>
      </c>
      <c r="I72" s="63" t="s">
        <v>34</v>
      </c>
      <c r="J72" s="63" t="s">
        <v>62</v>
      </c>
      <c r="K72" s="63" t="s">
        <v>382</v>
      </c>
      <c r="L72" s="63" t="s">
        <v>94</v>
      </c>
      <c r="M72" s="69">
        <v>566.91</v>
      </c>
      <c r="N72" s="63" t="s">
        <v>104</v>
      </c>
      <c r="O72" s="73">
        <f>_xlfn.XLOOKUP(Supplier_Perf_Table[[#This Row],[Currency]],'Comments 2'!$C$4:$C$16,'Comments 2'!$D$4:$D$16)</f>
        <v>1.9E-2</v>
      </c>
      <c r="P72" s="69">
        <f>IFERROR(Supplier_Perf_Table[[#This Row],[Unit_Cost]]*Supplier_Perf_Table[[#This Row],[Dollar Equivalent]],"")</f>
        <v>10.771289999999999</v>
      </c>
      <c r="Q72" s="75">
        <v>1000</v>
      </c>
      <c r="R72" s="1">
        <v>566910</v>
      </c>
      <c r="S72" s="75">
        <f>Supplier_Perf_Table[[#This Row],[Unit_Cost]]*Supplier_Perf_Table[[#This Row],[Order_Quantity]]</f>
        <v>566910</v>
      </c>
      <c r="T72" s="75">
        <f>IFERROR(Supplier_Perf_Table[[#This Row],[Dollar Equivalent]]*Supplier_Perf_Table[[#This Row],[Ordered_Value]],"")</f>
        <v>10771.289999999999</v>
      </c>
      <c r="U72" s="75">
        <v>13</v>
      </c>
      <c r="V72" s="7">
        <v>1.2999999999999999E-2</v>
      </c>
      <c r="W72" s="75">
        <v>9</v>
      </c>
      <c r="X72" s="55">
        <f>IFERROR(Supplier_Perf_Table[[#This Row],[Actual_Delivery_Date]]-Supplier_Perf_Table[[#This Row],[Order Date]],"")</f>
        <v>9</v>
      </c>
      <c r="Y72" s="75">
        <v>7</v>
      </c>
      <c r="Z72" s="56">
        <f>IFERROR(Supplier_Perf_Table[[#This Row],[Expected Delivery_Date]]-Supplier_Perf_Table[[#This Row],[Order Date]],"")</f>
        <v>7</v>
      </c>
      <c r="AA72" s="56">
        <f>Supplier_Perf_Table[[#This Row],[Calculated_Lead_Time2]]-Supplier_Perf_Table[[#This Row],[Calculated_Expected_Lead_Time]]</f>
        <v>2</v>
      </c>
      <c r="AB72" s="75">
        <v>2</v>
      </c>
      <c r="AC72" s="63" t="s">
        <v>135</v>
      </c>
      <c r="AD72" s="63" t="s">
        <v>40</v>
      </c>
      <c r="AE72" s="63" t="s">
        <v>105</v>
      </c>
      <c r="AF72" s="63" t="s">
        <v>66</v>
      </c>
      <c r="AG72" s="63" t="s">
        <v>43</v>
      </c>
      <c r="AH72" s="63" t="s">
        <v>206</v>
      </c>
      <c r="AI72" s="63" t="s">
        <v>56</v>
      </c>
      <c r="AJ72" s="63" t="s">
        <v>138</v>
      </c>
      <c r="AK72" s="83">
        <v>4.7</v>
      </c>
      <c r="AL72" s="63" t="s">
        <v>184</v>
      </c>
      <c r="AM72" s="63" t="s">
        <v>46</v>
      </c>
      <c r="AN72"/>
    </row>
    <row r="73" spans="1:40" ht="18" customHeight="1">
      <c r="A73" s="1" t="s">
        <v>383</v>
      </c>
      <c r="B73" s="1" t="s">
        <v>384</v>
      </c>
      <c r="C73" s="4">
        <v>46074</v>
      </c>
      <c r="D73" s="4">
        <v>46088</v>
      </c>
      <c r="E73" s="4">
        <v>46094</v>
      </c>
      <c r="F73" s="63" t="s">
        <v>80</v>
      </c>
      <c r="G73" s="63" t="s">
        <v>3839</v>
      </c>
      <c r="H73" s="63" t="s">
        <v>82</v>
      </c>
      <c r="I73" s="63" t="s">
        <v>241</v>
      </c>
      <c r="J73" s="63" t="s">
        <v>153</v>
      </c>
      <c r="K73" s="63" t="s">
        <v>385</v>
      </c>
      <c r="L73" s="63" t="s">
        <v>295</v>
      </c>
      <c r="M73" s="69">
        <v>220.12</v>
      </c>
      <c r="N73" s="63" t="s">
        <v>65</v>
      </c>
      <c r="O73" s="73">
        <f>_xlfn.XLOOKUP(Supplier_Perf_Table[[#This Row],[Currency]],'Comments 2'!$C$4:$C$16,'Comments 2'!$D$4:$D$16)</f>
        <v>1</v>
      </c>
      <c r="P73" s="69">
        <f>IFERROR(Supplier_Perf_Table[[#This Row],[Unit_Cost]]*Supplier_Perf_Table[[#This Row],[Dollar Equivalent]],"")</f>
        <v>220.12</v>
      </c>
      <c r="Q73" s="75">
        <v>200</v>
      </c>
      <c r="R73" s="1">
        <v>0</v>
      </c>
      <c r="S73" s="75">
        <f>Supplier_Perf_Table[[#This Row],[Unit_Cost]]*Supplier_Perf_Table[[#This Row],[Order_Quantity]]</f>
        <v>44024</v>
      </c>
      <c r="T73" s="75">
        <f>IFERROR(Supplier_Perf_Table[[#This Row],[Dollar Equivalent]]*Supplier_Perf_Table[[#This Row],[Ordered_Value]],"")</f>
        <v>0</v>
      </c>
      <c r="U73" s="75">
        <v>0</v>
      </c>
      <c r="V73" s="7">
        <v>0</v>
      </c>
      <c r="W73" s="75">
        <v>20</v>
      </c>
      <c r="X73" s="55">
        <f>IFERROR(Supplier_Perf_Table[[#This Row],[Actual_Delivery_Date]]-Supplier_Perf_Table[[#This Row],[Order Date]],"")</f>
        <v>20</v>
      </c>
      <c r="Y73" s="75">
        <v>14</v>
      </c>
      <c r="Z73" s="56">
        <f>IFERROR(Supplier_Perf_Table[[#This Row],[Expected Delivery_Date]]-Supplier_Perf_Table[[#This Row],[Order Date]],"")</f>
        <v>14</v>
      </c>
      <c r="AA73" s="56">
        <f>Supplier_Perf_Table[[#This Row],[Calculated_Lead_Time2]]-Supplier_Perf_Table[[#This Row],[Calculated_Expected_Lead_Time]]</f>
        <v>6</v>
      </c>
      <c r="AB73" s="75">
        <v>6</v>
      </c>
      <c r="AC73" s="63" t="s">
        <v>205</v>
      </c>
      <c r="AD73" s="63" t="s">
        <v>40</v>
      </c>
      <c r="AE73" s="63" t="s">
        <v>105</v>
      </c>
      <c r="AF73" s="63" t="s">
        <v>190</v>
      </c>
      <c r="AG73" s="63" t="s">
        <v>54</v>
      </c>
      <c r="AH73" s="63" t="s">
        <v>206</v>
      </c>
      <c r="AI73" s="63" t="s">
        <v>191</v>
      </c>
      <c r="AJ73" s="63" t="s">
        <v>138</v>
      </c>
      <c r="AK73" s="83">
        <v>2.6</v>
      </c>
      <c r="AL73" s="63" t="s">
        <v>57</v>
      </c>
      <c r="AM73" s="63" t="s">
        <v>386</v>
      </c>
      <c r="AN73"/>
    </row>
    <row r="74" spans="1:40" ht="18" customHeight="1">
      <c r="A74" s="1" t="s">
        <v>387</v>
      </c>
      <c r="B74" s="1" t="s">
        <v>388</v>
      </c>
      <c r="C74" s="4">
        <v>46074</v>
      </c>
      <c r="D74" s="4">
        <v>46081</v>
      </c>
      <c r="E74" s="4">
        <v>46083</v>
      </c>
      <c r="F74" s="63" t="s">
        <v>215</v>
      </c>
      <c r="G74" s="63" t="s">
        <v>3846</v>
      </c>
      <c r="H74" s="63" t="s">
        <v>152</v>
      </c>
      <c r="I74" s="63" t="s">
        <v>92</v>
      </c>
      <c r="J74" s="63" t="s">
        <v>163</v>
      </c>
      <c r="K74" s="63" t="s">
        <v>389</v>
      </c>
      <c r="L74" s="63" t="s">
        <v>253</v>
      </c>
      <c r="M74" s="69">
        <v>926.37</v>
      </c>
      <c r="N74" s="63" t="s">
        <v>86</v>
      </c>
      <c r="O74" s="73">
        <f>_xlfn.XLOOKUP(Supplier_Perf_Table[[#This Row],[Currency]],'Comments 2'!$C$4:$C$16,'Comments 2'!$D$4:$D$16)</f>
        <v>8.8999999999999996E-2</v>
      </c>
      <c r="P74" s="69">
        <f>IFERROR(Supplier_Perf_Table[[#This Row],[Unit_Cost]]*Supplier_Perf_Table[[#This Row],[Dollar Equivalent]],"")</f>
        <v>82.446929999999995</v>
      </c>
      <c r="Q74" s="75">
        <v>750</v>
      </c>
      <c r="R74" s="1">
        <v>694777.5</v>
      </c>
      <c r="S74" s="75">
        <f>Supplier_Perf_Table[[#This Row],[Unit_Cost]]*Supplier_Perf_Table[[#This Row],[Order_Quantity]]</f>
        <v>694777.5</v>
      </c>
      <c r="T74" s="75">
        <f>IFERROR(Supplier_Perf_Table[[#This Row],[Dollar Equivalent]]*Supplier_Perf_Table[[#This Row],[Ordered_Value]],"")</f>
        <v>61835.197499999995</v>
      </c>
      <c r="U74" s="75">
        <v>11</v>
      </c>
      <c r="V74" s="7">
        <v>1.47E-2</v>
      </c>
      <c r="W74" s="75">
        <v>9</v>
      </c>
      <c r="X74" s="55">
        <f>IFERROR(Supplier_Perf_Table[[#This Row],[Actual_Delivery_Date]]-Supplier_Perf_Table[[#This Row],[Order Date]],"")</f>
        <v>9</v>
      </c>
      <c r="Y74" s="75">
        <v>7</v>
      </c>
      <c r="Z74" s="56">
        <f>IFERROR(Supplier_Perf_Table[[#This Row],[Expected Delivery_Date]]-Supplier_Perf_Table[[#This Row],[Order Date]],"")</f>
        <v>7</v>
      </c>
      <c r="AA74" s="56">
        <f>Supplier_Perf_Table[[#This Row],[Calculated_Lead_Time2]]-Supplier_Perf_Table[[#This Row],[Calculated_Expected_Lead_Time]]</f>
        <v>2</v>
      </c>
      <c r="AB74" s="75">
        <v>2</v>
      </c>
      <c r="AC74" s="63" t="s">
        <v>166</v>
      </c>
      <c r="AD74" s="63" t="s">
        <v>40</v>
      </c>
      <c r="AE74" s="63" t="s">
        <v>105</v>
      </c>
      <c r="AF74" s="63" t="s">
        <v>66</v>
      </c>
      <c r="AG74" s="63" t="s">
        <v>3088</v>
      </c>
      <c r="AH74" s="63" t="s">
        <v>55</v>
      </c>
      <c r="AI74" s="63" t="s">
        <v>191</v>
      </c>
      <c r="AJ74" s="63" t="s">
        <v>138</v>
      </c>
      <c r="AK74" s="83">
        <v>3.8</v>
      </c>
      <c r="AL74" s="63" t="s">
        <v>57</v>
      </c>
      <c r="AM74" s="63" t="s">
        <v>46</v>
      </c>
      <c r="AN74"/>
    </row>
    <row r="75" spans="1:40" ht="18" customHeight="1">
      <c r="A75" s="1" t="s">
        <v>390</v>
      </c>
      <c r="B75" s="1" t="s">
        <v>391</v>
      </c>
      <c r="C75" s="4">
        <v>46189</v>
      </c>
      <c r="D75" s="4">
        <v>46200</v>
      </c>
      <c r="E75" s="4">
        <v>46208</v>
      </c>
      <c r="F75" s="63" t="s">
        <v>90</v>
      </c>
      <c r="G75" s="63" t="s">
        <v>3840</v>
      </c>
      <c r="H75" s="63" t="s">
        <v>133</v>
      </c>
      <c r="I75" s="63" t="s">
        <v>34</v>
      </c>
      <c r="J75" s="63" t="s">
        <v>71</v>
      </c>
      <c r="K75" s="63" t="s">
        <v>393</v>
      </c>
      <c r="L75" s="63" t="s">
        <v>73</v>
      </c>
      <c r="M75" s="69">
        <v>50.87</v>
      </c>
      <c r="N75" s="63" t="s">
        <v>53</v>
      </c>
      <c r="O75" s="73">
        <f>_xlfn.XLOOKUP(Supplier_Perf_Table[[#This Row],[Currency]],'Comments 2'!$C$4:$C$16,'Comments 2'!$D$4:$D$16)</f>
        <v>6.0999999999999999E-2</v>
      </c>
      <c r="P75" s="69">
        <f>IFERROR(Supplier_Perf_Table[[#This Row],[Unit_Cost]]*Supplier_Perf_Table[[#This Row],[Dollar Equivalent]],"")</f>
        <v>3.1030699999999998</v>
      </c>
      <c r="Q75" s="75">
        <v>200</v>
      </c>
      <c r="R75" s="1">
        <v>10174</v>
      </c>
      <c r="S75" s="75">
        <f>Supplier_Perf_Table[[#This Row],[Unit_Cost]]*Supplier_Perf_Table[[#This Row],[Order_Quantity]]</f>
        <v>10174</v>
      </c>
      <c r="T75" s="75">
        <f>IFERROR(Supplier_Perf_Table[[#This Row],[Dollar Equivalent]]*Supplier_Perf_Table[[#This Row],[Ordered_Value]],"")</f>
        <v>620.61400000000003</v>
      </c>
      <c r="U75" s="75">
        <v>14</v>
      </c>
      <c r="V75" s="7">
        <v>7.0000000000000007E-2</v>
      </c>
      <c r="W75" s="75">
        <v>19</v>
      </c>
      <c r="X75" s="55">
        <f>IFERROR(Supplier_Perf_Table[[#This Row],[Actual_Delivery_Date]]-Supplier_Perf_Table[[#This Row],[Order Date]],"")</f>
        <v>19</v>
      </c>
      <c r="Y75" s="75">
        <v>11</v>
      </c>
      <c r="Z75" s="56">
        <f>IFERROR(Supplier_Perf_Table[[#This Row],[Expected Delivery_Date]]-Supplier_Perf_Table[[#This Row],[Order Date]],"")</f>
        <v>11</v>
      </c>
      <c r="AA75" s="56">
        <f>Supplier_Perf_Table[[#This Row],[Calculated_Lead_Time2]]-Supplier_Perf_Table[[#This Row],[Calculated_Expected_Lead_Time]]</f>
        <v>8</v>
      </c>
      <c r="AB75" s="75">
        <v>8</v>
      </c>
      <c r="AC75" s="63" t="s">
        <v>39</v>
      </c>
      <c r="AD75" s="63" t="s">
        <v>74</v>
      </c>
      <c r="AE75" s="63" t="s">
        <v>105</v>
      </c>
      <c r="AF75" s="63" t="s">
        <v>106</v>
      </c>
      <c r="AG75" s="63" t="s">
        <v>43</v>
      </c>
      <c r="AH75" s="63" t="s">
        <v>206</v>
      </c>
      <c r="AI75" s="63" t="s">
        <v>95</v>
      </c>
      <c r="AJ75" s="63" t="s">
        <v>183</v>
      </c>
      <c r="AK75" s="83">
        <v>2</v>
      </c>
      <c r="AL75" s="63" t="s">
        <v>139</v>
      </c>
      <c r="AM75" s="63" t="s">
        <v>394</v>
      </c>
      <c r="AN75"/>
    </row>
    <row r="76" spans="1:40" ht="18" customHeight="1">
      <c r="A76" s="1" t="s">
        <v>395</v>
      </c>
      <c r="B76" s="1" t="s">
        <v>396</v>
      </c>
      <c r="C76" s="4">
        <v>46026</v>
      </c>
      <c r="D76" s="4">
        <v>46045</v>
      </c>
      <c r="E76" s="4">
        <v>46050</v>
      </c>
      <c r="F76" s="63" t="s">
        <v>90</v>
      </c>
      <c r="G76" s="63" t="s">
        <v>3840</v>
      </c>
      <c r="H76" s="63" t="s">
        <v>133</v>
      </c>
      <c r="I76" s="63" t="s">
        <v>61</v>
      </c>
      <c r="J76" s="63" t="s">
        <v>71</v>
      </c>
      <c r="K76" s="63" t="s">
        <v>397</v>
      </c>
      <c r="L76" s="63" t="s">
        <v>73</v>
      </c>
      <c r="M76" s="69">
        <v>762.04</v>
      </c>
      <c r="N76" s="63" t="s">
        <v>159</v>
      </c>
      <c r="O76" s="73">
        <f>_xlfn.XLOOKUP(Supplier_Perf_Table[[#This Row],[Currency]],'Comments 2'!$C$4:$C$16,'Comments 2'!$D$4:$D$16)</f>
        <v>7.2999999999999996E-4</v>
      </c>
      <c r="P76" s="69">
        <f>IFERROR(Supplier_Perf_Table[[#This Row],[Unit_Cost]]*Supplier_Perf_Table[[#This Row],[Dollar Equivalent]],"")</f>
        <v>0.55628919999999993</v>
      </c>
      <c r="Q76" s="75">
        <v>75</v>
      </c>
      <c r="R76" s="1">
        <v>57153</v>
      </c>
      <c r="S76" s="75">
        <f>Supplier_Perf_Table[[#This Row],[Unit_Cost]]*Supplier_Perf_Table[[#This Row],[Order_Quantity]]</f>
        <v>57153</v>
      </c>
      <c r="T76" s="75">
        <f>IFERROR(Supplier_Perf_Table[[#This Row],[Dollar Equivalent]]*Supplier_Perf_Table[[#This Row],[Ordered_Value]],"")</f>
        <v>41.721689999999995</v>
      </c>
      <c r="U76" s="75">
        <v>4</v>
      </c>
      <c r="V76" s="7">
        <v>5.33E-2</v>
      </c>
      <c r="W76" s="75">
        <v>24</v>
      </c>
      <c r="X76" s="55">
        <f>IFERROR(Supplier_Perf_Table[[#This Row],[Actual_Delivery_Date]]-Supplier_Perf_Table[[#This Row],[Order Date]],"")</f>
        <v>24</v>
      </c>
      <c r="Y76" s="75">
        <v>19</v>
      </c>
      <c r="Z76" s="56">
        <f>IFERROR(Supplier_Perf_Table[[#This Row],[Expected Delivery_Date]]-Supplier_Perf_Table[[#This Row],[Order Date]],"")</f>
        <v>19</v>
      </c>
      <c r="AA76" s="56">
        <f>Supplier_Perf_Table[[#This Row],[Calculated_Lead_Time2]]-Supplier_Perf_Table[[#This Row],[Calculated_Expected_Lead_Time]]</f>
        <v>5</v>
      </c>
      <c r="AB76" s="75">
        <v>5</v>
      </c>
      <c r="AC76" s="63" t="s">
        <v>205</v>
      </c>
      <c r="AD76" s="63" t="s">
        <v>74</v>
      </c>
      <c r="AE76" s="63" t="s">
        <v>146</v>
      </c>
      <c r="AF76" s="63" t="s">
        <v>212</v>
      </c>
      <c r="AG76" s="63" t="s">
        <v>3088</v>
      </c>
      <c r="AH76" s="63" t="s">
        <v>88</v>
      </c>
      <c r="AI76" s="63" t="s">
        <v>191</v>
      </c>
      <c r="AJ76" s="63" t="s">
        <v>183</v>
      </c>
      <c r="AK76" s="83">
        <v>1.2</v>
      </c>
      <c r="AL76" s="63" t="s">
        <v>184</v>
      </c>
      <c r="AM76" s="63" t="s">
        <v>185</v>
      </c>
      <c r="AN76"/>
    </row>
    <row r="77" spans="1:40" ht="18" customHeight="1">
      <c r="A77" s="1" t="s">
        <v>398</v>
      </c>
      <c r="B77" s="1" t="s">
        <v>399</v>
      </c>
      <c r="C77" s="4">
        <v>46142</v>
      </c>
      <c r="D77" s="4">
        <v>46157</v>
      </c>
      <c r="E77" s="4">
        <v>46150</v>
      </c>
      <c r="F77" s="63" t="s">
        <v>80</v>
      </c>
      <c r="G77" s="63" t="s">
        <v>3839</v>
      </c>
      <c r="H77" s="63" t="s">
        <v>82</v>
      </c>
      <c r="I77" s="63" t="s">
        <v>70</v>
      </c>
      <c r="J77" s="63" t="s">
        <v>153</v>
      </c>
      <c r="K77" s="63" t="s">
        <v>400</v>
      </c>
      <c r="L77" s="63" t="s">
        <v>295</v>
      </c>
      <c r="M77" s="69">
        <v>174.82</v>
      </c>
      <c r="N77" s="63" t="s">
        <v>38</v>
      </c>
      <c r="O77" s="73">
        <f>_xlfn.XLOOKUP(Supplier_Perf_Table[[#This Row],[Currency]],'Comments 2'!$C$4:$C$16,'Comments 2'!$D$4:$D$16)</f>
        <v>7.7000000000000002E-3</v>
      </c>
      <c r="P77" s="69">
        <f>IFERROR(Supplier_Perf_Table[[#This Row],[Unit_Cost]]*Supplier_Perf_Table[[#This Row],[Dollar Equivalent]],"")</f>
        <v>1.346114</v>
      </c>
      <c r="Q77" s="75">
        <v>300</v>
      </c>
      <c r="R77" s="1">
        <v>52446</v>
      </c>
      <c r="S77" s="75">
        <f>Supplier_Perf_Table[[#This Row],[Unit_Cost]]*Supplier_Perf_Table[[#This Row],[Order_Quantity]]</f>
        <v>52446</v>
      </c>
      <c r="T77" s="75">
        <f>IFERROR(Supplier_Perf_Table[[#This Row],[Dollar Equivalent]]*Supplier_Perf_Table[[#This Row],[Ordered_Value]],"")</f>
        <v>403.83420000000001</v>
      </c>
      <c r="U77" s="75">
        <v>1</v>
      </c>
      <c r="V77" s="7">
        <v>3.3E-3</v>
      </c>
      <c r="W77" s="75">
        <v>8</v>
      </c>
      <c r="X77" s="55">
        <f>IFERROR(Supplier_Perf_Table[[#This Row],[Actual_Delivery_Date]]-Supplier_Perf_Table[[#This Row],[Order Date]],"")</f>
        <v>8</v>
      </c>
      <c r="Y77" s="75">
        <v>15</v>
      </c>
      <c r="Z77" s="56">
        <f>IFERROR(Supplier_Perf_Table[[#This Row],[Expected Delivery_Date]]-Supplier_Perf_Table[[#This Row],[Order Date]],"")</f>
        <v>15</v>
      </c>
      <c r="AA77" s="56">
        <f>Supplier_Perf_Table[[#This Row],[Calculated_Lead_Time2]]-Supplier_Perf_Table[[#This Row],[Calculated_Expected_Lead_Time]]</f>
        <v>-7</v>
      </c>
      <c r="AB77" s="75">
        <v>-7</v>
      </c>
      <c r="AC77" s="63" t="s">
        <v>87</v>
      </c>
      <c r="AD77" s="63" t="s">
        <v>40</v>
      </c>
      <c r="AE77" s="63" t="s">
        <v>127</v>
      </c>
      <c r="AF77" s="63" t="s">
        <v>66</v>
      </c>
      <c r="AG77" s="63" t="s">
        <v>173</v>
      </c>
      <c r="AH77" s="63" t="s">
        <v>206</v>
      </c>
      <c r="AI77" s="63" t="s">
        <v>137</v>
      </c>
      <c r="AJ77" s="63" t="s">
        <v>138</v>
      </c>
      <c r="AK77" s="83">
        <v>2.8</v>
      </c>
      <c r="AL77" s="63" t="s">
        <v>139</v>
      </c>
      <c r="AM77" s="63" t="s">
        <v>130</v>
      </c>
      <c r="AN77"/>
    </row>
    <row r="78" spans="1:40" ht="18" customHeight="1">
      <c r="A78" s="1" t="s">
        <v>401</v>
      </c>
      <c r="B78" s="1" t="s">
        <v>402</v>
      </c>
      <c r="C78" s="4">
        <v>46156</v>
      </c>
      <c r="D78" s="4">
        <v>46168</v>
      </c>
      <c r="E78" s="4">
        <v>46179</v>
      </c>
      <c r="F78" s="63" t="s">
        <v>235</v>
      </c>
      <c r="G78" s="63" t="s">
        <v>3848</v>
      </c>
      <c r="H78" s="63" t="s">
        <v>479</v>
      </c>
      <c r="I78" s="63" t="s">
        <v>92</v>
      </c>
      <c r="J78" s="63" t="s">
        <v>71</v>
      </c>
      <c r="K78" s="63" t="s">
        <v>403</v>
      </c>
      <c r="L78" s="63" t="s">
        <v>73</v>
      </c>
      <c r="M78" s="69" t="s">
        <v>3080</v>
      </c>
      <c r="N78" s="63" t="s">
        <v>65</v>
      </c>
      <c r="O78" s="73">
        <f>_xlfn.XLOOKUP(Supplier_Perf_Table[[#This Row],[Currency]],'Comments 2'!$C$4:$C$16,'Comments 2'!$D$4:$D$16)</f>
        <v>1</v>
      </c>
      <c r="P78" s="69" t="str">
        <f>IFERROR(Supplier_Perf_Table[[#This Row],[Unit_Cost]]*Supplier_Perf_Table[[#This Row],[Dollar Equivalent]],"")</f>
        <v/>
      </c>
      <c r="Q78" s="75">
        <v>75</v>
      </c>
      <c r="R78" s="1">
        <v>61232.25</v>
      </c>
      <c r="S78" s="75" t="e">
        <f>Supplier_Perf_Table[[#This Row],[Unit_Cost]]*Supplier_Perf_Table[[#This Row],[Order_Quantity]]</f>
        <v>#VALUE!</v>
      </c>
      <c r="T78" s="75">
        <f>IFERROR(Supplier_Perf_Table[[#This Row],[Dollar Equivalent]]*Supplier_Perf_Table[[#This Row],[Ordered_Value]],"")</f>
        <v>61232.25</v>
      </c>
      <c r="U78" s="75">
        <v>3</v>
      </c>
      <c r="V78" s="7">
        <v>0.04</v>
      </c>
      <c r="W78" s="75">
        <v>23</v>
      </c>
      <c r="X78" s="55">
        <f>IFERROR(Supplier_Perf_Table[[#This Row],[Actual_Delivery_Date]]-Supplier_Perf_Table[[#This Row],[Order Date]],"")</f>
        <v>23</v>
      </c>
      <c r="Y78" s="75">
        <v>12</v>
      </c>
      <c r="Z78" s="56">
        <f>IFERROR(Supplier_Perf_Table[[#This Row],[Expected Delivery_Date]]-Supplier_Perf_Table[[#This Row],[Order Date]],"")</f>
        <v>12</v>
      </c>
      <c r="AA78" s="56">
        <f>Supplier_Perf_Table[[#This Row],[Calculated_Lead_Time2]]-Supplier_Perf_Table[[#This Row],[Calculated_Expected_Lead_Time]]</f>
        <v>11</v>
      </c>
      <c r="AB78" s="75">
        <v>11</v>
      </c>
      <c r="AC78" s="63" t="s">
        <v>135</v>
      </c>
      <c r="AD78" s="63" t="s">
        <v>404</v>
      </c>
      <c r="AE78" s="63" t="s">
        <v>105</v>
      </c>
      <c r="AF78" s="63" t="s">
        <v>66</v>
      </c>
      <c r="AG78" s="63" t="s">
        <v>173</v>
      </c>
      <c r="AH78" s="63" t="s">
        <v>3112</v>
      </c>
      <c r="AI78" s="63" t="s">
        <v>191</v>
      </c>
      <c r="AJ78" s="63" t="s">
        <v>138</v>
      </c>
      <c r="AK78" s="83">
        <v>3.1</v>
      </c>
      <c r="AL78" s="63" t="s">
        <v>45</v>
      </c>
      <c r="AM78" s="63" t="s">
        <v>46</v>
      </c>
      <c r="AN78"/>
    </row>
    <row r="79" spans="1:40" ht="18" customHeight="1">
      <c r="A79" s="1" t="s">
        <v>405</v>
      </c>
      <c r="B79" s="1" t="s">
        <v>406</v>
      </c>
      <c r="C79" s="4">
        <v>46150</v>
      </c>
      <c r="D79" s="4">
        <v>46159</v>
      </c>
      <c r="E79" s="4">
        <v>46163</v>
      </c>
      <c r="F79" s="63" t="s">
        <v>215</v>
      </c>
      <c r="G79" s="63" t="s">
        <v>3846</v>
      </c>
      <c r="H79" s="63" t="s">
        <v>152</v>
      </c>
      <c r="I79" s="63" t="s">
        <v>34</v>
      </c>
      <c r="J79" s="63" t="s">
        <v>112</v>
      </c>
      <c r="K79" s="63" t="s">
        <v>407</v>
      </c>
      <c r="L79" s="63" t="s">
        <v>229</v>
      </c>
      <c r="M79" s="69">
        <v>845.54</v>
      </c>
      <c r="N79" s="63" t="s">
        <v>86</v>
      </c>
      <c r="O79" s="73">
        <f>_xlfn.XLOOKUP(Supplier_Perf_Table[[#This Row],[Currency]],'Comments 2'!$C$4:$C$16,'Comments 2'!$D$4:$D$16)</f>
        <v>8.8999999999999996E-2</v>
      </c>
      <c r="P79" s="69">
        <f>IFERROR(Supplier_Perf_Table[[#This Row],[Unit_Cost]]*Supplier_Perf_Table[[#This Row],[Dollar Equivalent]],"")</f>
        <v>75.253059999999991</v>
      </c>
      <c r="Q79" s="75">
        <v>250</v>
      </c>
      <c r="R79" s="1">
        <v>211385</v>
      </c>
      <c r="S79" s="75">
        <f>Supplier_Perf_Table[[#This Row],[Unit_Cost]]*Supplier_Perf_Table[[#This Row],[Order_Quantity]]</f>
        <v>211385</v>
      </c>
      <c r="T79" s="75">
        <f>IFERROR(Supplier_Perf_Table[[#This Row],[Dollar Equivalent]]*Supplier_Perf_Table[[#This Row],[Ordered_Value]],"")</f>
        <v>18813.264999999999</v>
      </c>
      <c r="U79" s="75">
        <v>15</v>
      </c>
      <c r="V79" s="7">
        <v>0.06</v>
      </c>
      <c r="W79" s="75">
        <v>13</v>
      </c>
      <c r="X79" s="55">
        <f>IFERROR(Supplier_Perf_Table[[#This Row],[Actual_Delivery_Date]]-Supplier_Perf_Table[[#This Row],[Order Date]],"")</f>
        <v>13</v>
      </c>
      <c r="Y79" s="75">
        <v>9</v>
      </c>
      <c r="Z79" s="56">
        <f>IFERROR(Supplier_Perf_Table[[#This Row],[Expected Delivery_Date]]-Supplier_Perf_Table[[#This Row],[Order Date]],"")</f>
        <v>9</v>
      </c>
      <c r="AA79" s="56">
        <f>Supplier_Perf_Table[[#This Row],[Calculated_Lead_Time2]]-Supplier_Perf_Table[[#This Row],[Calculated_Expected_Lead_Time]]</f>
        <v>4</v>
      </c>
      <c r="AB79" s="75">
        <v>4</v>
      </c>
      <c r="AC79" s="63" t="s">
        <v>135</v>
      </c>
      <c r="AD79" s="63" t="s">
        <v>366</v>
      </c>
      <c r="AE79" s="63" t="s">
        <v>41</v>
      </c>
      <c r="AF79" s="63" t="s">
        <v>212</v>
      </c>
      <c r="AG79" s="63" t="s">
        <v>128</v>
      </c>
      <c r="AH79" s="63" t="s">
        <v>136</v>
      </c>
      <c r="AI79" s="63" t="s">
        <v>191</v>
      </c>
      <c r="AJ79" s="63" t="s">
        <v>183</v>
      </c>
      <c r="AK79" s="83">
        <v>2.2000000000000002</v>
      </c>
      <c r="AL79" s="63" t="s">
        <v>115</v>
      </c>
      <c r="AM79" s="63" t="s">
        <v>77</v>
      </c>
      <c r="AN79"/>
    </row>
    <row r="80" spans="1:40" ht="18" customHeight="1">
      <c r="A80" s="1" t="s">
        <v>408</v>
      </c>
      <c r="B80" s="1" t="s">
        <v>409</v>
      </c>
      <c r="C80" s="4">
        <v>46159</v>
      </c>
      <c r="D80" s="4">
        <v>46168</v>
      </c>
      <c r="E80" s="4">
        <v>46180</v>
      </c>
      <c r="F80" s="63" t="s">
        <v>100</v>
      </c>
      <c r="G80" s="63" t="s">
        <v>3841</v>
      </c>
      <c r="H80" s="63" t="s">
        <v>102</v>
      </c>
      <c r="I80" s="63" t="s">
        <v>241</v>
      </c>
      <c r="J80" s="63" t="s">
        <v>50</v>
      </c>
      <c r="K80" s="63" t="s">
        <v>410</v>
      </c>
      <c r="L80" s="63" t="s">
        <v>126</v>
      </c>
      <c r="M80" s="69">
        <v>765.1</v>
      </c>
      <c r="N80" s="63" t="s">
        <v>65</v>
      </c>
      <c r="O80" s="73">
        <f>_xlfn.XLOOKUP(Supplier_Perf_Table[[#This Row],[Currency]],'Comments 2'!$C$4:$C$16,'Comments 2'!$D$4:$D$16)</f>
        <v>1</v>
      </c>
      <c r="P80" s="69">
        <f>IFERROR(Supplier_Perf_Table[[#This Row],[Unit_Cost]]*Supplier_Perf_Table[[#This Row],[Dollar Equivalent]],"")</f>
        <v>765.1</v>
      </c>
      <c r="Q80" s="75">
        <v>250</v>
      </c>
      <c r="R80" s="1">
        <v>191275</v>
      </c>
      <c r="S80" s="75">
        <f>Supplier_Perf_Table[[#This Row],[Unit_Cost]]*Supplier_Perf_Table[[#This Row],[Order_Quantity]]</f>
        <v>191275</v>
      </c>
      <c r="T80" s="75">
        <f>IFERROR(Supplier_Perf_Table[[#This Row],[Dollar Equivalent]]*Supplier_Perf_Table[[#This Row],[Ordered_Value]],"")</f>
        <v>191275</v>
      </c>
      <c r="U80" s="75">
        <v>4</v>
      </c>
      <c r="V80" s="7">
        <v>1.6E-2</v>
      </c>
      <c r="W80" s="75">
        <v>21</v>
      </c>
      <c r="X80" s="55">
        <f>IFERROR(Supplier_Perf_Table[[#This Row],[Actual_Delivery_Date]]-Supplier_Perf_Table[[#This Row],[Order Date]],"")</f>
        <v>21</v>
      </c>
      <c r="Y80" s="75">
        <v>9</v>
      </c>
      <c r="Z80" s="56">
        <f>IFERROR(Supplier_Perf_Table[[#This Row],[Expected Delivery_Date]]-Supplier_Perf_Table[[#This Row],[Order Date]],"")</f>
        <v>9</v>
      </c>
      <c r="AA80" s="56">
        <f>Supplier_Perf_Table[[#This Row],[Calculated_Lead_Time2]]-Supplier_Perf_Table[[#This Row],[Calculated_Expected_Lead_Time]]</f>
        <v>12</v>
      </c>
      <c r="AB80" s="75">
        <v>12</v>
      </c>
      <c r="AC80" s="63" t="s">
        <v>205</v>
      </c>
      <c r="AD80" s="63" t="s">
        <v>40</v>
      </c>
      <c r="AE80" s="63" t="s">
        <v>41</v>
      </c>
      <c r="AF80" s="63" t="s">
        <v>106</v>
      </c>
      <c r="AG80" s="63" t="s">
        <v>54</v>
      </c>
      <c r="AH80" s="63" t="s">
        <v>174</v>
      </c>
      <c r="AI80" s="63" t="s">
        <v>137</v>
      </c>
      <c r="AJ80" s="63" t="s">
        <v>138</v>
      </c>
      <c r="AK80" s="83">
        <v>4</v>
      </c>
      <c r="AL80" s="63" t="s">
        <v>45</v>
      </c>
      <c r="AM80" s="63" t="s">
        <v>46</v>
      </c>
      <c r="AN80"/>
    </row>
    <row r="81" spans="1:40" ht="18" customHeight="1">
      <c r="A81" s="1" t="s">
        <v>411</v>
      </c>
      <c r="B81" s="1" t="s">
        <v>412</v>
      </c>
      <c r="C81" s="4">
        <v>46113</v>
      </c>
      <c r="D81" s="4">
        <v>46128</v>
      </c>
      <c r="E81" s="4">
        <v>46135</v>
      </c>
      <c r="F81" s="63" t="s">
        <v>256</v>
      </c>
      <c r="G81" s="63" t="s">
        <v>3849</v>
      </c>
      <c r="H81" s="63" t="s">
        <v>258</v>
      </c>
      <c r="I81" s="63" t="s">
        <v>92</v>
      </c>
      <c r="J81" s="63" t="s">
        <v>35</v>
      </c>
      <c r="K81" s="63" t="s">
        <v>413</v>
      </c>
      <c r="L81" s="63" t="s">
        <v>85</v>
      </c>
      <c r="M81" s="69">
        <v>2573.38</v>
      </c>
      <c r="N81" s="63" t="s">
        <v>38</v>
      </c>
      <c r="O81" s="73">
        <f>_xlfn.XLOOKUP(Supplier_Perf_Table[[#This Row],[Currency]],'Comments 2'!$C$4:$C$16,'Comments 2'!$D$4:$D$16)</f>
        <v>7.7000000000000002E-3</v>
      </c>
      <c r="P81" s="69">
        <f>IFERROR(Supplier_Perf_Table[[#This Row],[Unit_Cost]]*Supplier_Perf_Table[[#This Row],[Dollar Equivalent]],"")</f>
        <v>19.815026000000003</v>
      </c>
      <c r="Q81" s="75">
        <v>1500</v>
      </c>
      <c r="R81" s="1">
        <v>3860070</v>
      </c>
      <c r="S81" s="75">
        <f>Supplier_Perf_Table[[#This Row],[Unit_Cost]]*Supplier_Perf_Table[[#This Row],[Order_Quantity]]</f>
        <v>3860070</v>
      </c>
      <c r="T81" s="75">
        <f>IFERROR(Supplier_Perf_Table[[#This Row],[Dollar Equivalent]]*Supplier_Perf_Table[[#This Row],[Ordered_Value]],"")</f>
        <v>29722.539000000001</v>
      </c>
      <c r="U81" s="75">
        <v>63</v>
      </c>
      <c r="V81" s="7">
        <v>4.2000000000000003E-2</v>
      </c>
      <c r="W81" s="75">
        <v>22</v>
      </c>
      <c r="X81" s="55">
        <f>IFERROR(Supplier_Perf_Table[[#This Row],[Actual_Delivery_Date]]-Supplier_Perf_Table[[#This Row],[Order Date]],"")</f>
        <v>22</v>
      </c>
      <c r="Y81" s="75">
        <v>15</v>
      </c>
      <c r="Z81" s="56">
        <f>IFERROR(Supplier_Perf_Table[[#This Row],[Expected Delivery_Date]]-Supplier_Perf_Table[[#This Row],[Order Date]],"")</f>
        <v>15</v>
      </c>
      <c r="AA81" s="56">
        <f>Supplier_Perf_Table[[#This Row],[Calculated_Lead_Time2]]-Supplier_Perf_Table[[#This Row],[Calculated_Expected_Lead_Time]]</f>
        <v>7</v>
      </c>
      <c r="AB81" s="75">
        <v>7</v>
      </c>
      <c r="AC81" s="63" t="s">
        <v>205</v>
      </c>
      <c r="AD81" s="63" t="s">
        <v>366</v>
      </c>
      <c r="AE81" s="63" t="s">
        <v>127</v>
      </c>
      <c r="AF81" s="63" t="s">
        <v>106</v>
      </c>
      <c r="AG81" s="63" t="s">
        <v>128</v>
      </c>
      <c r="AH81" s="63" t="s">
        <v>206</v>
      </c>
      <c r="AI81" s="63" t="s">
        <v>95</v>
      </c>
      <c r="AJ81" s="63" t="s">
        <v>75</v>
      </c>
      <c r="AK81" s="83">
        <v>2.7</v>
      </c>
      <c r="AL81" s="63" t="s">
        <v>108</v>
      </c>
      <c r="AM81" s="63" t="s">
        <v>185</v>
      </c>
      <c r="AN81"/>
    </row>
    <row r="82" spans="1:40" ht="18" customHeight="1">
      <c r="A82" s="1" t="s">
        <v>414</v>
      </c>
      <c r="B82" s="1" t="s">
        <v>415</v>
      </c>
      <c r="C82" s="4">
        <v>46077</v>
      </c>
      <c r="D82" s="4">
        <v>46091</v>
      </c>
      <c r="E82" s="4">
        <v>46097</v>
      </c>
      <c r="F82" s="63" t="s">
        <v>256</v>
      </c>
      <c r="G82" s="63" t="s">
        <v>3849</v>
      </c>
      <c r="H82" s="63" t="s">
        <v>258</v>
      </c>
      <c r="I82" s="63" t="s">
        <v>92</v>
      </c>
      <c r="J82" s="63" t="s">
        <v>153</v>
      </c>
      <c r="K82" s="63" t="s">
        <v>416</v>
      </c>
      <c r="L82" s="63" t="s">
        <v>204</v>
      </c>
      <c r="M82" s="69">
        <v>378.31</v>
      </c>
      <c r="N82" s="63" t="s">
        <v>159</v>
      </c>
      <c r="O82" s="73">
        <f>_xlfn.XLOOKUP(Supplier_Perf_Table[[#This Row],[Currency]],'Comments 2'!$C$4:$C$16,'Comments 2'!$D$4:$D$16)</f>
        <v>7.2999999999999996E-4</v>
      </c>
      <c r="P82" s="69">
        <f>IFERROR(Supplier_Perf_Table[[#This Row],[Unit_Cost]]*Supplier_Perf_Table[[#This Row],[Dollar Equivalent]],"")</f>
        <v>0.27616629999999998</v>
      </c>
      <c r="Q82" s="75">
        <v>100</v>
      </c>
      <c r="R82" s="1">
        <v>37831</v>
      </c>
      <c r="S82" s="75">
        <f>Supplier_Perf_Table[[#This Row],[Unit_Cost]]*Supplier_Perf_Table[[#This Row],[Order_Quantity]]</f>
        <v>37831</v>
      </c>
      <c r="T82" s="75">
        <f>IFERROR(Supplier_Perf_Table[[#This Row],[Dollar Equivalent]]*Supplier_Perf_Table[[#This Row],[Ordered_Value]],"")</f>
        <v>27.616629999999997</v>
      </c>
      <c r="U82" s="75">
        <v>5</v>
      </c>
      <c r="V82" s="7">
        <v>0.05</v>
      </c>
      <c r="W82" s="75">
        <v>20</v>
      </c>
      <c r="X82" s="55">
        <f>IFERROR(Supplier_Perf_Table[[#This Row],[Actual_Delivery_Date]]-Supplier_Perf_Table[[#This Row],[Order Date]],"")</f>
        <v>20</v>
      </c>
      <c r="Y82" s="75">
        <v>14</v>
      </c>
      <c r="Z82" s="56">
        <f>IFERROR(Supplier_Perf_Table[[#This Row],[Expected Delivery_Date]]-Supplier_Perf_Table[[#This Row],[Order Date]],"")</f>
        <v>14</v>
      </c>
      <c r="AA82" s="56">
        <f>Supplier_Perf_Table[[#This Row],[Calculated_Lead_Time2]]-Supplier_Perf_Table[[#This Row],[Calculated_Expected_Lead_Time]]</f>
        <v>6</v>
      </c>
      <c r="AB82" s="75">
        <v>6</v>
      </c>
      <c r="AC82" s="63" t="s">
        <v>39</v>
      </c>
      <c r="AD82" s="63" t="s">
        <v>366</v>
      </c>
      <c r="AE82" s="63" t="s">
        <v>105</v>
      </c>
      <c r="AF82" s="63" t="s">
        <v>42</v>
      </c>
      <c r="AG82" s="63" t="s">
        <v>54</v>
      </c>
      <c r="AH82" s="63" t="s">
        <v>136</v>
      </c>
      <c r="AI82" s="63" t="s">
        <v>137</v>
      </c>
      <c r="AJ82" s="63" t="s">
        <v>183</v>
      </c>
      <c r="AK82" s="83">
        <v>2.7</v>
      </c>
      <c r="AL82" s="63" t="s">
        <v>57</v>
      </c>
      <c r="AM82" s="63" t="s">
        <v>77</v>
      </c>
      <c r="AN82"/>
    </row>
    <row r="83" spans="1:40" ht="18" customHeight="1">
      <c r="A83" s="1" t="s">
        <v>417</v>
      </c>
      <c r="B83" s="1" t="s">
        <v>418</v>
      </c>
      <c r="C83" s="4">
        <v>46058</v>
      </c>
      <c r="D83" s="4">
        <v>46082</v>
      </c>
      <c r="E83" s="4">
        <v>46078</v>
      </c>
      <c r="F83" s="63" t="s">
        <v>235</v>
      </c>
      <c r="G83" s="63" t="s">
        <v>3848</v>
      </c>
      <c r="H83" s="63" t="s">
        <v>479</v>
      </c>
      <c r="I83" s="63" t="s">
        <v>178</v>
      </c>
      <c r="J83" s="63" t="s">
        <v>71</v>
      </c>
      <c r="K83" s="63" t="s">
        <v>419</v>
      </c>
      <c r="L83" s="63" t="s">
        <v>238</v>
      </c>
      <c r="M83" s="69">
        <v>590.41999999999996</v>
      </c>
      <c r="N83" s="63" t="s">
        <v>86</v>
      </c>
      <c r="O83" s="73">
        <f>_xlfn.XLOOKUP(Supplier_Perf_Table[[#This Row],[Currency]],'Comments 2'!$C$4:$C$16,'Comments 2'!$D$4:$D$16)</f>
        <v>8.8999999999999996E-2</v>
      </c>
      <c r="P83" s="69">
        <f>IFERROR(Supplier_Perf_Table[[#This Row],[Unit_Cost]]*Supplier_Perf_Table[[#This Row],[Dollar Equivalent]],"")</f>
        <v>52.547379999999997</v>
      </c>
      <c r="Q83" s="75">
        <v>150</v>
      </c>
      <c r="R83" s="1">
        <v>88563</v>
      </c>
      <c r="S83" s="75">
        <f>Supplier_Perf_Table[[#This Row],[Unit_Cost]]*Supplier_Perf_Table[[#This Row],[Order_Quantity]]</f>
        <v>88563</v>
      </c>
      <c r="T83" s="75">
        <f>IFERROR(Supplier_Perf_Table[[#This Row],[Dollar Equivalent]]*Supplier_Perf_Table[[#This Row],[Ordered_Value]],"")</f>
        <v>7882.107</v>
      </c>
      <c r="U83" s="75">
        <v>10</v>
      </c>
      <c r="V83" s="7">
        <v>6.6699999999999995E-2</v>
      </c>
      <c r="W83" s="75">
        <v>20</v>
      </c>
      <c r="X83" s="55">
        <f>IFERROR(Supplier_Perf_Table[[#This Row],[Actual_Delivery_Date]]-Supplier_Perf_Table[[#This Row],[Order Date]],"")</f>
        <v>20</v>
      </c>
      <c r="Y83" s="75">
        <v>24</v>
      </c>
      <c r="Z83" s="56">
        <f>IFERROR(Supplier_Perf_Table[[#This Row],[Expected Delivery_Date]]-Supplier_Perf_Table[[#This Row],[Order Date]],"")</f>
        <v>24</v>
      </c>
      <c r="AA83" s="56">
        <f>Supplier_Perf_Table[[#This Row],[Calculated_Lead_Time2]]-Supplier_Perf_Table[[#This Row],[Calculated_Expected_Lead_Time]]</f>
        <v>-4</v>
      </c>
      <c r="AB83" s="75">
        <v>-4</v>
      </c>
      <c r="AC83" s="63" t="s">
        <v>87</v>
      </c>
      <c r="AD83" s="63" t="s">
        <v>420</v>
      </c>
      <c r="AE83" s="63" t="s">
        <v>127</v>
      </c>
      <c r="AF83" s="63" t="s">
        <v>106</v>
      </c>
      <c r="AG83" s="63" t="s">
        <v>54</v>
      </c>
      <c r="AH83" s="63" t="s">
        <v>88</v>
      </c>
      <c r="AI83" s="63" t="s">
        <v>44</v>
      </c>
      <c r="AJ83" s="63" t="s">
        <v>75</v>
      </c>
      <c r="AK83" s="83">
        <v>1.6</v>
      </c>
      <c r="AL83" s="63" t="s">
        <v>184</v>
      </c>
      <c r="AM83" s="63" t="s">
        <v>284</v>
      </c>
      <c r="AN83"/>
    </row>
    <row r="84" spans="1:40" ht="18" customHeight="1">
      <c r="A84" s="1" t="s">
        <v>421</v>
      </c>
      <c r="B84" s="1" t="s">
        <v>422</v>
      </c>
      <c r="C84" s="4">
        <v>46072</v>
      </c>
      <c r="D84" s="4">
        <v>46081</v>
      </c>
      <c r="E84" s="4">
        <v>46083</v>
      </c>
      <c r="F84" s="63" t="s">
        <v>69</v>
      </c>
      <c r="G84" s="63" t="s">
        <v>3838</v>
      </c>
      <c r="H84" s="63" t="s">
        <v>194</v>
      </c>
      <c r="I84" s="63" t="s">
        <v>241</v>
      </c>
      <c r="J84" s="63" t="s">
        <v>112</v>
      </c>
      <c r="K84" s="63" t="s">
        <v>423</v>
      </c>
      <c r="L84" s="63" t="s">
        <v>218</v>
      </c>
      <c r="M84" s="69">
        <v>418.25</v>
      </c>
      <c r="N84" s="63" t="s">
        <v>53</v>
      </c>
      <c r="O84" s="73">
        <f>_xlfn.XLOOKUP(Supplier_Perf_Table[[#This Row],[Currency]],'Comments 2'!$C$4:$C$16,'Comments 2'!$D$4:$D$16)</f>
        <v>6.0999999999999999E-2</v>
      </c>
      <c r="P84" s="69">
        <f>IFERROR(Supplier_Perf_Table[[#This Row],[Unit_Cost]]*Supplier_Perf_Table[[#This Row],[Dollar Equivalent]],"")</f>
        <v>25.513249999999999</v>
      </c>
      <c r="Q84" s="75">
        <v>1500</v>
      </c>
      <c r="R84" s="1">
        <v>627375</v>
      </c>
      <c r="S84" s="75">
        <f>Supplier_Perf_Table[[#This Row],[Unit_Cost]]*Supplier_Perf_Table[[#This Row],[Order_Quantity]]</f>
        <v>627375</v>
      </c>
      <c r="T84" s="75">
        <f>IFERROR(Supplier_Perf_Table[[#This Row],[Dollar Equivalent]]*Supplier_Perf_Table[[#This Row],[Ordered_Value]],"")</f>
        <v>38269.875</v>
      </c>
      <c r="U84" s="75">
        <v>15</v>
      </c>
      <c r="V84" s="7">
        <v>0.01</v>
      </c>
      <c r="W84" s="75">
        <v>11</v>
      </c>
      <c r="X84" s="55">
        <f>IFERROR(Supplier_Perf_Table[[#This Row],[Actual_Delivery_Date]]-Supplier_Perf_Table[[#This Row],[Order Date]],"")</f>
        <v>11</v>
      </c>
      <c r="Y84" s="75">
        <v>9</v>
      </c>
      <c r="Z84" s="56">
        <f>IFERROR(Supplier_Perf_Table[[#This Row],[Expected Delivery_Date]]-Supplier_Perf_Table[[#This Row],[Order Date]],"")</f>
        <v>9</v>
      </c>
      <c r="AA84" s="56">
        <f>Supplier_Perf_Table[[#This Row],[Calculated_Lead_Time2]]-Supplier_Perf_Table[[#This Row],[Calculated_Expected_Lead_Time]]</f>
        <v>2</v>
      </c>
      <c r="AB84" s="75">
        <v>2</v>
      </c>
      <c r="AC84" s="63" t="s">
        <v>166</v>
      </c>
      <c r="AD84" s="63" t="s">
        <v>40</v>
      </c>
      <c r="AE84" s="63" t="s">
        <v>105</v>
      </c>
      <c r="AF84" s="63" t="s">
        <v>3088</v>
      </c>
      <c r="AG84" s="63" t="s">
        <v>54</v>
      </c>
      <c r="AH84" s="63" t="s">
        <v>206</v>
      </c>
      <c r="AI84" s="63" t="s">
        <v>147</v>
      </c>
      <c r="AJ84" s="63" t="s">
        <v>138</v>
      </c>
      <c r="AK84" s="83">
        <v>5</v>
      </c>
      <c r="AL84" s="63" t="s">
        <v>115</v>
      </c>
      <c r="AM84" s="63" t="s">
        <v>46</v>
      </c>
      <c r="AN84"/>
    </row>
    <row r="85" spans="1:40" ht="18" customHeight="1">
      <c r="A85" s="1" t="s">
        <v>424</v>
      </c>
      <c r="B85" s="1" t="s">
        <v>425</v>
      </c>
      <c r="C85" s="4">
        <v>46194</v>
      </c>
      <c r="D85" s="4">
        <v>46209</v>
      </c>
      <c r="E85" s="4">
        <v>46222</v>
      </c>
      <c r="F85" s="63" t="s">
        <v>48</v>
      </c>
      <c r="G85" s="63" t="s">
        <v>3836</v>
      </c>
      <c r="H85" s="63" t="s">
        <v>102</v>
      </c>
      <c r="I85" s="63" t="s">
        <v>34</v>
      </c>
      <c r="J85" s="63" t="s">
        <v>50</v>
      </c>
      <c r="K85" s="63" t="s">
        <v>426</v>
      </c>
      <c r="L85" s="63" t="s">
        <v>145</v>
      </c>
      <c r="M85" s="69">
        <v>2522.6799999999998</v>
      </c>
      <c r="N85" s="63" t="s">
        <v>65</v>
      </c>
      <c r="O85" s="73">
        <f>_xlfn.XLOOKUP(Supplier_Perf_Table[[#This Row],[Currency]],'Comments 2'!$C$4:$C$16,'Comments 2'!$D$4:$D$16)</f>
        <v>1</v>
      </c>
      <c r="P85" s="69">
        <f>IFERROR(Supplier_Perf_Table[[#This Row],[Unit_Cost]]*Supplier_Perf_Table[[#This Row],[Dollar Equivalent]],"")</f>
        <v>2522.6799999999998</v>
      </c>
      <c r="Q85" s="75">
        <v>2000</v>
      </c>
      <c r="R85" s="1">
        <v>5045360</v>
      </c>
      <c r="S85" s="75">
        <f>Supplier_Perf_Table[[#This Row],[Unit_Cost]]*Supplier_Perf_Table[[#This Row],[Order_Quantity]]</f>
        <v>5045360</v>
      </c>
      <c r="T85" s="75">
        <f>IFERROR(Supplier_Perf_Table[[#This Row],[Dollar Equivalent]]*Supplier_Perf_Table[[#This Row],[Ordered_Value]],"")</f>
        <v>5045360</v>
      </c>
      <c r="U85" s="75">
        <v>78</v>
      </c>
      <c r="V85" s="7">
        <v>3.9E-2</v>
      </c>
      <c r="W85" s="75">
        <v>28</v>
      </c>
      <c r="X85" s="55">
        <f>IFERROR(Supplier_Perf_Table[[#This Row],[Actual_Delivery_Date]]-Supplier_Perf_Table[[#This Row],[Order Date]],"")</f>
        <v>28</v>
      </c>
      <c r="Y85" s="75">
        <v>15</v>
      </c>
      <c r="Z85" s="56">
        <f>IFERROR(Supplier_Perf_Table[[#This Row],[Expected Delivery_Date]]-Supplier_Perf_Table[[#This Row],[Order Date]],"")</f>
        <v>15</v>
      </c>
      <c r="AA85" s="56">
        <f>Supplier_Perf_Table[[#This Row],[Calculated_Lead_Time2]]-Supplier_Perf_Table[[#This Row],[Calculated_Expected_Lead_Time]]</f>
        <v>13</v>
      </c>
      <c r="AB85" s="75">
        <v>13</v>
      </c>
      <c r="AC85" s="63" t="s">
        <v>205</v>
      </c>
      <c r="AD85" s="63" t="s">
        <v>40</v>
      </c>
      <c r="AE85" s="63" t="s">
        <v>105</v>
      </c>
      <c r="AF85" s="63" t="s">
        <v>3088</v>
      </c>
      <c r="AG85" s="63" t="s">
        <v>54</v>
      </c>
      <c r="AH85" s="63" t="s">
        <v>129</v>
      </c>
      <c r="AI85" s="63" t="s">
        <v>147</v>
      </c>
      <c r="AJ85" s="63" t="s">
        <v>138</v>
      </c>
      <c r="AK85" s="83">
        <v>2.1</v>
      </c>
      <c r="AL85" s="63" t="s">
        <v>139</v>
      </c>
      <c r="AM85" s="63" t="s">
        <v>46</v>
      </c>
      <c r="AN85"/>
    </row>
    <row r="86" spans="1:40" ht="18" customHeight="1">
      <c r="A86" s="1" t="s">
        <v>427</v>
      </c>
      <c r="B86" s="1" t="s">
        <v>428</v>
      </c>
      <c r="C86" s="4">
        <v>46162</v>
      </c>
      <c r="D86" s="4">
        <v>46173</v>
      </c>
      <c r="E86" s="4">
        <v>46174</v>
      </c>
      <c r="F86" s="63" t="s">
        <v>215</v>
      </c>
      <c r="G86" s="63" t="s">
        <v>3846</v>
      </c>
      <c r="H86" s="63" t="s">
        <v>152</v>
      </c>
      <c r="I86" s="63" t="s">
        <v>49</v>
      </c>
      <c r="J86" s="63" t="s">
        <v>112</v>
      </c>
      <c r="K86" s="63" t="s">
        <v>429</v>
      </c>
      <c r="L86" s="63" t="s">
        <v>246</v>
      </c>
      <c r="M86" s="69">
        <v>66.13</v>
      </c>
      <c r="N86" s="63" t="s">
        <v>86</v>
      </c>
      <c r="O86" s="73">
        <f>_xlfn.XLOOKUP(Supplier_Perf_Table[[#This Row],[Currency]],'Comments 2'!$C$4:$C$16,'Comments 2'!$D$4:$D$16)</f>
        <v>8.8999999999999996E-2</v>
      </c>
      <c r="P86" s="69">
        <f>IFERROR(Supplier_Perf_Table[[#This Row],[Unit_Cost]]*Supplier_Perf_Table[[#This Row],[Dollar Equivalent]],"")</f>
        <v>5.8855699999999995</v>
      </c>
      <c r="Q86" s="75">
        <v>100</v>
      </c>
      <c r="R86" s="1">
        <v>6613</v>
      </c>
      <c r="S86" s="75">
        <f>Supplier_Perf_Table[[#This Row],[Unit_Cost]]*Supplier_Perf_Table[[#This Row],[Order_Quantity]]</f>
        <v>6613</v>
      </c>
      <c r="T86" s="75">
        <f>IFERROR(Supplier_Perf_Table[[#This Row],[Dollar Equivalent]]*Supplier_Perf_Table[[#This Row],[Ordered_Value]],"")</f>
        <v>588.55700000000002</v>
      </c>
      <c r="U86" s="75">
        <v>4</v>
      </c>
      <c r="V86" s="7">
        <v>0.04</v>
      </c>
      <c r="W86" s="75">
        <v>12</v>
      </c>
      <c r="X86" s="55">
        <f>IFERROR(Supplier_Perf_Table[[#This Row],[Actual_Delivery_Date]]-Supplier_Perf_Table[[#This Row],[Order Date]],"")</f>
        <v>12</v>
      </c>
      <c r="Y86" s="75">
        <v>11</v>
      </c>
      <c r="Z86" s="56">
        <f>IFERROR(Supplier_Perf_Table[[#This Row],[Expected Delivery_Date]]-Supplier_Perf_Table[[#This Row],[Order Date]],"")</f>
        <v>11</v>
      </c>
      <c r="AA86" s="56">
        <f>Supplier_Perf_Table[[#This Row],[Calculated_Lead_Time2]]-Supplier_Perf_Table[[#This Row],[Calculated_Expected_Lead_Time]]</f>
        <v>1</v>
      </c>
      <c r="AB86" s="75">
        <v>1</v>
      </c>
      <c r="AC86" s="63" t="s">
        <v>166</v>
      </c>
      <c r="AD86" s="63" t="s">
        <v>40</v>
      </c>
      <c r="AE86" s="63" t="s">
        <v>105</v>
      </c>
      <c r="AF86" s="63" t="s">
        <v>3088</v>
      </c>
      <c r="AG86" s="63" t="s">
        <v>128</v>
      </c>
      <c r="AH86" s="63" t="s">
        <v>55</v>
      </c>
      <c r="AI86" s="63" t="s">
        <v>56</v>
      </c>
      <c r="AJ86" s="63" t="s">
        <v>138</v>
      </c>
      <c r="AK86" s="83">
        <v>4.5999999999999996</v>
      </c>
      <c r="AL86" s="63" t="s">
        <v>184</v>
      </c>
      <c r="AM86" s="63" t="s">
        <v>46</v>
      </c>
      <c r="AN86"/>
    </row>
    <row r="87" spans="1:40" ht="18" customHeight="1">
      <c r="A87" s="1" t="s">
        <v>430</v>
      </c>
      <c r="B87" s="1" t="s">
        <v>431</v>
      </c>
      <c r="C87" s="4">
        <v>46075</v>
      </c>
      <c r="D87" s="4">
        <v>46094</v>
      </c>
      <c r="E87" s="4">
        <v>46090</v>
      </c>
      <c r="F87" s="63" t="s">
        <v>235</v>
      </c>
      <c r="G87" s="63" t="s">
        <v>3848</v>
      </c>
      <c r="H87" s="63" t="s">
        <v>479</v>
      </c>
      <c r="I87" s="63" t="s">
        <v>61</v>
      </c>
      <c r="J87" s="63" t="s">
        <v>153</v>
      </c>
      <c r="K87" s="63" t="s">
        <v>432</v>
      </c>
      <c r="L87" s="63" t="s">
        <v>155</v>
      </c>
      <c r="M87" s="69">
        <v>549.09</v>
      </c>
      <c r="N87" s="63" t="s">
        <v>159</v>
      </c>
      <c r="O87" s="73">
        <f>_xlfn.XLOOKUP(Supplier_Perf_Table[[#This Row],[Currency]],'Comments 2'!$C$4:$C$16,'Comments 2'!$D$4:$D$16)</f>
        <v>7.2999999999999996E-4</v>
      </c>
      <c r="P87" s="69">
        <f>IFERROR(Supplier_Perf_Table[[#This Row],[Unit_Cost]]*Supplier_Perf_Table[[#This Row],[Dollar Equivalent]],"")</f>
        <v>0.40083570000000002</v>
      </c>
      <c r="Q87" s="75">
        <v>75</v>
      </c>
      <c r="R87" s="1" t="s">
        <v>3080</v>
      </c>
      <c r="S87" s="75">
        <f>Supplier_Perf_Table[[#This Row],[Unit_Cost]]*Supplier_Perf_Table[[#This Row],[Order_Quantity]]</f>
        <v>41181.75</v>
      </c>
      <c r="T87" s="75" t="str">
        <f>IFERROR(Supplier_Perf_Table[[#This Row],[Dollar Equivalent]]*Supplier_Perf_Table[[#This Row],[Ordered_Value]],"")</f>
        <v/>
      </c>
      <c r="U87" s="75">
        <v>1</v>
      </c>
      <c r="V87" s="7">
        <v>1.3299999999999999E-2</v>
      </c>
      <c r="W87" s="75">
        <v>15</v>
      </c>
      <c r="X87" s="55">
        <f>IFERROR(Supplier_Perf_Table[[#This Row],[Actual_Delivery_Date]]-Supplier_Perf_Table[[#This Row],[Order Date]],"")</f>
        <v>15</v>
      </c>
      <c r="Y87" s="75">
        <v>19</v>
      </c>
      <c r="Z87" s="56">
        <f>IFERROR(Supplier_Perf_Table[[#This Row],[Expected Delivery_Date]]-Supplier_Perf_Table[[#This Row],[Order Date]],"")</f>
        <v>19</v>
      </c>
      <c r="AA87" s="56">
        <f>Supplier_Perf_Table[[#This Row],[Calculated_Lead_Time2]]-Supplier_Perf_Table[[#This Row],[Calculated_Expected_Lead_Time]]</f>
        <v>-4</v>
      </c>
      <c r="AB87" s="75">
        <v>-4</v>
      </c>
      <c r="AC87" s="63" t="s">
        <v>87</v>
      </c>
      <c r="AD87" s="63" t="s">
        <v>40</v>
      </c>
      <c r="AE87" s="63" t="s">
        <v>3088</v>
      </c>
      <c r="AF87" s="63" t="s">
        <v>66</v>
      </c>
      <c r="AG87" s="63" t="s">
        <v>107</v>
      </c>
      <c r="AH87" s="63" t="s">
        <v>129</v>
      </c>
      <c r="AI87" s="63" t="s">
        <v>138</v>
      </c>
      <c r="AJ87" s="63" t="s">
        <v>138</v>
      </c>
      <c r="AK87" s="83">
        <v>3.1</v>
      </c>
      <c r="AL87" s="63" t="s">
        <v>184</v>
      </c>
      <c r="AM87" s="63" t="s">
        <v>130</v>
      </c>
      <c r="AN87"/>
    </row>
    <row r="88" spans="1:40" ht="18" customHeight="1">
      <c r="A88" s="1" t="s">
        <v>433</v>
      </c>
      <c r="B88" s="1" t="s">
        <v>434</v>
      </c>
      <c r="C88" s="4">
        <v>46058</v>
      </c>
      <c r="D88" s="4">
        <v>46064</v>
      </c>
      <c r="E88" s="4">
        <v>46065</v>
      </c>
      <c r="F88" s="63" t="s">
        <v>151</v>
      </c>
      <c r="G88" s="63" t="s">
        <v>3844</v>
      </c>
      <c r="H88" s="63" t="s">
        <v>152</v>
      </c>
      <c r="I88" s="63" t="s">
        <v>241</v>
      </c>
      <c r="J88" s="63" t="s">
        <v>112</v>
      </c>
      <c r="K88" s="63" t="s">
        <v>435</v>
      </c>
      <c r="L88" s="63" t="s">
        <v>218</v>
      </c>
      <c r="M88" s="69">
        <v>100.73</v>
      </c>
      <c r="N88" s="63" t="s">
        <v>86</v>
      </c>
      <c r="O88" s="73">
        <f>_xlfn.XLOOKUP(Supplier_Perf_Table[[#This Row],[Currency]],'Comments 2'!$C$4:$C$16,'Comments 2'!$D$4:$D$16)</f>
        <v>8.8999999999999996E-2</v>
      </c>
      <c r="P88" s="69">
        <f>IFERROR(Supplier_Perf_Table[[#This Row],[Unit_Cost]]*Supplier_Perf_Table[[#This Row],[Dollar Equivalent]],"")</f>
        <v>8.9649699999999992</v>
      </c>
      <c r="Q88" s="75">
        <v>150</v>
      </c>
      <c r="R88" s="1">
        <v>15109.5</v>
      </c>
      <c r="S88" s="75">
        <f>Supplier_Perf_Table[[#This Row],[Unit_Cost]]*Supplier_Perf_Table[[#This Row],[Order_Quantity]]</f>
        <v>15109.5</v>
      </c>
      <c r="T88" s="75">
        <f>IFERROR(Supplier_Perf_Table[[#This Row],[Dollar Equivalent]]*Supplier_Perf_Table[[#This Row],[Ordered_Value]],"")</f>
        <v>1344.7455</v>
      </c>
      <c r="U88" s="75">
        <v>1</v>
      </c>
      <c r="V88" s="7">
        <v>6.7000000000000002E-3</v>
      </c>
      <c r="W88" s="75">
        <v>7</v>
      </c>
      <c r="X88" s="55">
        <f>IFERROR(Supplier_Perf_Table[[#This Row],[Actual_Delivery_Date]]-Supplier_Perf_Table[[#This Row],[Order Date]],"")</f>
        <v>7</v>
      </c>
      <c r="Y88" s="75">
        <v>6</v>
      </c>
      <c r="Z88" s="56">
        <f>IFERROR(Supplier_Perf_Table[[#This Row],[Expected Delivery_Date]]-Supplier_Perf_Table[[#This Row],[Order Date]],"")</f>
        <v>6</v>
      </c>
      <c r="AA88" s="56">
        <f>Supplier_Perf_Table[[#This Row],[Calculated_Lead_Time2]]-Supplier_Perf_Table[[#This Row],[Calculated_Expected_Lead_Time]]</f>
        <v>1</v>
      </c>
      <c r="AB88" s="75">
        <v>1</v>
      </c>
      <c r="AC88" s="63" t="s">
        <v>135</v>
      </c>
      <c r="AD88" s="63" t="s">
        <v>40</v>
      </c>
      <c r="AE88" s="63" t="s">
        <v>41</v>
      </c>
      <c r="AF88" s="63" t="s">
        <v>42</v>
      </c>
      <c r="AG88" s="63" t="s">
        <v>3088</v>
      </c>
      <c r="AH88" s="63" t="s">
        <v>129</v>
      </c>
      <c r="AI88" s="63" t="s">
        <v>147</v>
      </c>
      <c r="AJ88" s="63" t="s">
        <v>138</v>
      </c>
      <c r="AK88" s="83">
        <v>4.5</v>
      </c>
      <c r="AL88" s="63" t="s">
        <v>76</v>
      </c>
      <c r="AM88" s="63" t="s">
        <v>46</v>
      </c>
      <c r="AN88"/>
    </row>
    <row r="89" spans="1:40" ht="18" customHeight="1">
      <c r="A89" s="1" t="s">
        <v>436</v>
      </c>
      <c r="B89" s="1" t="s">
        <v>437</v>
      </c>
      <c r="C89" s="4">
        <v>46088</v>
      </c>
      <c r="D89" s="4">
        <v>46097</v>
      </c>
      <c r="E89" s="4">
        <v>46086</v>
      </c>
      <c r="F89" s="63" t="s">
        <v>209</v>
      </c>
      <c r="G89" s="63" t="s">
        <v>3845</v>
      </c>
      <c r="H89" s="63" t="s">
        <v>316</v>
      </c>
      <c r="I89" s="63" t="s">
        <v>120</v>
      </c>
      <c r="J89" s="63" t="s">
        <v>153</v>
      </c>
      <c r="K89" s="63" t="s">
        <v>438</v>
      </c>
      <c r="L89" s="63" t="s">
        <v>318</v>
      </c>
      <c r="M89" s="69">
        <v>669.06</v>
      </c>
      <c r="N89" s="63" t="s">
        <v>159</v>
      </c>
      <c r="O89" s="73">
        <f>_xlfn.XLOOKUP(Supplier_Perf_Table[[#This Row],[Currency]],'Comments 2'!$C$4:$C$16,'Comments 2'!$D$4:$D$16)</f>
        <v>7.2999999999999996E-4</v>
      </c>
      <c r="P89" s="69">
        <f>IFERROR(Supplier_Perf_Table[[#This Row],[Unit_Cost]]*Supplier_Perf_Table[[#This Row],[Dollar Equivalent]],"")</f>
        <v>0.48841379999999995</v>
      </c>
      <c r="Q89" s="75">
        <v>150</v>
      </c>
      <c r="R89" s="1">
        <v>100359</v>
      </c>
      <c r="S89" s="75">
        <f>Supplier_Perf_Table[[#This Row],[Unit_Cost]]*Supplier_Perf_Table[[#This Row],[Order_Quantity]]</f>
        <v>100358.99999999999</v>
      </c>
      <c r="T89" s="75">
        <f>IFERROR(Supplier_Perf_Table[[#This Row],[Dollar Equivalent]]*Supplier_Perf_Table[[#This Row],[Ordered_Value]],"")</f>
        <v>73.262069999999994</v>
      </c>
      <c r="U89" s="75">
        <v>12</v>
      </c>
      <c r="V89" s="7">
        <v>0.08</v>
      </c>
      <c r="W89" s="75">
        <v>-2</v>
      </c>
      <c r="X89" s="55">
        <f>IFERROR(Supplier_Perf_Table[[#This Row],[Actual_Delivery_Date]]-Supplier_Perf_Table[[#This Row],[Order Date]],"")</f>
        <v>-2</v>
      </c>
      <c r="Y89" s="75">
        <v>9</v>
      </c>
      <c r="Z89" s="56">
        <f>IFERROR(Supplier_Perf_Table[[#This Row],[Expected Delivery_Date]]-Supplier_Perf_Table[[#This Row],[Order Date]],"")</f>
        <v>9</v>
      </c>
      <c r="AA89" s="56">
        <f>Supplier_Perf_Table[[#This Row],[Calculated_Lead_Time2]]-Supplier_Perf_Table[[#This Row],[Calculated_Expected_Lead_Time]]</f>
        <v>-11</v>
      </c>
      <c r="AB89" s="75">
        <v>-11</v>
      </c>
      <c r="AC89" s="63" t="s">
        <v>362</v>
      </c>
      <c r="AD89" s="63" t="s">
        <v>74</v>
      </c>
      <c r="AE89" s="63" t="s">
        <v>105</v>
      </c>
      <c r="AF89" s="63" t="s">
        <v>212</v>
      </c>
      <c r="AG89" s="63" t="s">
        <v>43</v>
      </c>
      <c r="AH89" s="63" t="s">
        <v>129</v>
      </c>
      <c r="AI89" s="63" t="s">
        <v>56</v>
      </c>
      <c r="AJ89" s="63" t="s">
        <v>183</v>
      </c>
      <c r="AK89" s="83">
        <v>1.5</v>
      </c>
      <c r="AL89" s="63" t="s">
        <v>184</v>
      </c>
      <c r="AM89" s="63" t="s">
        <v>97</v>
      </c>
      <c r="AN89"/>
    </row>
    <row r="90" spans="1:40" ht="18" customHeight="1">
      <c r="A90" s="1" t="s">
        <v>439</v>
      </c>
      <c r="B90" s="1" t="s">
        <v>440</v>
      </c>
      <c r="C90" s="4">
        <v>46169</v>
      </c>
      <c r="D90" s="4">
        <v>46191</v>
      </c>
      <c r="E90" s="4">
        <v>46185</v>
      </c>
      <c r="F90" s="63" t="s">
        <v>90</v>
      </c>
      <c r="G90" s="63" t="s">
        <v>3840</v>
      </c>
      <c r="H90" s="63" t="s">
        <v>133</v>
      </c>
      <c r="I90" s="63" t="s">
        <v>49</v>
      </c>
      <c r="J90" s="63" t="s">
        <v>50</v>
      </c>
      <c r="K90" s="63" t="s">
        <v>441</v>
      </c>
      <c r="L90" s="63" t="s">
        <v>189</v>
      </c>
      <c r="M90" s="69">
        <v>1217.06</v>
      </c>
      <c r="N90" s="63" t="s">
        <v>53</v>
      </c>
      <c r="O90" s="73">
        <f>_xlfn.XLOOKUP(Supplier_Perf_Table[[#This Row],[Currency]],'Comments 2'!$C$4:$C$16,'Comments 2'!$D$4:$D$16)</f>
        <v>6.0999999999999999E-2</v>
      </c>
      <c r="P90" s="69">
        <f>IFERROR(Supplier_Perf_Table[[#This Row],[Unit_Cost]]*Supplier_Perf_Table[[#This Row],[Dollar Equivalent]],"")</f>
        <v>74.240659999999991</v>
      </c>
      <c r="Q90" s="75">
        <v>100</v>
      </c>
      <c r="R90" s="1">
        <v>121706</v>
      </c>
      <c r="S90" s="75">
        <f>Supplier_Perf_Table[[#This Row],[Unit_Cost]]*Supplier_Perf_Table[[#This Row],[Order_Quantity]]</f>
        <v>121706</v>
      </c>
      <c r="T90" s="75">
        <f>IFERROR(Supplier_Perf_Table[[#This Row],[Dollar Equivalent]]*Supplier_Perf_Table[[#This Row],[Ordered_Value]],"")</f>
        <v>7424.0659999999998</v>
      </c>
      <c r="U90" s="75">
        <v>8</v>
      </c>
      <c r="V90" s="7">
        <v>0.08</v>
      </c>
      <c r="W90" s="75">
        <v>16</v>
      </c>
      <c r="X90" s="55">
        <f>IFERROR(Supplier_Perf_Table[[#This Row],[Actual_Delivery_Date]]-Supplier_Perf_Table[[#This Row],[Order Date]],"")</f>
        <v>16</v>
      </c>
      <c r="Y90" s="75">
        <v>22</v>
      </c>
      <c r="Z90" s="56">
        <f>IFERROR(Supplier_Perf_Table[[#This Row],[Expected Delivery_Date]]-Supplier_Perf_Table[[#This Row],[Order Date]],"")</f>
        <v>22</v>
      </c>
      <c r="AA90" s="56">
        <f>Supplier_Perf_Table[[#This Row],[Calculated_Lead_Time2]]-Supplier_Perf_Table[[#This Row],[Calculated_Expected_Lead_Time]]</f>
        <v>-6</v>
      </c>
      <c r="AB90" s="75">
        <v>-6</v>
      </c>
      <c r="AC90" s="63" t="s">
        <v>87</v>
      </c>
      <c r="AD90" s="63" t="s">
        <v>420</v>
      </c>
      <c r="AE90" s="63" t="s">
        <v>105</v>
      </c>
      <c r="AF90" s="63" t="s">
        <v>106</v>
      </c>
      <c r="AG90" s="63" t="s">
        <v>128</v>
      </c>
      <c r="AH90" s="63" t="s">
        <v>206</v>
      </c>
      <c r="AI90" s="63" t="s">
        <v>95</v>
      </c>
      <c r="AJ90" s="63" t="s">
        <v>283</v>
      </c>
      <c r="AK90" s="83">
        <v>1.2</v>
      </c>
      <c r="AL90" s="63" t="s">
        <v>184</v>
      </c>
      <c r="AM90" s="63" t="s">
        <v>97</v>
      </c>
      <c r="AN90"/>
    </row>
    <row r="91" spans="1:40" ht="18" customHeight="1">
      <c r="A91" s="1" t="s">
        <v>442</v>
      </c>
      <c r="B91" s="1" t="s">
        <v>443</v>
      </c>
      <c r="C91" s="4">
        <v>46132</v>
      </c>
      <c r="D91" s="4">
        <v>46149</v>
      </c>
      <c r="E91" s="4">
        <v>46162</v>
      </c>
      <c r="F91" s="63" t="s">
        <v>90</v>
      </c>
      <c r="G91" s="63" t="s">
        <v>3840</v>
      </c>
      <c r="H91" s="63" t="s">
        <v>102</v>
      </c>
      <c r="I91" s="63" t="s">
        <v>92</v>
      </c>
      <c r="J91" s="63" t="s">
        <v>71</v>
      </c>
      <c r="K91" s="63" t="s">
        <v>444</v>
      </c>
      <c r="L91" s="63" t="s">
        <v>337</v>
      </c>
      <c r="M91" s="69">
        <v>459.96</v>
      </c>
      <c r="N91" s="63" t="s">
        <v>38</v>
      </c>
      <c r="O91" s="73">
        <f>_xlfn.XLOOKUP(Supplier_Perf_Table[[#This Row],[Currency]],'Comments 2'!$C$4:$C$16,'Comments 2'!$D$4:$D$16)</f>
        <v>7.7000000000000002E-3</v>
      </c>
      <c r="P91" s="69">
        <f>IFERROR(Supplier_Perf_Table[[#This Row],[Unit_Cost]]*Supplier_Perf_Table[[#This Row],[Dollar Equivalent]],"")</f>
        <v>3.5416919999999998</v>
      </c>
      <c r="Q91" s="75">
        <v>1000</v>
      </c>
      <c r="R91" s="1">
        <v>459960</v>
      </c>
      <c r="S91" s="75">
        <f>Supplier_Perf_Table[[#This Row],[Unit_Cost]]*Supplier_Perf_Table[[#This Row],[Order_Quantity]]</f>
        <v>459960</v>
      </c>
      <c r="T91" s="75">
        <f>IFERROR(Supplier_Perf_Table[[#This Row],[Dollar Equivalent]]*Supplier_Perf_Table[[#This Row],[Ordered_Value]],"")</f>
        <v>3541.692</v>
      </c>
      <c r="U91" s="75">
        <v>26</v>
      </c>
      <c r="V91" s="7">
        <v>2.5999999999999999E-2</v>
      </c>
      <c r="W91" s="75">
        <v>30</v>
      </c>
      <c r="X91" s="55">
        <f>IFERROR(Supplier_Perf_Table[[#This Row],[Actual_Delivery_Date]]-Supplier_Perf_Table[[#This Row],[Order Date]],"")</f>
        <v>30</v>
      </c>
      <c r="Y91" s="75">
        <v>17</v>
      </c>
      <c r="Z91" s="56">
        <f>IFERROR(Supplier_Perf_Table[[#This Row],[Expected Delivery_Date]]-Supplier_Perf_Table[[#This Row],[Order Date]],"")</f>
        <v>17</v>
      </c>
      <c r="AA91" s="56">
        <f>Supplier_Perf_Table[[#This Row],[Calculated_Lead_Time2]]-Supplier_Perf_Table[[#This Row],[Calculated_Expected_Lead_Time]]</f>
        <v>13</v>
      </c>
      <c r="AB91" s="75">
        <v>13</v>
      </c>
      <c r="AC91" s="63" t="s">
        <v>39</v>
      </c>
      <c r="AD91" s="63" t="s">
        <v>40</v>
      </c>
      <c r="AE91" s="63" t="s">
        <v>41</v>
      </c>
      <c r="AF91" s="63" t="s">
        <v>190</v>
      </c>
      <c r="AG91" s="63" t="s">
        <v>173</v>
      </c>
      <c r="AH91" s="63" t="s">
        <v>55</v>
      </c>
      <c r="AI91" s="63" t="s">
        <v>95</v>
      </c>
      <c r="AJ91" s="63" t="s">
        <v>138</v>
      </c>
      <c r="AK91" s="83">
        <v>1.7</v>
      </c>
      <c r="AL91" s="63" t="s">
        <v>139</v>
      </c>
      <c r="AM91" s="63" t="s">
        <v>46</v>
      </c>
      <c r="AN91"/>
    </row>
    <row r="92" spans="1:40" ht="18" customHeight="1">
      <c r="A92" s="1" t="s">
        <v>445</v>
      </c>
      <c r="B92" s="1" t="s">
        <v>446</v>
      </c>
      <c r="C92" s="4">
        <v>46029</v>
      </c>
      <c r="D92" s="4">
        <v>46036</v>
      </c>
      <c r="E92" s="4">
        <v>46046</v>
      </c>
      <c r="F92" s="63" t="s">
        <v>80</v>
      </c>
      <c r="G92" s="63" t="s">
        <v>3839</v>
      </c>
      <c r="H92" s="63" t="s">
        <v>82</v>
      </c>
      <c r="I92" s="63" t="s">
        <v>70</v>
      </c>
      <c r="J92" s="63" t="s">
        <v>62</v>
      </c>
      <c r="K92" s="63" t="s">
        <v>447</v>
      </c>
      <c r="L92" s="63" t="s">
        <v>122</v>
      </c>
      <c r="M92" s="69">
        <v>384.61</v>
      </c>
      <c r="N92" s="63" t="s">
        <v>86</v>
      </c>
      <c r="O92" s="73">
        <f>_xlfn.XLOOKUP(Supplier_Perf_Table[[#This Row],[Currency]],'Comments 2'!$C$4:$C$16,'Comments 2'!$D$4:$D$16)</f>
        <v>8.8999999999999996E-2</v>
      </c>
      <c r="P92" s="69">
        <f>IFERROR(Supplier_Perf_Table[[#This Row],[Unit_Cost]]*Supplier_Perf_Table[[#This Row],[Dollar Equivalent]],"")</f>
        <v>34.230289999999997</v>
      </c>
      <c r="Q92" s="75">
        <v>200</v>
      </c>
      <c r="R92" s="1" t="s">
        <v>3080</v>
      </c>
      <c r="S92" s="75">
        <f>Supplier_Perf_Table[[#This Row],[Unit_Cost]]*Supplier_Perf_Table[[#This Row],[Order_Quantity]]</f>
        <v>76922</v>
      </c>
      <c r="T92" s="75" t="str">
        <f>IFERROR(Supplier_Perf_Table[[#This Row],[Dollar Equivalent]]*Supplier_Perf_Table[[#This Row],[Ordered_Value]],"")</f>
        <v/>
      </c>
      <c r="U92" s="75">
        <v>3</v>
      </c>
      <c r="V92" s="7">
        <v>1.4999999999999999E-2</v>
      </c>
      <c r="W92" s="75">
        <v>17</v>
      </c>
      <c r="X92" s="55">
        <f>IFERROR(Supplier_Perf_Table[[#This Row],[Actual_Delivery_Date]]-Supplier_Perf_Table[[#This Row],[Order Date]],"")</f>
        <v>17</v>
      </c>
      <c r="Y92" s="75">
        <v>7</v>
      </c>
      <c r="Z92" s="56">
        <f>IFERROR(Supplier_Perf_Table[[#This Row],[Expected Delivery_Date]]-Supplier_Perf_Table[[#This Row],[Order Date]],"")</f>
        <v>7</v>
      </c>
      <c r="AA92" s="56">
        <f>Supplier_Perf_Table[[#This Row],[Calculated_Lead_Time2]]-Supplier_Perf_Table[[#This Row],[Calculated_Expected_Lead_Time]]</f>
        <v>10</v>
      </c>
      <c r="AB92" s="75"/>
      <c r="AC92" s="63" t="s">
        <v>135</v>
      </c>
      <c r="AD92" s="63" t="s">
        <v>40</v>
      </c>
      <c r="AE92" s="63" t="s">
        <v>127</v>
      </c>
      <c r="AF92" s="63" t="s">
        <v>42</v>
      </c>
      <c r="AG92" s="63" t="s">
        <v>107</v>
      </c>
      <c r="AH92" s="63" t="s">
        <v>3112</v>
      </c>
      <c r="AI92" s="63" t="s">
        <v>191</v>
      </c>
      <c r="AJ92" s="63" t="s">
        <v>138</v>
      </c>
      <c r="AK92" s="83">
        <v>1.3</v>
      </c>
      <c r="AL92" s="63" t="s">
        <v>76</v>
      </c>
      <c r="AM92" s="63" t="s">
        <v>148</v>
      </c>
      <c r="AN92"/>
    </row>
    <row r="93" spans="1:40" ht="18" customHeight="1">
      <c r="A93" s="1" t="s">
        <v>448</v>
      </c>
      <c r="B93" s="1" t="s">
        <v>449</v>
      </c>
      <c r="C93" s="4">
        <v>46110</v>
      </c>
      <c r="D93" s="4">
        <v>46125</v>
      </c>
      <c r="E93" s="4">
        <v>46130</v>
      </c>
      <c r="F93" s="63" t="s">
        <v>90</v>
      </c>
      <c r="G93" s="63" t="s">
        <v>3840</v>
      </c>
      <c r="H93" s="63" t="s">
        <v>133</v>
      </c>
      <c r="I93" s="63" t="s">
        <v>49</v>
      </c>
      <c r="J93" s="63" t="s">
        <v>71</v>
      </c>
      <c r="K93" s="63" t="s">
        <v>450</v>
      </c>
      <c r="L93" s="63" t="s">
        <v>73</v>
      </c>
      <c r="M93" s="69">
        <v>708.45</v>
      </c>
      <c r="N93" s="63" t="s">
        <v>65</v>
      </c>
      <c r="O93" s="73">
        <f>_xlfn.XLOOKUP(Supplier_Perf_Table[[#This Row],[Currency]],'Comments 2'!$C$4:$C$16,'Comments 2'!$D$4:$D$16)</f>
        <v>1</v>
      </c>
      <c r="P93" s="69">
        <f>IFERROR(Supplier_Perf_Table[[#This Row],[Unit_Cost]]*Supplier_Perf_Table[[#This Row],[Dollar Equivalent]],"")</f>
        <v>708.45</v>
      </c>
      <c r="Q93" s="75">
        <v>100</v>
      </c>
      <c r="R93" s="1">
        <v>70845</v>
      </c>
      <c r="S93" s="75">
        <f>Supplier_Perf_Table[[#This Row],[Unit_Cost]]*Supplier_Perf_Table[[#This Row],[Order_Quantity]]</f>
        <v>70845</v>
      </c>
      <c r="T93" s="75">
        <f>IFERROR(Supplier_Perf_Table[[#This Row],[Dollar Equivalent]]*Supplier_Perf_Table[[#This Row],[Ordered_Value]],"")</f>
        <v>70845</v>
      </c>
      <c r="U93" s="75">
        <v>8</v>
      </c>
      <c r="V93" s="7">
        <v>0.08</v>
      </c>
      <c r="W93" s="75">
        <v>20</v>
      </c>
      <c r="X93" s="55">
        <f>IFERROR(Supplier_Perf_Table[[#This Row],[Actual_Delivery_Date]]-Supplier_Perf_Table[[#This Row],[Order Date]],"")</f>
        <v>20</v>
      </c>
      <c r="Y93" s="75">
        <v>15</v>
      </c>
      <c r="Z93" s="56">
        <f>IFERROR(Supplier_Perf_Table[[#This Row],[Expected Delivery_Date]]-Supplier_Perf_Table[[#This Row],[Order Date]],"")</f>
        <v>15</v>
      </c>
      <c r="AA93" s="56">
        <f>Supplier_Perf_Table[[#This Row],[Calculated_Lead_Time2]]-Supplier_Perf_Table[[#This Row],[Calculated_Expected_Lead_Time]]</f>
        <v>5</v>
      </c>
      <c r="AB93" s="75">
        <v>5</v>
      </c>
      <c r="AC93" s="63" t="s">
        <v>39</v>
      </c>
      <c r="AD93" s="63" t="s">
        <v>74</v>
      </c>
      <c r="AE93" s="63" t="s">
        <v>146</v>
      </c>
      <c r="AF93" s="63" t="s">
        <v>106</v>
      </c>
      <c r="AG93" s="63" t="s">
        <v>173</v>
      </c>
      <c r="AH93" s="63" t="s">
        <v>3112</v>
      </c>
      <c r="AI93" s="63" t="s">
        <v>95</v>
      </c>
      <c r="AJ93" s="63" t="s">
        <v>373</v>
      </c>
      <c r="AK93" s="83">
        <v>1.9</v>
      </c>
      <c r="AL93" s="63" t="s">
        <v>184</v>
      </c>
      <c r="AM93" s="63" t="s">
        <v>185</v>
      </c>
      <c r="AN93"/>
    </row>
    <row r="94" spans="1:40" ht="18" customHeight="1">
      <c r="A94" s="1" t="s">
        <v>451</v>
      </c>
      <c r="B94" s="1" t="s">
        <v>452</v>
      </c>
      <c r="C94" s="4">
        <v>46169</v>
      </c>
      <c r="D94" s="4">
        <v>46184</v>
      </c>
      <c r="E94" s="4">
        <v>46191</v>
      </c>
      <c r="F94" s="63" t="s">
        <v>69</v>
      </c>
      <c r="G94" s="63" t="s">
        <v>3838</v>
      </c>
      <c r="H94" s="63" t="s">
        <v>194</v>
      </c>
      <c r="I94" s="63" t="s">
        <v>83</v>
      </c>
      <c r="J94" s="63" t="s">
        <v>50</v>
      </c>
      <c r="K94" s="63" t="s">
        <v>453</v>
      </c>
      <c r="L94" s="63" t="s">
        <v>145</v>
      </c>
      <c r="M94" s="69">
        <v>1304.82</v>
      </c>
      <c r="N94" s="63" t="s">
        <v>38</v>
      </c>
      <c r="O94" s="73">
        <f>_xlfn.XLOOKUP(Supplier_Perf_Table[[#This Row],[Currency]],'Comments 2'!$C$4:$C$16,'Comments 2'!$D$4:$D$16)</f>
        <v>7.7000000000000002E-3</v>
      </c>
      <c r="P94" s="69">
        <f>IFERROR(Supplier_Perf_Table[[#This Row],[Unit_Cost]]*Supplier_Perf_Table[[#This Row],[Dollar Equivalent]],"")</f>
        <v>10.047114000000001</v>
      </c>
      <c r="Q94" s="75">
        <v>1000</v>
      </c>
      <c r="R94" s="1">
        <v>1304820</v>
      </c>
      <c r="S94" s="75">
        <f>Supplier_Perf_Table[[#This Row],[Unit_Cost]]*Supplier_Perf_Table[[#This Row],[Order_Quantity]]</f>
        <v>1304820</v>
      </c>
      <c r="T94" s="75">
        <f>IFERROR(Supplier_Perf_Table[[#This Row],[Dollar Equivalent]]*Supplier_Perf_Table[[#This Row],[Ordered_Value]],"")</f>
        <v>10047.114</v>
      </c>
      <c r="U94" s="75">
        <v>12</v>
      </c>
      <c r="V94" s="7">
        <v>1.2E-2</v>
      </c>
      <c r="W94" s="75">
        <v>22</v>
      </c>
      <c r="X94" s="55">
        <f>IFERROR(Supplier_Perf_Table[[#This Row],[Actual_Delivery_Date]]-Supplier_Perf_Table[[#This Row],[Order Date]],"")</f>
        <v>22</v>
      </c>
      <c r="Y94" s="75">
        <v>15</v>
      </c>
      <c r="Z94" s="56">
        <f>IFERROR(Supplier_Perf_Table[[#This Row],[Expected Delivery_Date]]-Supplier_Perf_Table[[#This Row],[Order Date]],"")</f>
        <v>15</v>
      </c>
      <c r="AA94" s="56">
        <f>Supplier_Perf_Table[[#This Row],[Calculated_Lead_Time2]]-Supplier_Perf_Table[[#This Row],[Calculated_Expected_Lead_Time]]</f>
        <v>7</v>
      </c>
      <c r="AB94" s="75"/>
      <c r="AC94" s="63" t="s">
        <v>205</v>
      </c>
      <c r="AD94" s="63" t="s">
        <v>40</v>
      </c>
      <c r="AE94" s="63" t="s">
        <v>105</v>
      </c>
      <c r="AF94" s="63" t="s">
        <v>212</v>
      </c>
      <c r="AG94" s="63" t="s">
        <v>173</v>
      </c>
      <c r="AH94" s="63" t="s">
        <v>55</v>
      </c>
      <c r="AI94" s="63" t="s">
        <v>95</v>
      </c>
      <c r="AJ94" s="63" t="s">
        <v>138</v>
      </c>
      <c r="AK94" s="83">
        <v>3.1</v>
      </c>
      <c r="AL94" s="63" t="s">
        <v>115</v>
      </c>
      <c r="AM94" s="63" t="s">
        <v>46</v>
      </c>
      <c r="AN94"/>
    </row>
    <row r="95" spans="1:40" ht="18" customHeight="1">
      <c r="A95" s="1" t="s">
        <v>454</v>
      </c>
      <c r="B95" s="1" t="s">
        <v>455</v>
      </c>
      <c r="C95" s="4">
        <v>46157</v>
      </c>
      <c r="D95" s="4">
        <v>46171</v>
      </c>
      <c r="E95" s="4">
        <v>46179</v>
      </c>
      <c r="F95" s="63" t="s">
        <v>256</v>
      </c>
      <c r="G95" s="63" t="s">
        <v>3849</v>
      </c>
      <c r="H95" s="63" t="s">
        <v>258</v>
      </c>
      <c r="I95" s="63" t="s">
        <v>61</v>
      </c>
      <c r="J95" s="63" t="s">
        <v>71</v>
      </c>
      <c r="K95" s="63" t="s">
        <v>456</v>
      </c>
      <c r="L95" s="63" t="s">
        <v>73</v>
      </c>
      <c r="M95" s="69">
        <v>273.17</v>
      </c>
      <c r="N95" s="63" t="s">
        <v>86</v>
      </c>
      <c r="O95" s="73">
        <f>_xlfn.XLOOKUP(Supplier_Perf_Table[[#This Row],[Currency]],'Comments 2'!$C$4:$C$16,'Comments 2'!$D$4:$D$16)</f>
        <v>8.8999999999999996E-2</v>
      </c>
      <c r="P95" s="69">
        <f>IFERROR(Supplier_Perf_Table[[#This Row],[Unit_Cost]]*Supplier_Perf_Table[[#This Row],[Dollar Equivalent]],"")</f>
        <v>24.31213</v>
      </c>
      <c r="Q95" s="75">
        <v>150</v>
      </c>
      <c r="R95" s="1">
        <v>40975.5</v>
      </c>
      <c r="S95" s="75">
        <f>Supplier_Perf_Table[[#This Row],[Unit_Cost]]*Supplier_Perf_Table[[#This Row],[Order_Quantity]]</f>
        <v>40975.5</v>
      </c>
      <c r="T95" s="75">
        <f>IFERROR(Supplier_Perf_Table[[#This Row],[Dollar Equivalent]]*Supplier_Perf_Table[[#This Row],[Ordered_Value]],"")</f>
        <v>3646.8194999999996</v>
      </c>
      <c r="U95" s="75">
        <v>9</v>
      </c>
      <c r="V95" s="7">
        <v>0.06</v>
      </c>
      <c r="W95" s="75">
        <v>22</v>
      </c>
      <c r="X95" s="55">
        <f>IFERROR(Supplier_Perf_Table[[#This Row],[Actual_Delivery_Date]]-Supplier_Perf_Table[[#This Row],[Order Date]],"")</f>
        <v>22</v>
      </c>
      <c r="Y95" s="75">
        <v>14</v>
      </c>
      <c r="Z95" s="56">
        <f>IFERROR(Supplier_Perf_Table[[#This Row],[Expected Delivery_Date]]-Supplier_Perf_Table[[#This Row],[Order Date]],"")</f>
        <v>14</v>
      </c>
      <c r="AA95" s="56">
        <f>Supplier_Perf_Table[[#This Row],[Calculated_Lead_Time2]]-Supplier_Perf_Table[[#This Row],[Calculated_Expected_Lead_Time]]</f>
        <v>8</v>
      </c>
      <c r="AB95" s="75">
        <v>8</v>
      </c>
      <c r="AC95" s="63" t="s">
        <v>205</v>
      </c>
      <c r="AD95" s="63" t="s">
        <v>366</v>
      </c>
      <c r="AE95" s="63" t="s">
        <v>105</v>
      </c>
      <c r="AF95" s="63" t="s">
        <v>212</v>
      </c>
      <c r="AG95" s="63" t="s">
        <v>173</v>
      </c>
      <c r="AH95" s="63" t="s">
        <v>206</v>
      </c>
      <c r="AI95" s="63" t="s">
        <v>95</v>
      </c>
      <c r="AJ95" s="63" t="s">
        <v>75</v>
      </c>
      <c r="AK95" s="83">
        <v>3.3</v>
      </c>
      <c r="AL95" s="63" t="s">
        <v>76</v>
      </c>
      <c r="AM95" s="63" t="s">
        <v>77</v>
      </c>
      <c r="AN95"/>
    </row>
    <row r="96" spans="1:40" ht="18" customHeight="1">
      <c r="A96" s="1" t="s">
        <v>222</v>
      </c>
      <c r="B96" s="1" t="s">
        <v>457</v>
      </c>
      <c r="C96" s="4">
        <v>46093</v>
      </c>
      <c r="D96" s="4">
        <v>46097</v>
      </c>
      <c r="E96" s="4">
        <v>46109</v>
      </c>
      <c r="F96" s="63" t="s">
        <v>162</v>
      </c>
      <c r="G96" s="63" t="s">
        <v>3847</v>
      </c>
      <c r="H96" s="63" t="s">
        <v>152</v>
      </c>
      <c r="I96" s="63" t="s">
        <v>49</v>
      </c>
      <c r="J96" s="63" t="s">
        <v>163</v>
      </c>
      <c r="K96" s="63" t="s">
        <v>458</v>
      </c>
      <c r="L96" s="63" t="s">
        <v>171</v>
      </c>
      <c r="M96" s="69">
        <v>2775.85</v>
      </c>
      <c r="N96" s="63" t="s">
        <v>38</v>
      </c>
      <c r="O96" s="73">
        <f>_xlfn.XLOOKUP(Supplier_Perf_Table[[#This Row],[Currency]],'Comments 2'!$C$4:$C$16,'Comments 2'!$D$4:$D$16)</f>
        <v>7.7000000000000002E-3</v>
      </c>
      <c r="P96" s="69">
        <f>IFERROR(Supplier_Perf_Table[[#This Row],[Unit_Cost]]*Supplier_Perf_Table[[#This Row],[Dollar Equivalent]],"")</f>
        <v>21.374044999999999</v>
      </c>
      <c r="Q96" s="75">
        <v>2000</v>
      </c>
      <c r="R96" s="1">
        <v>5551700</v>
      </c>
      <c r="S96" s="75">
        <f>Supplier_Perf_Table[[#This Row],[Unit_Cost]]*Supplier_Perf_Table[[#This Row],[Order_Quantity]]</f>
        <v>5551700</v>
      </c>
      <c r="T96" s="75">
        <f>IFERROR(Supplier_Perf_Table[[#This Row],[Dollar Equivalent]]*Supplier_Perf_Table[[#This Row],[Ordered_Value]],"")</f>
        <v>42748.090000000004</v>
      </c>
      <c r="U96" s="75">
        <v>50</v>
      </c>
      <c r="V96" s="7">
        <v>2.5000000000000001E-2</v>
      </c>
      <c r="W96" s="75">
        <v>16</v>
      </c>
      <c r="X96" s="55">
        <f>IFERROR(Supplier_Perf_Table[[#This Row],[Actual_Delivery_Date]]-Supplier_Perf_Table[[#This Row],[Order Date]],"")</f>
        <v>16</v>
      </c>
      <c r="Y96" s="75">
        <v>4</v>
      </c>
      <c r="Z96" s="56">
        <f>IFERROR(Supplier_Perf_Table[[#This Row],[Expected Delivery_Date]]-Supplier_Perf_Table[[#This Row],[Order Date]],"")</f>
        <v>4</v>
      </c>
      <c r="AA96" s="56">
        <f>Supplier_Perf_Table[[#This Row],[Calculated_Lead_Time2]]-Supplier_Perf_Table[[#This Row],[Calculated_Expected_Lead_Time]]</f>
        <v>12</v>
      </c>
      <c r="AB96" s="75">
        <v>12</v>
      </c>
      <c r="AC96" s="63" t="s">
        <v>205</v>
      </c>
      <c r="AD96" s="63" t="s">
        <v>40</v>
      </c>
      <c r="AE96" s="63" t="s">
        <v>146</v>
      </c>
      <c r="AF96" s="63" t="s">
        <v>106</v>
      </c>
      <c r="AG96" s="63" t="s">
        <v>107</v>
      </c>
      <c r="AH96" s="63" t="s">
        <v>136</v>
      </c>
      <c r="AI96" s="63" t="s">
        <v>138</v>
      </c>
      <c r="AJ96" s="63" t="s">
        <v>138</v>
      </c>
      <c r="AK96" s="83">
        <v>3.1</v>
      </c>
      <c r="AL96" s="63" t="s">
        <v>57</v>
      </c>
      <c r="AM96" s="63" t="s">
        <v>148</v>
      </c>
      <c r="AN96"/>
    </row>
    <row r="97" spans="1:40" ht="18" customHeight="1">
      <c r="A97" s="1" t="s">
        <v>459</v>
      </c>
      <c r="B97" s="1" t="s">
        <v>460</v>
      </c>
      <c r="C97" s="4">
        <v>46203</v>
      </c>
      <c r="D97" s="4">
        <v>46222</v>
      </c>
      <c r="E97" s="4">
        <v>46220</v>
      </c>
      <c r="F97" s="63" t="s">
        <v>118</v>
      </c>
      <c r="G97" s="63" t="s">
        <v>3842</v>
      </c>
      <c r="H97" s="63" t="s">
        <v>301</v>
      </c>
      <c r="I97" s="63" t="s">
        <v>61</v>
      </c>
      <c r="J97" s="63" t="s">
        <v>62</v>
      </c>
      <c r="K97" s="63" t="s">
        <v>461</v>
      </c>
      <c r="L97" s="63" t="s">
        <v>64</v>
      </c>
      <c r="M97" s="69">
        <v>835.05</v>
      </c>
      <c r="N97" s="63" t="s">
        <v>104</v>
      </c>
      <c r="O97" s="73">
        <f>_xlfn.XLOOKUP(Supplier_Perf_Table[[#This Row],[Currency]],'Comments 2'!$C$4:$C$16,'Comments 2'!$D$4:$D$16)</f>
        <v>1.9E-2</v>
      </c>
      <c r="P97" s="69">
        <f>IFERROR(Supplier_Perf_Table[[#This Row],[Unit_Cost]]*Supplier_Perf_Table[[#This Row],[Dollar Equivalent]],"")</f>
        <v>15.865949999999998</v>
      </c>
      <c r="Q97" s="75">
        <v>500</v>
      </c>
      <c r="R97" s="1">
        <v>417525</v>
      </c>
      <c r="S97" s="75">
        <f>Supplier_Perf_Table[[#This Row],[Unit_Cost]]*Supplier_Perf_Table[[#This Row],[Order_Quantity]]</f>
        <v>417525</v>
      </c>
      <c r="T97" s="75">
        <f>IFERROR(Supplier_Perf_Table[[#This Row],[Dollar Equivalent]]*Supplier_Perf_Table[[#This Row],[Ordered_Value]],"")</f>
        <v>7932.9749999999995</v>
      </c>
      <c r="U97" s="75">
        <v>12</v>
      </c>
      <c r="V97" s="7">
        <v>2.4E-2</v>
      </c>
      <c r="W97" s="75">
        <v>17</v>
      </c>
      <c r="X97" s="55">
        <f>IFERROR(Supplier_Perf_Table[[#This Row],[Actual_Delivery_Date]]-Supplier_Perf_Table[[#This Row],[Order Date]],"")</f>
        <v>17</v>
      </c>
      <c r="Y97" s="75">
        <v>19</v>
      </c>
      <c r="Z97" s="56">
        <f>IFERROR(Supplier_Perf_Table[[#This Row],[Expected Delivery_Date]]-Supplier_Perf_Table[[#This Row],[Order Date]],"")</f>
        <v>19</v>
      </c>
      <c r="AA97" s="56">
        <f>Supplier_Perf_Table[[#This Row],[Calculated_Lead_Time2]]-Supplier_Perf_Table[[#This Row],[Calculated_Expected_Lead_Time]]</f>
        <v>-2</v>
      </c>
      <c r="AB97" s="75">
        <v>-2</v>
      </c>
      <c r="AC97" s="63" t="s">
        <v>87</v>
      </c>
      <c r="AD97" s="63" t="s">
        <v>40</v>
      </c>
      <c r="AE97" s="63" t="s">
        <v>127</v>
      </c>
      <c r="AF97" s="63" t="s">
        <v>106</v>
      </c>
      <c r="AG97" s="63" t="s">
        <v>3088</v>
      </c>
      <c r="AH97" s="63" t="s">
        <v>55</v>
      </c>
      <c r="AI97" s="63" t="s">
        <v>138</v>
      </c>
      <c r="AJ97" s="63" t="s">
        <v>138</v>
      </c>
      <c r="AK97" s="83">
        <v>3.2</v>
      </c>
      <c r="AL97" s="63" t="s">
        <v>45</v>
      </c>
      <c r="AM97" s="63" t="s">
        <v>130</v>
      </c>
      <c r="AN97"/>
    </row>
    <row r="98" spans="1:40" ht="18" customHeight="1">
      <c r="A98" s="1" t="s">
        <v>462</v>
      </c>
      <c r="B98" s="1" t="s">
        <v>463</v>
      </c>
      <c r="C98" s="4">
        <v>46082</v>
      </c>
      <c r="D98" s="4">
        <v>46107</v>
      </c>
      <c r="E98" s="4">
        <v>46099</v>
      </c>
      <c r="F98" s="63" t="s">
        <v>32</v>
      </c>
      <c r="G98" s="63" t="s">
        <v>3835</v>
      </c>
      <c r="H98" s="63" t="s">
        <v>177</v>
      </c>
      <c r="I98" s="63" t="s">
        <v>241</v>
      </c>
      <c r="J98" s="63" t="s">
        <v>62</v>
      </c>
      <c r="K98" s="63" t="s">
        <v>242</v>
      </c>
      <c r="L98" s="63" t="s">
        <v>64</v>
      </c>
      <c r="M98" s="69">
        <v>613.12</v>
      </c>
      <c r="N98" s="63" t="s">
        <v>159</v>
      </c>
      <c r="O98" s="73">
        <f>_xlfn.XLOOKUP(Supplier_Perf_Table[[#This Row],[Currency]],'Comments 2'!$C$4:$C$16,'Comments 2'!$D$4:$D$16)</f>
        <v>7.2999999999999996E-4</v>
      </c>
      <c r="P98" s="69">
        <f>IFERROR(Supplier_Perf_Table[[#This Row],[Unit_Cost]]*Supplier_Perf_Table[[#This Row],[Dollar Equivalent]],"")</f>
        <v>0.44757759999999996</v>
      </c>
      <c r="Q98" s="75" t="s">
        <v>3080</v>
      </c>
      <c r="R98" s="1">
        <v>613120</v>
      </c>
      <c r="S98" s="75" t="e">
        <f>Supplier_Perf_Table[[#This Row],[Unit_Cost]]*Supplier_Perf_Table[[#This Row],[Order_Quantity]]</f>
        <v>#VALUE!</v>
      </c>
      <c r="T98" s="75">
        <f>IFERROR(Supplier_Perf_Table[[#This Row],[Dollar Equivalent]]*Supplier_Perf_Table[[#This Row],[Ordered_Value]],"")</f>
        <v>447.57759999999996</v>
      </c>
      <c r="U98" s="75">
        <v>33</v>
      </c>
      <c r="V98" s="7">
        <v>3.3000000000000002E-2</v>
      </c>
      <c r="W98" s="75">
        <v>17</v>
      </c>
      <c r="X98" s="55">
        <f>IFERROR(Supplier_Perf_Table[[#This Row],[Actual_Delivery_Date]]-Supplier_Perf_Table[[#This Row],[Order Date]],"")</f>
        <v>17</v>
      </c>
      <c r="Y98" s="75">
        <v>25</v>
      </c>
      <c r="Z98" s="56">
        <f>IFERROR(Supplier_Perf_Table[[#This Row],[Expected Delivery_Date]]-Supplier_Perf_Table[[#This Row],[Order Date]],"")</f>
        <v>25</v>
      </c>
      <c r="AA98" s="56">
        <f>Supplier_Perf_Table[[#This Row],[Calculated_Lead_Time2]]-Supplier_Perf_Table[[#This Row],[Calculated_Expected_Lead_Time]]</f>
        <v>-8</v>
      </c>
      <c r="AB98" s="75">
        <v>-8</v>
      </c>
      <c r="AC98" s="63" t="s">
        <v>87</v>
      </c>
      <c r="AD98" s="63" t="s">
        <v>40</v>
      </c>
      <c r="AE98" s="63" t="s">
        <v>127</v>
      </c>
      <c r="AF98" s="63" t="s">
        <v>42</v>
      </c>
      <c r="AG98" s="63" t="s">
        <v>173</v>
      </c>
      <c r="AH98" s="63" t="s">
        <v>3112</v>
      </c>
      <c r="AI98" s="63" t="s">
        <v>137</v>
      </c>
      <c r="AJ98" s="63" t="s">
        <v>138</v>
      </c>
      <c r="AK98" s="83">
        <v>4.5</v>
      </c>
      <c r="AL98" s="63" t="s">
        <v>108</v>
      </c>
      <c r="AM98" s="63" t="s">
        <v>130</v>
      </c>
      <c r="AN98"/>
    </row>
    <row r="99" spans="1:40" ht="18" customHeight="1">
      <c r="A99" s="1" t="s">
        <v>464</v>
      </c>
      <c r="B99" s="1" t="s">
        <v>465</v>
      </c>
      <c r="C99" s="4">
        <v>46130</v>
      </c>
      <c r="D99" s="4">
        <v>46137</v>
      </c>
      <c r="E99" s="4">
        <v>46140</v>
      </c>
      <c r="F99" s="63" t="s">
        <v>60</v>
      </c>
      <c r="G99" s="63" t="s">
        <v>3837</v>
      </c>
      <c r="H99" s="63" t="s">
        <v>152</v>
      </c>
      <c r="I99" s="63" t="s">
        <v>92</v>
      </c>
      <c r="J99" s="63" t="s">
        <v>112</v>
      </c>
      <c r="K99" s="63" t="s">
        <v>467</v>
      </c>
      <c r="L99" s="63" t="s">
        <v>246</v>
      </c>
      <c r="M99" s="69">
        <v>577.04</v>
      </c>
      <c r="N99" s="63" t="s">
        <v>65</v>
      </c>
      <c r="O99" s="73">
        <f>_xlfn.XLOOKUP(Supplier_Perf_Table[[#This Row],[Currency]],'Comments 2'!$C$4:$C$16,'Comments 2'!$D$4:$D$16)</f>
        <v>1</v>
      </c>
      <c r="P99" s="69">
        <f>IFERROR(Supplier_Perf_Table[[#This Row],[Unit_Cost]]*Supplier_Perf_Table[[#This Row],[Dollar Equivalent]],"")</f>
        <v>577.04</v>
      </c>
      <c r="Q99" s="75" t="s">
        <v>3080</v>
      </c>
      <c r="R99" s="1">
        <v>0</v>
      </c>
      <c r="S99" s="75" t="e">
        <f>Supplier_Perf_Table[[#This Row],[Unit_Cost]]*Supplier_Perf_Table[[#This Row],[Order_Quantity]]</f>
        <v>#VALUE!</v>
      </c>
      <c r="T99" s="75">
        <f>IFERROR(Supplier_Perf_Table[[#This Row],[Dollar Equivalent]]*Supplier_Perf_Table[[#This Row],[Ordered_Value]],"")</f>
        <v>0</v>
      </c>
      <c r="U99" s="75">
        <v>30</v>
      </c>
      <c r="V99" s="7">
        <v>0.04</v>
      </c>
      <c r="W99" s="75">
        <v>10</v>
      </c>
      <c r="X99" s="55">
        <f>IFERROR(Supplier_Perf_Table[[#This Row],[Actual_Delivery_Date]]-Supplier_Perf_Table[[#This Row],[Order Date]],"")</f>
        <v>10</v>
      </c>
      <c r="Y99" s="75">
        <v>7</v>
      </c>
      <c r="Z99" s="56">
        <f>IFERROR(Supplier_Perf_Table[[#This Row],[Expected Delivery_Date]]-Supplier_Perf_Table[[#This Row],[Order Date]],"")</f>
        <v>7</v>
      </c>
      <c r="AA99" s="56">
        <f>Supplier_Perf_Table[[#This Row],[Calculated_Lead_Time2]]-Supplier_Perf_Table[[#This Row],[Calculated_Expected_Lead_Time]]</f>
        <v>3</v>
      </c>
      <c r="AB99" s="75">
        <v>3</v>
      </c>
      <c r="AC99" s="63" t="s">
        <v>166</v>
      </c>
      <c r="AD99" s="63" t="s">
        <v>40</v>
      </c>
      <c r="AE99" s="63" t="s">
        <v>105</v>
      </c>
      <c r="AF99" s="63" t="s">
        <v>212</v>
      </c>
      <c r="AG99" s="63" t="s">
        <v>3088</v>
      </c>
      <c r="AH99" s="63" t="s">
        <v>88</v>
      </c>
      <c r="AI99" s="63" t="s">
        <v>95</v>
      </c>
      <c r="AJ99" s="63" t="s">
        <v>138</v>
      </c>
      <c r="AK99" s="83">
        <v>2.5</v>
      </c>
      <c r="AL99" s="63" t="s">
        <v>139</v>
      </c>
      <c r="AM99" s="63" t="s">
        <v>46</v>
      </c>
      <c r="AN99"/>
    </row>
    <row r="100" spans="1:40" ht="18" customHeight="1">
      <c r="A100" s="1" t="s">
        <v>468</v>
      </c>
      <c r="B100" s="1" t="s">
        <v>469</v>
      </c>
      <c r="C100" s="4">
        <v>46091</v>
      </c>
      <c r="D100" s="4">
        <v>46104</v>
      </c>
      <c r="E100" s="4">
        <v>46102</v>
      </c>
      <c r="F100" s="63" t="s">
        <v>80</v>
      </c>
      <c r="G100" s="63" t="s">
        <v>3839</v>
      </c>
      <c r="H100" s="63" t="s">
        <v>82</v>
      </c>
      <c r="I100" s="63" t="s">
        <v>241</v>
      </c>
      <c r="J100" s="63" t="s">
        <v>35</v>
      </c>
      <c r="K100" s="63" t="s">
        <v>470</v>
      </c>
      <c r="L100" s="63" t="s">
        <v>200</v>
      </c>
      <c r="M100" s="69">
        <v>371.15</v>
      </c>
      <c r="N100" s="63" t="s">
        <v>38</v>
      </c>
      <c r="O100" s="73">
        <f>_xlfn.XLOOKUP(Supplier_Perf_Table[[#This Row],[Currency]],'Comments 2'!$C$4:$C$16,'Comments 2'!$D$4:$D$16)</f>
        <v>7.7000000000000002E-3</v>
      </c>
      <c r="P100" s="69">
        <f>IFERROR(Supplier_Perf_Table[[#This Row],[Unit_Cost]]*Supplier_Perf_Table[[#This Row],[Dollar Equivalent]],"")</f>
        <v>2.8578549999999998</v>
      </c>
      <c r="Q100" s="75">
        <v>300</v>
      </c>
      <c r="R100" s="1">
        <v>111345</v>
      </c>
      <c r="S100" s="75">
        <f>Supplier_Perf_Table[[#This Row],[Unit_Cost]]*Supplier_Perf_Table[[#This Row],[Order_Quantity]]</f>
        <v>111345</v>
      </c>
      <c r="T100" s="75">
        <f>IFERROR(Supplier_Perf_Table[[#This Row],[Dollar Equivalent]]*Supplier_Perf_Table[[#This Row],[Ordered_Value]],"")</f>
        <v>857.35649999999998</v>
      </c>
      <c r="U100" s="75">
        <v>9</v>
      </c>
      <c r="V100" s="7">
        <v>0.03</v>
      </c>
      <c r="W100" s="75">
        <v>11</v>
      </c>
      <c r="X100" s="55">
        <f>IFERROR(Supplier_Perf_Table[[#This Row],[Actual_Delivery_Date]]-Supplier_Perf_Table[[#This Row],[Order Date]],"")</f>
        <v>11</v>
      </c>
      <c r="Y100" s="75">
        <v>13</v>
      </c>
      <c r="Z100" s="56">
        <f>IFERROR(Supplier_Perf_Table[[#This Row],[Expected Delivery_Date]]-Supplier_Perf_Table[[#This Row],[Order Date]],"")</f>
        <v>13</v>
      </c>
      <c r="AA100" s="56">
        <f>Supplier_Perf_Table[[#This Row],[Calculated_Lead_Time2]]-Supplier_Perf_Table[[#This Row],[Calculated_Expected_Lead_Time]]</f>
        <v>-2</v>
      </c>
      <c r="AB100" s="75">
        <v>-2</v>
      </c>
      <c r="AC100" s="63" t="s">
        <v>87</v>
      </c>
      <c r="AD100" s="63" t="s">
        <v>40</v>
      </c>
      <c r="AE100" s="63" t="s">
        <v>105</v>
      </c>
      <c r="AF100" s="63" t="s">
        <v>190</v>
      </c>
      <c r="AG100" s="63" t="s">
        <v>3088</v>
      </c>
      <c r="AH100" s="63" t="s">
        <v>3112</v>
      </c>
      <c r="AI100" s="63" t="s">
        <v>147</v>
      </c>
      <c r="AJ100" s="63" t="s">
        <v>138</v>
      </c>
      <c r="AK100" s="83">
        <v>4.9000000000000004</v>
      </c>
      <c r="AL100" s="63" t="s">
        <v>115</v>
      </c>
      <c r="AM100" s="63" t="s">
        <v>138</v>
      </c>
      <c r="AN100"/>
    </row>
    <row r="101" spans="1:40" ht="18" customHeight="1">
      <c r="A101" s="1" t="s">
        <v>471</v>
      </c>
      <c r="B101" s="1" t="s">
        <v>472</v>
      </c>
      <c r="C101" s="4">
        <v>46156</v>
      </c>
      <c r="D101" s="4">
        <v>46180</v>
      </c>
      <c r="E101" s="4">
        <v>46178</v>
      </c>
      <c r="F101" s="63" t="s">
        <v>118</v>
      </c>
      <c r="G101" s="63" t="s">
        <v>3842</v>
      </c>
      <c r="H101" s="63" t="s">
        <v>301</v>
      </c>
      <c r="I101" s="63" t="s">
        <v>92</v>
      </c>
      <c r="J101" s="63" t="s">
        <v>62</v>
      </c>
      <c r="K101" s="63" t="s">
        <v>473</v>
      </c>
      <c r="L101" s="63" t="s">
        <v>94</v>
      </c>
      <c r="M101" s="69">
        <v>260.92</v>
      </c>
      <c r="N101" s="63" t="s">
        <v>38</v>
      </c>
      <c r="O101" s="73">
        <f>_xlfn.XLOOKUP(Supplier_Perf_Table[[#This Row],[Currency]],'Comments 2'!$C$4:$C$16,'Comments 2'!$D$4:$D$16)</f>
        <v>7.7000000000000002E-3</v>
      </c>
      <c r="P101" s="69">
        <f>IFERROR(Supplier_Perf_Table[[#This Row],[Unit_Cost]]*Supplier_Perf_Table[[#This Row],[Dollar Equivalent]],"")</f>
        <v>2.0090840000000001</v>
      </c>
      <c r="Q101" s="75">
        <v>750</v>
      </c>
      <c r="R101" s="1" t="s">
        <v>3080</v>
      </c>
      <c r="S101" s="75">
        <f>Supplier_Perf_Table[[#This Row],[Unit_Cost]]*Supplier_Perf_Table[[#This Row],[Order_Quantity]]</f>
        <v>195690</v>
      </c>
      <c r="T101" s="75" t="str">
        <f>IFERROR(Supplier_Perf_Table[[#This Row],[Dollar Equivalent]]*Supplier_Perf_Table[[#This Row],[Ordered_Value]],"")</f>
        <v/>
      </c>
      <c r="U101" s="75">
        <v>24</v>
      </c>
      <c r="V101" s="7">
        <v>3.2000000000000001E-2</v>
      </c>
      <c r="W101" s="75">
        <v>-5</v>
      </c>
      <c r="X101" s="55">
        <f>IFERROR(Supplier_Perf_Table[[#This Row],[Actual_Delivery_Date]]-Supplier_Perf_Table[[#This Row],[Order Date]],"")</f>
        <v>22</v>
      </c>
      <c r="Y101" s="75">
        <v>24</v>
      </c>
      <c r="Z101" s="56">
        <f>IFERROR(Supplier_Perf_Table[[#This Row],[Expected Delivery_Date]]-Supplier_Perf_Table[[#This Row],[Order Date]],"")</f>
        <v>24</v>
      </c>
      <c r="AA101" s="56">
        <f>Supplier_Perf_Table[[#This Row],[Calculated_Lead_Time2]]-Supplier_Perf_Table[[#This Row],[Calculated_Expected_Lead_Time]]</f>
        <v>-2</v>
      </c>
      <c r="AB101" s="75">
        <v>-2</v>
      </c>
      <c r="AC101" s="63" t="s">
        <v>270</v>
      </c>
      <c r="AD101" s="63" t="s">
        <v>40</v>
      </c>
      <c r="AE101" s="63" t="s">
        <v>105</v>
      </c>
      <c r="AF101" s="63" t="s">
        <v>3088</v>
      </c>
      <c r="AG101" s="63" t="s">
        <v>128</v>
      </c>
      <c r="AH101" s="63" t="s">
        <v>206</v>
      </c>
      <c r="AI101" s="63" t="s">
        <v>95</v>
      </c>
      <c r="AJ101" s="63" t="s">
        <v>138</v>
      </c>
      <c r="AK101" s="83">
        <v>2.2999999999999998</v>
      </c>
      <c r="AL101" s="63" t="s">
        <v>108</v>
      </c>
      <c r="AM101" s="63" t="s">
        <v>138</v>
      </c>
      <c r="AN101"/>
    </row>
    <row r="102" spans="1:40" ht="18" customHeight="1">
      <c r="A102" s="1" t="s">
        <v>474</v>
      </c>
      <c r="B102" s="1" t="s">
        <v>475</v>
      </c>
      <c r="C102" s="4">
        <v>46130</v>
      </c>
      <c r="D102" s="4">
        <v>46150</v>
      </c>
      <c r="E102" s="4">
        <v>46153</v>
      </c>
      <c r="F102" s="63" t="s">
        <v>32</v>
      </c>
      <c r="G102" s="63" t="s">
        <v>3835</v>
      </c>
      <c r="H102" s="63" t="s">
        <v>177</v>
      </c>
      <c r="I102" s="63" t="s">
        <v>241</v>
      </c>
      <c r="J102" s="63" t="s">
        <v>35</v>
      </c>
      <c r="K102" s="63" t="s">
        <v>476</v>
      </c>
      <c r="L102" s="63" t="s">
        <v>180</v>
      </c>
      <c r="M102" s="69">
        <v>48.22</v>
      </c>
      <c r="N102" s="63" t="s">
        <v>159</v>
      </c>
      <c r="O102" s="73">
        <f>_xlfn.XLOOKUP(Supplier_Perf_Table[[#This Row],[Currency]],'Comments 2'!$C$4:$C$16,'Comments 2'!$D$4:$D$16)</f>
        <v>7.2999999999999996E-4</v>
      </c>
      <c r="P102" s="69">
        <f>IFERROR(Supplier_Perf_Table[[#This Row],[Unit_Cost]]*Supplier_Perf_Table[[#This Row],[Dollar Equivalent]],"")</f>
        <v>3.5200599999999999E-2</v>
      </c>
      <c r="Q102" s="75">
        <v>75</v>
      </c>
      <c r="R102" s="1">
        <v>3616.5</v>
      </c>
      <c r="S102" s="75">
        <f>Supplier_Perf_Table[[#This Row],[Unit_Cost]]*Supplier_Perf_Table[[#This Row],[Order_Quantity]]</f>
        <v>3616.5</v>
      </c>
      <c r="T102" s="75">
        <f>IFERROR(Supplier_Perf_Table[[#This Row],[Dollar Equivalent]]*Supplier_Perf_Table[[#This Row],[Ordered_Value]],"")</f>
        <v>2.6400449999999998</v>
      </c>
      <c r="U102" s="75">
        <v>1</v>
      </c>
      <c r="V102" s="7">
        <v>1.3299999999999999E-2</v>
      </c>
      <c r="W102" s="75">
        <v>23</v>
      </c>
      <c r="X102" s="55">
        <f>IFERROR(Supplier_Perf_Table[[#This Row],[Actual_Delivery_Date]]-Supplier_Perf_Table[[#This Row],[Order Date]],"")</f>
        <v>23</v>
      </c>
      <c r="Y102" s="75">
        <v>20</v>
      </c>
      <c r="Z102" s="56">
        <f>IFERROR(Supplier_Perf_Table[[#This Row],[Expected Delivery_Date]]-Supplier_Perf_Table[[#This Row],[Order Date]],"")</f>
        <v>20</v>
      </c>
      <c r="AA102" s="56">
        <f>Supplier_Perf_Table[[#This Row],[Calculated_Lead_Time2]]-Supplier_Perf_Table[[#This Row],[Calculated_Expected_Lead_Time]]</f>
        <v>3</v>
      </c>
      <c r="AB102" s="75">
        <v>3</v>
      </c>
      <c r="AC102" s="63" t="s">
        <v>166</v>
      </c>
      <c r="AD102" s="63" t="s">
        <v>40</v>
      </c>
      <c r="AE102" s="63" t="s">
        <v>41</v>
      </c>
      <c r="AF102" s="63" t="s">
        <v>42</v>
      </c>
      <c r="AG102" s="63" t="s">
        <v>43</v>
      </c>
      <c r="AH102" s="63" t="s">
        <v>88</v>
      </c>
      <c r="AI102" s="63" t="s">
        <v>137</v>
      </c>
      <c r="AJ102" s="63" t="s">
        <v>138</v>
      </c>
      <c r="AK102" s="83">
        <v>3.8</v>
      </c>
      <c r="AL102" s="63" t="s">
        <v>184</v>
      </c>
      <c r="AM102" s="63" t="s">
        <v>46</v>
      </c>
      <c r="AN102"/>
    </row>
    <row r="103" spans="1:40" ht="18" customHeight="1">
      <c r="A103" s="1" t="s">
        <v>477</v>
      </c>
      <c r="B103" s="1" t="s">
        <v>478</v>
      </c>
      <c r="C103" s="4">
        <v>46070</v>
      </c>
      <c r="D103" s="4">
        <v>46086</v>
      </c>
      <c r="E103" s="4">
        <v>46092</v>
      </c>
      <c r="F103" s="63" t="s">
        <v>235</v>
      </c>
      <c r="G103" s="63" t="s">
        <v>3848</v>
      </c>
      <c r="H103" s="63" t="s">
        <v>479</v>
      </c>
      <c r="I103" s="63" t="s">
        <v>61</v>
      </c>
      <c r="J103" s="63" t="s">
        <v>71</v>
      </c>
      <c r="K103" s="63" t="s">
        <v>480</v>
      </c>
      <c r="L103" s="63" t="s">
        <v>337</v>
      </c>
      <c r="M103" s="69">
        <v>742.53</v>
      </c>
      <c r="N103" s="63" t="s">
        <v>53</v>
      </c>
      <c r="O103" s="73">
        <f>_xlfn.XLOOKUP(Supplier_Perf_Table[[#This Row],[Currency]],'Comments 2'!$C$4:$C$16,'Comments 2'!$D$4:$D$16)</f>
        <v>6.0999999999999999E-2</v>
      </c>
      <c r="P103" s="69">
        <f>IFERROR(Supplier_Perf_Table[[#This Row],[Unit_Cost]]*Supplier_Perf_Table[[#This Row],[Dollar Equivalent]],"")</f>
        <v>45.294329999999995</v>
      </c>
      <c r="Q103" s="75">
        <v>750</v>
      </c>
      <c r="R103" s="1">
        <v>556897.5</v>
      </c>
      <c r="S103" s="75">
        <f>Supplier_Perf_Table[[#This Row],[Unit_Cost]]*Supplier_Perf_Table[[#This Row],[Order_Quantity]]</f>
        <v>556897.5</v>
      </c>
      <c r="T103" s="75">
        <f>IFERROR(Supplier_Perf_Table[[#This Row],[Dollar Equivalent]]*Supplier_Perf_Table[[#This Row],[Ordered_Value]],"")</f>
        <v>33970.747499999998</v>
      </c>
      <c r="U103" s="75">
        <v>8</v>
      </c>
      <c r="V103" s="7">
        <v>1.0699999999999999E-2</v>
      </c>
      <c r="W103" s="75">
        <v>22</v>
      </c>
      <c r="X103" s="55">
        <f>IFERROR(Supplier_Perf_Table[[#This Row],[Actual_Delivery_Date]]-Supplier_Perf_Table[[#This Row],[Order Date]],"")</f>
        <v>22</v>
      </c>
      <c r="Y103" s="75">
        <v>16</v>
      </c>
      <c r="Z103" s="56">
        <f>IFERROR(Supplier_Perf_Table[[#This Row],[Expected Delivery_Date]]-Supplier_Perf_Table[[#This Row],[Order Date]],"")</f>
        <v>16</v>
      </c>
      <c r="AA103" s="56">
        <f>Supplier_Perf_Table[[#This Row],[Calculated_Lead_Time2]]-Supplier_Perf_Table[[#This Row],[Calculated_Expected_Lead_Time]]</f>
        <v>6</v>
      </c>
      <c r="AB103" s="75">
        <v>6</v>
      </c>
      <c r="AC103" s="63" t="s">
        <v>39</v>
      </c>
      <c r="AD103" s="63" t="s">
        <v>40</v>
      </c>
      <c r="AE103" s="63" t="s">
        <v>41</v>
      </c>
      <c r="AF103" s="63" t="s">
        <v>3088</v>
      </c>
      <c r="AG103" s="63" t="s">
        <v>3088</v>
      </c>
      <c r="AH103" s="63" t="s">
        <v>174</v>
      </c>
      <c r="AI103" s="63" t="s">
        <v>191</v>
      </c>
      <c r="AJ103" s="63" t="s">
        <v>138</v>
      </c>
      <c r="AK103" s="83">
        <v>2.4</v>
      </c>
      <c r="AL103" s="63" t="s">
        <v>184</v>
      </c>
      <c r="AM103" s="63" t="s">
        <v>46</v>
      </c>
      <c r="AN103"/>
    </row>
    <row r="104" spans="1:40" ht="18" customHeight="1">
      <c r="A104" s="1" t="s">
        <v>481</v>
      </c>
      <c r="B104" s="1" t="s">
        <v>482</v>
      </c>
      <c r="C104" s="4">
        <v>46025</v>
      </c>
      <c r="D104" s="4">
        <v>46044</v>
      </c>
      <c r="E104" s="4">
        <v>46046</v>
      </c>
      <c r="F104" s="63" t="s">
        <v>90</v>
      </c>
      <c r="G104" s="63" t="s">
        <v>3840</v>
      </c>
      <c r="H104" s="63" t="s">
        <v>133</v>
      </c>
      <c r="I104" s="63" t="s">
        <v>178</v>
      </c>
      <c r="J104" s="63" t="s">
        <v>50</v>
      </c>
      <c r="K104" s="63" t="s">
        <v>483</v>
      </c>
      <c r="L104" s="63" t="s">
        <v>145</v>
      </c>
      <c r="M104" s="69">
        <v>3304.33</v>
      </c>
      <c r="N104" s="63" t="s">
        <v>86</v>
      </c>
      <c r="O104" s="73">
        <f>_xlfn.XLOOKUP(Supplier_Perf_Table[[#This Row],[Currency]],'Comments 2'!$C$4:$C$16,'Comments 2'!$D$4:$D$16)</f>
        <v>8.8999999999999996E-2</v>
      </c>
      <c r="P104" s="69">
        <f>IFERROR(Supplier_Perf_Table[[#This Row],[Unit_Cost]]*Supplier_Perf_Table[[#This Row],[Dollar Equivalent]],"")</f>
        <v>294.08536999999995</v>
      </c>
      <c r="Q104" s="75">
        <v>200</v>
      </c>
      <c r="R104" s="1">
        <v>660866</v>
      </c>
      <c r="S104" s="75">
        <f>Supplier_Perf_Table[[#This Row],[Unit_Cost]]*Supplier_Perf_Table[[#This Row],[Order_Quantity]]</f>
        <v>660866</v>
      </c>
      <c r="T104" s="75">
        <f>IFERROR(Supplier_Perf_Table[[#This Row],[Dollar Equivalent]]*Supplier_Perf_Table[[#This Row],[Ordered_Value]],"")</f>
        <v>58817.074000000001</v>
      </c>
      <c r="U104" s="75">
        <v>8</v>
      </c>
      <c r="V104" s="7">
        <v>0.04</v>
      </c>
      <c r="W104" s="75">
        <v>21</v>
      </c>
      <c r="X104" s="55">
        <f>IFERROR(Supplier_Perf_Table[[#This Row],[Actual_Delivery_Date]]-Supplier_Perf_Table[[#This Row],[Order Date]],"")</f>
        <v>21</v>
      </c>
      <c r="Y104" s="75">
        <v>19</v>
      </c>
      <c r="Z104" s="56">
        <f>IFERROR(Supplier_Perf_Table[[#This Row],[Expected Delivery_Date]]-Supplier_Perf_Table[[#This Row],[Order Date]],"")</f>
        <v>19</v>
      </c>
      <c r="AA104" s="56">
        <f>Supplier_Perf_Table[[#This Row],[Calculated_Lead_Time2]]-Supplier_Perf_Table[[#This Row],[Calculated_Expected_Lead_Time]]</f>
        <v>2</v>
      </c>
      <c r="AB104" s="75">
        <v>2</v>
      </c>
      <c r="AC104" s="63" t="s">
        <v>166</v>
      </c>
      <c r="AD104" s="63" t="s">
        <v>40</v>
      </c>
      <c r="AE104" s="63" t="s">
        <v>105</v>
      </c>
      <c r="AF104" s="63" t="s">
        <v>106</v>
      </c>
      <c r="AG104" s="63" t="s">
        <v>3088</v>
      </c>
      <c r="AH104" s="63" t="s">
        <v>206</v>
      </c>
      <c r="AI104" s="63" t="s">
        <v>44</v>
      </c>
      <c r="AJ104" s="63" t="s">
        <v>138</v>
      </c>
      <c r="AK104" s="83">
        <v>2.2000000000000002</v>
      </c>
      <c r="AL104" s="63" t="s">
        <v>76</v>
      </c>
      <c r="AM104" s="63" t="s">
        <v>46</v>
      </c>
      <c r="AN104"/>
    </row>
    <row r="105" spans="1:40" ht="18" customHeight="1">
      <c r="A105" s="1" t="s">
        <v>484</v>
      </c>
      <c r="B105" s="1" t="s">
        <v>485</v>
      </c>
      <c r="C105" s="4">
        <v>46180</v>
      </c>
      <c r="D105" s="4">
        <v>46186</v>
      </c>
      <c r="E105" s="4">
        <v>46193</v>
      </c>
      <c r="F105" s="63" t="s">
        <v>162</v>
      </c>
      <c r="G105" s="63" t="s">
        <v>3847</v>
      </c>
      <c r="H105" s="63" t="s">
        <v>152</v>
      </c>
      <c r="I105" s="63" t="s">
        <v>241</v>
      </c>
      <c r="J105" s="63" t="s">
        <v>35</v>
      </c>
      <c r="K105" s="63" t="s">
        <v>486</v>
      </c>
      <c r="L105" s="63" t="s">
        <v>200</v>
      </c>
      <c r="M105" s="69">
        <v>3792.89</v>
      </c>
      <c r="N105" s="63" t="s">
        <v>104</v>
      </c>
      <c r="O105" s="73">
        <f>_xlfn.XLOOKUP(Supplier_Perf_Table[[#This Row],[Currency]],'Comments 2'!$C$4:$C$16,'Comments 2'!$D$4:$D$16)</f>
        <v>1.9E-2</v>
      </c>
      <c r="P105" s="69">
        <f>IFERROR(Supplier_Perf_Table[[#This Row],[Unit_Cost]]*Supplier_Perf_Table[[#This Row],[Dollar Equivalent]],"")</f>
        <v>72.064909999999998</v>
      </c>
      <c r="Q105" s="75">
        <v>1500</v>
      </c>
      <c r="R105" s="1">
        <v>5689335</v>
      </c>
      <c r="S105" s="75">
        <f>Supplier_Perf_Table[[#This Row],[Unit_Cost]]*Supplier_Perf_Table[[#This Row],[Order_Quantity]]</f>
        <v>5689335</v>
      </c>
      <c r="T105" s="75">
        <f>IFERROR(Supplier_Perf_Table[[#This Row],[Dollar Equivalent]]*Supplier_Perf_Table[[#This Row],[Ordered_Value]],"")</f>
        <v>108097.36499999999</v>
      </c>
      <c r="U105" s="75">
        <v>0</v>
      </c>
      <c r="V105" s="7">
        <v>0</v>
      </c>
      <c r="W105" s="75">
        <v>13</v>
      </c>
      <c r="X105" s="55">
        <f>IFERROR(Supplier_Perf_Table[[#This Row],[Actual_Delivery_Date]]-Supplier_Perf_Table[[#This Row],[Order Date]],"")</f>
        <v>13</v>
      </c>
      <c r="Y105" s="75">
        <v>6</v>
      </c>
      <c r="Z105" s="56">
        <f>IFERROR(Supplier_Perf_Table[[#This Row],[Expected Delivery_Date]]-Supplier_Perf_Table[[#This Row],[Order Date]],"")</f>
        <v>6</v>
      </c>
      <c r="AA105" s="56">
        <f>Supplier_Perf_Table[[#This Row],[Calculated_Lead_Time2]]-Supplier_Perf_Table[[#This Row],[Calculated_Expected_Lead_Time]]</f>
        <v>7</v>
      </c>
      <c r="AB105" s="75">
        <v>7</v>
      </c>
      <c r="AC105" s="63" t="s">
        <v>205</v>
      </c>
      <c r="AD105" s="63" t="s">
        <v>40</v>
      </c>
      <c r="AE105" s="63" t="s">
        <v>105</v>
      </c>
      <c r="AF105" s="63" t="s">
        <v>3088</v>
      </c>
      <c r="AG105" s="63" t="s">
        <v>3088</v>
      </c>
      <c r="AH105" s="63" t="s">
        <v>88</v>
      </c>
      <c r="AI105" s="63" t="s">
        <v>44</v>
      </c>
      <c r="AJ105" s="63" t="s">
        <v>138</v>
      </c>
      <c r="AK105" s="83">
        <v>2.2000000000000002</v>
      </c>
      <c r="AL105" s="63" t="s">
        <v>139</v>
      </c>
      <c r="AM105" s="63" t="s">
        <v>46</v>
      </c>
      <c r="AN105"/>
    </row>
    <row r="106" spans="1:40" ht="18" customHeight="1">
      <c r="A106" s="1" t="s">
        <v>487</v>
      </c>
      <c r="B106" s="1" t="s">
        <v>488</v>
      </c>
      <c r="C106" s="4">
        <v>46058</v>
      </c>
      <c r="D106" s="4">
        <v>46070</v>
      </c>
      <c r="E106" s="4">
        <v>46076</v>
      </c>
      <c r="F106" s="63" t="s">
        <v>80</v>
      </c>
      <c r="G106" s="63" t="s">
        <v>3839</v>
      </c>
      <c r="H106" s="63" t="s">
        <v>82</v>
      </c>
      <c r="I106" s="63" t="s">
        <v>241</v>
      </c>
      <c r="J106" s="63" t="s">
        <v>35</v>
      </c>
      <c r="K106" s="63" t="s">
        <v>489</v>
      </c>
      <c r="L106" s="63" t="s">
        <v>37</v>
      </c>
      <c r="M106" s="69">
        <v>1630.49</v>
      </c>
      <c r="N106" s="63" t="s">
        <v>53</v>
      </c>
      <c r="O106" s="73">
        <f>_xlfn.XLOOKUP(Supplier_Perf_Table[[#This Row],[Currency]],'Comments 2'!$C$4:$C$16,'Comments 2'!$D$4:$D$16)</f>
        <v>6.0999999999999999E-2</v>
      </c>
      <c r="P106" s="69">
        <f>IFERROR(Supplier_Perf_Table[[#This Row],[Unit_Cost]]*Supplier_Perf_Table[[#This Row],[Dollar Equivalent]],"")</f>
        <v>99.459890000000001</v>
      </c>
      <c r="Q106" s="75">
        <v>300</v>
      </c>
      <c r="R106" s="1">
        <v>489147</v>
      </c>
      <c r="S106" s="75">
        <f>Supplier_Perf_Table[[#This Row],[Unit_Cost]]*Supplier_Perf_Table[[#This Row],[Order_Quantity]]</f>
        <v>489147</v>
      </c>
      <c r="T106" s="75">
        <f>IFERROR(Supplier_Perf_Table[[#This Row],[Dollar Equivalent]]*Supplier_Perf_Table[[#This Row],[Ordered_Value]],"")</f>
        <v>29837.967000000001</v>
      </c>
      <c r="U106" s="75">
        <v>6</v>
      </c>
      <c r="V106" s="7">
        <v>0.02</v>
      </c>
      <c r="W106" s="75">
        <v>18</v>
      </c>
      <c r="X106" s="55">
        <f>IFERROR(Supplier_Perf_Table[[#This Row],[Actual_Delivery_Date]]-Supplier_Perf_Table[[#This Row],[Order Date]],"")</f>
        <v>18</v>
      </c>
      <c r="Y106" s="75">
        <v>12</v>
      </c>
      <c r="Z106" s="56">
        <f>IFERROR(Supplier_Perf_Table[[#This Row],[Expected Delivery_Date]]-Supplier_Perf_Table[[#This Row],[Order Date]],"")</f>
        <v>12</v>
      </c>
      <c r="AA106" s="56">
        <f>Supplier_Perf_Table[[#This Row],[Calculated_Lead_Time2]]-Supplier_Perf_Table[[#This Row],[Calculated_Expected_Lead_Time]]</f>
        <v>6</v>
      </c>
      <c r="AB106" s="75">
        <v>6</v>
      </c>
      <c r="AC106" s="63" t="s">
        <v>205</v>
      </c>
      <c r="AD106" s="63" t="s">
        <v>404</v>
      </c>
      <c r="AE106" s="63" t="s">
        <v>3088</v>
      </c>
      <c r="AF106" s="63" t="s">
        <v>42</v>
      </c>
      <c r="AG106" s="63" t="s">
        <v>3088</v>
      </c>
      <c r="AH106" s="63" t="s">
        <v>136</v>
      </c>
      <c r="AI106" s="63" t="s">
        <v>56</v>
      </c>
      <c r="AJ106" s="63" t="s">
        <v>138</v>
      </c>
      <c r="AK106" s="83">
        <v>-1</v>
      </c>
      <c r="AL106" s="63" t="s">
        <v>139</v>
      </c>
      <c r="AM106" s="63" t="s">
        <v>148</v>
      </c>
      <c r="AN106"/>
    </row>
    <row r="107" spans="1:40" ht="18" customHeight="1">
      <c r="A107" s="1" t="s">
        <v>490</v>
      </c>
      <c r="B107" s="1" t="s">
        <v>491</v>
      </c>
      <c r="C107" s="4">
        <v>46101</v>
      </c>
      <c r="D107" s="4">
        <v>46118</v>
      </c>
      <c r="E107" s="4">
        <v>46119</v>
      </c>
      <c r="F107" s="63" t="s">
        <v>256</v>
      </c>
      <c r="G107" s="63" t="s">
        <v>3849</v>
      </c>
      <c r="H107" s="63" t="s">
        <v>258</v>
      </c>
      <c r="I107" s="63" t="s">
        <v>120</v>
      </c>
      <c r="J107" s="63" t="s">
        <v>153</v>
      </c>
      <c r="K107" s="63" t="s">
        <v>492</v>
      </c>
      <c r="L107" s="63" t="s">
        <v>155</v>
      </c>
      <c r="M107" s="69">
        <v>265.45999999999998</v>
      </c>
      <c r="N107" s="63" t="s">
        <v>38</v>
      </c>
      <c r="O107" s="73">
        <f>_xlfn.XLOOKUP(Supplier_Perf_Table[[#This Row],[Currency]],'Comments 2'!$C$4:$C$16,'Comments 2'!$D$4:$D$16)</f>
        <v>7.7000000000000002E-3</v>
      </c>
      <c r="P107" s="69">
        <f>IFERROR(Supplier_Perf_Table[[#This Row],[Unit_Cost]]*Supplier_Perf_Table[[#This Row],[Dollar Equivalent]],"")</f>
        <v>2.0440419999999997</v>
      </c>
      <c r="Q107" s="75">
        <v>150</v>
      </c>
      <c r="R107" s="1">
        <v>39819</v>
      </c>
      <c r="S107" s="75">
        <f>Supplier_Perf_Table[[#This Row],[Unit_Cost]]*Supplier_Perf_Table[[#This Row],[Order_Quantity]]</f>
        <v>39819</v>
      </c>
      <c r="T107" s="75">
        <f>IFERROR(Supplier_Perf_Table[[#This Row],[Dollar Equivalent]]*Supplier_Perf_Table[[#This Row],[Ordered_Value]],"")</f>
        <v>306.60630000000003</v>
      </c>
      <c r="U107" s="75">
        <v>5</v>
      </c>
      <c r="V107" s="7">
        <v>3.3300000000000003E-2</v>
      </c>
      <c r="W107" s="75">
        <v>18</v>
      </c>
      <c r="X107" s="55">
        <f>IFERROR(Supplier_Perf_Table[[#This Row],[Actual_Delivery_Date]]-Supplier_Perf_Table[[#This Row],[Order Date]],"")</f>
        <v>18</v>
      </c>
      <c r="Y107" s="75">
        <v>17</v>
      </c>
      <c r="Z107" s="56">
        <f>IFERROR(Supplier_Perf_Table[[#This Row],[Expected Delivery_Date]]-Supplier_Perf_Table[[#This Row],[Order Date]],"")</f>
        <v>17</v>
      </c>
      <c r="AA107" s="56">
        <f>Supplier_Perf_Table[[#This Row],[Calculated_Lead_Time2]]-Supplier_Perf_Table[[#This Row],[Calculated_Expected_Lead_Time]]</f>
        <v>1</v>
      </c>
      <c r="AB107" s="75">
        <v>1</v>
      </c>
      <c r="AC107" s="63" t="s">
        <v>135</v>
      </c>
      <c r="AD107" s="63" t="s">
        <v>40</v>
      </c>
      <c r="AE107" s="63" t="s">
        <v>41</v>
      </c>
      <c r="AF107" s="63" t="s">
        <v>42</v>
      </c>
      <c r="AG107" s="63" t="s">
        <v>43</v>
      </c>
      <c r="AH107" s="63" t="s">
        <v>174</v>
      </c>
      <c r="AI107" s="63" t="s">
        <v>44</v>
      </c>
      <c r="AJ107" s="63" t="s">
        <v>138</v>
      </c>
      <c r="AK107" s="83">
        <v>2.9</v>
      </c>
      <c r="AL107" s="63" t="s">
        <v>76</v>
      </c>
      <c r="AM107" s="63" t="s">
        <v>46</v>
      </c>
      <c r="AN107"/>
    </row>
    <row r="108" spans="1:40" ht="18" customHeight="1">
      <c r="A108" s="1" t="s">
        <v>493</v>
      </c>
      <c r="B108" s="1" t="s">
        <v>494</v>
      </c>
      <c r="C108" s="4">
        <v>46150</v>
      </c>
      <c r="D108" s="4">
        <v>46163</v>
      </c>
      <c r="E108" s="4">
        <v>46162</v>
      </c>
      <c r="F108" s="63" t="s">
        <v>209</v>
      </c>
      <c r="G108" s="63" t="s">
        <v>3845</v>
      </c>
      <c r="H108" s="63" t="s">
        <v>316</v>
      </c>
      <c r="I108" s="63" t="s">
        <v>34</v>
      </c>
      <c r="J108" s="63" t="s">
        <v>153</v>
      </c>
      <c r="K108" s="63" t="s">
        <v>495</v>
      </c>
      <c r="L108" s="63" t="s">
        <v>204</v>
      </c>
      <c r="M108" s="69">
        <v>555.45000000000005</v>
      </c>
      <c r="N108" s="63" t="s">
        <v>86</v>
      </c>
      <c r="O108" s="73">
        <f>_xlfn.XLOOKUP(Supplier_Perf_Table[[#This Row],[Currency]],'Comments 2'!$C$4:$C$16,'Comments 2'!$D$4:$D$16)</f>
        <v>8.8999999999999996E-2</v>
      </c>
      <c r="P108" s="69">
        <f>IFERROR(Supplier_Perf_Table[[#This Row],[Unit_Cost]]*Supplier_Perf_Table[[#This Row],[Dollar Equivalent]],"")</f>
        <v>49.435050000000004</v>
      </c>
      <c r="Q108" s="75">
        <v>250</v>
      </c>
      <c r="R108" s="1">
        <v>138862.5</v>
      </c>
      <c r="S108" s="75">
        <f>Supplier_Perf_Table[[#This Row],[Unit_Cost]]*Supplier_Perf_Table[[#This Row],[Order_Quantity]]</f>
        <v>138862.5</v>
      </c>
      <c r="T108" s="75">
        <f>IFERROR(Supplier_Perf_Table[[#This Row],[Dollar Equivalent]]*Supplier_Perf_Table[[#This Row],[Ordered_Value]],"")</f>
        <v>12358.762499999999</v>
      </c>
      <c r="U108" s="75">
        <v>0</v>
      </c>
      <c r="V108" s="7">
        <v>0</v>
      </c>
      <c r="W108" s="75">
        <v>12</v>
      </c>
      <c r="X108" s="55">
        <f>IFERROR(Supplier_Perf_Table[[#This Row],[Actual_Delivery_Date]]-Supplier_Perf_Table[[#This Row],[Order Date]],"")</f>
        <v>12</v>
      </c>
      <c r="Y108" s="75">
        <v>13</v>
      </c>
      <c r="Z108" s="56">
        <f>IFERROR(Supplier_Perf_Table[[#This Row],[Expected Delivery_Date]]-Supplier_Perf_Table[[#This Row],[Order Date]],"")</f>
        <v>13</v>
      </c>
      <c r="AA108" s="56">
        <f>Supplier_Perf_Table[[#This Row],[Calculated_Lead_Time2]]-Supplier_Perf_Table[[#This Row],[Calculated_Expected_Lead_Time]]</f>
        <v>-1</v>
      </c>
      <c r="AB108" s="75">
        <v>-1</v>
      </c>
      <c r="AC108" s="63" t="s">
        <v>270</v>
      </c>
      <c r="AD108" s="63" t="s">
        <v>40</v>
      </c>
      <c r="AE108" s="63" t="s">
        <v>41</v>
      </c>
      <c r="AF108" s="63" t="s">
        <v>42</v>
      </c>
      <c r="AG108" s="63" t="s">
        <v>107</v>
      </c>
      <c r="AH108" s="63" t="s">
        <v>3112</v>
      </c>
      <c r="AI108" s="63" t="s">
        <v>44</v>
      </c>
      <c r="AJ108" s="63" t="s">
        <v>138</v>
      </c>
      <c r="AK108" s="83">
        <v>2.8</v>
      </c>
      <c r="AL108" s="63" t="s">
        <v>76</v>
      </c>
      <c r="AM108" s="63" t="s">
        <v>138</v>
      </c>
      <c r="AN108"/>
    </row>
    <row r="109" spans="1:40" ht="18" customHeight="1">
      <c r="A109" s="1" t="s">
        <v>496</v>
      </c>
      <c r="B109" s="1" t="s">
        <v>497</v>
      </c>
      <c r="C109" s="4">
        <v>46129</v>
      </c>
      <c r="D109" s="4">
        <v>46133</v>
      </c>
      <c r="E109" s="4">
        <v>46126</v>
      </c>
      <c r="F109" s="63" t="s">
        <v>215</v>
      </c>
      <c r="G109" s="63" t="s">
        <v>3846</v>
      </c>
      <c r="H109" s="63" t="s">
        <v>152</v>
      </c>
      <c r="I109" s="63" t="s">
        <v>241</v>
      </c>
      <c r="J109" s="63" t="s">
        <v>112</v>
      </c>
      <c r="K109" s="63" t="s">
        <v>498</v>
      </c>
      <c r="L109" s="63" t="s">
        <v>218</v>
      </c>
      <c r="M109" s="69">
        <v>731.64</v>
      </c>
      <c r="N109" s="63" t="s">
        <v>159</v>
      </c>
      <c r="O109" s="73">
        <f>_xlfn.XLOOKUP(Supplier_Perf_Table[[#This Row],[Currency]],'Comments 2'!$C$4:$C$16,'Comments 2'!$D$4:$D$16)</f>
        <v>7.2999999999999996E-4</v>
      </c>
      <c r="P109" s="69">
        <f>IFERROR(Supplier_Perf_Table[[#This Row],[Unit_Cost]]*Supplier_Perf_Table[[#This Row],[Dollar Equivalent]],"")</f>
        <v>0.53409719999999994</v>
      </c>
      <c r="Q109" s="75">
        <v>2000</v>
      </c>
      <c r="R109" s="1">
        <v>1463280</v>
      </c>
      <c r="S109" s="75">
        <f>Supplier_Perf_Table[[#This Row],[Unit_Cost]]*Supplier_Perf_Table[[#This Row],[Order_Quantity]]</f>
        <v>1463280</v>
      </c>
      <c r="T109" s="75">
        <f>IFERROR(Supplier_Perf_Table[[#This Row],[Dollar Equivalent]]*Supplier_Perf_Table[[#This Row],[Ordered_Value]],"")</f>
        <v>1068.1943999999999</v>
      </c>
      <c r="U109" s="75"/>
      <c r="V109" s="7">
        <v>0</v>
      </c>
      <c r="W109" s="75">
        <v>-3</v>
      </c>
      <c r="X109" s="55">
        <f>IFERROR(Supplier_Perf_Table[[#This Row],[Actual_Delivery_Date]]-Supplier_Perf_Table[[#This Row],[Order Date]],"")</f>
        <v>-3</v>
      </c>
      <c r="Y109" s="75">
        <v>4</v>
      </c>
      <c r="Z109" s="56">
        <f>IFERROR(Supplier_Perf_Table[[#This Row],[Expected Delivery_Date]]-Supplier_Perf_Table[[#This Row],[Order Date]],"")</f>
        <v>4</v>
      </c>
      <c r="AA109" s="56">
        <f>Supplier_Perf_Table[[#This Row],[Calculated_Lead_Time2]]-Supplier_Perf_Table[[#This Row],[Calculated_Expected_Lead_Time]]</f>
        <v>-7</v>
      </c>
      <c r="AB109" s="75">
        <v>-7</v>
      </c>
      <c r="AC109" s="63" t="s">
        <v>362</v>
      </c>
      <c r="AD109" s="63" t="s">
        <v>40</v>
      </c>
      <c r="AE109" s="63" t="s">
        <v>105</v>
      </c>
      <c r="AF109" s="63" t="s">
        <v>42</v>
      </c>
      <c r="AG109" s="63" t="s">
        <v>3088</v>
      </c>
      <c r="AH109" s="63" t="s">
        <v>88</v>
      </c>
      <c r="AI109" s="63" t="s">
        <v>137</v>
      </c>
      <c r="AJ109" s="63" t="s">
        <v>138</v>
      </c>
      <c r="AK109" s="83">
        <v>4.5999999999999996</v>
      </c>
      <c r="AL109" s="63" t="s">
        <v>45</v>
      </c>
      <c r="AM109" s="63" t="s">
        <v>138</v>
      </c>
      <c r="AN109"/>
    </row>
    <row r="110" spans="1:40" ht="18" customHeight="1">
      <c r="A110" s="1" t="s">
        <v>499</v>
      </c>
      <c r="B110" s="1" t="s">
        <v>500</v>
      </c>
      <c r="C110" s="4">
        <v>46200</v>
      </c>
      <c r="D110" s="4">
        <v>46206</v>
      </c>
      <c r="E110" s="4">
        <v>46203</v>
      </c>
      <c r="F110" s="63" t="s">
        <v>151</v>
      </c>
      <c r="G110" s="63" t="s">
        <v>3844</v>
      </c>
      <c r="H110" s="63" t="s">
        <v>152</v>
      </c>
      <c r="I110" s="63" t="s">
        <v>83</v>
      </c>
      <c r="J110" s="63" t="s">
        <v>163</v>
      </c>
      <c r="K110" s="63" t="s">
        <v>501</v>
      </c>
      <c r="L110" s="63" t="s">
        <v>165</v>
      </c>
      <c r="M110" s="69">
        <v>770.28</v>
      </c>
      <c r="N110" s="63" t="s">
        <v>159</v>
      </c>
      <c r="O110" s="73">
        <f>_xlfn.XLOOKUP(Supplier_Perf_Table[[#This Row],[Currency]],'Comments 2'!$C$4:$C$16,'Comments 2'!$D$4:$D$16)</f>
        <v>7.2999999999999996E-4</v>
      </c>
      <c r="P110" s="69">
        <f>IFERROR(Supplier_Perf_Table[[#This Row],[Unit_Cost]]*Supplier_Perf_Table[[#This Row],[Dollar Equivalent]],"")</f>
        <v>0.56230439999999993</v>
      </c>
      <c r="Q110" s="75">
        <v>1000</v>
      </c>
      <c r="R110" s="1">
        <v>770280</v>
      </c>
      <c r="S110" s="75">
        <f>Supplier_Perf_Table[[#This Row],[Unit_Cost]]*Supplier_Perf_Table[[#This Row],[Order_Quantity]]</f>
        <v>770280</v>
      </c>
      <c r="T110" s="75">
        <f>IFERROR(Supplier_Perf_Table[[#This Row],[Dollar Equivalent]]*Supplier_Perf_Table[[#This Row],[Ordered_Value]],"")</f>
        <v>562.30439999999999</v>
      </c>
      <c r="U110" s="75">
        <v>14</v>
      </c>
      <c r="V110" s="7">
        <v>1.4E-2</v>
      </c>
      <c r="W110" s="75">
        <v>3</v>
      </c>
      <c r="X110" s="55">
        <f>IFERROR(Supplier_Perf_Table[[#This Row],[Actual_Delivery_Date]]-Supplier_Perf_Table[[#This Row],[Order Date]],"")</f>
        <v>3</v>
      </c>
      <c r="Y110" s="75">
        <v>6</v>
      </c>
      <c r="Z110" s="56">
        <f>IFERROR(Supplier_Perf_Table[[#This Row],[Expected Delivery_Date]]-Supplier_Perf_Table[[#This Row],[Order Date]],"")</f>
        <v>6</v>
      </c>
      <c r="AA110" s="56">
        <f>Supplier_Perf_Table[[#This Row],[Calculated_Lead_Time2]]-Supplier_Perf_Table[[#This Row],[Calculated_Expected_Lead_Time]]</f>
        <v>-3</v>
      </c>
      <c r="AB110" s="75">
        <v>-3</v>
      </c>
      <c r="AC110" s="63" t="s">
        <v>87</v>
      </c>
      <c r="AD110" s="63" t="s">
        <v>40</v>
      </c>
      <c r="AE110" s="63" t="s">
        <v>41</v>
      </c>
      <c r="AF110" s="63" t="s">
        <v>106</v>
      </c>
      <c r="AG110" s="63" t="s">
        <v>107</v>
      </c>
      <c r="AH110" s="63" t="s">
        <v>136</v>
      </c>
      <c r="AI110" s="63" t="s">
        <v>44</v>
      </c>
      <c r="AJ110" s="63" t="s">
        <v>138</v>
      </c>
      <c r="AK110" s="83">
        <v>2.5</v>
      </c>
      <c r="AL110" s="63" t="s">
        <v>76</v>
      </c>
      <c r="AM110" s="63" t="s">
        <v>138</v>
      </c>
      <c r="AN110"/>
    </row>
    <row r="111" spans="1:40" ht="18" customHeight="1">
      <c r="A111" s="1" t="s">
        <v>502</v>
      </c>
      <c r="B111" s="1" t="s">
        <v>503</v>
      </c>
      <c r="C111" s="4">
        <v>46193</v>
      </c>
      <c r="D111" s="4">
        <v>46207</v>
      </c>
      <c r="E111" s="4">
        <v>46209</v>
      </c>
      <c r="F111" s="63" t="s">
        <v>256</v>
      </c>
      <c r="G111" s="63" t="s">
        <v>3849</v>
      </c>
      <c r="H111" s="63" t="s">
        <v>258</v>
      </c>
      <c r="I111" s="63" t="s">
        <v>241</v>
      </c>
      <c r="J111" s="63" t="s">
        <v>153</v>
      </c>
      <c r="K111" s="63" t="s">
        <v>504</v>
      </c>
      <c r="L111" s="63" t="s">
        <v>155</v>
      </c>
      <c r="M111" s="69">
        <v>413.91</v>
      </c>
      <c r="N111" s="63" t="s">
        <v>104</v>
      </c>
      <c r="O111" s="73">
        <f>_xlfn.XLOOKUP(Supplier_Perf_Table[[#This Row],[Currency]],'Comments 2'!$C$4:$C$16,'Comments 2'!$D$4:$D$16)</f>
        <v>1.9E-2</v>
      </c>
      <c r="P111" s="69">
        <f>IFERROR(Supplier_Perf_Table[[#This Row],[Unit_Cost]]*Supplier_Perf_Table[[#This Row],[Dollar Equivalent]],"")</f>
        <v>7.8642900000000004</v>
      </c>
      <c r="Q111" s="75">
        <v>1000</v>
      </c>
      <c r="R111" s="1">
        <v>413910</v>
      </c>
      <c r="S111" s="75">
        <f>Supplier_Perf_Table[[#This Row],[Unit_Cost]]*Supplier_Perf_Table[[#This Row],[Order_Quantity]]</f>
        <v>413910</v>
      </c>
      <c r="T111" s="75">
        <f>IFERROR(Supplier_Perf_Table[[#This Row],[Dollar Equivalent]]*Supplier_Perf_Table[[#This Row],[Ordered_Value]],"")</f>
        <v>7864.29</v>
      </c>
      <c r="U111" s="75">
        <v>7</v>
      </c>
      <c r="V111" s="7">
        <v>7.0000000000000001E-3</v>
      </c>
      <c r="W111" s="75">
        <v>16</v>
      </c>
      <c r="X111" s="55">
        <f>IFERROR(Supplier_Perf_Table[[#This Row],[Actual_Delivery_Date]]-Supplier_Perf_Table[[#This Row],[Order Date]],"")</f>
        <v>16</v>
      </c>
      <c r="Y111" s="75">
        <v>14</v>
      </c>
      <c r="Z111" s="56">
        <f>IFERROR(Supplier_Perf_Table[[#This Row],[Expected Delivery_Date]]-Supplier_Perf_Table[[#This Row],[Order Date]],"")</f>
        <v>14</v>
      </c>
      <c r="AA111" s="56">
        <f>Supplier_Perf_Table[[#This Row],[Calculated_Lead_Time2]]-Supplier_Perf_Table[[#This Row],[Calculated_Expected_Lead_Time]]</f>
        <v>2</v>
      </c>
      <c r="AB111" s="75">
        <v>2</v>
      </c>
      <c r="AC111" s="63" t="s">
        <v>135</v>
      </c>
      <c r="AD111" s="63" t="s">
        <v>40</v>
      </c>
      <c r="AE111" s="63" t="s">
        <v>3088</v>
      </c>
      <c r="AF111" s="63" t="s">
        <v>190</v>
      </c>
      <c r="AG111" s="63" t="s">
        <v>43</v>
      </c>
      <c r="AH111" s="63" t="s">
        <v>174</v>
      </c>
      <c r="AI111" s="63" t="s">
        <v>147</v>
      </c>
      <c r="AJ111" s="63" t="s">
        <v>138</v>
      </c>
      <c r="AK111" s="83">
        <v>4.3</v>
      </c>
      <c r="AL111" s="63" t="s">
        <v>115</v>
      </c>
      <c r="AM111" s="63" t="s">
        <v>148</v>
      </c>
      <c r="AN111"/>
    </row>
    <row r="112" spans="1:40" ht="18" customHeight="1">
      <c r="A112" s="1" t="s">
        <v>505</v>
      </c>
      <c r="B112" s="1" t="s">
        <v>506</v>
      </c>
      <c r="C112" s="4">
        <v>46155</v>
      </c>
      <c r="D112" s="4">
        <v>46177</v>
      </c>
      <c r="E112" s="4">
        <v>46171</v>
      </c>
      <c r="F112" s="63" t="s">
        <v>100</v>
      </c>
      <c r="G112" s="63" t="s">
        <v>3841</v>
      </c>
      <c r="H112" s="63" t="s">
        <v>102</v>
      </c>
      <c r="I112" s="63" t="s">
        <v>70</v>
      </c>
      <c r="J112" s="63" t="s">
        <v>50</v>
      </c>
      <c r="K112" s="63" t="s">
        <v>507</v>
      </c>
      <c r="L112" s="63" t="s">
        <v>145</v>
      </c>
      <c r="M112" s="69">
        <v>1773.73</v>
      </c>
      <c r="N112" s="63" t="s">
        <v>38</v>
      </c>
      <c r="O112" s="73">
        <f>_xlfn.XLOOKUP(Supplier_Perf_Table[[#This Row],[Currency]],'Comments 2'!$C$4:$C$16,'Comments 2'!$D$4:$D$16)</f>
        <v>7.7000000000000002E-3</v>
      </c>
      <c r="P112" s="69">
        <f>IFERROR(Supplier_Perf_Table[[#This Row],[Unit_Cost]]*Supplier_Perf_Table[[#This Row],[Dollar Equivalent]],"")</f>
        <v>13.657721</v>
      </c>
      <c r="Q112" s="75">
        <v>300</v>
      </c>
      <c r="R112" s="1">
        <v>532119</v>
      </c>
      <c r="S112" s="75">
        <f>Supplier_Perf_Table[[#This Row],[Unit_Cost]]*Supplier_Perf_Table[[#This Row],[Order_Quantity]]</f>
        <v>532119</v>
      </c>
      <c r="T112" s="75">
        <f>IFERROR(Supplier_Perf_Table[[#This Row],[Dollar Equivalent]]*Supplier_Perf_Table[[#This Row],[Ordered_Value]],"")</f>
        <v>4097.3163000000004</v>
      </c>
      <c r="U112" s="75">
        <v>5</v>
      </c>
      <c r="V112" s="7">
        <v>1.67E-2</v>
      </c>
      <c r="W112" s="75">
        <v>16</v>
      </c>
      <c r="X112" s="55">
        <f>IFERROR(Supplier_Perf_Table[[#This Row],[Actual_Delivery_Date]]-Supplier_Perf_Table[[#This Row],[Order Date]],"")</f>
        <v>16</v>
      </c>
      <c r="Y112" s="75">
        <v>22</v>
      </c>
      <c r="Z112" s="56">
        <f>IFERROR(Supplier_Perf_Table[[#This Row],[Expected Delivery_Date]]-Supplier_Perf_Table[[#This Row],[Order Date]],"")</f>
        <v>22</v>
      </c>
      <c r="AA112" s="56">
        <f>Supplier_Perf_Table[[#This Row],[Calculated_Lead_Time2]]-Supplier_Perf_Table[[#This Row],[Calculated_Expected_Lead_Time]]</f>
        <v>-6</v>
      </c>
      <c r="AB112" s="75">
        <v>-6</v>
      </c>
      <c r="AC112" s="63" t="s">
        <v>270</v>
      </c>
      <c r="AD112" s="63" t="s">
        <v>40</v>
      </c>
      <c r="AE112" s="63" t="s">
        <v>127</v>
      </c>
      <c r="AF112" s="63" t="s">
        <v>66</v>
      </c>
      <c r="AG112" s="63" t="s">
        <v>128</v>
      </c>
      <c r="AH112" s="63" t="s">
        <v>206</v>
      </c>
      <c r="AI112" s="63" t="s">
        <v>95</v>
      </c>
      <c r="AJ112" s="63" t="s">
        <v>138</v>
      </c>
      <c r="AK112" s="83">
        <v>3.7</v>
      </c>
      <c r="AL112" s="63" t="s">
        <v>57</v>
      </c>
      <c r="AM112" s="63" t="s">
        <v>130</v>
      </c>
      <c r="AN112"/>
    </row>
    <row r="113" spans="1:40" ht="18" customHeight="1">
      <c r="A113" s="1" t="s">
        <v>508</v>
      </c>
      <c r="B113" s="1" t="s">
        <v>509</v>
      </c>
      <c r="C113" s="4">
        <v>46112</v>
      </c>
      <c r="D113" s="4">
        <v>46123</v>
      </c>
      <c r="E113" s="4">
        <v>46134</v>
      </c>
      <c r="F113" s="63" t="s">
        <v>100</v>
      </c>
      <c r="G113" s="63" t="s">
        <v>3841</v>
      </c>
      <c r="H113" s="63" t="s">
        <v>102</v>
      </c>
      <c r="I113" s="63" t="s">
        <v>120</v>
      </c>
      <c r="J113" s="63" t="s">
        <v>50</v>
      </c>
      <c r="K113" s="63" t="s">
        <v>510</v>
      </c>
      <c r="L113" s="63" t="s">
        <v>52</v>
      </c>
      <c r="M113" s="69">
        <v>1713.32</v>
      </c>
      <c r="N113" s="63" t="s">
        <v>104</v>
      </c>
      <c r="O113" s="73">
        <f>_xlfn.XLOOKUP(Supplier_Perf_Table[[#This Row],[Currency]],'Comments 2'!$C$4:$C$16,'Comments 2'!$D$4:$D$16)</f>
        <v>1.9E-2</v>
      </c>
      <c r="P113" s="69">
        <f>IFERROR(Supplier_Perf_Table[[#This Row],[Unit_Cost]]*Supplier_Perf_Table[[#This Row],[Dollar Equivalent]],"")</f>
        <v>32.553080000000001</v>
      </c>
      <c r="Q113" s="75">
        <v>200</v>
      </c>
      <c r="R113" s="1">
        <v>342664</v>
      </c>
      <c r="S113" s="75">
        <f>Supplier_Perf_Table[[#This Row],[Unit_Cost]]*Supplier_Perf_Table[[#This Row],[Order_Quantity]]</f>
        <v>342664</v>
      </c>
      <c r="T113" s="75">
        <f>IFERROR(Supplier_Perf_Table[[#This Row],[Dollar Equivalent]]*Supplier_Perf_Table[[#This Row],[Ordered_Value]],"")</f>
        <v>6510.616</v>
      </c>
      <c r="U113" s="75">
        <v>7</v>
      </c>
      <c r="V113" s="7">
        <v>3.5000000000000003E-2</v>
      </c>
      <c r="W113" s="75">
        <v>22</v>
      </c>
      <c r="X113" s="55">
        <f>IFERROR(Supplier_Perf_Table[[#This Row],[Actual_Delivery_Date]]-Supplier_Perf_Table[[#This Row],[Order Date]],"")</f>
        <v>22</v>
      </c>
      <c r="Y113" s="75">
        <v>11</v>
      </c>
      <c r="Z113" s="56">
        <f>IFERROR(Supplier_Perf_Table[[#This Row],[Expected Delivery_Date]]-Supplier_Perf_Table[[#This Row],[Order Date]],"")</f>
        <v>11</v>
      </c>
      <c r="AA113" s="56">
        <f>Supplier_Perf_Table[[#This Row],[Calculated_Lead_Time2]]-Supplier_Perf_Table[[#This Row],[Calculated_Expected_Lead_Time]]</f>
        <v>11</v>
      </c>
      <c r="AB113" s="75">
        <v>11</v>
      </c>
      <c r="AC113" s="63" t="s">
        <v>205</v>
      </c>
      <c r="AD113" s="63" t="s">
        <v>3088</v>
      </c>
      <c r="AE113" s="63" t="s">
        <v>41</v>
      </c>
      <c r="AF113" s="63" t="s">
        <v>66</v>
      </c>
      <c r="AG113" s="63" t="s">
        <v>54</v>
      </c>
      <c r="AH113" s="63" t="s">
        <v>136</v>
      </c>
      <c r="AI113" s="63" t="s">
        <v>138</v>
      </c>
      <c r="AJ113" s="63" t="s">
        <v>138</v>
      </c>
      <c r="AK113" s="83">
        <v>3</v>
      </c>
      <c r="AL113" s="63" t="s">
        <v>76</v>
      </c>
      <c r="AM113" s="63" t="s">
        <v>46</v>
      </c>
      <c r="AN113"/>
    </row>
    <row r="114" spans="1:40" ht="18" customHeight="1">
      <c r="A114" s="1" t="s">
        <v>511</v>
      </c>
      <c r="B114" s="1" t="s">
        <v>512</v>
      </c>
      <c r="C114" s="4">
        <v>46191</v>
      </c>
      <c r="D114" s="4">
        <v>46209</v>
      </c>
      <c r="E114" s="4">
        <v>46202</v>
      </c>
      <c r="F114" s="63" t="s">
        <v>256</v>
      </c>
      <c r="G114" s="63" t="s">
        <v>3849</v>
      </c>
      <c r="H114" s="63" t="s">
        <v>258</v>
      </c>
      <c r="I114" s="63" t="s">
        <v>49</v>
      </c>
      <c r="J114" s="63" t="s">
        <v>153</v>
      </c>
      <c r="K114" s="63" t="s">
        <v>513</v>
      </c>
      <c r="L114" s="63" t="s">
        <v>155</v>
      </c>
      <c r="M114" s="69">
        <v>516.5</v>
      </c>
      <c r="N114" s="63" t="s">
        <v>159</v>
      </c>
      <c r="O114" s="73">
        <f>_xlfn.XLOOKUP(Supplier_Perf_Table[[#This Row],[Currency]],'Comments 2'!$C$4:$C$16,'Comments 2'!$D$4:$D$16)</f>
        <v>7.2999999999999996E-4</v>
      </c>
      <c r="P114" s="69">
        <f>IFERROR(Supplier_Perf_Table[[#This Row],[Unit_Cost]]*Supplier_Perf_Table[[#This Row],[Dollar Equivalent]],"")</f>
        <v>0.37704499999999996</v>
      </c>
      <c r="Q114" s="75">
        <v>200</v>
      </c>
      <c r="R114" s="1">
        <v>103300</v>
      </c>
      <c r="S114" s="75">
        <f>Supplier_Perf_Table[[#This Row],[Unit_Cost]]*Supplier_Perf_Table[[#This Row],[Order_Quantity]]</f>
        <v>103300</v>
      </c>
      <c r="T114" s="75">
        <f>IFERROR(Supplier_Perf_Table[[#This Row],[Dollar Equivalent]]*Supplier_Perf_Table[[#This Row],[Ordered_Value]],"")</f>
        <v>75.408999999999992</v>
      </c>
      <c r="U114" s="75">
        <v>7</v>
      </c>
      <c r="V114" s="7">
        <v>3.5000000000000003E-2</v>
      </c>
      <c r="W114" s="75">
        <v>11</v>
      </c>
      <c r="X114" s="55">
        <f>IFERROR(Supplier_Perf_Table[[#This Row],[Actual_Delivery_Date]]-Supplier_Perf_Table[[#This Row],[Order Date]],"")</f>
        <v>11</v>
      </c>
      <c r="Y114" s="75">
        <v>18</v>
      </c>
      <c r="Z114" s="56">
        <f>IFERROR(Supplier_Perf_Table[[#This Row],[Expected Delivery_Date]]-Supplier_Perf_Table[[#This Row],[Order Date]],"")</f>
        <v>18</v>
      </c>
      <c r="AA114" s="56">
        <f>Supplier_Perf_Table[[#This Row],[Calculated_Lead_Time2]]-Supplier_Perf_Table[[#This Row],[Calculated_Expected_Lead_Time]]</f>
        <v>-7</v>
      </c>
      <c r="AB114" s="75">
        <v>-7</v>
      </c>
      <c r="AC114" s="63" t="s">
        <v>87</v>
      </c>
      <c r="AD114" s="63" t="s">
        <v>40</v>
      </c>
      <c r="AE114" s="63" t="s">
        <v>105</v>
      </c>
      <c r="AF114" s="63" t="s">
        <v>66</v>
      </c>
      <c r="AG114" s="63" t="s">
        <v>107</v>
      </c>
      <c r="AH114" s="63" t="s">
        <v>3112</v>
      </c>
      <c r="AI114" s="63" t="s">
        <v>95</v>
      </c>
      <c r="AJ114" s="63" t="s">
        <v>138</v>
      </c>
      <c r="AK114" s="83">
        <v>2.5</v>
      </c>
      <c r="AL114" s="63" t="s">
        <v>57</v>
      </c>
      <c r="AM114" s="63" t="s">
        <v>138</v>
      </c>
      <c r="AN114"/>
    </row>
    <row r="115" spans="1:40" ht="18" customHeight="1">
      <c r="A115" s="1" t="s">
        <v>514</v>
      </c>
      <c r="B115" s="1" t="s">
        <v>515</v>
      </c>
      <c r="C115" s="4">
        <v>46178</v>
      </c>
      <c r="D115" s="4">
        <v>46189</v>
      </c>
      <c r="E115" s="4">
        <v>46190</v>
      </c>
      <c r="F115" s="63" t="s">
        <v>48</v>
      </c>
      <c r="G115" s="63" t="s">
        <v>3836</v>
      </c>
      <c r="H115" s="63" t="s">
        <v>102</v>
      </c>
      <c r="I115" s="63" t="s">
        <v>83</v>
      </c>
      <c r="J115" s="63" t="s">
        <v>50</v>
      </c>
      <c r="K115" s="63" t="s">
        <v>516</v>
      </c>
      <c r="L115" s="63" t="s">
        <v>52</v>
      </c>
      <c r="M115" s="69">
        <v>768.03</v>
      </c>
      <c r="N115" s="63" t="s">
        <v>104</v>
      </c>
      <c r="O115" s="73">
        <f>_xlfn.XLOOKUP(Supplier_Perf_Table[[#This Row],[Currency]],'Comments 2'!$C$4:$C$16,'Comments 2'!$D$4:$D$16)</f>
        <v>1.9E-2</v>
      </c>
      <c r="P115" s="69">
        <f>IFERROR(Supplier_Perf_Table[[#This Row],[Unit_Cost]]*Supplier_Perf_Table[[#This Row],[Dollar Equivalent]],"")</f>
        <v>14.592569999999998</v>
      </c>
      <c r="Q115" s="75">
        <v>750</v>
      </c>
      <c r="R115" s="1">
        <v>576022.5</v>
      </c>
      <c r="S115" s="75">
        <f>Supplier_Perf_Table[[#This Row],[Unit_Cost]]*Supplier_Perf_Table[[#This Row],[Order_Quantity]]</f>
        <v>576022.5</v>
      </c>
      <c r="T115" s="75">
        <f>IFERROR(Supplier_Perf_Table[[#This Row],[Dollar Equivalent]]*Supplier_Perf_Table[[#This Row],[Ordered_Value]],"")</f>
        <v>10944.4275</v>
      </c>
      <c r="U115" s="75">
        <v>61</v>
      </c>
      <c r="V115" s="7">
        <v>8.1299999999999997E-2</v>
      </c>
      <c r="W115" s="75">
        <v>12</v>
      </c>
      <c r="X115" s="55">
        <f>IFERROR(Supplier_Perf_Table[[#This Row],[Actual_Delivery_Date]]-Supplier_Perf_Table[[#This Row],[Order Date]],"")</f>
        <v>12</v>
      </c>
      <c r="Y115" s="75">
        <v>11</v>
      </c>
      <c r="Z115" s="56">
        <f>IFERROR(Supplier_Perf_Table[[#This Row],[Expected Delivery_Date]]-Supplier_Perf_Table[[#This Row],[Order Date]],"")</f>
        <v>11</v>
      </c>
      <c r="AA115" s="56">
        <f>Supplier_Perf_Table[[#This Row],[Calculated_Lead_Time2]]-Supplier_Perf_Table[[#This Row],[Calculated_Expected_Lead_Time]]</f>
        <v>1</v>
      </c>
      <c r="AB115" s="75">
        <v>1</v>
      </c>
      <c r="AC115" s="63" t="s">
        <v>166</v>
      </c>
      <c r="AD115" s="63" t="s">
        <v>420</v>
      </c>
      <c r="AE115" s="63" t="s">
        <v>41</v>
      </c>
      <c r="AF115" s="63" t="s">
        <v>106</v>
      </c>
      <c r="AG115" s="63" t="s">
        <v>43</v>
      </c>
      <c r="AH115" s="63" t="s">
        <v>206</v>
      </c>
      <c r="AI115" s="63" t="s">
        <v>191</v>
      </c>
      <c r="AJ115" s="63" t="s">
        <v>283</v>
      </c>
      <c r="AK115" s="83">
        <v>2.6</v>
      </c>
      <c r="AL115" s="63" t="s">
        <v>139</v>
      </c>
      <c r="AM115" s="63" t="s">
        <v>77</v>
      </c>
      <c r="AN115"/>
    </row>
    <row r="116" spans="1:40" ht="18" customHeight="1">
      <c r="A116" s="1" t="s">
        <v>517</v>
      </c>
      <c r="B116" s="1" t="s">
        <v>518</v>
      </c>
      <c r="C116" s="4">
        <v>46125</v>
      </c>
      <c r="D116" s="4">
        <v>46147</v>
      </c>
      <c r="E116" s="4">
        <v>46146</v>
      </c>
      <c r="F116" s="63" t="s">
        <v>32</v>
      </c>
      <c r="G116" s="63" t="s">
        <v>3835</v>
      </c>
      <c r="H116" s="63" t="s">
        <v>177</v>
      </c>
      <c r="I116" s="63" t="s">
        <v>178</v>
      </c>
      <c r="J116" s="63" t="s">
        <v>35</v>
      </c>
      <c r="K116" s="63" t="s">
        <v>519</v>
      </c>
      <c r="L116" s="63" t="s">
        <v>180</v>
      </c>
      <c r="M116" s="69">
        <v>1648.46</v>
      </c>
      <c r="N116" s="63" t="s">
        <v>104</v>
      </c>
      <c r="O116" s="73">
        <f>_xlfn.XLOOKUP(Supplier_Perf_Table[[#This Row],[Currency]],'Comments 2'!$C$4:$C$16,'Comments 2'!$D$4:$D$16)</f>
        <v>1.9E-2</v>
      </c>
      <c r="P116" s="69">
        <f>IFERROR(Supplier_Perf_Table[[#This Row],[Unit_Cost]]*Supplier_Perf_Table[[#This Row],[Dollar Equivalent]],"")</f>
        <v>31.320740000000001</v>
      </c>
      <c r="Q116" s="75">
        <v>250</v>
      </c>
      <c r="R116" s="1">
        <v>412115</v>
      </c>
      <c r="S116" s="75">
        <f>Supplier_Perf_Table[[#This Row],[Unit_Cost]]*Supplier_Perf_Table[[#This Row],[Order_Quantity]]</f>
        <v>412115</v>
      </c>
      <c r="T116" s="75">
        <f>IFERROR(Supplier_Perf_Table[[#This Row],[Dollar Equivalent]]*Supplier_Perf_Table[[#This Row],[Ordered_Value]],"")</f>
        <v>7830.1849999999995</v>
      </c>
      <c r="U116" s="75">
        <v>0</v>
      </c>
      <c r="V116" s="7">
        <v>0</v>
      </c>
      <c r="W116" s="75">
        <v>21</v>
      </c>
      <c r="X116" s="55">
        <f>IFERROR(Supplier_Perf_Table[[#This Row],[Actual_Delivery_Date]]-Supplier_Perf_Table[[#This Row],[Order Date]],"")</f>
        <v>21</v>
      </c>
      <c r="Y116" s="75">
        <v>22</v>
      </c>
      <c r="Z116" s="56">
        <f>IFERROR(Supplier_Perf_Table[[#This Row],[Expected Delivery_Date]]-Supplier_Perf_Table[[#This Row],[Order Date]],"")</f>
        <v>22</v>
      </c>
      <c r="AA116" s="56">
        <f>Supplier_Perf_Table[[#This Row],[Calculated_Lead_Time2]]-Supplier_Perf_Table[[#This Row],[Calculated_Expected_Lead_Time]]</f>
        <v>-1</v>
      </c>
      <c r="AB116" s="75">
        <v>-1</v>
      </c>
      <c r="AC116" s="63" t="s">
        <v>87</v>
      </c>
      <c r="AD116" s="63" t="s">
        <v>40</v>
      </c>
      <c r="AE116" s="63" t="s">
        <v>105</v>
      </c>
      <c r="AF116" s="63" t="s">
        <v>106</v>
      </c>
      <c r="AG116" s="63" t="s">
        <v>43</v>
      </c>
      <c r="AH116" s="63" t="s">
        <v>129</v>
      </c>
      <c r="AI116" s="63" t="s">
        <v>191</v>
      </c>
      <c r="AJ116" s="63" t="s">
        <v>138</v>
      </c>
      <c r="AK116" s="83">
        <v>3.9</v>
      </c>
      <c r="AL116" s="63" t="s">
        <v>184</v>
      </c>
      <c r="AM116" s="63" t="s">
        <v>138</v>
      </c>
      <c r="AN116"/>
    </row>
    <row r="117" spans="1:40" ht="18" customHeight="1">
      <c r="A117" s="1" t="s">
        <v>520</v>
      </c>
      <c r="B117" s="1" t="s">
        <v>521</v>
      </c>
      <c r="C117" s="4">
        <v>46085</v>
      </c>
      <c r="D117" s="4">
        <v>46098</v>
      </c>
      <c r="E117" s="4">
        <v>46116</v>
      </c>
      <c r="F117" s="63" t="s">
        <v>90</v>
      </c>
      <c r="G117" s="63" t="s">
        <v>3840</v>
      </c>
      <c r="H117" s="63" t="s">
        <v>133</v>
      </c>
      <c r="I117" s="63" t="s">
        <v>49</v>
      </c>
      <c r="J117" s="63" t="s">
        <v>71</v>
      </c>
      <c r="K117" s="63" t="s">
        <v>522</v>
      </c>
      <c r="L117" s="63" t="s">
        <v>73</v>
      </c>
      <c r="M117" s="69">
        <v>412.3</v>
      </c>
      <c r="N117" s="63" t="s">
        <v>104</v>
      </c>
      <c r="O117" s="73">
        <f>_xlfn.XLOOKUP(Supplier_Perf_Table[[#This Row],[Currency]],'Comments 2'!$C$4:$C$16,'Comments 2'!$D$4:$D$16)</f>
        <v>1.9E-2</v>
      </c>
      <c r="P117" s="69">
        <f>IFERROR(Supplier_Perf_Table[[#This Row],[Unit_Cost]]*Supplier_Perf_Table[[#This Row],[Dollar Equivalent]],"")</f>
        <v>7.8337000000000003</v>
      </c>
      <c r="Q117" s="75">
        <v>300</v>
      </c>
      <c r="R117" s="1">
        <v>123690</v>
      </c>
      <c r="S117" s="75">
        <f>Supplier_Perf_Table[[#This Row],[Unit_Cost]]*Supplier_Perf_Table[[#This Row],[Order_Quantity]]</f>
        <v>123690</v>
      </c>
      <c r="T117" s="75">
        <f>IFERROR(Supplier_Perf_Table[[#This Row],[Dollar Equivalent]]*Supplier_Perf_Table[[#This Row],[Ordered_Value]],"")</f>
        <v>2350.11</v>
      </c>
      <c r="U117" s="75">
        <v>17</v>
      </c>
      <c r="V117" s="7">
        <v>5.67E-2</v>
      </c>
      <c r="W117" s="75">
        <v>31</v>
      </c>
      <c r="X117" s="55">
        <f>IFERROR(Supplier_Perf_Table[[#This Row],[Actual_Delivery_Date]]-Supplier_Perf_Table[[#This Row],[Order Date]],"")</f>
        <v>31</v>
      </c>
      <c r="Y117" s="75" t="s">
        <v>3080</v>
      </c>
      <c r="Z117" s="56">
        <f>IFERROR(Supplier_Perf_Table[[#This Row],[Expected Delivery_Date]]-Supplier_Perf_Table[[#This Row],[Order Date]],"")</f>
        <v>13</v>
      </c>
      <c r="AA117" s="56">
        <f>Supplier_Perf_Table[[#This Row],[Calculated_Lead_Time2]]-Supplier_Perf_Table[[#This Row],[Calculated_Expected_Lead_Time]]</f>
        <v>18</v>
      </c>
      <c r="AB117" s="75">
        <v>18</v>
      </c>
      <c r="AC117" s="63" t="s">
        <v>135</v>
      </c>
      <c r="AD117" s="63" t="s">
        <v>420</v>
      </c>
      <c r="AE117" s="63" t="s">
        <v>3088</v>
      </c>
      <c r="AF117" s="63" t="s">
        <v>212</v>
      </c>
      <c r="AG117" s="63" t="s">
        <v>43</v>
      </c>
      <c r="AH117" s="63" t="s">
        <v>3112</v>
      </c>
      <c r="AI117" s="63" t="s">
        <v>147</v>
      </c>
      <c r="AJ117" s="63" t="s">
        <v>373</v>
      </c>
      <c r="AK117" s="83">
        <v>3.3</v>
      </c>
      <c r="AL117" s="63" t="s">
        <v>139</v>
      </c>
      <c r="AM117" s="63" t="s">
        <v>185</v>
      </c>
      <c r="AN117"/>
    </row>
    <row r="118" spans="1:40" ht="18" customHeight="1">
      <c r="A118" s="1" t="s">
        <v>523</v>
      </c>
      <c r="B118" s="1" t="s">
        <v>524</v>
      </c>
      <c r="C118" s="4">
        <v>46146</v>
      </c>
      <c r="D118" s="4">
        <v>46161</v>
      </c>
      <c r="E118" s="4">
        <v>46162</v>
      </c>
      <c r="F118" s="63" t="s">
        <v>235</v>
      </c>
      <c r="G118" s="63" t="s">
        <v>3848</v>
      </c>
      <c r="H118" s="63" t="s">
        <v>479</v>
      </c>
      <c r="I118" s="63" t="s">
        <v>241</v>
      </c>
      <c r="J118" s="63" t="s">
        <v>71</v>
      </c>
      <c r="K118" s="63" t="s">
        <v>525</v>
      </c>
      <c r="L118" s="63" t="s">
        <v>337</v>
      </c>
      <c r="M118" s="69">
        <v>705.22</v>
      </c>
      <c r="N118" s="63" t="s">
        <v>53</v>
      </c>
      <c r="O118" s="73">
        <f>_xlfn.XLOOKUP(Supplier_Perf_Table[[#This Row],[Currency]],'Comments 2'!$C$4:$C$16,'Comments 2'!$D$4:$D$16)</f>
        <v>6.0999999999999999E-2</v>
      </c>
      <c r="P118" s="69">
        <f>IFERROR(Supplier_Perf_Table[[#This Row],[Unit_Cost]]*Supplier_Perf_Table[[#This Row],[Dollar Equivalent]],"")</f>
        <v>43.018419999999999</v>
      </c>
      <c r="Q118" s="75">
        <v>100</v>
      </c>
      <c r="R118" s="1">
        <v>70522</v>
      </c>
      <c r="S118" s="75">
        <f>Supplier_Perf_Table[[#This Row],[Unit_Cost]]*Supplier_Perf_Table[[#This Row],[Order_Quantity]]</f>
        <v>70522</v>
      </c>
      <c r="T118" s="75">
        <f>IFERROR(Supplier_Perf_Table[[#This Row],[Dollar Equivalent]]*Supplier_Perf_Table[[#This Row],[Ordered_Value]],"")</f>
        <v>4301.8419999999996</v>
      </c>
      <c r="U118" s="75">
        <v>3</v>
      </c>
      <c r="V118" s="7">
        <v>0.03</v>
      </c>
      <c r="W118" s="75">
        <v>16</v>
      </c>
      <c r="X118" s="55">
        <f>IFERROR(Supplier_Perf_Table[[#This Row],[Actual_Delivery_Date]]-Supplier_Perf_Table[[#This Row],[Order Date]],"")</f>
        <v>16</v>
      </c>
      <c r="Y118" s="75">
        <v>15</v>
      </c>
      <c r="Z118" s="56">
        <f>IFERROR(Supplier_Perf_Table[[#This Row],[Expected Delivery_Date]]-Supplier_Perf_Table[[#This Row],[Order Date]],"")</f>
        <v>15</v>
      </c>
      <c r="AA118" s="56">
        <f>Supplier_Perf_Table[[#This Row],[Calculated_Lead_Time2]]-Supplier_Perf_Table[[#This Row],[Calculated_Expected_Lead_Time]]</f>
        <v>1</v>
      </c>
      <c r="AB118" s="75">
        <v>1</v>
      </c>
      <c r="AC118" s="63" t="s">
        <v>135</v>
      </c>
      <c r="AD118" s="63" t="s">
        <v>40</v>
      </c>
      <c r="AE118" s="63" t="s">
        <v>41</v>
      </c>
      <c r="AF118" s="63" t="s">
        <v>42</v>
      </c>
      <c r="AG118" s="63" t="s">
        <v>43</v>
      </c>
      <c r="AH118" s="63" t="s">
        <v>136</v>
      </c>
      <c r="AI118" s="63" t="s">
        <v>138</v>
      </c>
      <c r="AJ118" s="63" t="s">
        <v>138</v>
      </c>
      <c r="AK118" s="83">
        <v>2.9</v>
      </c>
      <c r="AL118" s="63" t="s">
        <v>139</v>
      </c>
      <c r="AM118" s="63" t="s">
        <v>46</v>
      </c>
      <c r="AN118"/>
    </row>
    <row r="119" spans="1:40" ht="18" customHeight="1">
      <c r="A119" s="1" t="s">
        <v>526</v>
      </c>
      <c r="B119" s="1" t="s">
        <v>527</v>
      </c>
      <c r="C119" s="4">
        <v>46195</v>
      </c>
      <c r="D119" s="4">
        <v>46207</v>
      </c>
      <c r="E119" s="4">
        <v>46211</v>
      </c>
      <c r="F119" s="63" t="s">
        <v>69</v>
      </c>
      <c r="G119" s="63" t="s">
        <v>3838</v>
      </c>
      <c r="H119" s="63" t="s">
        <v>194</v>
      </c>
      <c r="I119" s="63" t="s">
        <v>92</v>
      </c>
      <c r="J119" s="63" t="s">
        <v>112</v>
      </c>
      <c r="K119" s="63" t="s">
        <v>528</v>
      </c>
      <c r="L119" s="63" t="s">
        <v>114</v>
      </c>
      <c r="M119" s="69">
        <v>473.06</v>
      </c>
      <c r="N119" s="63" t="s">
        <v>65</v>
      </c>
      <c r="O119" s="73">
        <f>_xlfn.XLOOKUP(Supplier_Perf_Table[[#This Row],[Currency]],'Comments 2'!$C$4:$C$16,'Comments 2'!$D$4:$D$16)</f>
        <v>1</v>
      </c>
      <c r="P119" s="69">
        <f>IFERROR(Supplier_Perf_Table[[#This Row],[Unit_Cost]]*Supplier_Perf_Table[[#This Row],[Dollar Equivalent]],"")</f>
        <v>473.06</v>
      </c>
      <c r="Q119" s="75">
        <v>1500</v>
      </c>
      <c r="R119" s="1">
        <v>709590</v>
      </c>
      <c r="S119" s="75">
        <f>Supplier_Perf_Table[[#This Row],[Unit_Cost]]*Supplier_Perf_Table[[#This Row],[Order_Quantity]]</f>
        <v>709590</v>
      </c>
      <c r="T119" s="75">
        <f>IFERROR(Supplier_Perf_Table[[#This Row],[Dollar Equivalent]]*Supplier_Perf_Table[[#This Row],[Ordered_Value]],"")</f>
        <v>709590</v>
      </c>
      <c r="U119" s="75">
        <v>48</v>
      </c>
      <c r="V119" s="7">
        <v>3.2000000000000001E-2</v>
      </c>
      <c r="W119" s="75">
        <v>16</v>
      </c>
      <c r="X119" s="55">
        <f>IFERROR(Supplier_Perf_Table[[#This Row],[Actual_Delivery_Date]]-Supplier_Perf_Table[[#This Row],[Order Date]],"")</f>
        <v>16</v>
      </c>
      <c r="Y119" s="75">
        <v>12</v>
      </c>
      <c r="Z119" s="56">
        <f>IFERROR(Supplier_Perf_Table[[#This Row],[Expected Delivery_Date]]-Supplier_Perf_Table[[#This Row],[Order Date]],"")</f>
        <v>12</v>
      </c>
      <c r="AA119" s="56">
        <f>Supplier_Perf_Table[[#This Row],[Calculated_Lead_Time2]]-Supplier_Perf_Table[[#This Row],[Calculated_Expected_Lead_Time]]</f>
        <v>4</v>
      </c>
      <c r="AB119" s="75">
        <v>4</v>
      </c>
      <c r="AC119" s="63" t="s">
        <v>205</v>
      </c>
      <c r="AD119" s="63" t="s">
        <v>40</v>
      </c>
      <c r="AE119" s="63" t="s">
        <v>105</v>
      </c>
      <c r="AF119" s="63" t="s">
        <v>212</v>
      </c>
      <c r="AG119" s="63" t="s">
        <v>43</v>
      </c>
      <c r="AH119" s="63" t="s">
        <v>3112</v>
      </c>
      <c r="AI119" s="63" t="s">
        <v>147</v>
      </c>
      <c r="AJ119" s="63" t="s">
        <v>138</v>
      </c>
      <c r="AK119" s="83">
        <v>3.8</v>
      </c>
      <c r="AL119" s="63" t="s">
        <v>108</v>
      </c>
      <c r="AM119" s="63" t="s">
        <v>46</v>
      </c>
      <c r="AN119"/>
    </row>
    <row r="120" spans="1:40" ht="18" customHeight="1">
      <c r="A120" s="63" t="s">
        <v>529</v>
      </c>
      <c r="B120" s="63" t="s">
        <v>530</v>
      </c>
      <c r="C120" s="4">
        <v>46200</v>
      </c>
      <c r="D120" s="4">
        <v>46211</v>
      </c>
      <c r="E120" s="4">
        <v>46211</v>
      </c>
      <c r="F120" s="63" t="s">
        <v>215</v>
      </c>
      <c r="G120" s="63" t="s">
        <v>3846</v>
      </c>
      <c r="H120" s="63" t="s">
        <v>152</v>
      </c>
      <c r="I120" s="63" t="s">
        <v>70</v>
      </c>
      <c r="J120" s="63" t="s">
        <v>112</v>
      </c>
      <c r="K120" s="63" t="s">
        <v>531</v>
      </c>
      <c r="L120" s="63" t="s">
        <v>246</v>
      </c>
      <c r="M120" s="69">
        <v>113.24</v>
      </c>
      <c r="N120" s="63" t="s">
        <v>86</v>
      </c>
      <c r="O120" s="73">
        <f>_xlfn.XLOOKUP(Supplier_Perf_Table[[#This Row],[Currency]],'Comments 2'!$C$4:$C$16,'Comments 2'!$D$4:$D$16)</f>
        <v>8.8999999999999996E-2</v>
      </c>
      <c r="P120" s="69">
        <f>IFERROR(Supplier_Perf_Table[[#This Row],[Unit_Cost]]*Supplier_Perf_Table[[#This Row],[Dollar Equivalent]],"")</f>
        <v>10.078359999999998</v>
      </c>
      <c r="Q120" s="75">
        <v>200</v>
      </c>
      <c r="R120" s="1">
        <v>22648</v>
      </c>
      <c r="S120" s="75">
        <f>Supplier_Perf_Table[[#This Row],[Unit_Cost]]*Supplier_Perf_Table[[#This Row],[Order_Quantity]]</f>
        <v>22648</v>
      </c>
      <c r="T120" s="75">
        <f>IFERROR(Supplier_Perf_Table[[#This Row],[Dollar Equivalent]]*Supplier_Perf_Table[[#This Row],[Ordered_Value]],"")</f>
        <v>2015.6719999999998</v>
      </c>
      <c r="U120" s="75">
        <v>4</v>
      </c>
      <c r="V120" s="7">
        <v>0.02</v>
      </c>
      <c r="W120" s="75">
        <v>11</v>
      </c>
      <c r="X120" s="55">
        <f>IFERROR(Supplier_Perf_Table[[#This Row],[Actual_Delivery_Date]]-Supplier_Perf_Table[[#This Row],[Order Date]],"")</f>
        <v>11</v>
      </c>
      <c r="Y120" s="75">
        <v>11</v>
      </c>
      <c r="Z120" s="56">
        <f>IFERROR(Supplier_Perf_Table[[#This Row],[Expected Delivery_Date]]-Supplier_Perf_Table[[#This Row],[Order Date]],"")</f>
        <v>11</v>
      </c>
      <c r="AA120" s="56">
        <f>Supplier_Perf_Table[[#This Row],[Calculated_Lead_Time2]]-Supplier_Perf_Table[[#This Row],[Calculated_Expected_Lead_Time]]</f>
        <v>0</v>
      </c>
      <c r="AB120" s="75">
        <v>0</v>
      </c>
      <c r="AC120" s="63" t="s">
        <v>87</v>
      </c>
      <c r="AD120" s="63" t="s">
        <v>40</v>
      </c>
      <c r="AE120" s="63" t="s">
        <v>146</v>
      </c>
      <c r="AF120" s="63" t="s">
        <v>190</v>
      </c>
      <c r="AG120" s="63" t="s">
        <v>54</v>
      </c>
      <c r="AH120" s="63" t="s">
        <v>3112</v>
      </c>
      <c r="AI120" s="63" t="s">
        <v>191</v>
      </c>
      <c r="AJ120" s="63" t="s">
        <v>138</v>
      </c>
      <c r="AK120" s="83">
        <v>2.8</v>
      </c>
      <c r="AL120" s="63" t="s">
        <v>115</v>
      </c>
      <c r="AM120" s="63" t="s">
        <v>130</v>
      </c>
      <c r="AN120"/>
    </row>
    <row r="121" spans="1:40" ht="18" customHeight="1">
      <c r="A121" s="1" t="s">
        <v>532</v>
      </c>
      <c r="B121" s="1" t="s">
        <v>533</v>
      </c>
      <c r="C121" s="4">
        <v>46102</v>
      </c>
      <c r="D121" s="4">
        <v>46114</v>
      </c>
      <c r="E121" s="4">
        <v>46123</v>
      </c>
      <c r="F121" s="63" t="s">
        <v>235</v>
      </c>
      <c r="G121" s="63" t="s">
        <v>3848</v>
      </c>
      <c r="H121" s="63" t="s">
        <v>479</v>
      </c>
      <c r="I121" s="63" t="s">
        <v>83</v>
      </c>
      <c r="J121" s="63" t="s">
        <v>71</v>
      </c>
      <c r="K121" s="63" t="s">
        <v>534</v>
      </c>
      <c r="L121" s="63" t="s">
        <v>73</v>
      </c>
      <c r="M121" s="69">
        <v>267.02999999999997</v>
      </c>
      <c r="N121" s="63" t="s">
        <v>53</v>
      </c>
      <c r="O121" s="73">
        <f>_xlfn.XLOOKUP(Supplier_Perf_Table[[#This Row],[Currency]],'Comments 2'!$C$4:$C$16,'Comments 2'!$D$4:$D$16)</f>
        <v>6.0999999999999999E-2</v>
      </c>
      <c r="P121" s="69">
        <f>IFERROR(Supplier_Perf_Table[[#This Row],[Unit_Cost]]*Supplier_Perf_Table[[#This Row],[Dollar Equivalent]],"")</f>
        <v>16.288829999999997</v>
      </c>
      <c r="Q121" s="75">
        <v>1000</v>
      </c>
      <c r="R121" s="1">
        <v>267030</v>
      </c>
      <c r="S121" s="75">
        <f>Supplier_Perf_Table[[#This Row],[Unit_Cost]]*Supplier_Perf_Table[[#This Row],[Order_Quantity]]</f>
        <v>267030</v>
      </c>
      <c r="T121" s="75">
        <f>IFERROR(Supplier_Perf_Table[[#This Row],[Dollar Equivalent]]*Supplier_Perf_Table[[#This Row],[Ordered_Value]],"")</f>
        <v>16288.83</v>
      </c>
      <c r="U121" s="75">
        <v>57</v>
      </c>
      <c r="V121" s="7">
        <v>5.7000000000000002E-2</v>
      </c>
      <c r="W121" s="75">
        <v>21</v>
      </c>
      <c r="X121" s="55">
        <f>IFERROR(Supplier_Perf_Table[[#This Row],[Actual_Delivery_Date]]-Supplier_Perf_Table[[#This Row],[Order Date]],"")</f>
        <v>21</v>
      </c>
      <c r="Y121" s="75">
        <v>12</v>
      </c>
      <c r="Z121" s="56">
        <f>IFERROR(Supplier_Perf_Table[[#This Row],[Expected Delivery_Date]]-Supplier_Perf_Table[[#This Row],[Order Date]],"")</f>
        <v>12</v>
      </c>
      <c r="AA121" s="56">
        <f>Supplier_Perf_Table[[#This Row],[Calculated_Lead_Time2]]-Supplier_Perf_Table[[#This Row],[Calculated_Expected_Lead_Time]]</f>
        <v>9</v>
      </c>
      <c r="AB121" s="75">
        <v>9</v>
      </c>
      <c r="AC121" s="63" t="s">
        <v>39</v>
      </c>
      <c r="AD121" s="63" t="s">
        <v>74</v>
      </c>
      <c r="AE121" s="63" t="s">
        <v>105</v>
      </c>
      <c r="AF121" s="63" t="s">
        <v>106</v>
      </c>
      <c r="AG121" s="63" t="s">
        <v>173</v>
      </c>
      <c r="AH121" s="63" t="s">
        <v>55</v>
      </c>
      <c r="AI121" s="63" t="s">
        <v>147</v>
      </c>
      <c r="AJ121" s="63" t="s">
        <v>373</v>
      </c>
      <c r="AK121" s="83">
        <v>2.7</v>
      </c>
      <c r="AL121" s="63" t="s">
        <v>45</v>
      </c>
      <c r="AM121" s="63" t="s">
        <v>77</v>
      </c>
      <c r="AN121"/>
    </row>
    <row r="122" spans="1:40" ht="18" customHeight="1">
      <c r="A122" s="1" t="s">
        <v>535</v>
      </c>
      <c r="B122" s="1" t="s">
        <v>536</v>
      </c>
      <c r="C122" s="4">
        <v>46066</v>
      </c>
      <c r="D122" s="4">
        <v>46085</v>
      </c>
      <c r="E122" s="4">
        <v>46091</v>
      </c>
      <c r="F122" s="63" t="s">
        <v>256</v>
      </c>
      <c r="G122" s="63" t="s">
        <v>3849</v>
      </c>
      <c r="H122" s="63" t="s">
        <v>258</v>
      </c>
      <c r="I122" s="63" t="s">
        <v>178</v>
      </c>
      <c r="J122" s="63" t="s">
        <v>153</v>
      </c>
      <c r="K122" s="63" t="s">
        <v>537</v>
      </c>
      <c r="L122" s="63" t="s">
        <v>295</v>
      </c>
      <c r="M122" s="69">
        <v>560.95000000000005</v>
      </c>
      <c r="N122" s="63" t="s">
        <v>38</v>
      </c>
      <c r="O122" s="73">
        <f>_xlfn.XLOOKUP(Supplier_Perf_Table[[#This Row],[Currency]],'Comments 2'!$C$4:$C$16,'Comments 2'!$D$4:$D$16)</f>
        <v>7.7000000000000002E-3</v>
      </c>
      <c r="P122" s="69">
        <f>IFERROR(Supplier_Perf_Table[[#This Row],[Unit_Cost]]*Supplier_Perf_Table[[#This Row],[Dollar Equivalent]],"")</f>
        <v>4.3193150000000005</v>
      </c>
      <c r="Q122" s="75">
        <v>75</v>
      </c>
      <c r="R122" s="1">
        <v>42071.25</v>
      </c>
      <c r="S122" s="75">
        <f>Supplier_Perf_Table[[#This Row],[Unit_Cost]]*Supplier_Perf_Table[[#This Row],[Order_Quantity]]</f>
        <v>42071.25</v>
      </c>
      <c r="T122" s="75">
        <f>IFERROR(Supplier_Perf_Table[[#This Row],[Dollar Equivalent]]*Supplier_Perf_Table[[#This Row],[Ordered_Value]],"")</f>
        <v>323.94862499999999</v>
      </c>
      <c r="U122" s="75">
        <v>6</v>
      </c>
      <c r="V122" s="7">
        <v>0.08</v>
      </c>
      <c r="W122" s="75">
        <v>25</v>
      </c>
      <c r="X122" s="55">
        <f>IFERROR(Supplier_Perf_Table[[#This Row],[Actual_Delivery_Date]]-Supplier_Perf_Table[[#This Row],[Order Date]],"")</f>
        <v>25</v>
      </c>
      <c r="Y122" s="75">
        <v>19</v>
      </c>
      <c r="Z122" s="56">
        <f>IFERROR(Supplier_Perf_Table[[#This Row],[Expected Delivery_Date]]-Supplier_Perf_Table[[#This Row],[Order Date]],"")</f>
        <v>19</v>
      </c>
      <c r="AA122" s="56">
        <f>Supplier_Perf_Table[[#This Row],[Calculated_Lead_Time2]]-Supplier_Perf_Table[[#This Row],[Calculated_Expected_Lead_Time]]</f>
        <v>6</v>
      </c>
      <c r="AB122" s="75">
        <v>6</v>
      </c>
      <c r="AC122" s="63" t="s">
        <v>205</v>
      </c>
      <c r="AD122" s="63" t="s">
        <v>74</v>
      </c>
      <c r="AE122" s="63" t="s">
        <v>41</v>
      </c>
      <c r="AF122" s="63" t="s">
        <v>190</v>
      </c>
      <c r="AG122" s="63" t="s">
        <v>43</v>
      </c>
      <c r="AH122" s="63" t="s">
        <v>206</v>
      </c>
      <c r="AI122" s="63" t="s">
        <v>191</v>
      </c>
      <c r="AJ122" s="63" t="s">
        <v>283</v>
      </c>
      <c r="AK122" s="83">
        <v>1.9</v>
      </c>
      <c r="AL122" s="63" t="s">
        <v>76</v>
      </c>
      <c r="AM122" s="63" t="s">
        <v>77</v>
      </c>
      <c r="AN122"/>
    </row>
    <row r="123" spans="1:40" ht="18" customHeight="1">
      <c r="A123" s="1" t="s">
        <v>538</v>
      </c>
      <c r="B123" s="1" t="s">
        <v>539</v>
      </c>
      <c r="C123" s="4">
        <v>46079</v>
      </c>
      <c r="D123" s="4">
        <v>46097</v>
      </c>
      <c r="E123" s="4">
        <v>46083</v>
      </c>
      <c r="F123" s="63" t="s">
        <v>256</v>
      </c>
      <c r="G123" s="63" t="s">
        <v>3849</v>
      </c>
      <c r="H123" s="63" t="s">
        <v>258</v>
      </c>
      <c r="I123" s="63" t="s">
        <v>61</v>
      </c>
      <c r="J123" s="63" t="s">
        <v>35</v>
      </c>
      <c r="K123" s="63" t="s">
        <v>540</v>
      </c>
      <c r="L123" s="63" t="s">
        <v>85</v>
      </c>
      <c r="M123" s="69">
        <v>1457.99</v>
      </c>
      <c r="N123" s="63" t="s">
        <v>104</v>
      </c>
      <c r="O123" s="73">
        <f>_xlfn.XLOOKUP(Supplier_Perf_Table[[#This Row],[Currency]],'Comments 2'!$C$4:$C$16,'Comments 2'!$D$4:$D$16)</f>
        <v>1.9E-2</v>
      </c>
      <c r="P123" s="69">
        <f>IFERROR(Supplier_Perf_Table[[#This Row],[Unit_Cost]]*Supplier_Perf_Table[[#This Row],[Dollar Equivalent]],"")</f>
        <v>27.701809999999998</v>
      </c>
      <c r="Q123" s="75">
        <v>2000</v>
      </c>
      <c r="R123" s="1">
        <v>2915980</v>
      </c>
      <c r="S123" s="75">
        <f>Supplier_Perf_Table[[#This Row],[Unit_Cost]]*Supplier_Perf_Table[[#This Row],[Order_Quantity]]</f>
        <v>2915980</v>
      </c>
      <c r="T123" s="75">
        <f>IFERROR(Supplier_Perf_Table[[#This Row],[Dollar Equivalent]]*Supplier_Perf_Table[[#This Row],[Ordered_Value]],"")</f>
        <v>55403.619999999995</v>
      </c>
      <c r="U123" s="75">
        <v>0</v>
      </c>
      <c r="V123" s="7">
        <v>0</v>
      </c>
      <c r="W123" s="75">
        <v>4</v>
      </c>
      <c r="X123" s="55">
        <f>IFERROR(Supplier_Perf_Table[[#This Row],[Actual_Delivery_Date]]-Supplier_Perf_Table[[#This Row],[Order Date]],"")</f>
        <v>4</v>
      </c>
      <c r="Y123" s="75">
        <v>18</v>
      </c>
      <c r="Z123" s="56">
        <f>IFERROR(Supplier_Perf_Table[[#This Row],[Expected Delivery_Date]]-Supplier_Perf_Table[[#This Row],[Order Date]],"")</f>
        <v>18</v>
      </c>
      <c r="AA123" s="56">
        <f>Supplier_Perf_Table[[#This Row],[Calculated_Lead_Time2]]-Supplier_Perf_Table[[#This Row],[Calculated_Expected_Lead_Time]]</f>
        <v>-14</v>
      </c>
      <c r="AB123" s="75"/>
      <c r="AC123" s="63" t="s">
        <v>87</v>
      </c>
      <c r="AD123" s="63" t="s">
        <v>40</v>
      </c>
      <c r="AE123" s="63" t="s">
        <v>105</v>
      </c>
      <c r="AF123" s="63" t="s">
        <v>3088</v>
      </c>
      <c r="AG123" s="63" t="s">
        <v>43</v>
      </c>
      <c r="AH123" s="63" t="s">
        <v>3112</v>
      </c>
      <c r="AI123" s="63" t="s">
        <v>56</v>
      </c>
      <c r="AJ123" s="63" t="s">
        <v>138</v>
      </c>
      <c r="AK123" s="83">
        <v>3.5</v>
      </c>
      <c r="AL123" s="63" t="s">
        <v>76</v>
      </c>
      <c r="AM123" s="63" t="s">
        <v>138</v>
      </c>
      <c r="AN123"/>
    </row>
    <row r="124" spans="1:40" ht="18" customHeight="1">
      <c r="A124" s="1" t="s">
        <v>541</v>
      </c>
      <c r="B124" s="1" t="s">
        <v>542</v>
      </c>
      <c r="C124" s="4">
        <v>46141</v>
      </c>
      <c r="D124" s="4">
        <v>46163</v>
      </c>
      <c r="E124" s="4">
        <v>46161</v>
      </c>
      <c r="F124" s="63" t="s">
        <v>118</v>
      </c>
      <c r="G124" s="63" t="s">
        <v>3842</v>
      </c>
      <c r="H124" s="63" t="s">
        <v>301</v>
      </c>
      <c r="I124" s="63" t="s">
        <v>70</v>
      </c>
      <c r="J124" s="63" t="s">
        <v>62</v>
      </c>
      <c r="K124" s="63" t="s">
        <v>543</v>
      </c>
      <c r="L124" s="63" t="s">
        <v>225</v>
      </c>
      <c r="M124" s="69">
        <v>71.16</v>
      </c>
      <c r="N124" s="63" t="s">
        <v>53</v>
      </c>
      <c r="O124" s="73">
        <f>_xlfn.XLOOKUP(Supplier_Perf_Table[[#This Row],[Currency]],'Comments 2'!$C$4:$C$16,'Comments 2'!$D$4:$D$16)</f>
        <v>6.0999999999999999E-2</v>
      </c>
      <c r="P124" s="69">
        <f>IFERROR(Supplier_Perf_Table[[#This Row],[Unit_Cost]]*Supplier_Perf_Table[[#This Row],[Dollar Equivalent]],"")</f>
        <v>4.3407599999999995</v>
      </c>
      <c r="Q124" s="75">
        <v>1000</v>
      </c>
      <c r="R124" s="1">
        <v>71160</v>
      </c>
      <c r="S124" s="75">
        <f>Supplier_Perf_Table[[#This Row],[Unit_Cost]]*Supplier_Perf_Table[[#This Row],[Order_Quantity]]</f>
        <v>71160</v>
      </c>
      <c r="T124" s="75">
        <f>IFERROR(Supplier_Perf_Table[[#This Row],[Dollar Equivalent]]*Supplier_Perf_Table[[#This Row],[Ordered_Value]],"")</f>
        <v>4340.76</v>
      </c>
      <c r="U124" s="75">
        <v>2</v>
      </c>
      <c r="V124" s="7">
        <v>2E-3</v>
      </c>
      <c r="W124" s="75">
        <v>20</v>
      </c>
      <c r="X124" s="55">
        <f>IFERROR(Supplier_Perf_Table[[#This Row],[Actual_Delivery_Date]]-Supplier_Perf_Table[[#This Row],[Order Date]],"")</f>
        <v>20</v>
      </c>
      <c r="Y124" s="75">
        <v>22</v>
      </c>
      <c r="Z124" s="56">
        <f>IFERROR(Supplier_Perf_Table[[#This Row],[Expected Delivery_Date]]-Supplier_Perf_Table[[#This Row],[Order Date]],"")</f>
        <v>22</v>
      </c>
      <c r="AA124" s="56">
        <f>Supplier_Perf_Table[[#This Row],[Calculated_Lead_Time2]]-Supplier_Perf_Table[[#This Row],[Calculated_Expected_Lead_Time]]</f>
        <v>-2</v>
      </c>
      <c r="AB124" s="75">
        <v>-2</v>
      </c>
      <c r="AC124" s="63" t="s">
        <v>87</v>
      </c>
      <c r="AD124" s="63" t="s">
        <v>40</v>
      </c>
      <c r="AE124" s="63" t="s">
        <v>127</v>
      </c>
      <c r="AF124" s="63" t="s">
        <v>42</v>
      </c>
      <c r="AG124" s="63" t="s">
        <v>54</v>
      </c>
      <c r="AH124" s="63" t="s">
        <v>129</v>
      </c>
      <c r="AI124" s="63" t="s">
        <v>95</v>
      </c>
      <c r="AJ124" s="63" t="s">
        <v>138</v>
      </c>
      <c r="AK124" s="83">
        <v>3</v>
      </c>
      <c r="AL124" s="63" t="s">
        <v>184</v>
      </c>
      <c r="AM124" s="63" t="s">
        <v>130</v>
      </c>
      <c r="AN124"/>
    </row>
    <row r="125" spans="1:40" ht="18" customHeight="1">
      <c r="A125" s="1" t="s">
        <v>544</v>
      </c>
      <c r="B125" s="1" t="s">
        <v>545</v>
      </c>
      <c r="C125" s="4">
        <v>46023</v>
      </c>
      <c r="D125" s="4">
        <v>46045</v>
      </c>
      <c r="E125" s="4">
        <v>46043</v>
      </c>
      <c r="F125" s="63" t="s">
        <v>256</v>
      </c>
      <c r="G125" s="63" t="s">
        <v>3849</v>
      </c>
      <c r="H125" s="63" t="s">
        <v>258</v>
      </c>
      <c r="I125" s="63" t="s">
        <v>83</v>
      </c>
      <c r="J125" s="63" t="s">
        <v>62</v>
      </c>
      <c r="K125" s="63" t="s">
        <v>546</v>
      </c>
      <c r="L125" s="63" t="s">
        <v>122</v>
      </c>
      <c r="M125" s="69">
        <v>229.38</v>
      </c>
      <c r="N125" s="63" t="s">
        <v>53</v>
      </c>
      <c r="O125" s="73">
        <f>_xlfn.XLOOKUP(Supplier_Perf_Table[[#This Row],[Currency]],'Comments 2'!$C$4:$C$16,'Comments 2'!$D$4:$D$16)</f>
        <v>6.0999999999999999E-2</v>
      </c>
      <c r="P125" s="69">
        <f>IFERROR(Supplier_Perf_Table[[#This Row],[Unit_Cost]]*Supplier_Perf_Table[[#This Row],[Dollar Equivalent]],"")</f>
        <v>13.992179999999999</v>
      </c>
      <c r="Q125" s="75">
        <v>300</v>
      </c>
      <c r="R125" s="1">
        <v>68814</v>
      </c>
      <c r="S125" s="75">
        <f>Supplier_Perf_Table[[#This Row],[Unit_Cost]]*Supplier_Perf_Table[[#This Row],[Order_Quantity]]</f>
        <v>68814</v>
      </c>
      <c r="T125" s="75">
        <f>IFERROR(Supplier_Perf_Table[[#This Row],[Dollar Equivalent]]*Supplier_Perf_Table[[#This Row],[Ordered_Value]],"")</f>
        <v>4197.6539999999995</v>
      </c>
      <c r="U125" s="75">
        <v>20</v>
      </c>
      <c r="V125" s="7">
        <v>6.6699999999999995E-2</v>
      </c>
      <c r="W125" s="75">
        <v>20</v>
      </c>
      <c r="X125" s="55">
        <f>IFERROR(Supplier_Perf_Table[[#This Row],[Actual_Delivery_Date]]-Supplier_Perf_Table[[#This Row],[Order Date]],"")</f>
        <v>20</v>
      </c>
      <c r="Y125" s="75">
        <v>22</v>
      </c>
      <c r="Z125" s="56">
        <f>IFERROR(Supplier_Perf_Table[[#This Row],[Expected Delivery_Date]]-Supplier_Perf_Table[[#This Row],[Order Date]],"")</f>
        <v>22</v>
      </c>
      <c r="AA125" s="56">
        <f>Supplier_Perf_Table[[#This Row],[Calculated_Lead_Time2]]-Supplier_Perf_Table[[#This Row],[Calculated_Expected_Lead_Time]]</f>
        <v>-2</v>
      </c>
      <c r="AB125" s="75">
        <v>-2</v>
      </c>
      <c r="AC125" s="63" t="s">
        <v>270</v>
      </c>
      <c r="AD125" s="63" t="s">
        <v>74</v>
      </c>
      <c r="AE125" s="63" t="s">
        <v>105</v>
      </c>
      <c r="AF125" s="63" t="s">
        <v>190</v>
      </c>
      <c r="AG125" s="63" t="s">
        <v>173</v>
      </c>
      <c r="AH125" s="63" t="s">
        <v>3112</v>
      </c>
      <c r="AI125" s="63" t="s">
        <v>191</v>
      </c>
      <c r="AJ125" s="63" t="s">
        <v>96</v>
      </c>
      <c r="AK125" s="83">
        <v>1.9</v>
      </c>
      <c r="AL125" s="63" t="s">
        <v>57</v>
      </c>
      <c r="AM125" s="63" t="s">
        <v>97</v>
      </c>
      <c r="AN125"/>
    </row>
    <row r="126" spans="1:40" ht="18" customHeight="1">
      <c r="A126" s="1" t="s">
        <v>547</v>
      </c>
      <c r="B126" s="1" t="s">
        <v>548</v>
      </c>
      <c r="C126" s="4">
        <v>46155</v>
      </c>
      <c r="D126" s="4">
        <v>46159</v>
      </c>
      <c r="E126" s="4">
        <v>46166</v>
      </c>
      <c r="F126" s="63" t="s">
        <v>151</v>
      </c>
      <c r="G126" s="63" t="s">
        <v>3844</v>
      </c>
      <c r="H126" s="63" t="s">
        <v>152</v>
      </c>
      <c r="I126" s="63" t="s">
        <v>178</v>
      </c>
      <c r="J126" s="63" t="s">
        <v>112</v>
      </c>
      <c r="K126" s="63" t="s">
        <v>549</v>
      </c>
      <c r="L126" s="63" t="s">
        <v>246</v>
      </c>
      <c r="M126" s="69">
        <v>401.97</v>
      </c>
      <c r="N126" s="63" t="s">
        <v>65</v>
      </c>
      <c r="O126" s="73">
        <f>_xlfn.XLOOKUP(Supplier_Perf_Table[[#This Row],[Currency]],'Comments 2'!$C$4:$C$16,'Comments 2'!$D$4:$D$16)</f>
        <v>1</v>
      </c>
      <c r="P126" s="69">
        <f>IFERROR(Supplier_Perf_Table[[#This Row],[Unit_Cost]]*Supplier_Perf_Table[[#This Row],[Dollar Equivalent]],"")</f>
        <v>401.97</v>
      </c>
      <c r="Q126" s="75">
        <v>250</v>
      </c>
      <c r="R126" s="1">
        <v>100492.5</v>
      </c>
      <c r="S126" s="75">
        <f>Supplier_Perf_Table[[#This Row],[Unit_Cost]]*Supplier_Perf_Table[[#This Row],[Order_Quantity]]</f>
        <v>100492.5</v>
      </c>
      <c r="T126" s="75">
        <f>IFERROR(Supplier_Perf_Table[[#This Row],[Dollar Equivalent]]*Supplier_Perf_Table[[#This Row],[Ordered_Value]],"")</f>
        <v>100492.5</v>
      </c>
      <c r="U126" s="75">
        <v>0</v>
      </c>
      <c r="V126" s="7">
        <v>0</v>
      </c>
      <c r="W126" s="75">
        <v>11</v>
      </c>
      <c r="X126" s="55">
        <f>IFERROR(Supplier_Perf_Table[[#This Row],[Actual_Delivery_Date]]-Supplier_Perf_Table[[#This Row],[Order Date]],"")</f>
        <v>11</v>
      </c>
      <c r="Y126" s="75">
        <v>4</v>
      </c>
      <c r="Z126" s="56">
        <f>IFERROR(Supplier_Perf_Table[[#This Row],[Expected Delivery_Date]]-Supplier_Perf_Table[[#This Row],[Order Date]],"")</f>
        <v>4</v>
      </c>
      <c r="AA126" s="56">
        <f>Supplier_Perf_Table[[#This Row],[Calculated_Lead_Time2]]-Supplier_Perf_Table[[#This Row],[Calculated_Expected_Lead_Time]]</f>
        <v>7</v>
      </c>
      <c r="AB126" s="75">
        <v>7</v>
      </c>
      <c r="AC126" s="63" t="s">
        <v>39</v>
      </c>
      <c r="AD126" s="63" t="s">
        <v>40</v>
      </c>
      <c r="AE126" s="63" t="s">
        <v>105</v>
      </c>
      <c r="AF126" s="63" t="s">
        <v>66</v>
      </c>
      <c r="AG126" s="63" t="s">
        <v>128</v>
      </c>
      <c r="AH126" s="63" t="s">
        <v>136</v>
      </c>
      <c r="AI126" s="63" t="s">
        <v>56</v>
      </c>
      <c r="AJ126" s="63" t="s">
        <v>138</v>
      </c>
      <c r="AK126" s="83">
        <v>1.9</v>
      </c>
      <c r="AL126" s="63" t="s">
        <v>139</v>
      </c>
      <c r="AM126" s="63" t="s">
        <v>46</v>
      </c>
      <c r="AN126"/>
    </row>
    <row r="127" spans="1:40" ht="18" customHeight="1">
      <c r="A127" s="1" t="s">
        <v>550</v>
      </c>
      <c r="B127" s="1" t="s">
        <v>551</v>
      </c>
      <c r="C127" s="4">
        <v>46026</v>
      </c>
      <c r="D127" s="4">
        <v>46041</v>
      </c>
      <c r="E127" s="4">
        <v>46040</v>
      </c>
      <c r="F127" s="63" t="s">
        <v>235</v>
      </c>
      <c r="G127" s="63" t="s">
        <v>3848</v>
      </c>
      <c r="H127" s="63" t="s">
        <v>479</v>
      </c>
      <c r="I127" s="63" t="s">
        <v>49</v>
      </c>
      <c r="J127" s="63" t="s">
        <v>71</v>
      </c>
      <c r="K127" s="63" t="s">
        <v>552</v>
      </c>
      <c r="L127" s="63" t="s">
        <v>553</v>
      </c>
      <c r="M127" s="69">
        <v>553.29999999999995</v>
      </c>
      <c r="N127" s="63" t="s">
        <v>65</v>
      </c>
      <c r="O127" s="73">
        <f>_xlfn.XLOOKUP(Supplier_Perf_Table[[#This Row],[Currency]],'Comments 2'!$C$4:$C$16,'Comments 2'!$D$4:$D$16)</f>
        <v>1</v>
      </c>
      <c r="P127" s="69">
        <f>IFERROR(Supplier_Perf_Table[[#This Row],[Unit_Cost]]*Supplier_Perf_Table[[#This Row],[Dollar Equivalent]],"")</f>
        <v>553.29999999999995</v>
      </c>
      <c r="Q127" s="75">
        <v>750</v>
      </c>
      <c r="R127" s="1">
        <v>414975</v>
      </c>
      <c r="S127" s="75">
        <f>Supplier_Perf_Table[[#This Row],[Unit_Cost]]*Supplier_Perf_Table[[#This Row],[Order_Quantity]]</f>
        <v>414974.99999999994</v>
      </c>
      <c r="T127" s="75">
        <f>IFERROR(Supplier_Perf_Table[[#This Row],[Dollar Equivalent]]*Supplier_Perf_Table[[#This Row],[Ordered_Value]],"")</f>
        <v>414975</v>
      </c>
      <c r="U127" s="75">
        <v>10</v>
      </c>
      <c r="V127" s="7">
        <v>1.3299999999999999E-2</v>
      </c>
      <c r="W127" s="75">
        <v>14</v>
      </c>
      <c r="X127" s="55">
        <f>IFERROR(Supplier_Perf_Table[[#This Row],[Actual_Delivery_Date]]-Supplier_Perf_Table[[#This Row],[Order Date]],"")</f>
        <v>14</v>
      </c>
      <c r="Y127" s="75">
        <v>15</v>
      </c>
      <c r="Z127" s="56">
        <f>IFERROR(Supplier_Perf_Table[[#This Row],[Expected Delivery_Date]]-Supplier_Perf_Table[[#This Row],[Order Date]],"")</f>
        <v>15</v>
      </c>
      <c r="AA127" s="56">
        <f>Supplier_Perf_Table[[#This Row],[Calculated_Lead_Time2]]-Supplier_Perf_Table[[#This Row],[Calculated_Expected_Lead_Time]]</f>
        <v>-1</v>
      </c>
      <c r="AB127" s="75">
        <v>-1</v>
      </c>
      <c r="AC127" s="63" t="s">
        <v>87</v>
      </c>
      <c r="AD127" s="63" t="s">
        <v>40</v>
      </c>
      <c r="AE127" s="63" t="s">
        <v>105</v>
      </c>
      <c r="AF127" s="63" t="s">
        <v>42</v>
      </c>
      <c r="AG127" s="63" t="s">
        <v>43</v>
      </c>
      <c r="AH127" s="63" t="s">
        <v>129</v>
      </c>
      <c r="AI127" s="63" t="s">
        <v>56</v>
      </c>
      <c r="AJ127" s="63" t="s">
        <v>138</v>
      </c>
      <c r="AK127" s="83">
        <v>4.8</v>
      </c>
      <c r="AL127" s="63" t="s">
        <v>45</v>
      </c>
      <c r="AM127" s="63" t="s">
        <v>138</v>
      </c>
      <c r="AN127"/>
    </row>
    <row r="128" spans="1:40" ht="18" customHeight="1">
      <c r="A128" s="1" t="s">
        <v>554</v>
      </c>
      <c r="B128" s="1" t="s">
        <v>555</v>
      </c>
      <c r="C128" s="4">
        <v>46054</v>
      </c>
      <c r="D128" s="4">
        <v>46057</v>
      </c>
      <c r="E128" s="4">
        <v>46053</v>
      </c>
      <c r="F128" s="63" t="s">
        <v>162</v>
      </c>
      <c r="G128" s="63" t="s">
        <v>3847</v>
      </c>
      <c r="H128" s="63" t="s">
        <v>152</v>
      </c>
      <c r="I128" s="63" t="s">
        <v>34</v>
      </c>
      <c r="J128" s="63" t="s">
        <v>163</v>
      </c>
      <c r="K128" s="63" t="s">
        <v>556</v>
      </c>
      <c r="L128" s="63" t="s">
        <v>171</v>
      </c>
      <c r="M128" s="69">
        <v>430.98</v>
      </c>
      <c r="N128" s="63" t="s">
        <v>65</v>
      </c>
      <c r="O128" s="73">
        <f>_xlfn.XLOOKUP(Supplier_Perf_Table[[#This Row],[Currency]],'Comments 2'!$C$4:$C$16,'Comments 2'!$D$4:$D$16)</f>
        <v>1</v>
      </c>
      <c r="P128" s="69">
        <f>IFERROR(Supplier_Perf_Table[[#This Row],[Unit_Cost]]*Supplier_Perf_Table[[#This Row],[Dollar Equivalent]],"")</f>
        <v>430.98</v>
      </c>
      <c r="Q128" s="75">
        <v>300</v>
      </c>
      <c r="R128" s="1">
        <v>129294</v>
      </c>
      <c r="S128" s="75">
        <f>Supplier_Perf_Table[[#This Row],[Unit_Cost]]*Supplier_Perf_Table[[#This Row],[Order_Quantity]]</f>
        <v>129294</v>
      </c>
      <c r="T128" s="75">
        <f>IFERROR(Supplier_Perf_Table[[#This Row],[Dollar Equivalent]]*Supplier_Perf_Table[[#This Row],[Ordered_Value]],"")</f>
        <v>129294</v>
      </c>
      <c r="U128" s="75">
        <v>1</v>
      </c>
      <c r="V128" s="7">
        <v>3.3E-3</v>
      </c>
      <c r="W128" s="75">
        <v>-1</v>
      </c>
      <c r="X128" s="55">
        <f>IFERROR(Supplier_Perf_Table[[#This Row],[Actual_Delivery_Date]]-Supplier_Perf_Table[[#This Row],[Order Date]],"")</f>
        <v>-1</v>
      </c>
      <c r="Y128" s="75">
        <v>3</v>
      </c>
      <c r="Z128" s="56">
        <f>IFERROR(Supplier_Perf_Table[[#This Row],[Expected Delivery_Date]]-Supplier_Perf_Table[[#This Row],[Order Date]],"")</f>
        <v>3</v>
      </c>
      <c r="AA128" s="56">
        <f>Supplier_Perf_Table[[#This Row],[Calculated_Lead_Time2]]-Supplier_Perf_Table[[#This Row],[Calculated_Expected_Lead_Time]]</f>
        <v>-4</v>
      </c>
      <c r="AB128" s="75">
        <v>-4</v>
      </c>
      <c r="AC128" s="63" t="s">
        <v>362</v>
      </c>
      <c r="AD128" s="63" t="s">
        <v>40</v>
      </c>
      <c r="AE128" s="63" t="s">
        <v>3088</v>
      </c>
      <c r="AF128" s="63" t="s">
        <v>212</v>
      </c>
      <c r="AG128" s="63" t="s">
        <v>173</v>
      </c>
      <c r="AH128" s="63" t="s">
        <v>88</v>
      </c>
      <c r="AI128" s="63" t="s">
        <v>138</v>
      </c>
      <c r="AJ128" s="63" t="s">
        <v>138</v>
      </c>
      <c r="AK128" s="83">
        <v>4</v>
      </c>
      <c r="AL128" s="63" t="s">
        <v>184</v>
      </c>
      <c r="AM128" s="63" t="s">
        <v>130</v>
      </c>
      <c r="AN128"/>
    </row>
    <row r="129" spans="1:40" ht="18" customHeight="1">
      <c r="A129" s="1" t="s">
        <v>557</v>
      </c>
      <c r="B129" s="1" t="s">
        <v>558</v>
      </c>
      <c r="C129" s="4">
        <v>46066</v>
      </c>
      <c r="D129" s="4">
        <v>46079</v>
      </c>
      <c r="E129" s="4">
        <v>46089</v>
      </c>
      <c r="F129" s="63" t="s">
        <v>80</v>
      </c>
      <c r="G129" s="63" t="s">
        <v>3839</v>
      </c>
      <c r="H129" s="63" t="s">
        <v>82</v>
      </c>
      <c r="I129" s="63" t="s">
        <v>61</v>
      </c>
      <c r="J129" s="63" t="s">
        <v>35</v>
      </c>
      <c r="K129" s="63" t="s">
        <v>559</v>
      </c>
      <c r="L129" s="63" t="s">
        <v>37</v>
      </c>
      <c r="M129" s="69">
        <v>3700.65</v>
      </c>
      <c r="N129" s="63" t="s">
        <v>159</v>
      </c>
      <c r="O129" s="73">
        <f>_xlfn.XLOOKUP(Supplier_Perf_Table[[#This Row],[Currency]],'Comments 2'!$C$4:$C$16,'Comments 2'!$D$4:$D$16)</f>
        <v>7.2999999999999996E-4</v>
      </c>
      <c r="P129" s="69">
        <f>IFERROR(Supplier_Perf_Table[[#This Row],[Unit_Cost]]*Supplier_Perf_Table[[#This Row],[Dollar Equivalent]],"")</f>
        <v>2.7014744999999998</v>
      </c>
      <c r="Q129" s="75">
        <v>300</v>
      </c>
      <c r="R129" s="1">
        <v>1110195</v>
      </c>
      <c r="S129" s="75">
        <f>Supplier_Perf_Table[[#This Row],[Unit_Cost]]*Supplier_Perf_Table[[#This Row],[Order_Quantity]]</f>
        <v>1110195</v>
      </c>
      <c r="T129" s="75">
        <f>IFERROR(Supplier_Perf_Table[[#This Row],[Dollar Equivalent]]*Supplier_Perf_Table[[#This Row],[Ordered_Value]],"")</f>
        <v>810.44234999999992</v>
      </c>
      <c r="U129" s="75">
        <v>13</v>
      </c>
      <c r="V129" s="7">
        <v>4.3299999999999998E-2</v>
      </c>
      <c r="W129" s="75">
        <v>23</v>
      </c>
      <c r="X129" s="55">
        <f>IFERROR(Supplier_Perf_Table[[#This Row],[Actual_Delivery_Date]]-Supplier_Perf_Table[[#This Row],[Order Date]],"")</f>
        <v>23</v>
      </c>
      <c r="Y129" s="75">
        <v>13</v>
      </c>
      <c r="Z129" s="56">
        <f>IFERROR(Supplier_Perf_Table[[#This Row],[Expected Delivery_Date]]-Supplier_Perf_Table[[#This Row],[Order Date]],"")</f>
        <v>13</v>
      </c>
      <c r="AA129" s="56">
        <f>Supplier_Perf_Table[[#This Row],[Calculated_Lead_Time2]]-Supplier_Perf_Table[[#This Row],[Calculated_Expected_Lead_Time]]</f>
        <v>10</v>
      </c>
      <c r="AB129" s="75">
        <v>10</v>
      </c>
      <c r="AC129" s="63" t="s">
        <v>39</v>
      </c>
      <c r="AD129" s="63" t="s">
        <v>366</v>
      </c>
      <c r="AE129" s="63" t="s">
        <v>105</v>
      </c>
      <c r="AF129" s="63" t="s">
        <v>106</v>
      </c>
      <c r="AG129" s="63" t="s">
        <v>107</v>
      </c>
      <c r="AH129" s="63" t="s">
        <v>136</v>
      </c>
      <c r="AI129" s="63" t="s">
        <v>44</v>
      </c>
      <c r="AJ129" s="63" t="s">
        <v>75</v>
      </c>
      <c r="AK129" s="83">
        <v>1.4</v>
      </c>
      <c r="AL129" s="63" t="s">
        <v>45</v>
      </c>
      <c r="AM129" s="63" t="s">
        <v>77</v>
      </c>
      <c r="AN129"/>
    </row>
    <row r="130" spans="1:40" ht="18" customHeight="1">
      <c r="A130" s="1" t="s">
        <v>98</v>
      </c>
      <c r="B130" s="1" t="s">
        <v>560</v>
      </c>
      <c r="C130" s="4">
        <v>46023</v>
      </c>
      <c r="D130" s="4">
        <v>46039</v>
      </c>
      <c r="E130" s="4">
        <v>46041</v>
      </c>
      <c r="F130" s="63" t="s">
        <v>69</v>
      </c>
      <c r="G130" s="63" t="s">
        <v>3838</v>
      </c>
      <c r="H130" s="63" t="s">
        <v>194</v>
      </c>
      <c r="I130" s="63" t="s">
        <v>120</v>
      </c>
      <c r="J130" s="63" t="s">
        <v>112</v>
      </c>
      <c r="K130" s="63" t="s">
        <v>561</v>
      </c>
      <c r="L130" s="63" t="s">
        <v>218</v>
      </c>
      <c r="M130" s="69">
        <v>205.98</v>
      </c>
      <c r="N130" s="63" t="s">
        <v>104</v>
      </c>
      <c r="O130" s="73">
        <f>_xlfn.XLOOKUP(Supplier_Perf_Table[[#This Row],[Currency]],'Comments 2'!$C$4:$C$16,'Comments 2'!$D$4:$D$16)</f>
        <v>1.9E-2</v>
      </c>
      <c r="P130" s="69">
        <f>IFERROR(Supplier_Perf_Table[[#This Row],[Unit_Cost]]*Supplier_Perf_Table[[#This Row],[Dollar Equivalent]],"")</f>
        <v>3.9136199999999999</v>
      </c>
      <c r="Q130" s="75">
        <v>50</v>
      </c>
      <c r="R130" s="1">
        <v>10299</v>
      </c>
      <c r="S130" s="75">
        <f>Supplier_Perf_Table[[#This Row],[Unit_Cost]]*Supplier_Perf_Table[[#This Row],[Order_Quantity]]</f>
        <v>10299</v>
      </c>
      <c r="T130" s="75">
        <f>IFERROR(Supplier_Perf_Table[[#This Row],[Dollar Equivalent]]*Supplier_Perf_Table[[#This Row],[Ordered_Value]],"")</f>
        <v>195.68099999999998</v>
      </c>
      <c r="U130" s="75">
        <v>0</v>
      </c>
      <c r="V130" s="7">
        <v>0</v>
      </c>
      <c r="W130" s="75">
        <v>18</v>
      </c>
      <c r="X130" s="55">
        <f>IFERROR(Supplier_Perf_Table[[#This Row],[Actual_Delivery_Date]]-Supplier_Perf_Table[[#This Row],[Order Date]],"")</f>
        <v>18</v>
      </c>
      <c r="Y130" s="75">
        <v>16</v>
      </c>
      <c r="Z130" s="56">
        <f>IFERROR(Supplier_Perf_Table[[#This Row],[Expected Delivery_Date]]-Supplier_Perf_Table[[#This Row],[Order Date]],"")</f>
        <v>16</v>
      </c>
      <c r="AA130" s="56">
        <f>Supplier_Perf_Table[[#This Row],[Calculated_Lead_Time2]]-Supplier_Perf_Table[[#This Row],[Calculated_Expected_Lead_Time]]</f>
        <v>2</v>
      </c>
      <c r="AB130" s="75">
        <v>2</v>
      </c>
      <c r="AC130" s="63" t="s">
        <v>135</v>
      </c>
      <c r="AD130" s="63" t="s">
        <v>40</v>
      </c>
      <c r="AE130" s="63" t="s">
        <v>146</v>
      </c>
      <c r="AF130" s="63" t="s">
        <v>106</v>
      </c>
      <c r="AG130" s="63" t="s">
        <v>3088</v>
      </c>
      <c r="AH130" s="63" t="s">
        <v>3112</v>
      </c>
      <c r="AI130" s="63" t="s">
        <v>137</v>
      </c>
      <c r="AJ130" s="63" t="s">
        <v>138</v>
      </c>
      <c r="AK130" s="83">
        <v>2.7</v>
      </c>
      <c r="AL130" s="63" t="s">
        <v>115</v>
      </c>
      <c r="AM130" s="63" t="s">
        <v>148</v>
      </c>
      <c r="AN130"/>
    </row>
    <row r="131" spans="1:40" ht="18" customHeight="1">
      <c r="A131" s="1" t="s">
        <v>562</v>
      </c>
      <c r="B131" s="1" t="s">
        <v>563</v>
      </c>
      <c r="C131" s="4">
        <v>46104</v>
      </c>
      <c r="D131" s="4">
        <v>46112</v>
      </c>
      <c r="E131" s="4">
        <v>46110</v>
      </c>
      <c r="F131" s="63" t="s">
        <v>215</v>
      </c>
      <c r="G131" s="63" t="s">
        <v>3846</v>
      </c>
      <c r="H131" s="63" t="s">
        <v>152</v>
      </c>
      <c r="I131" s="63" t="s">
        <v>92</v>
      </c>
      <c r="J131" s="63" t="s">
        <v>112</v>
      </c>
      <c r="K131" s="63" t="s">
        <v>564</v>
      </c>
      <c r="L131" s="63" t="s">
        <v>246</v>
      </c>
      <c r="M131" s="69">
        <v>499.59</v>
      </c>
      <c r="N131" s="63" t="s">
        <v>53</v>
      </c>
      <c r="O131" s="73">
        <f>_xlfn.XLOOKUP(Supplier_Perf_Table[[#This Row],[Currency]],'Comments 2'!$C$4:$C$16,'Comments 2'!$D$4:$D$16)</f>
        <v>6.0999999999999999E-2</v>
      </c>
      <c r="P131" s="69">
        <f>IFERROR(Supplier_Perf_Table[[#This Row],[Unit_Cost]]*Supplier_Perf_Table[[#This Row],[Dollar Equivalent]],"")</f>
        <v>30.474989999999998</v>
      </c>
      <c r="Q131" s="75">
        <v>750</v>
      </c>
      <c r="R131" s="1">
        <v>374692.5</v>
      </c>
      <c r="S131" s="75">
        <f>Supplier_Perf_Table[[#This Row],[Unit_Cost]]*Supplier_Perf_Table[[#This Row],[Order_Quantity]]</f>
        <v>374692.5</v>
      </c>
      <c r="T131" s="75">
        <f>IFERROR(Supplier_Perf_Table[[#This Row],[Dollar Equivalent]]*Supplier_Perf_Table[[#This Row],[Ordered_Value]],"")</f>
        <v>22856.2425</v>
      </c>
      <c r="U131" s="75">
        <v>0</v>
      </c>
      <c r="V131" s="7">
        <v>0</v>
      </c>
      <c r="W131" s="75">
        <v>6</v>
      </c>
      <c r="X131" s="55">
        <f>IFERROR(Supplier_Perf_Table[[#This Row],[Actual_Delivery_Date]]-Supplier_Perf_Table[[#This Row],[Order Date]],"")</f>
        <v>6</v>
      </c>
      <c r="Y131" s="75">
        <v>8</v>
      </c>
      <c r="Z131" s="56">
        <f>IFERROR(Supplier_Perf_Table[[#This Row],[Expected Delivery_Date]]-Supplier_Perf_Table[[#This Row],[Order Date]],"")</f>
        <v>8</v>
      </c>
      <c r="AA131" s="56">
        <f>Supplier_Perf_Table[[#This Row],[Calculated_Lead_Time2]]-Supplier_Perf_Table[[#This Row],[Calculated_Expected_Lead_Time]]</f>
        <v>-2</v>
      </c>
      <c r="AB131" s="75">
        <v>-2</v>
      </c>
      <c r="AC131" s="63" t="s">
        <v>87</v>
      </c>
      <c r="AD131" s="63" t="s">
        <v>40</v>
      </c>
      <c r="AE131" s="63" t="s">
        <v>105</v>
      </c>
      <c r="AF131" s="63" t="s">
        <v>3088</v>
      </c>
      <c r="AG131" s="63" t="s">
        <v>173</v>
      </c>
      <c r="AH131" s="63" t="s">
        <v>206</v>
      </c>
      <c r="AI131" s="63" t="s">
        <v>191</v>
      </c>
      <c r="AJ131" s="63" t="s">
        <v>138</v>
      </c>
      <c r="AK131" s="83">
        <v>2.1</v>
      </c>
      <c r="AL131" s="63" t="s">
        <v>45</v>
      </c>
      <c r="AM131" s="63" t="s">
        <v>138</v>
      </c>
      <c r="AN131"/>
    </row>
    <row r="132" spans="1:40" ht="18" customHeight="1">
      <c r="A132" s="1" t="s">
        <v>565</v>
      </c>
      <c r="B132" s="1" t="s">
        <v>566</v>
      </c>
      <c r="C132" s="4">
        <v>46110</v>
      </c>
      <c r="D132" s="4">
        <v>46131</v>
      </c>
      <c r="E132" s="4">
        <v>46128</v>
      </c>
      <c r="F132" s="63" t="s">
        <v>118</v>
      </c>
      <c r="G132" s="63" t="s">
        <v>3842</v>
      </c>
      <c r="H132" s="63" t="s">
        <v>301</v>
      </c>
      <c r="I132" s="63" t="s">
        <v>61</v>
      </c>
      <c r="J132" s="63" t="s">
        <v>35</v>
      </c>
      <c r="K132" s="63" t="s">
        <v>567</v>
      </c>
      <c r="L132" s="63" t="s">
        <v>85</v>
      </c>
      <c r="M132" s="69">
        <v>2127.5100000000002</v>
      </c>
      <c r="N132" s="63" t="s">
        <v>86</v>
      </c>
      <c r="O132" s="73">
        <f>_xlfn.XLOOKUP(Supplier_Perf_Table[[#This Row],[Currency]],'Comments 2'!$C$4:$C$16,'Comments 2'!$D$4:$D$16)</f>
        <v>8.8999999999999996E-2</v>
      </c>
      <c r="P132" s="69">
        <f>IFERROR(Supplier_Perf_Table[[#This Row],[Unit_Cost]]*Supplier_Perf_Table[[#This Row],[Dollar Equivalent]],"")</f>
        <v>189.34839000000002</v>
      </c>
      <c r="Q132" s="75">
        <v>750</v>
      </c>
      <c r="R132" s="1">
        <v>1595632.5</v>
      </c>
      <c r="S132" s="75">
        <f>Supplier_Perf_Table[[#This Row],[Unit_Cost]]*Supplier_Perf_Table[[#This Row],[Order_Quantity]]</f>
        <v>1595632.5000000002</v>
      </c>
      <c r="T132" s="75">
        <f>IFERROR(Supplier_Perf_Table[[#This Row],[Dollar Equivalent]]*Supplier_Perf_Table[[#This Row],[Ordered_Value]],"")</f>
        <v>142011.29249999998</v>
      </c>
      <c r="U132" s="75">
        <v>-1</v>
      </c>
      <c r="V132" s="7">
        <v>2.6700000000000002E-2</v>
      </c>
      <c r="W132" s="75">
        <v>18</v>
      </c>
      <c r="X132" s="55">
        <f>IFERROR(Supplier_Perf_Table[[#This Row],[Actual_Delivery_Date]]-Supplier_Perf_Table[[#This Row],[Order Date]],"")</f>
        <v>18</v>
      </c>
      <c r="Y132" s="75">
        <v>21</v>
      </c>
      <c r="Z132" s="56">
        <f>IFERROR(Supplier_Perf_Table[[#This Row],[Expected Delivery_Date]]-Supplier_Perf_Table[[#This Row],[Order Date]],"")</f>
        <v>21</v>
      </c>
      <c r="AA132" s="56">
        <f>Supplier_Perf_Table[[#This Row],[Calculated_Lead_Time2]]-Supplier_Perf_Table[[#This Row],[Calculated_Expected_Lead_Time]]</f>
        <v>-3</v>
      </c>
      <c r="AB132" s="75">
        <v>-3</v>
      </c>
      <c r="AC132" s="63" t="s">
        <v>87</v>
      </c>
      <c r="AD132" s="63" t="s">
        <v>40</v>
      </c>
      <c r="AE132" s="63" t="s">
        <v>41</v>
      </c>
      <c r="AF132" s="63" t="s">
        <v>106</v>
      </c>
      <c r="AG132" s="63" t="s">
        <v>3088</v>
      </c>
      <c r="AH132" s="63" t="s">
        <v>206</v>
      </c>
      <c r="AI132" s="63" t="s">
        <v>191</v>
      </c>
      <c r="AJ132" s="63" t="s">
        <v>138</v>
      </c>
      <c r="AK132" s="83">
        <v>3</v>
      </c>
      <c r="AL132" s="63" t="s">
        <v>45</v>
      </c>
      <c r="AM132" s="63" t="s">
        <v>138</v>
      </c>
      <c r="AN132"/>
    </row>
    <row r="133" spans="1:40" ht="18" customHeight="1">
      <c r="A133" s="1" t="s">
        <v>568</v>
      </c>
      <c r="B133" s="1" t="s">
        <v>569</v>
      </c>
      <c r="C133" s="4">
        <v>46027</v>
      </c>
      <c r="D133" s="4">
        <v>46031</v>
      </c>
      <c r="E133" s="4">
        <v>46041</v>
      </c>
      <c r="F133" s="63" t="s">
        <v>215</v>
      </c>
      <c r="G133" s="63" t="s">
        <v>3846</v>
      </c>
      <c r="H133" s="63" t="s">
        <v>152</v>
      </c>
      <c r="I133" s="63" t="s">
        <v>49</v>
      </c>
      <c r="J133" s="63" t="s">
        <v>62</v>
      </c>
      <c r="K133" s="63" t="s">
        <v>570</v>
      </c>
      <c r="L133" s="63" t="s">
        <v>122</v>
      </c>
      <c r="M133" s="69">
        <v>232.72</v>
      </c>
      <c r="N133" s="63" t="s">
        <v>86</v>
      </c>
      <c r="O133" s="73">
        <f>_xlfn.XLOOKUP(Supplier_Perf_Table[[#This Row],[Currency]],'Comments 2'!$C$4:$C$16,'Comments 2'!$D$4:$D$16)</f>
        <v>8.8999999999999996E-2</v>
      </c>
      <c r="P133" s="69">
        <f>IFERROR(Supplier_Perf_Table[[#This Row],[Unit_Cost]]*Supplier_Perf_Table[[#This Row],[Dollar Equivalent]],"")</f>
        <v>20.71208</v>
      </c>
      <c r="Q133" s="75">
        <v>50</v>
      </c>
      <c r="R133" s="1">
        <v>11636</v>
      </c>
      <c r="S133" s="75">
        <f>Supplier_Perf_Table[[#This Row],[Unit_Cost]]*Supplier_Perf_Table[[#This Row],[Order_Quantity]]</f>
        <v>11636</v>
      </c>
      <c r="T133" s="75">
        <f>IFERROR(Supplier_Perf_Table[[#This Row],[Dollar Equivalent]]*Supplier_Perf_Table[[#This Row],[Ordered_Value]],"")</f>
        <v>1035.604</v>
      </c>
      <c r="U133" s="75">
        <v>0</v>
      </c>
      <c r="V133" s="7">
        <v>0</v>
      </c>
      <c r="W133" s="75">
        <v>14</v>
      </c>
      <c r="X133" s="55">
        <f>IFERROR(Supplier_Perf_Table[[#This Row],[Actual_Delivery_Date]]-Supplier_Perf_Table[[#This Row],[Order Date]],"")</f>
        <v>14</v>
      </c>
      <c r="Y133" s="75">
        <v>4</v>
      </c>
      <c r="Z133" s="56">
        <f>IFERROR(Supplier_Perf_Table[[#This Row],[Expected Delivery_Date]]-Supplier_Perf_Table[[#This Row],[Order Date]],"")</f>
        <v>4</v>
      </c>
      <c r="AA133" s="56">
        <f>Supplier_Perf_Table[[#This Row],[Calculated_Lead_Time2]]-Supplier_Perf_Table[[#This Row],[Calculated_Expected_Lead_Time]]</f>
        <v>10</v>
      </c>
      <c r="AB133" s="75">
        <v>10</v>
      </c>
      <c r="AC133" s="63" t="s">
        <v>135</v>
      </c>
      <c r="AD133" s="63" t="s">
        <v>40</v>
      </c>
      <c r="AE133" s="63" t="s">
        <v>41</v>
      </c>
      <c r="AF133" s="63" t="s">
        <v>42</v>
      </c>
      <c r="AG133" s="63" t="s">
        <v>128</v>
      </c>
      <c r="AH133" s="63" t="s">
        <v>3112</v>
      </c>
      <c r="AI133" s="63" t="s">
        <v>56</v>
      </c>
      <c r="AJ133" s="63" t="s">
        <v>138</v>
      </c>
      <c r="AK133" s="83">
        <v>1.3</v>
      </c>
      <c r="AL133" s="63" t="s">
        <v>139</v>
      </c>
      <c r="AM133" s="63" t="s">
        <v>46</v>
      </c>
      <c r="AN133"/>
    </row>
    <row r="134" spans="1:40" ht="18" customHeight="1">
      <c r="A134" s="1" t="s">
        <v>571</v>
      </c>
      <c r="B134" s="1" t="s">
        <v>572</v>
      </c>
      <c r="C134" s="4">
        <v>46117</v>
      </c>
      <c r="D134" s="4">
        <v>46129</v>
      </c>
      <c r="E134" s="4">
        <v>46126</v>
      </c>
      <c r="F134" s="63" t="s">
        <v>69</v>
      </c>
      <c r="G134" s="63" t="s">
        <v>3838</v>
      </c>
      <c r="H134" s="63" t="s">
        <v>194</v>
      </c>
      <c r="I134" s="63" t="s">
        <v>70</v>
      </c>
      <c r="J134" s="63" t="s">
        <v>112</v>
      </c>
      <c r="K134" s="63" t="s">
        <v>573</v>
      </c>
      <c r="L134" s="63" t="s">
        <v>229</v>
      </c>
      <c r="M134" s="69">
        <v>801.78</v>
      </c>
      <c r="N134" s="63" t="s">
        <v>86</v>
      </c>
      <c r="O134" s="73">
        <f>_xlfn.XLOOKUP(Supplier_Perf_Table[[#This Row],[Currency]],'Comments 2'!$C$4:$C$16,'Comments 2'!$D$4:$D$16)</f>
        <v>8.8999999999999996E-2</v>
      </c>
      <c r="P134" s="69">
        <f>IFERROR(Supplier_Perf_Table[[#This Row],[Unit_Cost]]*Supplier_Perf_Table[[#This Row],[Dollar Equivalent]],"")</f>
        <v>71.358419999999995</v>
      </c>
      <c r="Q134" s="75">
        <v>150</v>
      </c>
      <c r="R134" s="1">
        <v>120267</v>
      </c>
      <c r="S134" s="75">
        <f>Supplier_Perf_Table[[#This Row],[Unit_Cost]]*Supplier_Perf_Table[[#This Row],[Order_Quantity]]</f>
        <v>120267</v>
      </c>
      <c r="T134" s="75">
        <f>IFERROR(Supplier_Perf_Table[[#This Row],[Dollar Equivalent]]*Supplier_Perf_Table[[#This Row],[Ordered_Value]],"")</f>
        <v>10703.762999999999</v>
      </c>
      <c r="U134" s="75">
        <v>169</v>
      </c>
      <c r="V134" s="7">
        <v>2.6700000000000002E-2</v>
      </c>
      <c r="W134" s="75">
        <v>9</v>
      </c>
      <c r="X134" s="55">
        <f>IFERROR(Supplier_Perf_Table[[#This Row],[Actual_Delivery_Date]]-Supplier_Perf_Table[[#This Row],[Order Date]],"")</f>
        <v>9</v>
      </c>
      <c r="Y134" s="75">
        <v>12</v>
      </c>
      <c r="Z134" s="56">
        <f>IFERROR(Supplier_Perf_Table[[#This Row],[Expected Delivery_Date]]-Supplier_Perf_Table[[#This Row],[Order Date]],"")</f>
        <v>12</v>
      </c>
      <c r="AA134" s="56">
        <f>Supplier_Perf_Table[[#This Row],[Calculated_Lead_Time2]]-Supplier_Perf_Table[[#This Row],[Calculated_Expected_Lead_Time]]</f>
        <v>-3</v>
      </c>
      <c r="AB134" s="75">
        <v>-3</v>
      </c>
      <c r="AC134" s="63" t="s">
        <v>270</v>
      </c>
      <c r="AD134" s="63" t="s">
        <v>40</v>
      </c>
      <c r="AE134" s="63" t="s">
        <v>105</v>
      </c>
      <c r="AF134" s="63" t="s">
        <v>3088</v>
      </c>
      <c r="AG134" s="63" t="s">
        <v>54</v>
      </c>
      <c r="AH134" s="63" t="s">
        <v>129</v>
      </c>
      <c r="AI134" s="63" t="s">
        <v>95</v>
      </c>
      <c r="AJ134" s="63" t="s">
        <v>138</v>
      </c>
      <c r="AK134" s="83">
        <v>3.7</v>
      </c>
      <c r="AL134" s="63" t="s">
        <v>108</v>
      </c>
      <c r="AM134" s="63" t="s">
        <v>138</v>
      </c>
      <c r="AN134"/>
    </row>
    <row r="135" spans="1:40" ht="18" customHeight="1">
      <c r="A135" s="1" t="s">
        <v>574</v>
      </c>
      <c r="B135" s="1" t="s">
        <v>575</v>
      </c>
      <c r="C135" s="4">
        <v>46129</v>
      </c>
      <c r="D135" s="4">
        <v>46142</v>
      </c>
      <c r="E135" s="4">
        <v>46151</v>
      </c>
      <c r="F135" s="63" t="s">
        <v>48</v>
      </c>
      <c r="G135" s="63" t="s">
        <v>3836</v>
      </c>
      <c r="H135" s="63" t="s">
        <v>301</v>
      </c>
      <c r="I135" s="63" t="s">
        <v>49</v>
      </c>
      <c r="J135" s="63" t="s">
        <v>163</v>
      </c>
      <c r="K135" s="63" t="s">
        <v>576</v>
      </c>
      <c r="L135" s="63" t="s">
        <v>171</v>
      </c>
      <c r="M135" s="69">
        <v>91.9</v>
      </c>
      <c r="N135" s="63" t="s">
        <v>53</v>
      </c>
      <c r="O135" s="73">
        <f>_xlfn.XLOOKUP(Supplier_Perf_Table[[#This Row],[Currency]],'Comments 2'!$C$4:$C$16,'Comments 2'!$D$4:$D$16)</f>
        <v>6.0999999999999999E-2</v>
      </c>
      <c r="P135" s="69">
        <f>IFERROR(Supplier_Perf_Table[[#This Row],[Unit_Cost]]*Supplier_Perf_Table[[#This Row],[Dollar Equivalent]],"")</f>
        <v>5.6059000000000001</v>
      </c>
      <c r="Q135" s="75">
        <v>75</v>
      </c>
      <c r="R135" s="1">
        <v>6892.5</v>
      </c>
      <c r="S135" s="75">
        <f>Supplier_Perf_Table[[#This Row],[Unit_Cost]]*Supplier_Perf_Table[[#This Row],[Order_Quantity]]</f>
        <v>6892.5</v>
      </c>
      <c r="T135" s="75">
        <f>IFERROR(Supplier_Perf_Table[[#This Row],[Dollar Equivalent]]*Supplier_Perf_Table[[#This Row],[Ordered_Value]],"")</f>
        <v>420.4425</v>
      </c>
      <c r="U135" s="75">
        <v>3</v>
      </c>
      <c r="V135" s="7">
        <v>0.04</v>
      </c>
      <c r="W135" s="75">
        <v>22</v>
      </c>
      <c r="X135" s="55">
        <f>IFERROR(Supplier_Perf_Table[[#This Row],[Actual_Delivery_Date]]-Supplier_Perf_Table[[#This Row],[Order Date]],"")</f>
        <v>22</v>
      </c>
      <c r="Y135" s="75">
        <v>13</v>
      </c>
      <c r="Z135" s="56">
        <f>IFERROR(Supplier_Perf_Table[[#This Row],[Expected Delivery_Date]]-Supplier_Perf_Table[[#This Row],[Order Date]],"")</f>
        <v>13</v>
      </c>
      <c r="AA135" s="56">
        <f>Supplier_Perf_Table[[#This Row],[Calculated_Lead_Time2]]-Supplier_Perf_Table[[#This Row],[Calculated_Expected_Lead_Time]]</f>
        <v>9</v>
      </c>
      <c r="AB135" s="75">
        <v>9</v>
      </c>
      <c r="AC135" s="63" t="s">
        <v>39</v>
      </c>
      <c r="AD135" s="63" t="s">
        <v>40</v>
      </c>
      <c r="AE135" s="63" t="s">
        <v>105</v>
      </c>
      <c r="AF135" s="63" t="s">
        <v>42</v>
      </c>
      <c r="AG135" s="63" t="s">
        <v>128</v>
      </c>
      <c r="AH135" s="63" t="s">
        <v>88</v>
      </c>
      <c r="AI135" s="63" t="s">
        <v>138</v>
      </c>
      <c r="AJ135" s="63" t="s">
        <v>138</v>
      </c>
      <c r="AK135" s="83">
        <v>1.1000000000000001</v>
      </c>
      <c r="AL135" s="63" t="s">
        <v>108</v>
      </c>
      <c r="AM135" s="63" t="s">
        <v>46</v>
      </c>
      <c r="AN135"/>
    </row>
    <row r="136" spans="1:40" ht="18" customHeight="1">
      <c r="A136" s="1" t="s">
        <v>577</v>
      </c>
      <c r="B136" s="1" t="s">
        <v>578</v>
      </c>
      <c r="C136" s="4">
        <v>46038</v>
      </c>
      <c r="D136" s="4">
        <v>46059</v>
      </c>
      <c r="E136" s="4">
        <v>46052</v>
      </c>
      <c r="F136" s="63" t="s">
        <v>235</v>
      </c>
      <c r="G136" s="63" t="s">
        <v>3848</v>
      </c>
      <c r="H136" s="63" t="s">
        <v>479</v>
      </c>
      <c r="I136" s="63" t="s">
        <v>49</v>
      </c>
      <c r="J136" s="63" t="s">
        <v>112</v>
      </c>
      <c r="K136" s="63" t="s">
        <v>579</v>
      </c>
      <c r="L136" s="63" t="s">
        <v>218</v>
      </c>
      <c r="M136" s="69">
        <v>382.23</v>
      </c>
      <c r="N136" s="63" t="s">
        <v>159</v>
      </c>
      <c r="O136" s="73">
        <f>_xlfn.XLOOKUP(Supplier_Perf_Table[[#This Row],[Currency]],'Comments 2'!$C$4:$C$16,'Comments 2'!$D$4:$D$16)</f>
        <v>7.2999999999999996E-4</v>
      </c>
      <c r="P136" s="69">
        <f>IFERROR(Supplier_Perf_Table[[#This Row],[Unit_Cost]]*Supplier_Perf_Table[[#This Row],[Dollar Equivalent]],"")</f>
        <v>0.2790279</v>
      </c>
      <c r="Q136" s="75">
        <v>1500</v>
      </c>
      <c r="R136" s="1">
        <v>573345</v>
      </c>
      <c r="S136" s="75">
        <f>Supplier_Perf_Table[[#This Row],[Unit_Cost]]*Supplier_Perf_Table[[#This Row],[Order_Quantity]]</f>
        <v>573345</v>
      </c>
      <c r="T136" s="75">
        <f>IFERROR(Supplier_Perf_Table[[#This Row],[Dollar Equivalent]]*Supplier_Perf_Table[[#This Row],[Ordered_Value]],"")</f>
        <v>418.54184999999995</v>
      </c>
      <c r="U136" s="75">
        <v>44</v>
      </c>
      <c r="V136" s="7">
        <v>2.93E-2</v>
      </c>
      <c r="W136" s="75">
        <v>14</v>
      </c>
      <c r="X136" s="55">
        <f>IFERROR(Supplier_Perf_Table[[#This Row],[Actual_Delivery_Date]]-Supplier_Perf_Table[[#This Row],[Order Date]],"")</f>
        <v>14</v>
      </c>
      <c r="Y136" s="75">
        <v>21</v>
      </c>
      <c r="Z136" s="56">
        <f>IFERROR(Supplier_Perf_Table[[#This Row],[Expected Delivery_Date]]-Supplier_Perf_Table[[#This Row],[Order Date]],"")</f>
        <v>21</v>
      </c>
      <c r="AA136" s="56">
        <f>Supplier_Perf_Table[[#This Row],[Calculated_Lead_Time2]]-Supplier_Perf_Table[[#This Row],[Calculated_Expected_Lead_Time]]</f>
        <v>-7</v>
      </c>
      <c r="AB136" s="75">
        <v>-7</v>
      </c>
      <c r="AC136" s="63" t="s">
        <v>87</v>
      </c>
      <c r="AD136" s="63" t="s">
        <v>40</v>
      </c>
      <c r="AE136" s="63" t="s">
        <v>105</v>
      </c>
      <c r="AF136" s="63" t="s">
        <v>106</v>
      </c>
      <c r="AG136" s="63" t="s">
        <v>43</v>
      </c>
      <c r="AH136" s="63" t="s">
        <v>206</v>
      </c>
      <c r="AI136" s="63" t="s">
        <v>137</v>
      </c>
      <c r="AJ136" s="63" t="s">
        <v>138</v>
      </c>
      <c r="AK136" s="83">
        <v>3.2</v>
      </c>
      <c r="AL136" s="63" t="s">
        <v>184</v>
      </c>
      <c r="AM136" s="63" t="s">
        <v>138</v>
      </c>
      <c r="AN136"/>
    </row>
    <row r="137" spans="1:40" ht="18" customHeight="1">
      <c r="A137" s="1" t="s">
        <v>580</v>
      </c>
      <c r="B137" s="1" t="s">
        <v>581</v>
      </c>
      <c r="C137" s="4">
        <v>46056</v>
      </c>
      <c r="D137" s="4">
        <v>46061</v>
      </c>
      <c r="E137" s="4">
        <v>46066</v>
      </c>
      <c r="F137" s="63" t="s">
        <v>151</v>
      </c>
      <c r="G137" s="63" t="s">
        <v>3844</v>
      </c>
      <c r="H137" s="63" t="s">
        <v>152</v>
      </c>
      <c r="I137" s="63" t="s">
        <v>120</v>
      </c>
      <c r="J137" s="63" t="s">
        <v>112</v>
      </c>
      <c r="K137" s="63" t="s">
        <v>582</v>
      </c>
      <c r="L137" s="63" t="s">
        <v>229</v>
      </c>
      <c r="M137" s="69">
        <v>164.82</v>
      </c>
      <c r="N137" s="63" t="s">
        <v>159</v>
      </c>
      <c r="O137" s="73">
        <f>_xlfn.XLOOKUP(Supplier_Perf_Table[[#This Row],[Currency]],'Comments 2'!$C$4:$C$16,'Comments 2'!$D$4:$D$16)</f>
        <v>7.2999999999999996E-4</v>
      </c>
      <c r="P137" s="69">
        <f>IFERROR(Supplier_Perf_Table[[#This Row],[Unit_Cost]]*Supplier_Perf_Table[[#This Row],[Dollar Equivalent]],"")</f>
        <v>0.12031859999999998</v>
      </c>
      <c r="Q137" s="75">
        <v>75</v>
      </c>
      <c r="R137" s="1">
        <v>12361.5</v>
      </c>
      <c r="S137" s="75">
        <f>Supplier_Perf_Table[[#This Row],[Unit_Cost]]*Supplier_Perf_Table[[#This Row],[Order_Quantity]]</f>
        <v>12361.5</v>
      </c>
      <c r="T137" s="75">
        <f>IFERROR(Supplier_Perf_Table[[#This Row],[Dollar Equivalent]]*Supplier_Perf_Table[[#This Row],[Ordered_Value]],"")</f>
        <v>9.0238949999999996</v>
      </c>
      <c r="U137" s="75">
        <v>3</v>
      </c>
      <c r="V137" s="7">
        <v>0.04</v>
      </c>
      <c r="W137" s="75">
        <v>10</v>
      </c>
      <c r="X137" s="55">
        <f>IFERROR(Supplier_Perf_Table[[#This Row],[Actual_Delivery_Date]]-Supplier_Perf_Table[[#This Row],[Order Date]],"")</f>
        <v>10</v>
      </c>
      <c r="Y137" s="75">
        <v>5</v>
      </c>
      <c r="Z137" s="56">
        <f>IFERROR(Supplier_Perf_Table[[#This Row],[Expected Delivery_Date]]-Supplier_Perf_Table[[#This Row],[Order Date]],"")</f>
        <v>5</v>
      </c>
      <c r="AA137" s="56">
        <f>Supplier_Perf_Table[[#This Row],[Calculated_Lead_Time2]]-Supplier_Perf_Table[[#This Row],[Calculated_Expected_Lead_Time]]</f>
        <v>5</v>
      </c>
      <c r="AB137" s="75">
        <v>5</v>
      </c>
      <c r="AC137" s="63" t="s">
        <v>135</v>
      </c>
      <c r="AD137" s="63" t="s">
        <v>40</v>
      </c>
      <c r="AE137" s="63" t="s">
        <v>105</v>
      </c>
      <c r="AF137" s="63" t="s">
        <v>3088</v>
      </c>
      <c r="AG137" s="63" t="s">
        <v>173</v>
      </c>
      <c r="AH137" s="63" t="s">
        <v>129</v>
      </c>
      <c r="AI137" s="63" t="s">
        <v>44</v>
      </c>
      <c r="AJ137" s="63" t="s">
        <v>138</v>
      </c>
      <c r="AK137" s="83">
        <v>2.2999999999999998</v>
      </c>
      <c r="AL137" s="63" t="s">
        <v>115</v>
      </c>
      <c r="AM137" s="63" t="s">
        <v>46</v>
      </c>
      <c r="AN137"/>
    </row>
    <row r="138" spans="1:40" ht="18" customHeight="1">
      <c r="A138" s="1" t="s">
        <v>583</v>
      </c>
      <c r="B138" s="1" t="s">
        <v>584</v>
      </c>
      <c r="C138" s="4">
        <v>46203</v>
      </c>
      <c r="D138" s="4">
        <v>46211</v>
      </c>
      <c r="E138" s="4">
        <v>46217</v>
      </c>
      <c r="F138" s="63" t="s">
        <v>209</v>
      </c>
      <c r="G138" s="63" t="s">
        <v>3845</v>
      </c>
      <c r="H138" s="63" t="s">
        <v>316</v>
      </c>
      <c r="I138" s="63" t="s">
        <v>92</v>
      </c>
      <c r="J138" s="63" t="s">
        <v>163</v>
      </c>
      <c r="K138" s="63" t="s">
        <v>585</v>
      </c>
      <c r="L138" s="63" t="s">
        <v>171</v>
      </c>
      <c r="M138" s="69">
        <v>346.46</v>
      </c>
      <c r="N138" s="63" t="s">
        <v>104</v>
      </c>
      <c r="O138" s="73">
        <f>_xlfn.XLOOKUP(Supplier_Perf_Table[[#This Row],[Currency]],'Comments 2'!$C$4:$C$16,'Comments 2'!$D$4:$D$16)</f>
        <v>1.9E-2</v>
      </c>
      <c r="P138" s="69">
        <f>IFERROR(Supplier_Perf_Table[[#This Row],[Unit_Cost]]*Supplier_Perf_Table[[#This Row],[Dollar Equivalent]],"")</f>
        <v>6.5827399999999994</v>
      </c>
      <c r="Q138" s="75">
        <v>2000</v>
      </c>
      <c r="R138" s="1">
        <v>692920</v>
      </c>
      <c r="S138" s="75">
        <f>Supplier_Perf_Table[[#This Row],[Unit_Cost]]*Supplier_Perf_Table[[#This Row],[Order_Quantity]]</f>
        <v>692920</v>
      </c>
      <c r="T138" s="75">
        <f>IFERROR(Supplier_Perf_Table[[#This Row],[Dollar Equivalent]]*Supplier_Perf_Table[[#This Row],[Ordered_Value]],"")</f>
        <v>13165.48</v>
      </c>
      <c r="U138" s="75">
        <v>49</v>
      </c>
      <c r="V138" s="7">
        <v>2.4500000000000001E-2</v>
      </c>
      <c r="W138" s="75">
        <v>14</v>
      </c>
      <c r="X138" s="55">
        <f>IFERROR(Supplier_Perf_Table[[#This Row],[Actual_Delivery_Date]]-Supplier_Perf_Table[[#This Row],[Order Date]],"")</f>
        <v>14</v>
      </c>
      <c r="Y138" s="75">
        <v>8</v>
      </c>
      <c r="Z138" s="56">
        <f>IFERROR(Supplier_Perf_Table[[#This Row],[Expected Delivery_Date]]-Supplier_Perf_Table[[#This Row],[Order Date]],"")</f>
        <v>8</v>
      </c>
      <c r="AA138" s="56">
        <f>Supplier_Perf_Table[[#This Row],[Calculated_Lead_Time2]]-Supplier_Perf_Table[[#This Row],[Calculated_Expected_Lead_Time]]</f>
        <v>6</v>
      </c>
      <c r="AB138" s="75">
        <v>6</v>
      </c>
      <c r="AC138" s="63" t="s">
        <v>205</v>
      </c>
      <c r="AD138" s="63" t="s">
        <v>40</v>
      </c>
      <c r="AE138" s="63" t="s">
        <v>105</v>
      </c>
      <c r="AF138" s="63" t="s">
        <v>66</v>
      </c>
      <c r="AG138" s="63" t="s">
        <v>173</v>
      </c>
      <c r="AH138" s="63" t="s">
        <v>174</v>
      </c>
      <c r="AI138" s="63" t="s">
        <v>191</v>
      </c>
      <c r="AJ138" s="63" t="s">
        <v>138</v>
      </c>
      <c r="AK138" s="83">
        <v>2.7</v>
      </c>
      <c r="AL138" s="63" t="s">
        <v>57</v>
      </c>
      <c r="AM138" s="63" t="s">
        <v>46</v>
      </c>
      <c r="AN138"/>
    </row>
    <row r="139" spans="1:40" ht="18" customHeight="1">
      <c r="A139" s="1" t="s">
        <v>586</v>
      </c>
      <c r="B139" s="1" t="s">
        <v>587</v>
      </c>
      <c r="C139" s="4">
        <v>46115</v>
      </c>
      <c r="D139" s="4">
        <v>46126</v>
      </c>
      <c r="E139" s="4">
        <v>46114</v>
      </c>
      <c r="F139" s="63" t="s">
        <v>215</v>
      </c>
      <c r="G139" s="63" t="s">
        <v>3846</v>
      </c>
      <c r="H139" s="63" t="s">
        <v>316</v>
      </c>
      <c r="I139" s="63" t="s">
        <v>241</v>
      </c>
      <c r="J139" s="63" t="s">
        <v>112</v>
      </c>
      <c r="K139" s="63" t="s">
        <v>588</v>
      </c>
      <c r="L139" s="63" t="s">
        <v>229</v>
      </c>
      <c r="M139" s="69">
        <v>342.13</v>
      </c>
      <c r="N139" s="63" t="s">
        <v>86</v>
      </c>
      <c r="O139" s="73">
        <f>_xlfn.XLOOKUP(Supplier_Perf_Table[[#This Row],[Currency]],'Comments 2'!$C$4:$C$16,'Comments 2'!$D$4:$D$16)</f>
        <v>8.8999999999999996E-2</v>
      </c>
      <c r="P139" s="69">
        <f>IFERROR(Supplier_Perf_Table[[#This Row],[Unit_Cost]]*Supplier_Perf_Table[[#This Row],[Dollar Equivalent]],"")</f>
        <v>30.449569999999998</v>
      </c>
      <c r="Q139" s="75">
        <v>2000</v>
      </c>
      <c r="R139" s="1">
        <v>684260</v>
      </c>
      <c r="S139" s="75">
        <f>Supplier_Perf_Table[[#This Row],[Unit_Cost]]*Supplier_Perf_Table[[#This Row],[Order_Quantity]]</f>
        <v>684260</v>
      </c>
      <c r="T139" s="75">
        <f>IFERROR(Supplier_Perf_Table[[#This Row],[Dollar Equivalent]]*Supplier_Perf_Table[[#This Row],[Ordered_Value]],"")</f>
        <v>60899.14</v>
      </c>
      <c r="U139" s="75">
        <v>4</v>
      </c>
      <c r="V139" s="7">
        <v>2E-3</v>
      </c>
      <c r="W139" s="75">
        <v>-1</v>
      </c>
      <c r="X139" s="55">
        <f>IFERROR(Supplier_Perf_Table[[#This Row],[Actual_Delivery_Date]]-Supplier_Perf_Table[[#This Row],[Order Date]],"")</f>
        <v>-1</v>
      </c>
      <c r="Y139" s="75">
        <v>11</v>
      </c>
      <c r="Z139" s="56">
        <f>IFERROR(Supplier_Perf_Table[[#This Row],[Expected Delivery_Date]]-Supplier_Perf_Table[[#This Row],[Order Date]],"")</f>
        <v>11</v>
      </c>
      <c r="AA139" s="56">
        <f>Supplier_Perf_Table[[#This Row],[Calculated_Lead_Time2]]-Supplier_Perf_Table[[#This Row],[Calculated_Expected_Lead_Time]]</f>
        <v>-12</v>
      </c>
      <c r="AB139" s="75">
        <v>-12</v>
      </c>
      <c r="AC139" s="63" t="s">
        <v>362</v>
      </c>
      <c r="AD139" s="63" t="s">
        <v>40</v>
      </c>
      <c r="AE139" s="63" t="s">
        <v>127</v>
      </c>
      <c r="AF139" s="63" t="s">
        <v>66</v>
      </c>
      <c r="AG139" s="63" t="s">
        <v>43</v>
      </c>
      <c r="AH139" s="63" t="s">
        <v>206</v>
      </c>
      <c r="AI139" s="63" t="s">
        <v>44</v>
      </c>
      <c r="AJ139" s="63" t="s">
        <v>138</v>
      </c>
      <c r="AK139" s="83">
        <v>2.5</v>
      </c>
      <c r="AL139" s="63" t="s">
        <v>139</v>
      </c>
      <c r="AM139" s="63" t="s">
        <v>130</v>
      </c>
      <c r="AN139"/>
    </row>
    <row r="140" spans="1:40" ht="18" customHeight="1">
      <c r="A140" s="1" t="s">
        <v>589</v>
      </c>
      <c r="B140" s="1" t="s">
        <v>590</v>
      </c>
      <c r="C140" s="4">
        <v>46116</v>
      </c>
      <c r="D140" s="4">
        <v>46125</v>
      </c>
      <c r="E140" s="4">
        <v>46125</v>
      </c>
      <c r="F140" s="63" t="s">
        <v>162</v>
      </c>
      <c r="G140" s="63" t="s">
        <v>3847</v>
      </c>
      <c r="H140" s="63" t="s">
        <v>152</v>
      </c>
      <c r="I140" s="63" t="s">
        <v>70</v>
      </c>
      <c r="J140" s="63" t="s">
        <v>163</v>
      </c>
      <c r="K140" s="63" t="s">
        <v>591</v>
      </c>
      <c r="L140" s="63" t="s">
        <v>269</v>
      </c>
      <c r="M140" s="69">
        <v>4168.6899999999996</v>
      </c>
      <c r="N140" s="63" t="s">
        <v>53</v>
      </c>
      <c r="O140" s="73">
        <f>_xlfn.XLOOKUP(Supplier_Perf_Table[[#This Row],[Currency]],'Comments 2'!$C$4:$C$16,'Comments 2'!$D$4:$D$16)</f>
        <v>6.0999999999999999E-2</v>
      </c>
      <c r="P140" s="69">
        <f>IFERROR(Supplier_Perf_Table[[#This Row],[Unit_Cost]]*Supplier_Perf_Table[[#This Row],[Dollar Equivalent]],"")</f>
        <v>254.29008999999996</v>
      </c>
      <c r="Q140" s="75">
        <v>1000</v>
      </c>
      <c r="R140" s="1">
        <v>4168690</v>
      </c>
      <c r="S140" s="75">
        <f>Supplier_Perf_Table[[#This Row],[Unit_Cost]]*Supplier_Perf_Table[[#This Row],[Order_Quantity]]</f>
        <v>4168689.9999999995</v>
      </c>
      <c r="T140" s="75">
        <f>IFERROR(Supplier_Perf_Table[[#This Row],[Dollar Equivalent]]*Supplier_Perf_Table[[#This Row],[Ordered_Value]],"")</f>
        <v>254290.09</v>
      </c>
      <c r="U140" s="75">
        <v>0</v>
      </c>
      <c r="V140" s="7">
        <v>0</v>
      </c>
      <c r="W140" s="75">
        <v>9</v>
      </c>
      <c r="X140" s="55">
        <f>IFERROR(Supplier_Perf_Table[[#This Row],[Actual_Delivery_Date]]-Supplier_Perf_Table[[#This Row],[Order Date]],"")</f>
        <v>9</v>
      </c>
      <c r="Y140" s="75">
        <v>9</v>
      </c>
      <c r="Z140" s="56">
        <f>IFERROR(Supplier_Perf_Table[[#This Row],[Expected Delivery_Date]]-Supplier_Perf_Table[[#This Row],[Order Date]],"")</f>
        <v>9</v>
      </c>
      <c r="AA140" s="56">
        <f>Supplier_Perf_Table[[#This Row],[Calculated_Lead_Time2]]-Supplier_Perf_Table[[#This Row],[Calculated_Expected_Lead_Time]]</f>
        <v>0</v>
      </c>
      <c r="AB140" s="75">
        <v>0</v>
      </c>
      <c r="AC140" s="63" t="s">
        <v>87</v>
      </c>
      <c r="AD140" s="63" t="s">
        <v>40</v>
      </c>
      <c r="AE140" s="63" t="s">
        <v>105</v>
      </c>
      <c r="AF140" s="63" t="s">
        <v>212</v>
      </c>
      <c r="AG140" s="63" t="s">
        <v>128</v>
      </c>
      <c r="AH140" s="63" t="s">
        <v>88</v>
      </c>
      <c r="AI140" s="63" t="s">
        <v>191</v>
      </c>
      <c r="AJ140" s="63" t="s">
        <v>138</v>
      </c>
      <c r="AK140" s="83">
        <v>3.1</v>
      </c>
      <c r="AL140" s="63" t="s">
        <v>45</v>
      </c>
      <c r="AM140" s="63" t="s">
        <v>138</v>
      </c>
      <c r="AN140"/>
    </row>
    <row r="141" spans="1:40" ht="18" customHeight="1">
      <c r="A141" s="1" t="s">
        <v>592</v>
      </c>
      <c r="B141" s="1" t="s">
        <v>593</v>
      </c>
      <c r="C141" s="4">
        <v>46166</v>
      </c>
      <c r="D141" s="4">
        <v>46179</v>
      </c>
      <c r="E141" s="4">
        <v>46176</v>
      </c>
      <c r="F141" s="63" t="s">
        <v>100</v>
      </c>
      <c r="G141" s="63" t="s">
        <v>3841</v>
      </c>
      <c r="H141" s="63" t="s">
        <v>102</v>
      </c>
      <c r="I141" s="63" t="s">
        <v>241</v>
      </c>
      <c r="J141" s="63" t="s">
        <v>35</v>
      </c>
      <c r="K141" s="63" t="s">
        <v>594</v>
      </c>
      <c r="L141" s="63" t="s">
        <v>85</v>
      </c>
      <c r="M141" s="69">
        <v>1592.15</v>
      </c>
      <c r="N141" s="63" t="s">
        <v>104</v>
      </c>
      <c r="O141" s="73">
        <f>_xlfn.XLOOKUP(Supplier_Perf_Table[[#This Row],[Currency]],'Comments 2'!$C$4:$C$16,'Comments 2'!$D$4:$D$16)</f>
        <v>1.9E-2</v>
      </c>
      <c r="P141" s="69">
        <f>IFERROR(Supplier_Perf_Table[[#This Row],[Unit_Cost]]*Supplier_Perf_Table[[#This Row],[Dollar Equivalent]],"")</f>
        <v>30.25085</v>
      </c>
      <c r="Q141" s="75">
        <v>500</v>
      </c>
      <c r="R141" s="1">
        <v>796075</v>
      </c>
      <c r="S141" s="75">
        <f>Supplier_Perf_Table[[#This Row],[Unit_Cost]]*Supplier_Perf_Table[[#This Row],[Order_Quantity]]</f>
        <v>796075</v>
      </c>
      <c r="T141" s="75">
        <f>IFERROR(Supplier_Perf_Table[[#This Row],[Dollar Equivalent]]*Supplier_Perf_Table[[#This Row],[Ordered_Value]],"")</f>
        <v>15125.424999999999</v>
      </c>
      <c r="U141" s="75">
        <v>7</v>
      </c>
      <c r="V141" s="7">
        <v>1.4E-2</v>
      </c>
      <c r="W141" s="75">
        <v>10</v>
      </c>
      <c r="X141" s="55">
        <f>IFERROR(Supplier_Perf_Table[[#This Row],[Actual_Delivery_Date]]-Supplier_Perf_Table[[#This Row],[Order Date]],"")</f>
        <v>10</v>
      </c>
      <c r="Y141" s="75">
        <v>13</v>
      </c>
      <c r="Z141" s="56">
        <f>IFERROR(Supplier_Perf_Table[[#This Row],[Expected Delivery_Date]]-Supplier_Perf_Table[[#This Row],[Order Date]],"")</f>
        <v>13</v>
      </c>
      <c r="AA141" s="56">
        <f>Supplier_Perf_Table[[#This Row],[Calculated_Lead_Time2]]-Supplier_Perf_Table[[#This Row],[Calculated_Expected_Lead_Time]]</f>
        <v>-3</v>
      </c>
      <c r="AB141" s="75">
        <v>-3</v>
      </c>
      <c r="AC141" s="63" t="s">
        <v>87</v>
      </c>
      <c r="AD141" s="63" t="s">
        <v>40</v>
      </c>
      <c r="AE141" s="63" t="s">
        <v>41</v>
      </c>
      <c r="AF141" s="63" t="s">
        <v>3088</v>
      </c>
      <c r="AG141" s="63" t="s">
        <v>43</v>
      </c>
      <c r="AH141" s="63" t="s">
        <v>206</v>
      </c>
      <c r="AI141" s="63" t="s">
        <v>191</v>
      </c>
      <c r="AJ141" s="63" t="s">
        <v>138</v>
      </c>
      <c r="AK141" s="83">
        <v>4</v>
      </c>
      <c r="AL141" s="63" t="s">
        <v>115</v>
      </c>
      <c r="AM141" s="63" t="s">
        <v>138</v>
      </c>
      <c r="AN141"/>
    </row>
    <row r="142" spans="1:40" ht="18" customHeight="1">
      <c r="A142" s="1" t="s">
        <v>595</v>
      </c>
      <c r="B142" s="1" t="s">
        <v>596</v>
      </c>
      <c r="C142" s="4">
        <v>46155</v>
      </c>
      <c r="D142" s="4">
        <v>46163</v>
      </c>
      <c r="E142" s="4">
        <v>46175</v>
      </c>
      <c r="F142" s="63" t="s">
        <v>162</v>
      </c>
      <c r="G142" s="63" t="s">
        <v>3847</v>
      </c>
      <c r="H142" s="63" t="s">
        <v>152</v>
      </c>
      <c r="I142" s="63" t="s">
        <v>120</v>
      </c>
      <c r="J142" s="63" t="s">
        <v>163</v>
      </c>
      <c r="K142" s="63" t="s">
        <v>597</v>
      </c>
      <c r="L142" s="63" t="s">
        <v>171</v>
      </c>
      <c r="M142" s="69">
        <v>1882.68</v>
      </c>
      <c r="N142" s="63" t="s">
        <v>86</v>
      </c>
      <c r="O142" s="73">
        <f>_xlfn.XLOOKUP(Supplier_Perf_Table[[#This Row],[Currency]],'Comments 2'!$C$4:$C$16,'Comments 2'!$D$4:$D$16)</f>
        <v>8.8999999999999996E-2</v>
      </c>
      <c r="P142" s="69">
        <f>IFERROR(Supplier_Perf_Table[[#This Row],[Unit_Cost]]*Supplier_Perf_Table[[#This Row],[Dollar Equivalent]],"")</f>
        <v>167.55851999999999</v>
      </c>
      <c r="Q142" s="75">
        <v>150</v>
      </c>
      <c r="R142" s="1">
        <v>282402</v>
      </c>
      <c r="S142" s="75">
        <f>Supplier_Perf_Table[[#This Row],[Unit_Cost]]*Supplier_Perf_Table[[#This Row],[Order_Quantity]]</f>
        <v>282402</v>
      </c>
      <c r="T142" s="75">
        <f>IFERROR(Supplier_Perf_Table[[#This Row],[Dollar Equivalent]]*Supplier_Perf_Table[[#This Row],[Ordered_Value]],"")</f>
        <v>25133.777999999998</v>
      </c>
      <c r="U142" s="75">
        <v>-1</v>
      </c>
      <c r="V142" s="7">
        <v>0</v>
      </c>
      <c r="W142" s="75">
        <v>20</v>
      </c>
      <c r="X142" s="55">
        <f>IFERROR(Supplier_Perf_Table[[#This Row],[Actual_Delivery_Date]]-Supplier_Perf_Table[[#This Row],[Order Date]],"")</f>
        <v>20</v>
      </c>
      <c r="Y142" s="75">
        <v>8</v>
      </c>
      <c r="Z142" s="56">
        <f>IFERROR(Supplier_Perf_Table[[#This Row],[Expected Delivery_Date]]-Supplier_Perf_Table[[#This Row],[Order Date]],"")</f>
        <v>8</v>
      </c>
      <c r="AA142" s="56">
        <f>Supplier_Perf_Table[[#This Row],[Calculated_Lead_Time2]]-Supplier_Perf_Table[[#This Row],[Calculated_Expected_Lead_Time]]</f>
        <v>12</v>
      </c>
      <c r="AB142" s="75">
        <v>12</v>
      </c>
      <c r="AC142" s="63" t="s">
        <v>39</v>
      </c>
      <c r="AD142" s="63" t="s">
        <v>40</v>
      </c>
      <c r="AE142" s="63" t="s">
        <v>127</v>
      </c>
      <c r="AF142" s="63" t="s">
        <v>106</v>
      </c>
      <c r="AG142" s="63" t="s">
        <v>54</v>
      </c>
      <c r="AH142" s="63" t="s">
        <v>3112</v>
      </c>
      <c r="AI142" s="63" t="s">
        <v>44</v>
      </c>
      <c r="AJ142" s="63" t="s">
        <v>138</v>
      </c>
      <c r="AK142" s="83">
        <v>2.5</v>
      </c>
      <c r="AL142" s="63" t="s">
        <v>76</v>
      </c>
      <c r="AM142" s="63" t="s">
        <v>148</v>
      </c>
      <c r="AN142"/>
    </row>
    <row r="143" spans="1:40" ht="18" customHeight="1">
      <c r="A143" s="1" t="s">
        <v>598</v>
      </c>
      <c r="B143" s="1" t="s">
        <v>599</v>
      </c>
      <c r="C143" s="4">
        <v>46164</v>
      </c>
      <c r="D143" s="4">
        <v>46179</v>
      </c>
      <c r="E143" s="4">
        <v>46179</v>
      </c>
      <c r="F143" s="63" t="s">
        <v>80</v>
      </c>
      <c r="G143" s="63" t="s">
        <v>3839</v>
      </c>
      <c r="H143" s="63" t="s">
        <v>82</v>
      </c>
      <c r="I143" s="63" t="s">
        <v>70</v>
      </c>
      <c r="J143" s="63" t="s">
        <v>35</v>
      </c>
      <c r="K143" s="63" t="s">
        <v>600</v>
      </c>
      <c r="L143" s="63" t="s">
        <v>37</v>
      </c>
      <c r="M143" s="69">
        <v>854.71</v>
      </c>
      <c r="N143" s="63" t="s">
        <v>86</v>
      </c>
      <c r="O143" s="73">
        <f>_xlfn.XLOOKUP(Supplier_Perf_Table[[#This Row],[Currency]],'Comments 2'!$C$4:$C$16,'Comments 2'!$D$4:$D$16)</f>
        <v>8.8999999999999996E-2</v>
      </c>
      <c r="P143" s="69">
        <f>IFERROR(Supplier_Perf_Table[[#This Row],[Unit_Cost]]*Supplier_Perf_Table[[#This Row],[Dollar Equivalent]],"")</f>
        <v>76.069190000000006</v>
      </c>
      <c r="Q143" s="75">
        <v>1000</v>
      </c>
      <c r="R143" s="1">
        <v>854710</v>
      </c>
      <c r="S143" s="75">
        <f>Supplier_Perf_Table[[#This Row],[Unit_Cost]]*Supplier_Perf_Table[[#This Row],[Order_Quantity]]</f>
        <v>854710</v>
      </c>
      <c r="T143" s="75">
        <f>IFERROR(Supplier_Perf_Table[[#This Row],[Dollar Equivalent]]*Supplier_Perf_Table[[#This Row],[Ordered_Value]],"")</f>
        <v>76069.19</v>
      </c>
      <c r="U143" s="75">
        <v>9</v>
      </c>
      <c r="V143" s="7">
        <v>8.9999999999999993E-3</v>
      </c>
      <c r="W143" s="75">
        <v>15</v>
      </c>
      <c r="X143" s="55">
        <f>IFERROR(Supplier_Perf_Table[[#This Row],[Actual_Delivery_Date]]-Supplier_Perf_Table[[#This Row],[Order Date]],"")</f>
        <v>15</v>
      </c>
      <c r="Y143" s="75">
        <v>15</v>
      </c>
      <c r="Z143" s="56">
        <f>IFERROR(Supplier_Perf_Table[[#This Row],[Expected Delivery_Date]]-Supplier_Perf_Table[[#This Row],[Order Date]],"")</f>
        <v>15</v>
      </c>
      <c r="AA143" s="56">
        <f>Supplier_Perf_Table[[#This Row],[Calculated_Lead_Time2]]-Supplier_Perf_Table[[#This Row],[Calculated_Expected_Lead_Time]]</f>
        <v>0</v>
      </c>
      <c r="AB143" s="75">
        <v>0</v>
      </c>
      <c r="AC143" s="63" t="s">
        <v>87</v>
      </c>
      <c r="AD143" s="63" t="s">
        <v>40</v>
      </c>
      <c r="AE143" s="63" t="s">
        <v>105</v>
      </c>
      <c r="AF143" s="63" t="s">
        <v>190</v>
      </c>
      <c r="AG143" s="63" t="s">
        <v>43</v>
      </c>
      <c r="AH143" s="63" t="s">
        <v>88</v>
      </c>
      <c r="AI143" s="63" t="s">
        <v>147</v>
      </c>
      <c r="AJ143" s="63" t="s">
        <v>138</v>
      </c>
      <c r="AK143" s="83">
        <v>4.5999999999999996</v>
      </c>
      <c r="AL143" s="63" t="s">
        <v>108</v>
      </c>
      <c r="AM143" s="63" t="s">
        <v>138</v>
      </c>
      <c r="AN143"/>
    </row>
    <row r="144" spans="1:40" ht="18" customHeight="1">
      <c r="A144" s="1" t="s">
        <v>601</v>
      </c>
      <c r="B144" s="1" t="s">
        <v>602</v>
      </c>
      <c r="C144" s="4">
        <v>46194</v>
      </c>
      <c r="D144" s="4">
        <v>46203</v>
      </c>
      <c r="E144" s="4">
        <v>46206</v>
      </c>
      <c r="F144" s="63" t="s">
        <v>162</v>
      </c>
      <c r="G144" s="63" t="s">
        <v>3847</v>
      </c>
      <c r="H144" s="63" t="s">
        <v>152</v>
      </c>
      <c r="I144" s="63" t="s">
        <v>49</v>
      </c>
      <c r="J144" s="63" t="s">
        <v>163</v>
      </c>
      <c r="K144" s="63" t="s">
        <v>603</v>
      </c>
      <c r="L144" s="63" t="s">
        <v>269</v>
      </c>
      <c r="M144" s="69">
        <v>1950.02</v>
      </c>
      <c r="N144" s="63" t="s">
        <v>86</v>
      </c>
      <c r="O144" s="73">
        <f>_xlfn.XLOOKUP(Supplier_Perf_Table[[#This Row],[Currency]],'Comments 2'!$C$4:$C$16,'Comments 2'!$D$4:$D$16)</f>
        <v>8.8999999999999996E-2</v>
      </c>
      <c r="P144" s="69">
        <f>IFERROR(Supplier_Perf_Table[[#This Row],[Unit_Cost]]*Supplier_Perf_Table[[#This Row],[Dollar Equivalent]],"")</f>
        <v>173.55177999999998</v>
      </c>
      <c r="Q144" s="75">
        <v>200</v>
      </c>
      <c r="R144" s="1">
        <v>390004</v>
      </c>
      <c r="S144" s="75">
        <f>Supplier_Perf_Table[[#This Row],[Unit_Cost]]*Supplier_Perf_Table[[#This Row],[Order_Quantity]]</f>
        <v>390004</v>
      </c>
      <c r="T144" s="75">
        <f>IFERROR(Supplier_Perf_Table[[#This Row],[Dollar Equivalent]]*Supplier_Perf_Table[[#This Row],[Ordered_Value]],"")</f>
        <v>34710.356</v>
      </c>
      <c r="U144" s="75">
        <v>1</v>
      </c>
      <c r="V144" s="7">
        <v>5.0000000000000001E-3</v>
      </c>
      <c r="W144" s="75">
        <v>12</v>
      </c>
      <c r="X144" s="55">
        <f>IFERROR(Supplier_Perf_Table[[#This Row],[Actual_Delivery_Date]]-Supplier_Perf_Table[[#This Row],[Order Date]],"")</f>
        <v>12</v>
      </c>
      <c r="Y144" s="75">
        <v>9</v>
      </c>
      <c r="Z144" s="56">
        <f>IFERROR(Supplier_Perf_Table[[#This Row],[Expected Delivery_Date]]-Supplier_Perf_Table[[#This Row],[Order Date]],"")</f>
        <v>9</v>
      </c>
      <c r="AA144" s="56">
        <f>Supplier_Perf_Table[[#This Row],[Calculated_Lead_Time2]]-Supplier_Perf_Table[[#This Row],[Calculated_Expected_Lead_Time]]</f>
        <v>3</v>
      </c>
      <c r="AB144" s="75">
        <v>3</v>
      </c>
      <c r="AC144" s="63" t="s">
        <v>166</v>
      </c>
      <c r="AD144" s="63" t="s">
        <v>40</v>
      </c>
      <c r="AE144" s="63" t="s">
        <v>41</v>
      </c>
      <c r="AF144" s="63" t="s">
        <v>106</v>
      </c>
      <c r="AG144" s="63" t="s">
        <v>43</v>
      </c>
      <c r="AH144" s="63" t="s">
        <v>3112</v>
      </c>
      <c r="AI144" s="63" t="s">
        <v>44</v>
      </c>
      <c r="AJ144" s="63" t="s">
        <v>138</v>
      </c>
      <c r="AK144" s="83">
        <v>3</v>
      </c>
      <c r="AL144" s="63" t="s">
        <v>76</v>
      </c>
      <c r="AM144" s="63" t="s">
        <v>46</v>
      </c>
      <c r="AN144"/>
    </row>
    <row r="145" spans="1:40" ht="18" customHeight="1">
      <c r="A145" s="1" t="s">
        <v>604</v>
      </c>
      <c r="B145" s="1" t="s">
        <v>605</v>
      </c>
      <c r="C145" s="4">
        <v>46119</v>
      </c>
      <c r="D145" s="4">
        <v>46132</v>
      </c>
      <c r="E145" s="4">
        <v>46136</v>
      </c>
      <c r="F145" s="63" t="s">
        <v>48</v>
      </c>
      <c r="G145" s="63" t="s">
        <v>3836</v>
      </c>
      <c r="H145" s="63" t="s">
        <v>102</v>
      </c>
      <c r="I145" s="63" t="s">
        <v>61</v>
      </c>
      <c r="J145" s="63" t="s">
        <v>50</v>
      </c>
      <c r="K145" s="63" t="s">
        <v>606</v>
      </c>
      <c r="L145" s="63" t="s">
        <v>126</v>
      </c>
      <c r="M145" s="69">
        <v>2244.2199999999998</v>
      </c>
      <c r="N145" s="63" t="s">
        <v>104</v>
      </c>
      <c r="O145" s="73">
        <f>_xlfn.XLOOKUP(Supplier_Perf_Table[[#This Row],[Currency]],'Comments 2'!$C$4:$C$16,'Comments 2'!$D$4:$D$16)</f>
        <v>1.9E-2</v>
      </c>
      <c r="P145" s="69">
        <f>IFERROR(Supplier_Perf_Table[[#This Row],[Unit_Cost]]*Supplier_Perf_Table[[#This Row],[Dollar Equivalent]],"")</f>
        <v>42.640179999999994</v>
      </c>
      <c r="Q145" s="75">
        <v>2000</v>
      </c>
      <c r="R145" s="1">
        <v>4488440</v>
      </c>
      <c r="S145" s="75">
        <f>Supplier_Perf_Table[[#This Row],[Unit_Cost]]*Supplier_Perf_Table[[#This Row],[Order_Quantity]]</f>
        <v>4488440</v>
      </c>
      <c r="T145" s="75">
        <f>IFERROR(Supplier_Perf_Table[[#This Row],[Dollar Equivalent]]*Supplier_Perf_Table[[#This Row],[Ordered_Value]],"")</f>
        <v>85280.36</v>
      </c>
      <c r="U145" s="75">
        <v>182</v>
      </c>
      <c r="V145" s="7">
        <v>9.0999999999999998E-2</v>
      </c>
      <c r="W145" s="75">
        <v>17</v>
      </c>
      <c r="X145" s="55">
        <f>IFERROR(Supplier_Perf_Table[[#This Row],[Actual_Delivery_Date]]-Supplier_Perf_Table[[#This Row],[Order Date]],"")</f>
        <v>17</v>
      </c>
      <c r="Y145" s="75">
        <v>13</v>
      </c>
      <c r="Z145" s="56">
        <f>IFERROR(Supplier_Perf_Table[[#This Row],[Expected Delivery_Date]]-Supplier_Perf_Table[[#This Row],[Order Date]],"")</f>
        <v>13</v>
      </c>
      <c r="AA145" s="56">
        <f>Supplier_Perf_Table[[#This Row],[Calculated_Lead_Time2]]-Supplier_Perf_Table[[#This Row],[Calculated_Expected_Lead_Time]]</f>
        <v>4</v>
      </c>
      <c r="AB145" s="75">
        <v>4</v>
      </c>
      <c r="AC145" s="63" t="s">
        <v>39</v>
      </c>
      <c r="AD145" s="63" t="s">
        <v>74</v>
      </c>
      <c r="AE145" s="63" t="s">
        <v>3088</v>
      </c>
      <c r="AF145" s="63" t="s">
        <v>212</v>
      </c>
      <c r="AG145" s="63" t="s">
        <v>173</v>
      </c>
      <c r="AH145" s="63" t="s">
        <v>136</v>
      </c>
      <c r="AI145" s="63" t="s">
        <v>44</v>
      </c>
      <c r="AJ145" s="63" t="s">
        <v>183</v>
      </c>
      <c r="AK145" s="83">
        <v>2.6</v>
      </c>
      <c r="AL145" s="63" t="s">
        <v>115</v>
      </c>
      <c r="AM145" s="63" t="s">
        <v>185</v>
      </c>
      <c r="AN145"/>
    </row>
    <row r="146" spans="1:40" ht="18" customHeight="1">
      <c r="A146" s="1" t="s">
        <v>607</v>
      </c>
      <c r="B146" s="1" t="s">
        <v>608</v>
      </c>
      <c r="C146" s="4">
        <v>46138</v>
      </c>
      <c r="D146" s="4">
        <v>46163</v>
      </c>
      <c r="E146" s="4">
        <v>46160</v>
      </c>
      <c r="F146" s="63" t="s">
        <v>256</v>
      </c>
      <c r="G146" s="63" t="s">
        <v>3849</v>
      </c>
      <c r="H146" s="63" t="s">
        <v>258</v>
      </c>
      <c r="I146" s="63" t="s">
        <v>92</v>
      </c>
      <c r="J146" s="63" t="s">
        <v>153</v>
      </c>
      <c r="K146" s="63" t="s">
        <v>609</v>
      </c>
      <c r="L146" s="63" t="s">
        <v>204</v>
      </c>
      <c r="M146" s="69">
        <v>146.22</v>
      </c>
      <c r="N146" s="63" t="s">
        <v>53</v>
      </c>
      <c r="O146" s="73">
        <f>_xlfn.XLOOKUP(Supplier_Perf_Table[[#This Row],[Currency]],'Comments 2'!$C$4:$C$16,'Comments 2'!$D$4:$D$16)</f>
        <v>6.0999999999999999E-2</v>
      </c>
      <c r="P146" s="69">
        <f>IFERROR(Supplier_Perf_Table[[#This Row],[Unit_Cost]]*Supplier_Perf_Table[[#This Row],[Dollar Equivalent]],"")</f>
        <v>8.9194200000000006</v>
      </c>
      <c r="Q146" s="75">
        <v>200</v>
      </c>
      <c r="R146" s="1">
        <v>29244</v>
      </c>
      <c r="S146" s="75">
        <f>Supplier_Perf_Table[[#This Row],[Unit_Cost]]*Supplier_Perf_Table[[#This Row],[Order_Quantity]]</f>
        <v>29244</v>
      </c>
      <c r="T146" s="75">
        <f>IFERROR(Supplier_Perf_Table[[#This Row],[Dollar Equivalent]]*Supplier_Perf_Table[[#This Row],[Ordered_Value]],"")</f>
        <v>1783.884</v>
      </c>
      <c r="U146" s="75">
        <v>3</v>
      </c>
      <c r="V146" s="7">
        <v>1.4999999999999999E-2</v>
      </c>
      <c r="W146" s="75">
        <v>22</v>
      </c>
      <c r="X146" s="55">
        <f>IFERROR(Supplier_Perf_Table[[#This Row],[Actual_Delivery_Date]]-Supplier_Perf_Table[[#This Row],[Order Date]],"")</f>
        <v>22</v>
      </c>
      <c r="Y146" s="75">
        <v>25</v>
      </c>
      <c r="Z146" s="56">
        <f>IFERROR(Supplier_Perf_Table[[#This Row],[Expected Delivery_Date]]-Supplier_Perf_Table[[#This Row],[Order Date]],"")</f>
        <v>25</v>
      </c>
      <c r="AA146" s="56">
        <f>Supplier_Perf_Table[[#This Row],[Calculated_Lead_Time2]]-Supplier_Perf_Table[[#This Row],[Calculated_Expected_Lead_Time]]</f>
        <v>-3</v>
      </c>
      <c r="AB146" s="75">
        <v>-3</v>
      </c>
      <c r="AC146" s="63" t="s">
        <v>87</v>
      </c>
      <c r="AD146" s="63" t="s">
        <v>40</v>
      </c>
      <c r="AE146" s="63" t="s">
        <v>41</v>
      </c>
      <c r="AF146" s="63" t="s">
        <v>106</v>
      </c>
      <c r="AG146" s="63" t="s">
        <v>43</v>
      </c>
      <c r="AH146" s="63" t="s">
        <v>136</v>
      </c>
      <c r="AI146" s="63" t="s">
        <v>95</v>
      </c>
      <c r="AJ146" s="63" t="s">
        <v>138</v>
      </c>
      <c r="AK146" s="83">
        <v>4.4000000000000004</v>
      </c>
      <c r="AL146" s="63" t="s">
        <v>115</v>
      </c>
      <c r="AM146" s="63" t="s">
        <v>138</v>
      </c>
      <c r="AN146"/>
    </row>
    <row r="147" spans="1:40" ht="18" customHeight="1">
      <c r="A147" s="1" t="s">
        <v>610</v>
      </c>
      <c r="B147" s="1" t="s">
        <v>611</v>
      </c>
      <c r="C147" s="4">
        <v>46194</v>
      </c>
      <c r="D147" s="4">
        <v>46212</v>
      </c>
      <c r="E147" s="4">
        <v>46199</v>
      </c>
      <c r="F147" s="63" t="s">
        <v>90</v>
      </c>
      <c r="G147" s="63" t="s">
        <v>3840</v>
      </c>
      <c r="H147" s="63" t="s">
        <v>133</v>
      </c>
      <c r="I147" s="63" t="s">
        <v>120</v>
      </c>
      <c r="J147" s="63" t="s">
        <v>71</v>
      </c>
      <c r="K147" s="63" t="s">
        <v>612</v>
      </c>
      <c r="L147" s="63" t="s">
        <v>337</v>
      </c>
      <c r="M147" s="69">
        <v>526.02</v>
      </c>
      <c r="N147" s="63" t="s">
        <v>38</v>
      </c>
      <c r="O147" s="73">
        <f>_xlfn.XLOOKUP(Supplier_Perf_Table[[#This Row],[Currency]],'Comments 2'!$C$4:$C$16,'Comments 2'!$D$4:$D$16)</f>
        <v>7.7000000000000002E-3</v>
      </c>
      <c r="P147" s="69">
        <f>IFERROR(Supplier_Perf_Table[[#This Row],[Unit_Cost]]*Supplier_Perf_Table[[#This Row],[Dollar Equivalent]],"")</f>
        <v>4.0503539999999996</v>
      </c>
      <c r="Q147" s="75">
        <v>50</v>
      </c>
      <c r="R147" s="1">
        <v>26301</v>
      </c>
      <c r="S147" s="75">
        <f>Supplier_Perf_Table[[#This Row],[Unit_Cost]]*Supplier_Perf_Table[[#This Row],[Order_Quantity]]</f>
        <v>26301</v>
      </c>
      <c r="T147" s="75">
        <f>IFERROR(Supplier_Perf_Table[[#This Row],[Dollar Equivalent]]*Supplier_Perf_Table[[#This Row],[Ordered_Value]],"")</f>
        <v>202.51770000000002</v>
      </c>
      <c r="U147" s="75">
        <v>2</v>
      </c>
      <c r="V147" s="7">
        <v>0.04</v>
      </c>
      <c r="W147" s="75">
        <v>5</v>
      </c>
      <c r="X147" s="55">
        <f>IFERROR(Supplier_Perf_Table[[#This Row],[Actual_Delivery_Date]]-Supplier_Perf_Table[[#This Row],[Order Date]],"")</f>
        <v>5</v>
      </c>
      <c r="Y147" s="75">
        <v>18</v>
      </c>
      <c r="Z147" s="56">
        <f>IFERROR(Supplier_Perf_Table[[#This Row],[Expected Delivery_Date]]-Supplier_Perf_Table[[#This Row],[Order Date]],"")</f>
        <v>18</v>
      </c>
      <c r="AA147" s="56">
        <f>Supplier_Perf_Table[[#This Row],[Calculated_Lead_Time2]]-Supplier_Perf_Table[[#This Row],[Calculated_Expected_Lead_Time]]</f>
        <v>-13</v>
      </c>
      <c r="AB147" s="75">
        <v>-13</v>
      </c>
      <c r="AC147" s="63" t="s">
        <v>87</v>
      </c>
      <c r="AD147" s="63" t="s">
        <v>40</v>
      </c>
      <c r="AE147" s="63" t="s">
        <v>146</v>
      </c>
      <c r="AF147" s="63" t="s">
        <v>212</v>
      </c>
      <c r="AG147" s="63" t="s">
        <v>3088</v>
      </c>
      <c r="AH147" s="63" t="s">
        <v>174</v>
      </c>
      <c r="AI147" s="63" t="s">
        <v>147</v>
      </c>
      <c r="AJ147" s="63" t="s">
        <v>138</v>
      </c>
      <c r="AK147" s="83">
        <v>3.7</v>
      </c>
      <c r="AL147" s="63" t="s">
        <v>139</v>
      </c>
      <c r="AM147" s="63" t="s">
        <v>130</v>
      </c>
      <c r="AN147"/>
    </row>
    <row r="148" spans="1:40" ht="18" customHeight="1">
      <c r="A148" s="1" t="s">
        <v>613</v>
      </c>
      <c r="B148" s="1" t="s">
        <v>614</v>
      </c>
      <c r="C148" s="4">
        <v>46060</v>
      </c>
      <c r="D148" s="4">
        <v>46068</v>
      </c>
      <c r="E148" s="4">
        <v>46068</v>
      </c>
      <c r="F148" s="63" t="s">
        <v>209</v>
      </c>
      <c r="G148" s="63" t="s">
        <v>3845</v>
      </c>
      <c r="H148" s="63" t="s">
        <v>316</v>
      </c>
      <c r="I148" s="63" t="s">
        <v>120</v>
      </c>
      <c r="J148" s="63" t="s">
        <v>153</v>
      </c>
      <c r="K148" s="63" t="s">
        <v>615</v>
      </c>
      <c r="L148" s="63" t="s">
        <v>204</v>
      </c>
      <c r="M148" s="69">
        <v>722.99</v>
      </c>
      <c r="N148" s="63" t="s">
        <v>38</v>
      </c>
      <c r="O148" s="73">
        <f>_xlfn.XLOOKUP(Supplier_Perf_Table[[#This Row],[Currency]],'Comments 2'!$C$4:$C$16,'Comments 2'!$D$4:$D$16)</f>
        <v>7.7000000000000002E-3</v>
      </c>
      <c r="P148" s="69">
        <f>IFERROR(Supplier_Perf_Table[[#This Row],[Unit_Cost]]*Supplier_Perf_Table[[#This Row],[Dollar Equivalent]],"")</f>
        <v>5.5670229999999998</v>
      </c>
      <c r="Q148" s="75">
        <v>300</v>
      </c>
      <c r="R148" s="1">
        <v>216897</v>
      </c>
      <c r="S148" s="75">
        <f>Supplier_Perf_Table[[#This Row],[Unit_Cost]]*Supplier_Perf_Table[[#This Row],[Order_Quantity]]</f>
        <v>216897</v>
      </c>
      <c r="T148" s="75">
        <f>IFERROR(Supplier_Perf_Table[[#This Row],[Dollar Equivalent]]*Supplier_Perf_Table[[#This Row],[Ordered_Value]],"")</f>
        <v>1670.1069</v>
      </c>
      <c r="U148" s="75">
        <v>14</v>
      </c>
      <c r="V148" s="7">
        <v>4.6699999999999998E-2</v>
      </c>
      <c r="W148" s="75">
        <v>8</v>
      </c>
      <c r="X148" s="55">
        <f>IFERROR(Supplier_Perf_Table[[#This Row],[Actual_Delivery_Date]]-Supplier_Perf_Table[[#This Row],[Order Date]],"")</f>
        <v>8</v>
      </c>
      <c r="Y148" s="75">
        <v>8</v>
      </c>
      <c r="Z148" s="56">
        <f>IFERROR(Supplier_Perf_Table[[#This Row],[Expected Delivery_Date]]-Supplier_Perf_Table[[#This Row],[Order Date]],"")</f>
        <v>8</v>
      </c>
      <c r="AA148" s="56">
        <f>Supplier_Perf_Table[[#This Row],[Calculated_Lead_Time2]]-Supplier_Perf_Table[[#This Row],[Calculated_Expected_Lead_Time]]</f>
        <v>0</v>
      </c>
      <c r="AB148" s="75">
        <v>0</v>
      </c>
      <c r="AC148" s="63" t="s">
        <v>87</v>
      </c>
      <c r="AD148" s="63" t="s">
        <v>366</v>
      </c>
      <c r="AE148" s="63" t="s">
        <v>127</v>
      </c>
      <c r="AF148" s="63" t="s">
        <v>106</v>
      </c>
      <c r="AG148" s="63" t="s">
        <v>173</v>
      </c>
      <c r="AH148" s="63" t="s">
        <v>55</v>
      </c>
      <c r="AI148" s="63" t="s">
        <v>191</v>
      </c>
      <c r="AJ148" s="63" t="s">
        <v>373</v>
      </c>
      <c r="AK148" s="83">
        <v>2.4</v>
      </c>
      <c r="AL148" s="63" t="s">
        <v>76</v>
      </c>
      <c r="AM148" s="63" t="s">
        <v>284</v>
      </c>
      <c r="AN148"/>
    </row>
    <row r="149" spans="1:40" ht="18" customHeight="1">
      <c r="A149" s="1" t="s">
        <v>616</v>
      </c>
      <c r="B149" s="1" t="s">
        <v>617</v>
      </c>
      <c r="C149" s="4">
        <v>46163</v>
      </c>
      <c r="D149" s="4">
        <v>46171</v>
      </c>
      <c r="E149" s="4">
        <v>46171</v>
      </c>
      <c r="F149" s="63" t="s">
        <v>162</v>
      </c>
      <c r="G149" s="63" t="s">
        <v>3847</v>
      </c>
      <c r="H149" s="63" t="s">
        <v>152</v>
      </c>
      <c r="I149" s="63" t="s">
        <v>49</v>
      </c>
      <c r="J149" s="63" t="s">
        <v>163</v>
      </c>
      <c r="K149" s="63" t="s">
        <v>618</v>
      </c>
      <c r="L149" s="63" t="s">
        <v>171</v>
      </c>
      <c r="M149" s="69">
        <v>1208.25</v>
      </c>
      <c r="N149" s="63" t="s">
        <v>159</v>
      </c>
      <c r="O149" s="73">
        <f>_xlfn.XLOOKUP(Supplier_Perf_Table[[#This Row],[Currency]],'Comments 2'!$C$4:$C$16,'Comments 2'!$D$4:$D$16)</f>
        <v>7.2999999999999996E-4</v>
      </c>
      <c r="P149" s="69">
        <f>IFERROR(Supplier_Perf_Table[[#This Row],[Unit_Cost]]*Supplier_Perf_Table[[#This Row],[Dollar Equivalent]],"")</f>
        <v>0.88202249999999993</v>
      </c>
      <c r="Q149" s="75">
        <v>50</v>
      </c>
      <c r="R149" s="1">
        <v>60412.5</v>
      </c>
      <c r="S149" s="75">
        <f>Supplier_Perf_Table[[#This Row],[Unit_Cost]]*Supplier_Perf_Table[[#This Row],[Order_Quantity]]</f>
        <v>60412.5</v>
      </c>
      <c r="T149" s="75">
        <f>IFERROR(Supplier_Perf_Table[[#This Row],[Dollar Equivalent]]*Supplier_Perf_Table[[#This Row],[Ordered_Value]],"")</f>
        <v>44.101124999999996</v>
      </c>
      <c r="U149" s="75">
        <v>1</v>
      </c>
      <c r="V149" s="7">
        <v>0.02</v>
      </c>
      <c r="W149" s="75">
        <v>8</v>
      </c>
      <c r="X149" s="55">
        <f>IFERROR(Supplier_Perf_Table[[#This Row],[Actual_Delivery_Date]]-Supplier_Perf_Table[[#This Row],[Order Date]],"")</f>
        <v>8</v>
      </c>
      <c r="Y149" s="75">
        <v>8</v>
      </c>
      <c r="Z149" s="56">
        <f>IFERROR(Supplier_Perf_Table[[#This Row],[Expected Delivery_Date]]-Supplier_Perf_Table[[#This Row],[Order Date]],"")</f>
        <v>8</v>
      </c>
      <c r="AA149" s="56">
        <f>Supplier_Perf_Table[[#This Row],[Calculated_Lead_Time2]]-Supplier_Perf_Table[[#This Row],[Calculated_Expected_Lead_Time]]</f>
        <v>0</v>
      </c>
      <c r="AB149" s="75">
        <v>0</v>
      </c>
      <c r="AC149" s="63" t="s">
        <v>270</v>
      </c>
      <c r="AD149" s="63" t="s">
        <v>40</v>
      </c>
      <c r="AE149" s="63" t="s">
        <v>105</v>
      </c>
      <c r="AF149" s="63" t="s">
        <v>190</v>
      </c>
      <c r="AG149" s="63" t="s">
        <v>54</v>
      </c>
      <c r="AH149" s="63" t="s">
        <v>129</v>
      </c>
      <c r="AI149" s="63" t="s">
        <v>44</v>
      </c>
      <c r="AJ149" s="63" t="s">
        <v>138</v>
      </c>
      <c r="AK149" s="83">
        <v>4.8</v>
      </c>
      <c r="AL149" s="63" t="s">
        <v>45</v>
      </c>
      <c r="AM149" s="63" t="s">
        <v>619</v>
      </c>
      <c r="AN149"/>
    </row>
    <row r="150" spans="1:40" ht="18" customHeight="1">
      <c r="A150" s="1" t="s">
        <v>620</v>
      </c>
      <c r="B150" s="1" t="s">
        <v>621</v>
      </c>
      <c r="C150" s="4">
        <v>46143</v>
      </c>
      <c r="D150" s="4">
        <v>46155</v>
      </c>
      <c r="E150" s="4">
        <v>46165</v>
      </c>
      <c r="F150" s="63" t="s">
        <v>69</v>
      </c>
      <c r="G150" s="63" t="s">
        <v>3838</v>
      </c>
      <c r="H150" s="63" t="s">
        <v>194</v>
      </c>
      <c r="I150" s="63" t="s">
        <v>34</v>
      </c>
      <c r="J150" s="63" t="s">
        <v>112</v>
      </c>
      <c r="K150" s="63" t="s">
        <v>622</v>
      </c>
      <c r="L150" s="63" t="s">
        <v>218</v>
      </c>
      <c r="M150" s="69">
        <v>311.49</v>
      </c>
      <c r="N150" s="63" t="s">
        <v>53</v>
      </c>
      <c r="O150" s="73">
        <f>_xlfn.XLOOKUP(Supplier_Perf_Table[[#This Row],[Currency]],'Comments 2'!$C$4:$C$16,'Comments 2'!$D$4:$D$16)</f>
        <v>6.0999999999999999E-2</v>
      </c>
      <c r="P150" s="69">
        <f>IFERROR(Supplier_Perf_Table[[#This Row],[Unit_Cost]]*Supplier_Perf_Table[[#This Row],[Dollar Equivalent]],"")</f>
        <v>19.000890000000002</v>
      </c>
      <c r="Q150" s="75">
        <v>250</v>
      </c>
      <c r="R150" s="1">
        <v>77872.5</v>
      </c>
      <c r="S150" s="75">
        <f>Supplier_Perf_Table[[#This Row],[Unit_Cost]]*Supplier_Perf_Table[[#This Row],[Order_Quantity]]</f>
        <v>77872.5</v>
      </c>
      <c r="T150" s="75">
        <f>IFERROR(Supplier_Perf_Table[[#This Row],[Dollar Equivalent]]*Supplier_Perf_Table[[#This Row],[Ordered_Value]],"")</f>
        <v>4750.2224999999999</v>
      </c>
      <c r="U150" s="75">
        <v>4</v>
      </c>
      <c r="V150" s="7">
        <v>1.6E-2</v>
      </c>
      <c r="W150" s="75">
        <v>22</v>
      </c>
      <c r="X150" s="55">
        <f>IFERROR(Supplier_Perf_Table[[#This Row],[Actual_Delivery_Date]]-Supplier_Perf_Table[[#This Row],[Order Date]],"")</f>
        <v>22</v>
      </c>
      <c r="Y150" s="75">
        <v>12</v>
      </c>
      <c r="Z150" s="56">
        <f>IFERROR(Supplier_Perf_Table[[#This Row],[Expected Delivery_Date]]-Supplier_Perf_Table[[#This Row],[Order Date]],"")</f>
        <v>12</v>
      </c>
      <c r="AA150" s="56">
        <f>Supplier_Perf_Table[[#This Row],[Calculated_Lead_Time2]]-Supplier_Perf_Table[[#This Row],[Calculated_Expected_Lead_Time]]</f>
        <v>10</v>
      </c>
      <c r="AB150" s="75"/>
      <c r="AC150" s="63" t="s">
        <v>135</v>
      </c>
      <c r="AD150" s="63" t="s">
        <v>40</v>
      </c>
      <c r="AE150" s="63" t="s">
        <v>41</v>
      </c>
      <c r="AF150" s="63" t="s">
        <v>66</v>
      </c>
      <c r="AG150" s="63" t="s">
        <v>43</v>
      </c>
      <c r="AH150" s="63" t="s">
        <v>3112</v>
      </c>
      <c r="AI150" s="63" t="s">
        <v>56</v>
      </c>
      <c r="AJ150" s="63" t="s">
        <v>138</v>
      </c>
      <c r="AK150" s="83">
        <v>1.9</v>
      </c>
      <c r="AL150" s="63" t="s">
        <v>45</v>
      </c>
      <c r="AM150" s="63" t="s">
        <v>46</v>
      </c>
      <c r="AN150"/>
    </row>
    <row r="151" spans="1:40" ht="18" customHeight="1">
      <c r="A151" s="1" t="s">
        <v>623</v>
      </c>
      <c r="B151" s="1" t="s">
        <v>624</v>
      </c>
      <c r="C151" s="4">
        <v>46127</v>
      </c>
      <c r="D151" s="4">
        <v>46145</v>
      </c>
      <c r="E151" s="4">
        <v>46148</v>
      </c>
      <c r="F151" s="63" t="s">
        <v>118</v>
      </c>
      <c r="G151" s="63" t="s">
        <v>3842</v>
      </c>
      <c r="H151" s="63" t="s">
        <v>301</v>
      </c>
      <c r="I151" s="63" t="s">
        <v>178</v>
      </c>
      <c r="J151" s="63" t="s">
        <v>50</v>
      </c>
      <c r="K151" s="63" t="s">
        <v>625</v>
      </c>
      <c r="L151" s="63" t="s">
        <v>189</v>
      </c>
      <c r="M151" s="69">
        <v>814.56</v>
      </c>
      <c r="N151" s="63" t="s">
        <v>38</v>
      </c>
      <c r="O151" s="73">
        <f>_xlfn.XLOOKUP(Supplier_Perf_Table[[#This Row],[Currency]],'Comments 2'!$C$4:$C$16,'Comments 2'!$D$4:$D$16)</f>
        <v>7.7000000000000002E-3</v>
      </c>
      <c r="P151" s="69">
        <f>IFERROR(Supplier_Perf_Table[[#This Row],[Unit_Cost]]*Supplier_Perf_Table[[#This Row],[Dollar Equivalent]],"")</f>
        <v>6.2721119999999999</v>
      </c>
      <c r="Q151" s="75">
        <v>50</v>
      </c>
      <c r="R151" s="1">
        <v>40728</v>
      </c>
      <c r="S151" s="75">
        <f>Supplier_Perf_Table[[#This Row],[Unit_Cost]]*Supplier_Perf_Table[[#This Row],[Order_Quantity]]</f>
        <v>40728</v>
      </c>
      <c r="T151" s="75">
        <f>IFERROR(Supplier_Perf_Table[[#This Row],[Dollar Equivalent]]*Supplier_Perf_Table[[#This Row],[Ordered_Value]],"")</f>
        <v>313.60560000000004</v>
      </c>
      <c r="U151" s="75">
        <v>2</v>
      </c>
      <c r="V151" s="7">
        <v>0.04</v>
      </c>
      <c r="W151" s="75">
        <v>21</v>
      </c>
      <c r="X151" s="55">
        <f>IFERROR(Supplier_Perf_Table[[#This Row],[Actual_Delivery_Date]]-Supplier_Perf_Table[[#This Row],[Order Date]],"")</f>
        <v>21</v>
      </c>
      <c r="Y151" s="75">
        <v>18</v>
      </c>
      <c r="Z151" s="56">
        <f>IFERROR(Supplier_Perf_Table[[#This Row],[Expected Delivery_Date]]-Supplier_Perf_Table[[#This Row],[Order Date]],"")</f>
        <v>18</v>
      </c>
      <c r="AA151" s="56">
        <f>Supplier_Perf_Table[[#This Row],[Calculated_Lead_Time2]]-Supplier_Perf_Table[[#This Row],[Calculated_Expected_Lead_Time]]</f>
        <v>3</v>
      </c>
      <c r="AB151" s="75">
        <v>3</v>
      </c>
      <c r="AC151" s="63" t="s">
        <v>166</v>
      </c>
      <c r="AD151" s="63" t="s">
        <v>40</v>
      </c>
      <c r="AE151" s="63" t="s">
        <v>105</v>
      </c>
      <c r="AF151" s="63" t="s">
        <v>66</v>
      </c>
      <c r="AG151" s="63" t="s">
        <v>107</v>
      </c>
      <c r="AH151" s="63" t="s">
        <v>55</v>
      </c>
      <c r="AI151" s="63" t="s">
        <v>137</v>
      </c>
      <c r="AJ151" s="63" t="s">
        <v>138</v>
      </c>
      <c r="AK151" s="83">
        <v>3.4</v>
      </c>
      <c r="AL151" s="63" t="s">
        <v>108</v>
      </c>
      <c r="AM151" s="63" t="s">
        <v>46</v>
      </c>
      <c r="AN151"/>
    </row>
    <row r="152" spans="1:40" ht="18" customHeight="1">
      <c r="A152" s="1" t="s">
        <v>626</v>
      </c>
      <c r="B152" s="1" t="s">
        <v>627</v>
      </c>
      <c r="C152" s="4">
        <v>46056</v>
      </c>
      <c r="D152" s="4">
        <v>46061</v>
      </c>
      <c r="E152" s="4">
        <v>46069</v>
      </c>
      <c r="F152" s="63" t="s">
        <v>60</v>
      </c>
      <c r="G152" s="63" t="s">
        <v>3837</v>
      </c>
      <c r="H152" s="63" t="s">
        <v>152</v>
      </c>
      <c r="I152" s="63" t="s">
        <v>83</v>
      </c>
      <c r="J152" s="63" t="s">
        <v>62</v>
      </c>
      <c r="K152" s="63" t="s">
        <v>628</v>
      </c>
      <c r="L152" s="63" t="s">
        <v>225</v>
      </c>
      <c r="M152" s="69">
        <v>83.53</v>
      </c>
      <c r="N152" s="63" t="s">
        <v>86</v>
      </c>
      <c r="O152" s="73">
        <f>_xlfn.XLOOKUP(Supplier_Perf_Table[[#This Row],[Currency]],'Comments 2'!$C$4:$C$16,'Comments 2'!$D$4:$D$16)</f>
        <v>8.8999999999999996E-2</v>
      </c>
      <c r="P152" s="69">
        <f>IFERROR(Supplier_Perf_Table[[#This Row],[Unit_Cost]]*Supplier_Perf_Table[[#This Row],[Dollar Equivalent]],"")</f>
        <v>7.4341699999999999</v>
      </c>
      <c r="Q152" s="75">
        <v>300</v>
      </c>
      <c r="R152" s="1">
        <v>25059</v>
      </c>
      <c r="S152" s="75">
        <f>Supplier_Perf_Table[[#This Row],[Unit_Cost]]*Supplier_Perf_Table[[#This Row],[Order_Quantity]]</f>
        <v>25059</v>
      </c>
      <c r="T152" s="75">
        <f>IFERROR(Supplier_Perf_Table[[#This Row],[Dollar Equivalent]]*Supplier_Perf_Table[[#This Row],[Ordered_Value]],"")</f>
        <v>2230.2509999999997</v>
      </c>
      <c r="U152" s="75">
        <v>3</v>
      </c>
      <c r="V152" s="7">
        <v>0.01</v>
      </c>
      <c r="W152" s="75">
        <v>13</v>
      </c>
      <c r="X152" s="55">
        <f>IFERROR(Supplier_Perf_Table[[#This Row],[Actual_Delivery_Date]]-Supplier_Perf_Table[[#This Row],[Order Date]],"")</f>
        <v>13</v>
      </c>
      <c r="Y152" s="75">
        <v>5</v>
      </c>
      <c r="Z152" s="56">
        <f>IFERROR(Supplier_Perf_Table[[#This Row],[Expected Delivery_Date]]-Supplier_Perf_Table[[#This Row],[Order Date]],"")</f>
        <v>5</v>
      </c>
      <c r="AA152" s="56">
        <f>Supplier_Perf_Table[[#This Row],[Calculated_Lead_Time2]]-Supplier_Perf_Table[[#This Row],[Calculated_Expected_Lead_Time]]</f>
        <v>8</v>
      </c>
      <c r="AB152" s="75">
        <v>8</v>
      </c>
      <c r="AC152" s="63" t="s">
        <v>135</v>
      </c>
      <c r="AD152" s="63" t="s">
        <v>40</v>
      </c>
      <c r="AE152" s="63" t="s">
        <v>105</v>
      </c>
      <c r="AF152" s="63" t="s">
        <v>106</v>
      </c>
      <c r="AG152" s="63" t="s">
        <v>128</v>
      </c>
      <c r="AH152" s="63" t="s">
        <v>3112</v>
      </c>
      <c r="AI152" s="63" t="s">
        <v>95</v>
      </c>
      <c r="AJ152" s="63" t="s">
        <v>138</v>
      </c>
      <c r="AK152" s="83">
        <v>1.1000000000000001</v>
      </c>
      <c r="AL152" s="63" t="s">
        <v>184</v>
      </c>
      <c r="AM152" s="63" t="s">
        <v>46</v>
      </c>
      <c r="AN152"/>
    </row>
    <row r="153" spans="1:40" ht="18" customHeight="1">
      <c r="A153" s="1" t="s">
        <v>629</v>
      </c>
      <c r="B153" s="1" t="s">
        <v>630</v>
      </c>
      <c r="C153" s="4">
        <v>46116</v>
      </c>
      <c r="D153" s="4">
        <v>46133</v>
      </c>
      <c r="E153" s="4">
        <v>46133</v>
      </c>
      <c r="F153" s="63" t="s">
        <v>90</v>
      </c>
      <c r="G153" s="63" t="s">
        <v>3840</v>
      </c>
      <c r="H153" s="63" t="s">
        <v>133</v>
      </c>
      <c r="I153" s="63" t="s">
        <v>241</v>
      </c>
      <c r="J153" s="63" t="s">
        <v>71</v>
      </c>
      <c r="K153" s="63" t="s">
        <v>631</v>
      </c>
      <c r="L153" s="63" t="s">
        <v>337</v>
      </c>
      <c r="M153" s="69">
        <v>270.43</v>
      </c>
      <c r="N153" s="63" t="s">
        <v>86</v>
      </c>
      <c r="O153" s="73">
        <f>_xlfn.XLOOKUP(Supplier_Perf_Table[[#This Row],[Currency]],'Comments 2'!$C$4:$C$16,'Comments 2'!$D$4:$D$16)</f>
        <v>8.8999999999999996E-2</v>
      </c>
      <c r="P153" s="69">
        <f>IFERROR(Supplier_Perf_Table[[#This Row],[Unit_Cost]]*Supplier_Perf_Table[[#This Row],[Dollar Equivalent]],"")</f>
        <v>24.068269999999998</v>
      </c>
      <c r="Q153" s="75">
        <v>750</v>
      </c>
      <c r="R153" s="1">
        <v>202822.5</v>
      </c>
      <c r="S153" s="75">
        <f>Supplier_Perf_Table[[#This Row],[Unit_Cost]]*Supplier_Perf_Table[[#This Row],[Order_Quantity]]</f>
        <v>202822.5</v>
      </c>
      <c r="T153" s="75">
        <f>IFERROR(Supplier_Perf_Table[[#This Row],[Dollar Equivalent]]*Supplier_Perf_Table[[#This Row],[Ordered_Value]],"")</f>
        <v>18051.202499999999</v>
      </c>
      <c r="U153" s="75">
        <v>34</v>
      </c>
      <c r="V153" s="7">
        <v>4.53E-2</v>
      </c>
      <c r="W153" s="75">
        <v>17</v>
      </c>
      <c r="X153" s="55">
        <f>IFERROR(Supplier_Perf_Table[[#This Row],[Actual_Delivery_Date]]-Supplier_Perf_Table[[#This Row],[Order Date]],"")</f>
        <v>17</v>
      </c>
      <c r="Y153" s="75">
        <v>17</v>
      </c>
      <c r="Z153" s="56">
        <f>IFERROR(Supplier_Perf_Table[[#This Row],[Expected Delivery_Date]]-Supplier_Perf_Table[[#This Row],[Order Date]],"")</f>
        <v>17</v>
      </c>
      <c r="AA153" s="56">
        <f>Supplier_Perf_Table[[#This Row],[Calculated_Lead_Time2]]-Supplier_Perf_Table[[#This Row],[Calculated_Expected_Lead_Time]]</f>
        <v>0</v>
      </c>
      <c r="AB153" s="75">
        <v>0</v>
      </c>
      <c r="AC153" s="63" t="s">
        <v>87</v>
      </c>
      <c r="AD153" s="63" t="s">
        <v>74</v>
      </c>
      <c r="AE153" s="63" t="s">
        <v>105</v>
      </c>
      <c r="AF153" s="63" t="s">
        <v>66</v>
      </c>
      <c r="AG153" s="63" t="s">
        <v>54</v>
      </c>
      <c r="AH153" s="63" t="s">
        <v>55</v>
      </c>
      <c r="AI153" s="63" t="s">
        <v>147</v>
      </c>
      <c r="AJ153" s="63" t="s">
        <v>75</v>
      </c>
      <c r="AK153" s="83">
        <v>1.4</v>
      </c>
      <c r="AL153" s="63" t="s">
        <v>108</v>
      </c>
      <c r="AM153" s="63" t="s">
        <v>97</v>
      </c>
      <c r="AN153"/>
    </row>
    <row r="154" spans="1:40" ht="18" customHeight="1">
      <c r="A154" s="63" t="s">
        <v>632</v>
      </c>
      <c r="B154" s="63" t="s">
        <v>633</v>
      </c>
      <c r="C154" s="4">
        <v>46053</v>
      </c>
      <c r="D154" s="4">
        <v>46057</v>
      </c>
      <c r="E154" s="4">
        <v>46054</v>
      </c>
      <c r="F154" s="63" t="s">
        <v>151</v>
      </c>
      <c r="G154" s="63" t="s">
        <v>3844</v>
      </c>
      <c r="H154" s="63" t="s">
        <v>152</v>
      </c>
      <c r="I154" s="63" t="s">
        <v>83</v>
      </c>
      <c r="J154" s="63" t="s">
        <v>112</v>
      </c>
      <c r="K154" s="63" t="s">
        <v>634</v>
      </c>
      <c r="L154" s="63" t="s">
        <v>229</v>
      </c>
      <c r="M154" s="69">
        <v>371.94</v>
      </c>
      <c r="N154" s="63" t="s">
        <v>159</v>
      </c>
      <c r="O154" s="73">
        <f>_xlfn.XLOOKUP(Supplier_Perf_Table[[#This Row],[Currency]],'Comments 2'!$C$4:$C$16,'Comments 2'!$D$4:$D$16)</f>
        <v>7.2999999999999996E-4</v>
      </c>
      <c r="P154" s="69">
        <f>IFERROR(Supplier_Perf_Table[[#This Row],[Unit_Cost]]*Supplier_Perf_Table[[#This Row],[Dollar Equivalent]],"")</f>
        <v>0.27151619999999999</v>
      </c>
      <c r="Q154" s="75">
        <v>200</v>
      </c>
      <c r="R154" s="1">
        <v>74388</v>
      </c>
      <c r="S154" s="75">
        <f>Supplier_Perf_Table[[#This Row],[Unit_Cost]]*Supplier_Perf_Table[[#This Row],[Order_Quantity]]</f>
        <v>74388</v>
      </c>
      <c r="T154" s="75">
        <f>IFERROR(Supplier_Perf_Table[[#This Row],[Dollar Equivalent]]*Supplier_Perf_Table[[#This Row],[Ordered_Value]],"")</f>
        <v>54.303239999999995</v>
      </c>
      <c r="U154" s="75">
        <v>0</v>
      </c>
      <c r="V154" s="7">
        <v>0</v>
      </c>
      <c r="W154" s="75">
        <v>-5</v>
      </c>
      <c r="X154" s="55">
        <f>IFERROR(Supplier_Perf_Table[[#This Row],[Actual_Delivery_Date]]-Supplier_Perf_Table[[#This Row],[Order Date]],"")</f>
        <v>1</v>
      </c>
      <c r="Y154" s="75">
        <v>4</v>
      </c>
      <c r="Z154" s="56">
        <f>IFERROR(Supplier_Perf_Table[[#This Row],[Expected Delivery_Date]]-Supplier_Perf_Table[[#This Row],[Order Date]],"")</f>
        <v>4</v>
      </c>
      <c r="AA154" s="56">
        <f>Supplier_Perf_Table[[#This Row],[Calculated_Lead_Time2]]-Supplier_Perf_Table[[#This Row],[Calculated_Expected_Lead_Time]]</f>
        <v>-3</v>
      </c>
      <c r="AB154" s="75">
        <v>-3</v>
      </c>
      <c r="AC154" s="63" t="s">
        <v>87</v>
      </c>
      <c r="AD154" s="63" t="s">
        <v>40</v>
      </c>
      <c r="AE154" s="63" t="s">
        <v>127</v>
      </c>
      <c r="AF154" s="63" t="s">
        <v>106</v>
      </c>
      <c r="AG154" s="63" t="s">
        <v>173</v>
      </c>
      <c r="AH154" s="63" t="s">
        <v>129</v>
      </c>
      <c r="AI154" s="63" t="s">
        <v>138</v>
      </c>
      <c r="AJ154" s="63" t="s">
        <v>138</v>
      </c>
      <c r="AK154" s="83">
        <v>2.2999999999999998</v>
      </c>
      <c r="AL154" s="63" t="s">
        <v>45</v>
      </c>
      <c r="AM154" s="63" t="s">
        <v>130</v>
      </c>
      <c r="AN154"/>
    </row>
    <row r="155" spans="1:40" ht="18" customHeight="1">
      <c r="A155" s="1" t="s">
        <v>635</v>
      </c>
      <c r="B155" s="1" t="s">
        <v>636</v>
      </c>
      <c r="C155" s="4">
        <v>46033</v>
      </c>
      <c r="D155" s="4">
        <v>46050</v>
      </c>
      <c r="E155" s="4">
        <v>46051</v>
      </c>
      <c r="F155" s="63" t="s">
        <v>235</v>
      </c>
      <c r="G155" s="63" t="s">
        <v>3848</v>
      </c>
      <c r="H155" s="63" t="s">
        <v>479</v>
      </c>
      <c r="I155" s="63" t="s">
        <v>49</v>
      </c>
      <c r="J155" s="63" t="s">
        <v>35</v>
      </c>
      <c r="K155" s="63" t="s">
        <v>637</v>
      </c>
      <c r="L155" s="63" t="s">
        <v>37</v>
      </c>
      <c r="M155" s="69">
        <v>4357.76</v>
      </c>
      <c r="N155" s="63" t="s">
        <v>38</v>
      </c>
      <c r="O155" s="73">
        <f>_xlfn.XLOOKUP(Supplier_Perf_Table[[#This Row],[Currency]],'Comments 2'!$C$4:$C$16,'Comments 2'!$D$4:$D$16)</f>
        <v>7.7000000000000002E-3</v>
      </c>
      <c r="P155" s="69">
        <f>IFERROR(Supplier_Perf_Table[[#This Row],[Unit_Cost]]*Supplier_Perf_Table[[#This Row],[Dollar Equivalent]],"")</f>
        <v>33.554752000000001</v>
      </c>
      <c r="Q155" s="75">
        <v>250</v>
      </c>
      <c r="R155" s="1">
        <v>1089440</v>
      </c>
      <c r="S155" s="75">
        <f>Supplier_Perf_Table[[#This Row],[Unit_Cost]]*Supplier_Perf_Table[[#This Row],[Order_Quantity]]</f>
        <v>1089440</v>
      </c>
      <c r="T155" s="75">
        <f>IFERROR(Supplier_Perf_Table[[#This Row],[Dollar Equivalent]]*Supplier_Perf_Table[[#This Row],[Ordered_Value]],"")</f>
        <v>8388.6880000000001</v>
      </c>
      <c r="U155" s="75">
        <v>19</v>
      </c>
      <c r="V155" s="7">
        <v>7.5999999999999998E-2</v>
      </c>
      <c r="W155" s="75">
        <v>18</v>
      </c>
      <c r="X155" s="55">
        <f>IFERROR(Supplier_Perf_Table[[#This Row],[Actual_Delivery_Date]]-Supplier_Perf_Table[[#This Row],[Order Date]],"")</f>
        <v>18</v>
      </c>
      <c r="Y155" s="75">
        <v>17</v>
      </c>
      <c r="Z155" s="56">
        <f>IFERROR(Supplier_Perf_Table[[#This Row],[Expected Delivery_Date]]-Supplier_Perf_Table[[#This Row],[Order Date]],"")</f>
        <v>17</v>
      </c>
      <c r="AA155" s="56">
        <f>Supplier_Perf_Table[[#This Row],[Calculated_Lead_Time2]]-Supplier_Perf_Table[[#This Row],[Calculated_Expected_Lead_Time]]</f>
        <v>1</v>
      </c>
      <c r="AB155" s="75">
        <v>1</v>
      </c>
      <c r="AC155" s="63" t="s">
        <v>135</v>
      </c>
      <c r="AD155" s="63" t="s">
        <v>366</v>
      </c>
      <c r="AE155" s="63" t="s">
        <v>41</v>
      </c>
      <c r="AF155" s="63" t="s">
        <v>106</v>
      </c>
      <c r="AG155" s="63" t="s">
        <v>3088</v>
      </c>
      <c r="AH155" s="63" t="s">
        <v>55</v>
      </c>
      <c r="AI155" s="63" t="s">
        <v>147</v>
      </c>
      <c r="AJ155" s="63" t="s">
        <v>283</v>
      </c>
      <c r="AK155" s="83">
        <v>2.2999999999999998</v>
      </c>
      <c r="AL155" s="63" t="s">
        <v>57</v>
      </c>
      <c r="AM155" s="63" t="s">
        <v>77</v>
      </c>
      <c r="AN155"/>
    </row>
    <row r="156" spans="1:40" ht="18" customHeight="1">
      <c r="A156" s="1" t="s">
        <v>638</v>
      </c>
      <c r="B156" s="1" t="s">
        <v>639</v>
      </c>
      <c r="C156" s="4">
        <v>46115</v>
      </c>
      <c r="D156" s="4">
        <v>46132</v>
      </c>
      <c r="E156" s="4">
        <v>46135</v>
      </c>
      <c r="F156" s="63" t="s">
        <v>235</v>
      </c>
      <c r="G156" s="63" t="s">
        <v>3848</v>
      </c>
      <c r="H156" s="63" t="s">
        <v>479</v>
      </c>
      <c r="I156" s="63" t="s">
        <v>49</v>
      </c>
      <c r="J156" s="63" t="s">
        <v>71</v>
      </c>
      <c r="K156" s="63" t="s">
        <v>640</v>
      </c>
      <c r="L156" s="63" t="s">
        <v>238</v>
      </c>
      <c r="M156" s="69">
        <v>171.95</v>
      </c>
      <c r="N156" s="63" t="s">
        <v>159</v>
      </c>
      <c r="O156" s="73">
        <f>_xlfn.XLOOKUP(Supplier_Perf_Table[[#This Row],[Currency]],'Comments 2'!$C$4:$C$16,'Comments 2'!$D$4:$D$16)</f>
        <v>7.2999999999999996E-4</v>
      </c>
      <c r="P156" s="69">
        <f>IFERROR(Supplier_Perf_Table[[#This Row],[Unit_Cost]]*Supplier_Perf_Table[[#This Row],[Dollar Equivalent]],"")</f>
        <v>0.12552349999999998</v>
      </c>
      <c r="Q156" s="75">
        <v>75</v>
      </c>
      <c r="R156" s="1">
        <v>12896.25</v>
      </c>
      <c r="S156" s="75">
        <f>Supplier_Perf_Table[[#This Row],[Unit_Cost]]*Supplier_Perf_Table[[#This Row],[Order_Quantity]]</f>
        <v>12896.25</v>
      </c>
      <c r="T156" s="75">
        <f>IFERROR(Supplier_Perf_Table[[#This Row],[Dollar Equivalent]]*Supplier_Perf_Table[[#This Row],[Ordered_Value]],"")</f>
        <v>9.4142624999999995</v>
      </c>
      <c r="U156" s="75">
        <v>0</v>
      </c>
      <c r="V156" s="7">
        <v>0</v>
      </c>
      <c r="W156" s="75">
        <v>20</v>
      </c>
      <c r="X156" s="55">
        <f>IFERROR(Supplier_Perf_Table[[#This Row],[Actual_Delivery_Date]]-Supplier_Perf_Table[[#This Row],[Order Date]],"")</f>
        <v>20</v>
      </c>
      <c r="Y156" s="75">
        <v>17</v>
      </c>
      <c r="Z156" s="56">
        <f>IFERROR(Supplier_Perf_Table[[#This Row],[Expected Delivery_Date]]-Supplier_Perf_Table[[#This Row],[Order Date]],"")</f>
        <v>17</v>
      </c>
      <c r="AA156" s="56">
        <f>Supplier_Perf_Table[[#This Row],[Calculated_Lead_Time2]]-Supplier_Perf_Table[[#This Row],[Calculated_Expected_Lead_Time]]</f>
        <v>3</v>
      </c>
      <c r="AB156" s="75">
        <v>3</v>
      </c>
      <c r="AC156" s="63" t="s">
        <v>135</v>
      </c>
      <c r="AD156" s="63" t="s">
        <v>40</v>
      </c>
      <c r="AE156" s="63" t="s">
        <v>105</v>
      </c>
      <c r="AF156" s="63" t="s">
        <v>106</v>
      </c>
      <c r="AG156" s="63" t="s">
        <v>107</v>
      </c>
      <c r="AH156" s="63" t="s">
        <v>3112</v>
      </c>
      <c r="AI156" s="63" t="s">
        <v>56</v>
      </c>
      <c r="AJ156" s="63" t="s">
        <v>138</v>
      </c>
      <c r="AK156" s="83">
        <v>2.8</v>
      </c>
      <c r="AL156" s="63" t="s">
        <v>115</v>
      </c>
      <c r="AM156" s="63" t="s">
        <v>46</v>
      </c>
      <c r="AN156"/>
    </row>
    <row r="157" spans="1:40" ht="18" customHeight="1">
      <c r="A157" s="1" t="s">
        <v>586</v>
      </c>
      <c r="B157" s="1" t="s">
        <v>641</v>
      </c>
      <c r="C157" s="4">
        <v>46102</v>
      </c>
      <c r="D157" s="4">
        <v>46109</v>
      </c>
      <c r="E157" s="4">
        <v>46123</v>
      </c>
      <c r="F157" s="63" t="s">
        <v>209</v>
      </c>
      <c r="G157" s="63" t="s">
        <v>3845</v>
      </c>
      <c r="H157" s="63" t="s">
        <v>316</v>
      </c>
      <c r="I157" s="63" t="s">
        <v>178</v>
      </c>
      <c r="J157" s="63" t="s">
        <v>153</v>
      </c>
      <c r="K157" s="63" t="s">
        <v>642</v>
      </c>
      <c r="L157" s="63" t="s">
        <v>155</v>
      </c>
      <c r="M157" s="69">
        <v>592.52</v>
      </c>
      <c r="N157" s="63" t="s">
        <v>53</v>
      </c>
      <c r="O157" s="73">
        <f>_xlfn.XLOOKUP(Supplier_Perf_Table[[#This Row],[Currency]],'Comments 2'!$C$4:$C$16,'Comments 2'!$D$4:$D$16)</f>
        <v>6.0999999999999999E-2</v>
      </c>
      <c r="P157" s="69">
        <f>IFERROR(Supplier_Perf_Table[[#This Row],[Unit_Cost]]*Supplier_Perf_Table[[#This Row],[Dollar Equivalent]],"")</f>
        <v>36.143719999999995</v>
      </c>
      <c r="Q157" s="75">
        <v>150</v>
      </c>
      <c r="R157" s="1">
        <v>88878</v>
      </c>
      <c r="S157" s="75">
        <f>Supplier_Perf_Table[[#This Row],[Unit_Cost]]*Supplier_Perf_Table[[#This Row],[Order_Quantity]]</f>
        <v>88878</v>
      </c>
      <c r="T157" s="75">
        <f>IFERROR(Supplier_Perf_Table[[#This Row],[Dollar Equivalent]]*Supplier_Perf_Table[[#This Row],[Ordered_Value]],"")</f>
        <v>5421.558</v>
      </c>
      <c r="U157" s="75">
        <v>3</v>
      </c>
      <c r="V157" s="7">
        <v>0.02</v>
      </c>
      <c r="W157" s="75">
        <v>21</v>
      </c>
      <c r="X157" s="55">
        <f>IFERROR(Supplier_Perf_Table[[#This Row],[Actual_Delivery_Date]]-Supplier_Perf_Table[[#This Row],[Order Date]],"")</f>
        <v>21</v>
      </c>
      <c r="Y157" s="75">
        <v>7</v>
      </c>
      <c r="Z157" s="56">
        <f>IFERROR(Supplier_Perf_Table[[#This Row],[Expected Delivery_Date]]-Supplier_Perf_Table[[#This Row],[Order Date]],"")</f>
        <v>7</v>
      </c>
      <c r="AA157" s="56">
        <f>Supplier_Perf_Table[[#This Row],[Calculated_Lead_Time2]]-Supplier_Perf_Table[[#This Row],[Calculated_Expected_Lead_Time]]</f>
        <v>14</v>
      </c>
      <c r="AB157" s="75">
        <v>14</v>
      </c>
      <c r="AC157" s="63" t="s">
        <v>135</v>
      </c>
      <c r="AD157" s="63" t="s">
        <v>40</v>
      </c>
      <c r="AE157" s="63" t="s">
        <v>105</v>
      </c>
      <c r="AF157" s="63" t="s">
        <v>212</v>
      </c>
      <c r="AG157" s="63" t="s">
        <v>54</v>
      </c>
      <c r="AH157" s="63" t="s">
        <v>88</v>
      </c>
      <c r="AI157" s="63" t="s">
        <v>147</v>
      </c>
      <c r="AJ157" s="63" t="s">
        <v>138</v>
      </c>
      <c r="AK157" s="83">
        <v>2.5</v>
      </c>
      <c r="AL157" s="63" t="s">
        <v>115</v>
      </c>
      <c r="AM157" s="63" t="s">
        <v>46</v>
      </c>
      <c r="AN157"/>
    </row>
    <row r="158" spans="1:40" ht="18" customHeight="1">
      <c r="A158" s="1" t="s">
        <v>643</v>
      </c>
      <c r="B158" s="1" t="s">
        <v>644</v>
      </c>
      <c r="C158" s="4">
        <v>46048</v>
      </c>
      <c r="D158" s="4">
        <v>46061</v>
      </c>
      <c r="E158" s="4">
        <v>46063</v>
      </c>
      <c r="F158" s="63" t="s">
        <v>69</v>
      </c>
      <c r="G158" s="63" t="s">
        <v>3838</v>
      </c>
      <c r="H158" s="63" t="s">
        <v>194</v>
      </c>
      <c r="I158" s="63" t="s">
        <v>178</v>
      </c>
      <c r="J158" s="63" t="s">
        <v>112</v>
      </c>
      <c r="K158" s="63" t="s">
        <v>645</v>
      </c>
      <c r="L158" s="63" t="s">
        <v>218</v>
      </c>
      <c r="M158" s="69">
        <v>492.61</v>
      </c>
      <c r="N158" s="63" t="s">
        <v>53</v>
      </c>
      <c r="O158" s="73">
        <f>_xlfn.XLOOKUP(Supplier_Perf_Table[[#This Row],[Currency]],'Comments 2'!$C$4:$C$16,'Comments 2'!$D$4:$D$16)</f>
        <v>6.0999999999999999E-2</v>
      </c>
      <c r="P158" s="69">
        <f>IFERROR(Supplier_Perf_Table[[#This Row],[Unit_Cost]]*Supplier_Perf_Table[[#This Row],[Dollar Equivalent]],"")</f>
        <v>30.049209999999999</v>
      </c>
      <c r="Q158" s="75">
        <v>1000</v>
      </c>
      <c r="R158" s="1">
        <v>492610</v>
      </c>
      <c r="S158" s="75">
        <f>Supplier_Perf_Table[[#This Row],[Unit_Cost]]*Supplier_Perf_Table[[#This Row],[Order_Quantity]]</f>
        <v>492610</v>
      </c>
      <c r="T158" s="75">
        <f>IFERROR(Supplier_Perf_Table[[#This Row],[Dollar Equivalent]]*Supplier_Perf_Table[[#This Row],[Ordered_Value]],"")</f>
        <v>30049.21</v>
      </c>
      <c r="U158" s="75">
        <v>53</v>
      </c>
      <c r="V158" s="7">
        <v>5.2999999999999999E-2</v>
      </c>
      <c r="W158" s="75">
        <v>15</v>
      </c>
      <c r="X158" s="55">
        <f>IFERROR(Supplier_Perf_Table[[#This Row],[Actual_Delivery_Date]]-Supplier_Perf_Table[[#This Row],[Order Date]],"")</f>
        <v>15</v>
      </c>
      <c r="Y158" s="75">
        <v>13</v>
      </c>
      <c r="Z158" s="56">
        <f>IFERROR(Supplier_Perf_Table[[#This Row],[Expected Delivery_Date]]-Supplier_Perf_Table[[#This Row],[Order Date]],"")</f>
        <v>13</v>
      </c>
      <c r="AA158" s="56">
        <f>Supplier_Perf_Table[[#This Row],[Calculated_Lead_Time2]]-Supplier_Perf_Table[[#This Row],[Calculated_Expected_Lead_Time]]</f>
        <v>2</v>
      </c>
      <c r="AB158" s="75">
        <v>2</v>
      </c>
      <c r="AC158" s="63" t="s">
        <v>135</v>
      </c>
      <c r="AD158" s="63" t="s">
        <v>366</v>
      </c>
      <c r="AE158" s="63" t="s">
        <v>146</v>
      </c>
      <c r="AF158" s="63" t="s">
        <v>3088</v>
      </c>
      <c r="AG158" s="63" t="s">
        <v>128</v>
      </c>
      <c r="AH158" s="63" t="s">
        <v>136</v>
      </c>
      <c r="AI158" s="63" t="s">
        <v>191</v>
      </c>
      <c r="AJ158" s="63" t="s">
        <v>183</v>
      </c>
      <c r="AK158" s="83">
        <v>2.4</v>
      </c>
      <c r="AL158" s="63" t="s">
        <v>45</v>
      </c>
      <c r="AM158" s="63" t="s">
        <v>185</v>
      </c>
      <c r="AN158"/>
    </row>
    <row r="159" spans="1:40" ht="18" customHeight="1">
      <c r="A159" s="1" t="s">
        <v>646</v>
      </c>
      <c r="B159" s="1" t="s">
        <v>647</v>
      </c>
      <c r="C159" s="4">
        <v>46117</v>
      </c>
      <c r="D159" s="4">
        <v>46132</v>
      </c>
      <c r="E159" s="4">
        <v>46128</v>
      </c>
      <c r="F159" s="63" t="s">
        <v>80</v>
      </c>
      <c r="G159" s="63" t="s">
        <v>3839</v>
      </c>
      <c r="H159" s="63" t="s">
        <v>82</v>
      </c>
      <c r="I159" s="63" t="s">
        <v>70</v>
      </c>
      <c r="J159" s="63" t="s">
        <v>35</v>
      </c>
      <c r="K159" s="63" t="s">
        <v>648</v>
      </c>
      <c r="L159" s="63" t="s">
        <v>200</v>
      </c>
      <c r="M159" s="69">
        <v>3385.95</v>
      </c>
      <c r="N159" s="63" t="s">
        <v>65</v>
      </c>
      <c r="O159" s="73">
        <f>_xlfn.XLOOKUP(Supplier_Perf_Table[[#This Row],[Currency]],'Comments 2'!$C$4:$C$16,'Comments 2'!$D$4:$D$16)</f>
        <v>1</v>
      </c>
      <c r="P159" s="69">
        <f>IFERROR(Supplier_Perf_Table[[#This Row],[Unit_Cost]]*Supplier_Perf_Table[[#This Row],[Dollar Equivalent]],"")</f>
        <v>3385.95</v>
      </c>
      <c r="Q159" s="75">
        <v>75</v>
      </c>
      <c r="R159" s="1">
        <v>253946.25</v>
      </c>
      <c r="S159" s="75">
        <f>Supplier_Perf_Table[[#This Row],[Unit_Cost]]*Supplier_Perf_Table[[#This Row],[Order_Quantity]]</f>
        <v>253946.25</v>
      </c>
      <c r="T159" s="75">
        <f>IFERROR(Supplier_Perf_Table[[#This Row],[Dollar Equivalent]]*Supplier_Perf_Table[[#This Row],[Ordered_Value]],"")</f>
        <v>253946.25</v>
      </c>
      <c r="U159" s="75">
        <v>0</v>
      </c>
      <c r="V159" s="7">
        <v>0</v>
      </c>
      <c r="W159" s="75">
        <v>11</v>
      </c>
      <c r="X159" s="55">
        <f>IFERROR(Supplier_Perf_Table[[#This Row],[Actual_Delivery_Date]]-Supplier_Perf_Table[[#This Row],[Order Date]],"")</f>
        <v>11</v>
      </c>
      <c r="Y159" s="75">
        <v>15</v>
      </c>
      <c r="Z159" s="56">
        <f>IFERROR(Supplier_Perf_Table[[#This Row],[Expected Delivery_Date]]-Supplier_Perf_Table[[#This Row],[Order Date]],"")</f>
        <v>15</v>
      </c>
      <c r="AA159" s="56">
        <f>Supplier_Perf_Table[[#This Row],[Calculated_Lead_Time2]]-Supplier_Perf_Table[[#This Row],[Calculated_Expected_Lead_Time]]</f>
        <v>-4</v>
      </c>
      <c r="AB159" s="75">
        <v>-4</v>
      </c>
      <c r="AC159" s="63" t="s">
        <v>87</v>
      </c>
      <c r="AD159" s="63" t="s">
        <v>649</v>
      </c>
      <c r="AE159" s="63" t="s">
        <v>105</v>
      </c>
      <c r="AF159" s="63" t="s">
        <v>190</v>
      </c>
      <c r="AG159" s="63" t="s">
        <v>128</v>
      </c>
      <c r="AH159" s="63" t="s">
        <v>129</v>
      </c>
      <c r="AI159" s="63" t="s">
        <v>138</v>
      </c>
      <c r="AJ159" s="63" t="s">
        <v>138</v>
      </c>
      <c r="AK159" s="83">
        <v>4.7</v>
      </c>
      <c r="AL159" s="63" t="s">
        <v>57</v>
      </c>
      <c r="AM159" s="63" t="s">
        <v>138</v>
      </c>
      <c r="AN159"/>
    </row>
    <row r="160" spans="1:40" ht="18" customHeight="1">
      <c r="A160" s="1" t="s">
        <v>650</v>
      </c>
      <c r="B160" s="1" t="s">
        <v>651</v>
      </c>
      <c r="C160" s="4">
        <v>46030</v>
      </c>
      <c r="D160" s="4">
        <v>46038</v>
      </c>
      <c r="E160" s="4">
        <v>46048</v>
      </c>
      <c r="F160" s="63" t="s">
        <v>256</v>
      </c>
      <c r="G160" s="63" t="s">
        <v>3849</v>
      </c>
      <c r="H160" s="63" t="s">
        <v>258</v>
      </c>
      <c r="I160" s="63" t="s">
        <v>70</v>
      </c>
      <c r="J160" s="63" t="s">
        <v>153</v>
      </c>
      <c r="K160" s="63" t="s">
        <v>652</v>
      </c>
      <c r="L160" s="63" t="s">
        <v>318</v>
      </c>
      <c r="M160" s="69">
        <v>428.1</v>
      </c>
      <c r="N160" s="63" t="s">
        <v>86</v>
      </c>
      <c r="O160" s="73">
        <f>_xlfn.XLOOKUP(Supplier_Perf_Table[[#This Row],[Currency]],'Comments 2'!$C$4:$C$16,'Comments 2'!$D$4:$D$16)</f>
        <v>8.8999999999999996E-2</v>
      </c>
      <c r="P160" s="69">
        <f>IFERROR(Supplier_Perf_Table[[#This Row],[Unit_Cost]]*Supplier_Perf_Table[[#This Row],[Dollar Equivalent]],"")</f>
        <v>38.100900000000003</v>
      </c>
      <c r="Q160" s="75">
        <v>150</v>
      </c>
      <c r="R160" s="1">
        <v>64215</v>
      </c>
      <c r="S160" s="75">
        <f>Supplier_Perf_Table[[#This Row],[Unit_Cost]]*Supplier_Perf_Table[[#This Row],[Order_Quantity]]</f>
        <v>64215</v>
      </c>
      <c r="T160" s="75">
        <f>IFERROR(Supplier_Perf_Table[[#This Row],[Dollar Equivalent]]*Supplier_Perf_Table[[#This Row],[Ordered_Value]],"")</f>
        <v>5715.1349999999993</v>
      </c>
      <c r="U160" s="75">
        <v>2</v>
      </c>
      <c r="V160" s="7">
        <v>1.3299999999999999E-2</v>
      </c>
      <c r="W160" s="75">
        <v>18</v>
      </c>
      <c r="X160" s="55">
        <f>IFERROR(Supplier_Perf_Table[[#This Row],[Actual_Delivery_Date]]-Supplier_Perf_Table[[#This Row],[Order Date]],"")</f>
        <v>18</v>
      </c>
      <c r="Y160" s="75">
        <v>8</v>
      </c>
      <c r="Z160" s="56">
        <f>IFERROR(Supplier_Perf_Table[[#This Row],[Expected Delivery_Date]]-Supplier_Perf_Table[[#This Row],[Order Date]],"")</f>
        <v>8</v>
      </c>
      <c r="AA160" s="56">
        <f>Supplier_Perf_Table[[#This Row],[Calculated_Lead_Time2]]-Supplier_Perf_Table[[#This Row],[Calculated_Expected_Lead_Time]]</f>
        <v>10</v>
      </c>
      <c r="AB160" s="75">
        <v>10</v>
      </c>
      <c r="AC160" s="63" t="s">
        <v>205</v>
      </c>
      <c r="AD160" s="63" t="s">
        <v>40</v>
      </c>
      <c r="AE160" s="63" t="s">
        <v>105</v>
      </c>
      <c r="AF160" s="63" t="s">
        <v>106</v>
      </c>
      <c r="AG160" s="63" t="s">
        <v>128</v>
      </c>
      <c r="AH160" s="63" t="s">
        <v>206</v>
      </c>
      <c r="AI160" s="63" t="s">
        <v>147</v>
      </c>
      <c r="AJ160" s="63" t="s">
        <v>138</v>
      </c>
      <c r="AK160" s="83">
        <v>2.7</v>
      </c>
      <c r="AL160" s="63" t="s">
        <v>76</v>
      </c>
      <c r="AM160" s="63" t="s">
        <v>46</v>
      </c>
      <c r="AN160"/>
    </row>
    <row r="161" spans="1:40" ht="18" customHeight="1">
      <c r="A161" s="1" t="s">
        <v>653</v>
      </c>
      <c r="B161" s="1" t="s">
        <v>654</v>
      </c>
      <c r="C161" s="4">
        <v>46195</v>
      </c>
      <c r="D161" s="4">
        <v>46210</v>
      </c>
      <c r="E161" s="4">
        <v>46215</v>
      </c>
      <c r="F161" s="63" t="s">
        <v>235</v>
      </c>
      <c r="G161" s="63" t="s">
        <v>3848</v>
      </c>
      <c r="H161" s="63" t="s">
        <v>479</v>
      </c>
      <c r="I161" s="63" t="s">
        <v>70</v>
      </c>
      <c r="J161" s="63" t="s">
        <v>71</v>
      </c>
      <c r="K161" s="63" t="s">
        <v>655</v>
      </c>
      <c r="L161" s="63" t="s">
        <v>553</v>
      </c>
      <c r="M161" s="69">
        <v>671.88</v>
      </c>
      <c r="N161" s="63" t="s">
        <v>65</v>
      </c>
      <c r="O161" s="73">
        <f>_xlfn.XLOOKUP(Supplier_Perf_Table[[#This Row],[Currency]],'Comments 2'!$C$4:$C$16,'Comments 2'!$D$4:$D$16)</f>
        <v>1</v>
      </c>
      <c r="P161" s="69">
        <f>IFERROR(Supplier_Perf_Table[[#This Row],[Unit_Cost]]*Supplier_Perf_Table[[#This Row],[Dollar Equivalent]],"")</f>
        <v>671.88</v>
      </c>
      <c r="Q161" s="75">
        <v>100</v>
      </c>
      <c r="R161" s="1">
        <v>67188</v>
      </c>
      <c r="S161" s="75">
        <f>Supplier_Perf_Table[[#This Row],[Unit_Cost]]*Supplier_Perf_Table[[#This Row],[Order_Quantity]]</f>
        <v>67188</v>
      </c>
      <c r="T161" s="75">
        <f>IFERROR(Supplier_Perf_Table[[#This Row],[Dollar Equivalent]]*Supplier_Perf_Table[[#This Row],[Ordered_Value]],"")</f>
        <v>67188</v>
      </c>
      <c r="U161" s="75">
        <v>6</v>
      </c>
      <c r="V161" s="7">
        <v>0.06</v>
      </c>
      <c r="W161" s="75">
        <v>20</v>
      </c>
      <c r="X161" s="55">
        <f>IFERROR(Supplier_Perf_Table[[#This Row],[Actual_Delivery_Date]]-Supplier_Perf_Table[[#This Row],[Order Date]],"")</f>
        <v>20</v>
      </c>
      <c r="Y161" s="75">
        <v>15</v>
      </c>
      <c r="Z161" s="56">
        <f>IFERROR(Supplier_Perf_Table[[#This Row],[Expected Delivery_Date]]-Supplier_Perf_Table[[#This Row],[Order Date]],"")</f>
        <v>15</v>
      </c>
      <c r="AA161" s="56">
        <f>Supplier_Perf_Table[[#This Row],[Calculated_Lead_Time2]]-Supplier_Perf_Table[[#This Row],[Calculated_Expected_Lead_Time]]</f>
        <v>5</v>
      </c>
      <c r="AB161" s="75">
        <v>5</v>
      </c>
      <c r="AC161" s="63" t="s">
        <v>39</v>
      </c>
      <c r="AD161" s="63" t="s">
        <v>420</v>
      </c>
      <c r="AE161" s="63" t="s">
        <v>105</v>
      </c>
      <c r="AF161" s="63" t="s">
        <v>3088</v>
      </c>
      <c r="AG161" s="63" t="s">
        <v>43</v>
      </c>
      <c r="AH161" s="63" t="s">
        <v>206</v>
      </c>
      <c r="AI161" s="63" t="s">
        <v>138</v>
      </c>
      <c r="AJ161" s="63" t="s">
        <v>96</v>
      </c>
      <c r="AK161" s="83">
        <v>1.1000000000000001</v>
      </c>
      <c r="AL161" s="63" t="s">
        <v>115</v>
      </c>
      <c r="AM161" s="63" t="s">
        <v>77</v>
      </c>
      <c r="AN161"/>
    </row>
    <row r="162" spans="1:40" ht="18" customHeight="1">
      <c r="A162" s="1" t="s">
        <v>656</v>
      </c>
      <c r="B162" s="1" t="s">
        <v>657</v>
      </c>
      <c r="C162" s="4">
        <v>46144</v>
      </c>
      <c r="D162" s="4">
        <v>46152</v>
      </c>
      <c r="E162" s="4">
        <v>46155</v>
      </c>
      <c r="F162" s="63" t="s">
        <v>162</v>
      </c>
      <c r="G162" s="63" t="s">
        <v>3847</v>
      </c>
      <c r="H162" s="63" t="s">
        <v>152</v>
      </c>
      <c r="I162" s="63" t="s">
        <v>120</v>
      </c>
      <c r="J162" s="63" t="s">
        <v>163</v>
      </c>
      <c r="K162" s="63" t="s">
        <v>658</v>
      </c>
      <c r="L162" s="63" t="s">
        <v>165</v>
      </c>
      <c r="M162" s="69">
        <v>1931.94</v>
      </c>
      <c r="N162" s="63" t="s">
        <v>53</v>
      </c>
      <c r="O162" s="73">
        <f>_xlfn.XLOOKUP(Supplier_Perf_Table[[#This Row],[Currency]],'Comments 2'!$C$4:$C$16,'Comments 2'!$D$4:$D$16)</f>
        <v>6.0999999999999999E-2</v>
      </c>
      <c r="P162" s="69">
        <f>IFERROR(Supplier_Perf_Table[[#This Row],[Unit_Cost]]*Supplier_Perf_Table[[#This Row],[Dollar Equivalent]],"")</f>
        <v>117.84834000000001</v>
      </c>
      <c r="Q162" s="75">
        <v>150</v>
      </c>
      <c r="R162" s="1">
        <v>289791</v>
      </c>
      <c r="S162" s="75">
        <f>Supplier_Perf_Table[[#This Row],[Unit_Cost]]*Supplier_Perf_Table[[#This Row],[Order_Quantity]]</f>
        <v>289791</v>
      </c>
      <c r="T162" s="75">
        <f>IFERROR(Supplier_Perf_Table[[#This Row],[Dollar Equivalent]]*Supplier_Perf_Table[[#This Row],[Ordered_Value]],"")</f>
        <v>17677.251</v>
      </c>
      <c r="U162" s="75">
        <v>3</v>
      </c>
      <c r="V162" s="7">
        <v>0.02</v>
      </c>
      <c r="W162" s="75">
        <v>11</v>
      </c>
      <c r="X162" s="55">
        <f>IFERROR(Supplier_Perf_Table[[#This Row],[Actual_Delivery_Date]]-Supplier_Perf_Table[[#This Row],[Order Date]],"")</f>
        <v>11</v>
      </c>
      <c r="Y162" s="75">
        <v>8</v>
      </c>
      <c r="Z162" s="56">
        <f>IFERROR(Supplier_Perf_Table[[#This Row],[Expected Delivery_Date]]-Supplier_Perf_Table[[#This Row],[Order Date]],"")</f>
        <v>8</v>
      </c>
      <c r="AA162" s="56">
        <f>Supplier_Perf_Table[[#This Row],[Calculated_Lead_Time2]]-Supplier_Perf_Table[[#This Row],[Calculated_Expected_Lead_Time]]</f>
        <v>3</v>
      </c>
      <c r="AB162" s="75">
        <v>3</v>
      </c>
      <c r="AC162" s="63" t="s">
        <v>166</v>
      </c>
      <c r="AD162" s="63" t="s">
        <v>40</v>
      </c>
      <c r="AE162" s="63" t="s">
        <v>105</v>
      </c>
      <c r="AF162" s="63" t="s">
        <v>66</v>
      </c>
      <c r="AG162" s="63" t="s">
        <v>3088</v>
      </c>
      <c r="AH162" s="63" t="s">
        <v>3112</v>
      </c>
      <c r="AI162" s="63" t="s">
        <v>44</v>
      </c>
      <c r="AJ162" s="63" t="s">
        <v>138</v>
      </c>
      <c r="AK162" s="83">
        <v>4.3</v>
      </c>
      <c r="AL162" s="63" t="s">
        <v>45</v>
      </c>
      <c r="AM162" s="63" t="s">
        <v>46</v>
      </c>
      <c r="AN162"/>
    </row>
    <row r="163" spans="1:40" ht="18" customHeight="1">
      <c r="A163" s="1" t="s">
        <v>659</v>
      </c>
      <c r="B163" s="1" t="s">
        <v>660</v>
      </c>
      <c r="C163" s="4">
        <v>46162</v>
      </c>
      <c r="D163" s="4">
        <v>46179</v>
      </c>
      <c r="E163" s="4">
        <v>46182</v>
      </c>
      <c r="F163" s="63" t="s">
        <v>235</v>
      </c>
      <c r="G163" s="63" t="s">
        <v>3848</v>
      </c>
      <c r="H163" s="63" t="s">
        <v>479</v>
      </c>
      <c r="I163" s="63" t="s">
        <v>120</v>
      </c>
      <c r="J163" s="63" t="s">
        <v>71</v>
      </c>
      <c r="K163" s="63" t="s">
        <v>661</v>
      </c>
      <c r="L163" s="63" t="s">
        <v>238</v>
      </c>
      <c r="M163" s="69">
        <v>172.54</v>
      </c>
      <c r="N163" s="63" t="s">
        <v>159</v>
      </c>
      <c r="O163" s="73">
        <f>_xlfn.XLOOKUP(Supplier_Perf_Table[[#This Row],[Currency]],'Comments 2'!$C$4:$C$16,'Comments 2'!$D$4:$D$16)</f>
        <v>7.2999999999999996E-4</v>
      </c>
      <c r="P163" s="69">
        <f>IFERROR(Supplier_Perf_Table[[#This Row],[Unit_Cost]]*Supplier_Perf_Table[[#This Row],[Dollar Equivalent]],"")</f>
        <v>0.12595419999999999</v>
      </c>
      <c r="Q163" s="75">
        <v>75</v>
      </c>
      <c r="R163" s="1">
        <v>12940.5</v>
      </c>
      <c r="S163" s="75">
        <f>Supplier_Perf_Table[[#This Row],[Unit_Cost]]*Supplier_Perf_Table[[#This Row],[Order_Quantity]]</f>
        <v>12940.5</v>
      </c>
      <c r="T163" s="75">
        <f>IFERROR(Supplier_Perf_Table[[#This Row],[Dollar Equivalent]]*Supplier_Perf_Table[[#This Row],[Ordered_Value]],"")</f>
        <v>9.4465649999999997</v>
      </c>
      <c r="U163" s="75">
        <v>-1</v>
      </c>
      <c r="V163" s="7">
        <v>0.04</v>
      </c>
      <c r="W163" s="75">
        <v>20</v>
      </c>
      <c r="X163" s="55">
        <f>IFERROR(Supplier_Perf_Table[[#This Row],[Actual_Delivery_Date]]-Supplier_Perf_Table[[#This Row],[Order Date]],"")</f>
        <v>20</v>
      </c>
      <c r="Y163" s="75">
        <v>17</v>
      </c>
      <c r="Z163" s="56">
        <f>IFERROR(Supplier_Perf_Table[[#This Row],[Expected Delivery_Date]]-Supplier_Perf_Table[[#This Row],[Order Date]],"")</f>
        <v>17</v>
      </c>
      <c r="AA163" s="56">
        <f>Supplier_Perf_Table[[#This Row],[Calculated_Lead_Time2]]-Supplier_Perf_Table[[#This Row],[Calculated_Expected_Lead_Time]]</f>
        <v>3</v>
      </c>
      <c r="AB163" s="75"/>
      <c r="AC163" s="63" t="s">
        <v>135</v>
      </c>
      <c r="AD163" s="63" t="s">
        <v>40</v>
      </c>
      <c r="AE163" s="63" t="s">
        <v>105</v>
      </c>
      <c r="AF163" s="63" t="s">
        <v>42</v>
      </c>
      <c r="AG163" s="63" t="s">
        <v>43</v>
      </c>
      <c r="AH163" s="63" t="s">
        <v>3112</v>
      </c>
      <c r="AI163" s="63" t="s">
        <v>44</v>
      </c>
      <c r="AJ163" s="63" t="s">
        <v>138</v>
      </c>
      <c r="AK163" s="83">
        <v>2.5</v>
      </c>
      <c r="AL163" s="63" t="s">
        <v>108</v>
      </c>
      <c r="AM163" s="63" t="s">
        <v>46</v>
      </c>
      <c r="AN163"/>
    </row>
    <row r="164" spans="1:40" ht="18" customHeight="1">
      <c r="A164" s="1" t="s">
        <v>662</v>
      </c>
      <c r="B164" s="1" t="s">
        <v>663</v>
      </c>
      <c r="C164" s="4">
        <v>46091</v>
      </c>
      <c r="D164" s="4">
        <v>46101</v>
      </c>
      <c r="E164" s="4">
        <v>46102</v>
      </c>
      <c r="F164" s="63" t="s">
        <v>80</v>
      </c>
      <c r="G164" s="63" t="s">
        <v>3839</v>
      </c>
      <c r="H164" s="63" t="s">
        <v>82</v>
      </c>
      <c r="I164" s="63" t="s">
        <v>92</v>
      </c>
      <c r="J164" s="63" t="s">
        <v>35</v>
      </c>
      <c r="K164" s="63" t="s">
        <v>664</v>
      </c>
      <c r="L164" s="63" t="s">
        <v>37</v>
      </c>
      <c r="M164" s="69">
        <v>233.97</v>
      </c>
      <c r="N164" s="63" t="s">
        <v>86</v>
      </c>
      <c r="O164" s="73">
        <f>_xlfn.XLOOKUP(Supplier_Perf_Table[[#This Row],[Currency]],'Comments 2'!$C$4:$C$16,'Comments 2'!$D$4:$D$16)</f>
        <v>8.8999999999999996E-2</v>
      </c>
      <c r="P164" s="69">
        <f>IFERROR(Supplier_Perf_Table[[#This Row],[Unit_Cost]]*Supplier_Perf_Table[[#This Row],[Dollar Equivalent]],"")</f>
        <v>20.823329999999999</v>
      </c>
      <c r="Q164" s="75">
        <v>250</v>
      </c>
      <c r="R164" s="1">
        <v>58492.5</v>
      </c>
      <c r="S164" s="75">
        <f>Supplier_Perf_Table[[#This Row],[Unit_Cost]]*Supplier_Perf_Table[[#This Row],[Order_Quantity]]</f>
        <v>58492.5</v>
      </c>
      <c r="T164" s="75">
        <f>IFERROR(Supplier_Perf_Table[[#This Row],[Dollar Equivalent]]*Supplier_Perf_Table[[#This Row],[Ordered_Value]],"")</f>
        <v>5205.8324999999995</v>
      </c>
      <c r="U164" s="75">
        <v>3</v>
      </c>
      <c r="V164" s="7">
        <v>1.2E-2</v>
      </c>
      <c r="W164" s="75">
        <v>11</v>
      </c>
      <c r="X164" s="55">
        <f>IFERROR(Supplier_Perf_Table[[#This Row],[Actual_Delivery_Date]]-Supplier_Perf_Table[[#This Row],[Order Date]],"")</f>
        <v>11</v>
      </c>
      <c r="Y164" s="75">
        <v>10</v>
      </c>
      <c r="Z164" s="56">
        <f>IFERROR(Supplier_Perf_Table[[#This Row],[Expected Delivery_Date]]-Supplier_Perf_Table[[#This Row],[Order Date]],"")</f>
        <v>10</v>
      </c>
      <c r="AA164" s="56">
        <f>Supplier_Perf_Table[[#This Row],[Calculated_Lead_Time2]]-Supplier_Perf_Table[[#This Row],[Calculated_Expected_Lead_Time]]</f>
        <v>1</v>
      </c>
      <c r="AB164" s="75">
        <v>1</v>
      </c>
      <c r="AC164" s="63" t="s">
        <v>135</v>
      </c>
      <c r="AD164" s="63" t="s">
        <v>40</v>
      </c>
      <c r="AE164" s="63" t="s">
        <v>41</v>
      </c>
      <c r="AF164" s="63" t="s">
        <v>3088</v>
      </c>
      <c r="AG164" s="63" t="s">
        <v>3088</v>
      </c>
      <c r="AH164" s="63" t="s">
        <v>129</v>
      </c>
      <c r="AI164" s="63" t="s">
        <v>147</v>
      </c>
      <c r="AJ164" s="63" t="s">
        <v>138</v>
      </c>
      <c r="AK164" s="83">
        <v>2.9</v>
      </c>
      <c r="AL164" s="63" t="s">
        <v>57</v>
      </c>
      <c r="AM164" s="63" t="s">
        <v>46</v>
      </c>
      <c r="AN164"/>
    </row>
    <row r="165" spans="1:40" ht="18" customHeight="1">
      <c r="A165" s="1" t="s">
        <v>665</v>
      </c>
      <c r="B165" s="1" t="s">
        <v>666</v>
      </c>
      <c r="C165" s="4">
        <v>46074</v>
      </c>
      <c r="D165" s="4">
        <v>46093</v>
      </c>
      <c r="E165" s="4">
        <v>46097</v>
      </c>
      <c r="F165" s="63" t="s">
        <v>90</v>
      </c>
      <c r="G165" s="63" t="s">
        <v>3840</v>
      </c>
      <c r="H165" s="63" t="s">
        <v>133</v>
      </c>
      <c r="I165" s="63" t="s">
        <v>61</v>
      </c>
      <c r="J165" s="63" t="s">
        <v>71</v>
      </c>
      <c r="K165" s="63" t="s">
        <v>667</v>
      </c>
      <c r="L165" s="63" t="s">
        <v>553</v>
      </c>
      <c r="M165" s="69">
        <v>832.63</v>
      </c>
      <c r="N165" s="63" t="s">
        <v>291</v>
      </c>
      <c r="O165" s="73">
        <f>_xlfn.XLOOKUP(Supplier_Perf_Table[[#This Row],[Currency]],'Comments 2'!$C$4:$C$16,'Comments 2'!$D$4:$D$16)</f>
        <v>7.2999999999999996E-4</v>
      </c>
      <c r="P165" s="69">
        <f>IFERROR(Supplier_Perf_Table[[#This Row],[Unit_Cost]]*Supplier_Perf_Table[[#This Row],[Dollar Equivalent]],"")</f>
        <v>0.60781989999999997</v>
      </c>
      <c r="Q165" s="75">
        <v>750</v>
      </c>
      <c r="R165" s="1">
        <v>624472.5</v>
      </c>
      <c r="S165" s="75">
        <f>Supplier_Perf_Table[[#This Row],[Unit_Cost]]*Supplier_Perf_Table[[#This Row],[Order_Quantity]]</f>
        <v>624472.5</v>
      </c>
      <c r="T165" s="75">
        <f>IFERROR(Supplier_Perf_Table[[#This Row],[Dollar Equivalent]]*Supplier_Perf_Table[[#This Row],[Ordered_Value]],"")</f>
        <v>455.86492499999997</v>
      </c>
      <c r="U165" s="75"/>
      <c r="V165" s="7">
        <v>4.2700000000000002E-2</v>
      </c>
      <c r="W165" s="75">
        <v>23</v>
      </c>
      <c r="X165" s="55">
        <f>IFERROR(Supplier_Perf_Table[[#This Row],[Actual_Delivery_Date]]-Supplier_Perf_Table[[#This Row],[Order Date]],"")</f>
        <v>23</v>
      </c>
      <c r="Y165" s="75">
        <v>19</v>
      </c>
      <c r="Z165" s="56">
        <f>IFERROR(Supplier_Perf_Table[[#This Row],[Expected Delivery_Date]]-Supplier_Perf_Table[[#This Row],[Order Date]],"")</f>
        <v>19</v>
      </c>
      <c r="AA165" s="56">
        <f>Supplier_Perf_Table[[#This Row],[Calculated_Lead_Time2]]-Supplier_Perf_Table[[#This Row],[Calculated_Expected_Lead_Time]]</f>
        <v>4</v>
      </c>
      <c r="AB165" s="75">
        <v>4</v>
      </c>
      <c r="AC165" s="63" t="s">
        <v>39</v>
      </c>
      <c r="AD165" s="63" t="s">
        <v>420</v>
      </c>
      <c r="AE165" s="63" t="s">
        <v>105</v>
      </c>
      <c r="AF165" s="63" t="s">
        <v>190</v>
      </c>
      <c r="AG165" s="63" t="s">
        <v>107</v>
      </c>
      <c r="AH165" s="63" t="s">
        <v>174</v>
      </c>
      <c r="AI165" s="63" t="s">
        <v>95</v>
      </c>
      <c r="AJ165" s="63" t="s">
        <v>373</v>
      </c>
      <c r="AK165" s="83">
        <v>2.9</v>
      </c>
      <c r="AL165" s="63" t="s">
        <v>45</v>
      </c>
      <c r="AM165" s="63" t="s">
        <v>77</v>
      </c>
      <c r="AN165"/>
    </row>
    <row r="166" spans="1:40" ht="18" customHeight="1">
      <c r="A166" s="1" t="s">
        <v>668</v>
      </c>
      <c r="B166" s="1" t="s">
        <v>669</v>
      </c>
      <c r="C166" s="4">
        <v>46161</v>
      </c>
      <c r="D166" s="4">
        <v>46184</v>
      </c>
      <c r="E166" s="4">
        <v>46183</v>
      </c>
      <c r="F166" s="63" t="s">
        <v>32</v>
      </c>
      <c r="G166" s="63" t="s">
        <v>3835</v>
      </c>
      <c r="H166" s="63" t="s">
        <v>177</v>
      </c>
      <c r="I166" s="63" t="s">
        <v>178</v>
      </c>
      <c r="J166" s="63" t="s">
        <v>35</v>
      </c>
      <c r="K166" s="63" t="s">
        <v>670</v>
      </c>
      <c r="L166" s="63" t="s">
        <v>200</v>
      </c>
      <c r="M166" s="69">
        <v>1351.08</v>
      </c>
      <c r="N166" s="63" t="s">
        <v>104</v>
      </c>
      <c r="O166" s="73">
        <f>_xlfn.XLOOKUP(Supplier_Perf_Table[[#This Row],[Currency]],'Comments 2'!$C$4:$C$16,'Comments 2'!$D$4:$D$16)</f>
        <v>1.9E-2</v>
      </c>
      <c r="P166" s="69">
        <f>IFERROR(Supplier_Perf_Table[[#This Row],[Unit_Cost]]*Supplier_Perf_Table[[#This Row],[Dollar Equivalent]],"")</f>
        <v>25.670519999999996</v>
      </c>
      <c r="Q166" s="75">
        <v>1500</v>
      </c>
      <c r="R166" s="1">
        <v>2026620</v>
      </c>
      <c r="S166" s="75">
        <f>Supplier_Perf_Table[[#This Row],[Unit_Cost]]*Supplier_Perf_Table[[#This Row],[Order_Quantity]]</f>
        <v>2026620</v>
      </c>
      <c r="T166" s="75">
        <f>IFERROR(Supplier_Perf_Table[[#This Row],[Dollar Equivalent]]*Supplier_Perf_Table[[#This Row],[Ordered_Value]],"")</f>
        <v>38505.78</v>
      </c>
      <c r="U166" s="75">
        <v>77</v>
      </c>
      <c r="V166" s="7">
        <v>5.1299999999999998E-2</v>
      </c>
      <c r="W166" s="75">
        <v>22</v>
      </c>
      <c r="X166" s="55">
        <f>IFERROR(Supplier_Perf_Table[[#This Row],[Actual_Delivery_Date]]-Supplier_Perf_Table[[#This Row],[Order Date]],"")</f>
        <v>22</v>
      </c>
      <c r="Y166" s="75">
        <v>23</v>
      </c>
      <c r="Z166" s="56">
        <f>IFERROR(Supplier_Perf_Table[[#This Row],[Expected Delivery_Date]]-Supplier_Perf_Table[[#This Row],[Order Date]],"")</f>
        <v>23</v>
      </c>
      <c r="AA166" s="56">
        <f>Supplier_Perf_Table[[#This Row],[Calculated_Lead_Time2]]-Supplier_Perf_Table[[#This Row],[Calculated_Expected_Lead_Time]]</f>
        <v>-1</v>
      </c>
      <c r="AB166" s="75">
        <v>-1</v>
      </c>
      <c r="AC166" s="63" t="s">
        <v>87</v>
      </c>
      <c r="AD166" s="63" t="s">
        <v>74</v>
      </c>
      <c r="AE166" s="63" t="s">
        <v>105</v>
      </c>
      <c r="AF166" s="63" t="s">
        <v>66</v>
      </c>
      <c r="AG166" s="63" t="s">
        <v>3088</v>
      </c>
      <c r="AH166" s="63" t="s">
        <v>136</v>
      </c>
      <c r="AI166" s="63" t="s">
        <v>138</v>
      </c>
      <c r="AJ166" s="63" t="s">
        <v>96</v>
      </c>
      <c r="AK166" s="83">
        <v>3.3</v>
      </c>
      <c r="AL166" s="63" t="s">
        <v>76</v>
      </c>
      <c r="AM166" s="63" t="s">
        <v>97</v>
      </c>
      <c r="AN166"/>
    </row>
    <row r="167" spans="1:40" ht="18" customHeight="1">
      <c r="A167" s="1" t="s">
        <v>671</v>
      </c>
      <c r="B167" s="1" t="s">
        <v>672</v>
      </c>
      <c r="C167" s="4">
        <v>46113</v>
      </c>
      <c r="D167" s="4">
        <v>46120</v>
      </c>
      <c r="E167" s="4">
        <v>46127</v>
      </c>
      <c r="F167" s="63" t="s">
        <v>209</v>
      </c>
      <c r="G167" s="63" t="s">
        <v>3845</v>
      </c>
      <c r="H167" s="63" t="s">
        <v>316</v>
      </c>
      <c r="I167" s="63" t="s">
        <v>241</v>
      </c>
      <c r="J167" s="63" t="s">
        <v>153</v>
      </c>
      <c r="K167" s="63" t="s">
        <v>673</v>
      </c>
      <c r="L167" s="63" t="s">
        <v>295</v>
      </c>
      <c r="M167" s="69">
        <v>138.83000000000001</v>
      </c>
      <c r="N167" s="63" t="s">
        <v>65</v>
      </c>
      <c r="O167" s="73">
        <f>_xlfn.XLOOKUP(Supplier_Perf_Table[[#This Row],[Currency]],'Comments 2'!$C$4:$C$16,'Comments 2'!$D$4:$D$16)</f>
        <v>1</v>
      </c>
      <c r="P167" s="69">
        <f>IFERROR(Supplier_Perf_Table[[#This Row],[Unit_Cost]]*Supplier_Perf_Table[[#This Row],[Dollar Equivalent]],"")</f>
        <v>138.83000000000001</v>
      </c>
      <c r="Q167" s="75">
        <v>50</v>
      </c>
      <c r="R167" s="1">
        <v>6941.5</v>
      </c>
      <c r="S167" s="75">
        <f>Supplier_Perf_Table[[#This Row],[Unit_Cost]]*Supplier_Perf_Table[[#This Row],[Order_Quantity]]</f>
        <v>6941.5000000000009</v>
      </c>
      <c r="T167" s="75">
        <f>IFERROR(Supplier_Perf_Table[[#This Row],[Dollar Equivalent]]*Supplier_Perf_Table[[#This Row],[Ordered_Value]],"")</f>
        <v>6941.5</v>
      </c>
      <c r="U167" s="75">
        <v>2</v>
      </c>
      <c r="V167" s="7">
        <v>0.04</v>
      </c>
      <c r="W167" s="75">
        <v>-5</v>
      </c>
      <c r="X167" s="55">
        <f>IFERROR(Supplier_Perf_Table[[#This Row],[Actual_Delivery_Date]]-Supplier_Perf_Table[[#This Row],[Order Date]],"")</f>
        <v>14</v>
      </c>
      <c r="Y167" s="75">
        <v>7</v>
      </c>
      <c r="Z167" s="56">
        <f>IFERROR(Supplier_Perf_Table[[#This Row],[Expected Delivery_Date]]-Supplier_Perf_Table[[#This Row],[Order Date]],"")</f>
        <v>7</v>
      </c>
      <c r="AA167" s="56">
        <f>Supplier_Perf_Table[[#This Row],[Calculated_Lead_Time2]]-Supplier_Perf_Table[[#This Row],[Calculated_Expected_Lead_Time]]</f>
        <v>7</v>
      </c>
      <c r="AB167" s="75">
        <v>7</v>
      </c>
      <c r="AC167" s="63" t="s">
        <v>135</v>
      </c>
      <c r="AD167" s="63" t="s">
        <v>40</v>
      </c>
      <c r="AE167" s="63" t="s">
        <v>3088</v>
      </c>
      <c r="AF167" s="63" t="s">
        <v>106</v>
      </c>
      <c r="AG167" s="63" t="s">
        <v>128</v>
      </c>
      <c r="AH167" s="63" t="s">
        <v>206</v>
      </c>
      <c r="AI167" s="63" t="s">
        <v>56</v>
      </c>
      <c r="AJ167" s="63" t="s">
        <v>138</v>
      </c>
      <c r="AK167" s="83">
        <v>2.5</v>
      </c>
      <c r="AL167" s="63" t="s">
        <v>139</v>
      </c>
      <c r="AM167" s="63" t="s">
        <v>148</v>
      </c>
      <c r="AN167"/>
    </row>
    <row r="168" spans="1:40" ht="18" customHeight="1">
      <c r="A168" s="1" t="s">
        <v>674</v>
      </c>
      <c r="B168" s="1" t="s">
        <v>675</v>
      </c>
      <c r="C168" s="4">
        <v>46137</v>
      </c>
      <c r="D168" s="4">
        <v>46155</v>
      </c>
      <c r="E168" s="4">
        <v>46156</v>
      </c>
      <c r="F168" s="63" t="s">
        <v>142</v>
      </c>
      <c r="G168" s="63" t="s">
        <v>3843</v>
      </c>
      <c r="H168" s="63" t="s">
        <v>169</v>
      </c>
      <c r="I168" s="63" t="s">
        <v>241</v>
      </c>
      <c r="J168" s="63" t="s">
        <v>50</v>
      </c>
      <c r="K168" s="63" t="s">
        <v>676</v>
      </c>
      <c r="L168" s="63" t="s">
        <v>145</v>
      </c>
      <c r="M168" s="69">
        <v>1363.85</v>
      </c>
      <c r="N168" s="63" t="s">
        <v>104</v>
      </c>
      <c r="O168" s="73">
        <f>_xlfn.XLOOKUP(Supplier_Perf_Table[[#This Row],[Currency]],'Comments 2'!$C$4:$C$16,'Comments 2'!$D$4:$D$16)</f>
        <v>1.9E-2</v>
      </c>
      <c r="P168" s="69">
        <f>IFERROR(Supplier_Perf_Table[[#This Row],[Unit_Cost]]*Supplier_Perf_Table[[#This Row],[Dollar Equivalent]],"")</f>
        <v>25.913149999999998</v>
      </c>
      <c r="Q168" s="75">
        <v>150</v>
      </c>
      <c r="R168" s="1">
        <v>204577.5</v>
      </c>
      <c r="S168" s="75">
        <f>Supplier_Perf_Table[[#This Row],[Unit_Cost]]*Supplier_Perf_Table[[#This Row],[Order_Quantity]]</f>
        <v>204577.5</v>
      </c>
      <c r="T168" s="75">
        <f>IFERROR(Supplier_Perf_Table[[#This Row],[Dollar Equivalent]]*Supplier_Perf_Table[[#This Row],[Ordered_Value]],"")</f>
        <v>3886.9724999999999</v>
      </c>
      <c r="U168" s="75">
        <v>3</v>
      </c>
      <c r="V168" s="7">
        <v>0.02</v>
      </c>
      <c r="W168" s="75">
        <v>19</v>
      </c>
      <c r="X168" s="55">
        <f>IFERROR(Supplier_Perf_Table[[#This Row],[Actual_Delivery_Date]]-Supplier_Perf_Table[[#This Row],[Order Date]],"")</f>
        <v>19</v>
      </c>
      <c r="Y168" s="75">
        <v>18</v>
      </c>
      <c r="Z168" s="56">
        <f>IFERROR(Supplier_Perf_Table[[#This Row],[Expected Delivery_Date]]-Supplier_Perf_Table[[#This Row],[Order Date]],"")</f>
        <v>18</v>
      </c>
      <c r="AA168" s="56">
        <f>Supplier_Perf_Table[[#This Row],[Calculated_Lead_Time2]]-Supplier_Perf_Table[[#This Row],[Calculated_Expected_Lead_Time]]</f>
        <v>1</v>
      </c>
      <c r="AB168" s="75">
        <v>1</v>
      </c>
      <c r="AC168" s="63" t="s">
        <v>135</v>
      </c>
      <c r="AD168" s="63" t="s">
        <v>40</v>
      </c>
      <c r="AE168" s="63" t="s">
        <v>146</v>
      </c>
      <c r="AF168" s="63" t="s">
        <v>106</v>
      </c>
      <c r="AG168" s="63" t="s">
        <v>107</v>
      </c>
      <c r="AH168" s="63" t="s">
        <v>174</v>
      </c>
      <c r="AI168" s="63" t="s">
        <v>137</v>
      </c>
      <c r="AJ168" s="63" t="s">
        <v>138</v>
      </c>
      <c r="AK168" s="83">
        <v>4.3</v>
      </c>
      <c r="AL168" s="63" t="s">
        <v>115</v>
      </c>
      <c r="AM168" s="63" t="s">
        <v>148</v>
      </c>
      <c r="AN168"/>
    </row>
    <row r="169" spans="1:40" ht="18" customHeight="1">
      <c r="A169" s="1" t="s">
        <v>677</v>
      </c>
      <c r="B169" s="1" t="s">
        <v>678</v>
      </c>
      <c r="C169" s="4">
        <v>46058</v>
      </c>
      <c r="D169" s="4">
        <v>46068</v>
      </c>
      <c r="E169" s="4">
        <v>46064</v>
      </c>
      <c r="F169" s="63" t="s">
        <v>80</v>
      </c>
      <c r="G169" s="63" t="s">
        <v>3839</v>
      </c>
      <c r="H169" s="63" t="s">
        <v>82</v>
      </c>
      <c r="I169" s="63" t="s">
        <v>178</v>
      </c>
      <c r="J169" s="63" t="s">
        <v>35</v>
      </c>
      <c r="K169" s="63" t="s">
        <v>679</v>
      </c>
      <c r="L169" s="63" t="s">
        <v>37</v>
      </c>
      <c r="M169" s="69">
        <v>1273.6300000000001</v>
      </c>
      <c r="N169" s="63" t="s">
        <v>53</v>
      </c>
      <c r="O169" s="73">
        <f>_xlfn.XLOOKUP(Supplier_Perf_Table[[#This Row],[Currency]],'Comments 2'!$C$4:$C$16,'Comments 2'!$D$4:$D$16)</f>
        <v>6.0999999999999999E-2</v>
      </c>
      <c r="P169" s="69">
        <f>IFERROR(Supplier_Perf_Table[[#This Row],[Unit_Cost]]*Supplier_Perf_Table[[#This Row],[Dollar Equivalent]],"")</f>
        <v>77.691430000000011</v>
      </c>
      <c r="Q169" s="75">
        <v>750</v>
      </c>
      <c r="R169" s="1">
        <v>955222.5</v>
      </c>
      <c r="S169" s="75">
        <f>Supplier_Perf_Table[[#This Row],[Unit_Cost]]*Supplier_Perf_Table[[#This Row],[Order_Quantity]]</f>
        <v>955222.50000000012</v>
      </c>
      <c r="T169" s="75">
        <f>IFERROR(Supplier_Perf_Table[[#This Row],[Dollar Equivalent]]*Supplier_Perf_Table[[#This Row],[Ordered_Value]],"")</f>
        <v>58268.572500000002</v>
      </c>
      <c r="U169" s="75">
        <v>13</v>
      </c>
      <c r="V169" s="7">
        <v>1.7299999999999999E-2</v>
      </c>
      <c r="W169" s="75">
        <v>6</v>
      </c>
      <c r="X169" s="55">
        <f>IFERROR(Supplier_Perf_Table[[#This Row],[Actual_Delivery_Date]]-Supplier_Perf_Table[[#This Row],[Order Date]],"")</f>
        <v>6</v>
      </c>
      <c r="Y169" s="75">
        <v>10</v>
      </c>
      <c r="Z169" s="56">
        <f>IFERROR(Supplier_Perf_Table[[#This Row],[Expected Delivery_Date]]-Supplier_Perf_Table[[#This Row],[Order Date]],"")</f>
        <v>10</v>
      </c>
      <c r="AA169" s="56">
        <f>Supplier_Perf_Table[[#This Row],[Calculated_Lead_Time2]]-Supplier_Perf_Table[[#This Row],[Calculated_Expected_Lead_Time]]</f>
        <v>-4</v>
      </c>
      <c r="AB169" s="75">
        <v>-4</v>
      </c>
      <c r="AC169" s="63" t="s">
        <v>87</v>
      </c>
      <c r="AD169" s="63" t="s">
        <v>40</v>
      </c>
      <c r="AE169" s="63" t="s">
        <v>41</v>
      </c>
      <c r="AF169" s="63" t="s">
        <v>190</v>
      </c>
      <c r="AG169" s="63" t="s">
        <v>54</v>
      </c>
      <c r="AH169" s="63" t="s">
        <v>129</v>
      </c>
      <c r="AI169" s="63" t="s">
        <v>138</v>
      </c>
      <c r="AJ169" s="63" t="s">
        <v>138</v>
      </c>
      <c r="AK169" s="83">
        <v>3.7</v>
      </c>
      <c r="AL169" s="63" t="s">
        <v>108</v>
      </c>
      <c r="AM169" s="63" t="s">
        <v>138</v>
      </c>
      <c r="AN169"/>
    </row>
    <row r="170" spans="1:40" ht="18" customHeight="1">
      <c r="A170" s="1" t="s">
        <v>417</v>
      </c>
      <c r="B170" s="1" t="s">
        <v>680</v>
      </c>
      <c r="C170" s="4">
        <v>46105</v>
      </c>
      <c r="D170" s="4">
        <v>46115</v>
      </c>
      <c r="E170" s="4">
        <v>46124</v>
      </c>
      <c r="F170" s="63" t="s">
        <v>60</v>
      </c>
      <c r="G170" s="63" t="s">
        <v>3837</v>
      </c>
      <c r="H170" s="63" t="s">
        <v>152</v>
      </c>
      <c r="I170" s="63" t="s">
        <v>120</v>
      </c>
      <c r="J170" s="63" t="s">
        <v>62</v>
      </c>
      <c r="K170" s="63" t="s">
        <v>681</v>
      </c>
      <c r="L170" s="63" t="s">
        <v>225</v>
      </c>
      <c r="M170" s="69">
        <v>455.88</v>
      </c>
      <c r="N170" s="63" t="s">
        <v>65</v>
      </c>
      <c r="O170" s="73">
        <f>_xlfn.XLOOKUP(Supplier_Perf_Table[[#This Row],[Currency]],'Comments 2'!$C$4:$C$16,'Comments 2'!$D$4:$D$16)</f>
        <v>1</v>
      </c>
      <c r="P170" s="69">
        <f>IFERROR(Supplier_Perf_Table[[#This Row],[Unit_Cost]]*Supplier_Perf_Table[[#This Row],[Dollar Equivalent]],"")</f>
        <v>455.88</v>
      </c>
      <c r="Q170" s="75">
        <v>50</v>
      </c>
      <c r="R170" s="1">
        <v>22794</v>
      </c>
      <c r="S170" s="75">
        <f>Supplier_Perf_Table[[#This Row],[Unit_Cost]]*Supplier_Perf_Table[[#This Row],[Order_Quantity]]</f>
        <v>22794</v>
      </c>
      <c r="T170" s="75">
        <f>IFERROR(Supplier_Perf_Table[[#This Row],[Dollar Equivalent]]*Supplier_Perf_Table[[#This Row],[Ordered_Value]],"")</f>
        <v>22794</v>
      </c>
      <c r="U170" s="75">
        <v>4</v>
      </c>
      <c r="V170" s="7">
        <v>0.08</v>
      </c>
      <c r="W170" s="75">
        <v>19</v>
      </c>
      <c r="X170" s="55">
        <f>IFERROR(Supplier_Perf_Table[[#This Row],[Actual_Delivery_Date]]-Supplier_Perf_Table[[#This Row],[Order Date]],"")</f>
        <v>19</v>
      </c>
      <c r="Y170" s="75">
        <v>10</v>
      </c>
      <c r="Z170" s="56">
        <f>IFERROR(Supplier_Perf_Table[[#This Row],[Expected Delivery_Date]]-Supplier_Perf_Table[[#This Row],[Order Date]],"")</f>
        <v>10</v>
      </c>
      <c r="AA170" s="56">
        <f>Supplier_Perf_Table[[#This Row],[Calculated_Lead_Time2]]-Supplier_Perf_Table[[#This Row],[Calculated_Expected_Lead_Time]]</f>
        <v>9</v>
      </c>
      <c r="AB170" s="75">
        <v>9</v>
      </c>
      <c r="AC170" s="63" t="s">
        <v>135</v>
      </c>
      <c r="AD170" s="63" t="s">
        <v>420</v>
      </c>
      <c r="AE170" s="63" t="s">
        <v>146</v>
      </c>
      <c r="AF170" s="63" t="s">
        <v>66</v>
      </c>
      <c r="AG170" s="63" t="s">
        <v>128</v>
      </c>
      <c r="AH170" s="63" t="s">
        <v>174</v>
      </c>
      <c r="AI170" s="63" t="s">
        <v>191</v>
      </c>
      <c r="AJ170" s="63" t="s">
        <v>373</v>
      </c>
      <c r="AK170" s="83">
        <v>1.2</v>
      </c>
      <c r="AL170" s="63" t="s">
        <v>76</v>
      </c>
      <c r="AM170" s="63" t="s">
        <v>185</v>
      </c>
      <c r="AN170"/>
    </row>
    <row r="171" spans="1:40" ht="18" customHeight="1">
      <c r="A171" s="1" t="s">
        <v>682</v>
      </c>
      <c r="B171" s="1" t="s">
        <v>683</v>
      </c>
      <c r="C171" s="4">
        <v>46179</v>
      </c>
      <c r="D171" s="4">
        <v>46191</v>
      </c>
      <c r="E171" s="4">
        <v>46194</v>
      </c>
      <c r="F171" s="63" t="s">
        <v>69</v>
      </c>
      <c r="G171" s="63" t="s">
        <v>3838</v>
      </c>
      <c r="H171" s="63" t="s">
        <v>194</v>
      </c>
      <c r="I171" s="63" t="s">
        <v>34</v>
      </c>
      <c r="J171" s="63" t="s">
        <v>112</v>
      </c>
      <c r="K171" s="63" t="s">
        <v>684</v>
      </c>
      <c r="L171" s="63" t="s">
        <v>229</v>
      </c>
      <c r="M171" s="69">
        <v>72.14</v>
      </c>
      <c r="N171" s="63" t="s">
        <v>86</v>
      </c>
      <c r="O171" s="73">
        <f>_xlfn.XLOOKUP(Supplier_Perf_Table[[#This Row],[Currency]],'Comments 2'!$C$4:$C$16,'Comments 2'!$D$4:$D$16)</f>
        <v>8.8999999999999996E-2</v>
      </c>
      <c r="P171" s="69">
        <f>IFERROR(Supplier_Perf_Table[[#This Row],[Unit_Cost]]*Supplier_Perf_Table[[#This Row],[Dollar Equivalent]],"")</f>
        <v>6.4204599999999994</v>
      </c>
      <c r="Q171" s="75">
        <v>500</v>
      </c>
      <c r="R171" s="1">
        <v>36070</v>
      </c>
      <c r="S171" s="75">
        <f>Supplier_Perf_Table[[#This Row],[Unit_Cost]]*Supplier_Perf_Table[[#This Row],[Order_Quantity]]</f>
        <v>36070</v>
      </c>
      <c r="T171" s="75">
        <f>IFERROR(Supplier_Perf_Table[[#This Row],[Dollar Equivalent]]*Supplier_Perf_Table[[#This Row],[Ordered_Value]],"")</f>
        <v>3210.23</v>
      </c>
      <c r="U171" s="75">
        <v>17</v>
      </c>
      <c r="V171" s="7">
        <v>3.4000000000000002E-2</v>
      </c>
      <c r="W171" s="75">
        <v>15</v>
      </c>
      <c r="X171" s="55">
        <f>IFERROR(Supplier_Perf_Table[[#This Row],[Actual_Delivery_Date]]-Supplier_Perf_Table[[#This Row],[Order Date]],"")</f>
        <v>15</v>
      </c>
      <c r="Y171" s="75">
        <v>12</v>
      </c>
      <c r="Z171" s="56">
        <f>IFERROR(Supplier_Perf_Table[[#This Row],[Expected Delivery_Date]]-Supplier_Perf_Table[[#This Row],[Order Date]],"")</f>
        <v>12</v>
      </c>
      <c r="AA171" s="56">
        <f>Supplier_Perf_Table[[#This Row],[Calculated_Lead_Time2]]-Supplier_Perf_Table[[#This Row],[Calculated_Expected_Lead_Time]]</f>
        <v>3</v>
      </c>
      <c r="AB171" s="75">
        <v>3</v>
      </c>
      <c r="AC171" s="63" t="s">
        <v>135</v>
      </c>
      <c r="AD171" s="63" t="s">
        <v>40</v>
      </c>
      <c r="AE171" s="63" t="s">
        <v>105</v>
      </c>
      <c r="AF171" s="63" t="s">
        <v>42</v>
      </c>
      <c r="AG171" s="63" t="s">
        <v>107</v>
      </c>
      <c r="AH171" s="63" t="s">
        <v>3112</v>
      </c>
      <c r="AI171" s="63" t="s">
        <v>137</v>
      </c>
      <c r="AJ171" s="63" t="s">
        <v>138</v>
      </c>
      <c r="AK171" s="83">
        <v>2.8</v>
      </c>
      <c r="AL171" s="63" t="s">
        <v>115</v>
      </c>
      <c r="AM171" s="63" t="s">
        <v>46</v>
      </c>
      <c r="AN171"/>
    </row>
    <row r="172" spans="1:40" ht="18" customHeight="1">
      <c r="A172" s="1" t="s">
        <v>685</v>
      </c>
      <c r="B172" s="1" t="s">
        <v>686</v>
      </c>
      <c r="C172" s="4">
        <v>46145</v>
      </c>
      <c r="D172" s="4">
        <v>46153</v>
      </c>
      <c r="E172" s="4">
        <v>46162</v>
      </c>
      <c r="F172" s="63" t="s">
        <v>209</v>
      </c>
      <c r="G172" s="63" t="s">
        <v>3845</v>
      </c>
      <c r="H172" s="63" t="s">
        <v>316</v>
      </c>
      <c r="I172" s="63" t="s">
        <v>49</v>
      </c>
      <c r="J172" s="63" t="s">
        <v>153</v>
      </c>
      <c r="K172" s="63" t="s">
        <v>687</v>
      </c>
      <c r="L172" s="63" t="s">
        <v>204</v>
      </c>
      <c r="M172" s="69" t="s">
        <v>3080</v>
      </c>
      <c r="N172" s="63" t="s">
        <v>104</v>
      </c>
      <c r="O172" s="73">
        <f>_xlfn.XLOOKUP(Supplier_Perf_Table[[#This Row],[Currency]],'Comments 2'!$C$4:$C$16,'Comments 2'!$D$4:$D$16)</f>
        <v>1.9E-2</v>
      </c>
      <c r="P172" s="69" t="str">
        <f>IFERROR(Supplier_Perf_Table[[#This Row],[Unit_Cost]]*Supplier_Perf_Table[[#This Row],[Dollar Equivalent]],"")</f>
        <v/>
      </c>
      <c r="Q172" s="75">
        <v>1500</v>
      </c>
      <c r="R172" s="1">
        <v>770490</v>
      </c>
      <c r="S172" s="75" t="e">
        <f>Supplier_Perf_Table[[#This Row],[Unit_Cost]]*Supplier_Perf_Table[[#This Row],[Order_Quantity]]</f>
        <v>#VALUE!</v>
      </c>
      <c r="T172" s="75">
        <f>IFERROR(Supplier_Perf_Table[[#This Row],[Dollar Equivalent]]*Supplier_Perf_Table[[#This Row],[Ordered_Value]],"")</f>
        <v>14639.31</v>
      </c>
      <c r="U172" s="75">
        <v>18</v>
      </c>
      <c r="V172" s="7">
        <v>1.2E-2</v>
      </c>
      <c r="W172" s="75">
        <v>17</v>
      </c>
      <c r="X172" s="55">
        <f>IFERROR(Supplier_Perf_Table[[#This Row],[Actual_Delivery_Date]]-Supplier_Perf_Table[[#This Row],[Order Date]],"")</f>
        <v>17</v>
      </c>
      <c r="Y172" s="75">
        <v>8</v>
      </c>
      <c r="Z172" s="56">
        <f>IFERROR(Supplier_Perf_Table[[#This Row],[Expected Delivery_Date]]-Supplier_Perf_Table[[#This Row],[Order Date]],"")</f>
        <v>8</v>
      </c>
      <c r="AA172" s="56">
        <f>Supplier_Perf_Table[[#This Row],[Calculated_Lead_Time2]]-Supplier_Perf_Table[[#This Row],[Calculated_Expected_Lead_Time]]</f>
        <v>9</v>
      </c>
      <c r="AB172" s="75">
        <v>9</v>
      </c>
      <c r="AC172" s="63" t="s">
        <v>135</v>
      </c>
      <c r="AD172" s="63" t="s">
        <v>40</v>
      </c>
      <c r="AE172" s="63" t="s">
        <v>146</v>
      </c>
      <c r="AF172" s="63" t="s">
        <v>66</v>
      </c>
      <c r="AG172" s="63" t="s">
        <v>54</v>
      </c>
      <c r="AH172" s="63" t="s">
        <v>3112</v>
      </c>
      <c r="AI172" s="63" t="s">
        <v>138</v>
      </c>
      <c r="AJ172" s="63" t="s">
        <v>138</v>
      </c>
      <c r="AK172" s="83">
        <v>1.3</v>
      </c>
      <c r="AL172" s="63" t="s">
        <v>184</v>
      </c>
      <c r="AM172" s="63" t="s">
        <v>148</v>
      </c>
      <c r="AN172"/>
    </row>
    <row r="173" spans="1:40" ht="18" customHeight="1">
      <c r="A173" s="1" t="s">
        <v>688</v>
      </c>
      <c r="B173" s="1" t="s">
        <v>689</v>
      </c>
      <c r="C173" s="4">
        <v>46110</v>
      </c>
      <c r="D173" s="4">
        <v>46118</v>
      </c>
      <c r="E173" s="4">
        <v>46110</v>
      </c>
      <c r="F173" s="63" t="s">
        <v>151</v>
      </c>
      <c r="G173" s="63" t="s">
        <v>3844</v>
      </c>
      <c r="H173" s="63" t="s">
        <v>152</v>
      </c>
      <c r="I173" s="63" t="s">
        <v>61</v>
      </c>
      <c r="J173" s="63" t="s">
        <v>112</v>
      </c>
      <c r="K173" s="63" t="s">
        <v>690</v>
      </c>
      <c r="L173" s="63" t="s">
        <v>218</v>
      </c>
      <c r="M173" s="69">
        <v>128.77000000000001</v>
      </c>
      <c r="N173" s="63" t="s">
        <v>104</v>
      </c>
      <c r="O173" s="73">
        <f>_xlfn.XLOOKUP(Supplier_Perf_Table[[#This Row],[Currency]],'Comments 2'!$C$4:$C$16,'Comments 2'!$D$4:$D$16)</f>
        <v>1.9E-2</v>
      </c>
      <c r="P173" s="69">
        <f>IFERROR(Supplier_Perf_Table[[#This Row],[Unit_Cost]]*Supplier_Perf_Table[[#This Row],[Dollar Equivalent]],"")</f>
        <v>2.4466300000000003</v>
      </c>
      <c r="Q173" s="75">
        <v>75</v>
      </c>
      <c r="R173" s="1">
        <v>9657.75</v>
      </c>
      <c r="S173" s="75">
        <f>Supplier_Perf_Table[[#This Row],[Unit_Cost]]*Supplier_Perf_Table[[#This Row],[Order_Quantity]]</f>
        <v>9657.75</v>
      </c>
      <c r="T173" s="75">
        <f>IFERROR(Supplier_Perf_Table[[#This Row],[Dollar Equivalent]]*Supplier_Perf_Table[[#This Row],[Ordered_Value]],"")</f>
        <v>183.49725000000001</v>
      </c>
      <c r="U173" s="75">
        <v>0</v>
      </c>
      <c r="V173" s="7">
        <v>0</v>
      </c>
      <c r="W173" s="75">
        <v>0</v>
      </c>
      <c r="X173" s="55">
        <f>IFERROR(Supplier_Perf_Table[[#This Row],[Actual_Delivery_Date]]-Supplier_Perf_Table[[#This Row],[Order Date]],"")</f>
        <v>0</v>
      </c>
      <c r="Y173" s="75">
        <v>8</v>
      </c>
      <c r="Z173" s="56">
        <f>IFERROR(Supplier_Perf_Table[[#This Row],[Expected Delivery_Date]]-Supplier_Perf_Table[[#This Row],[Order Date]],"")</f>
        <v>8</v>
      </c>
      <c r="AA173" s="56">
        <f>Supplier_Perf_Table[[#This Row],[Calculated_Lead_Time2]]-Supplier_Perf_Table[[#This Row],[Calculated_Expected_Lead_Time]]</f>
        <v>-8</v>
      </c>
      <c r="AB173" s="75">
        <v>-8</v>
      </c>
      <c r="AC173" s="63" t="s">
        <v>87</v>
      </c>
      <c r="AD173" s="63" t="s">
        <v>40</v>
      </c>
      <c r="AE173" s="63" t="s">
        <v>41</v>
      </c>
      <c r="AF173" s="63" t="s">
        <v>3088</v>
      </c>
      <c r="AG173" s="63" t="s">
        <v>43</v>
      </c>
      <c r="AH173" s="63" t="s">
        <v>136</v>
      </c>
      <c r="AI173" s="63" t="s">
        <v>137</v>
      </c>
      <c r="AJ173" s="63" t="s">
        <v>138</v>
      </c>
      <c r="AK173" s="83">
        <v>5</v>
      </c>
      <c r="AL173" s="63" t="s">
        <v>45</v>
      </c>
      <c r="AM173" s="63" t="s">
        <v>138</v>
      </c>
      <c r="AN173"/>
    </row>
    <row r="174" spans="1:40" ht="18" customHeight="1">
      <c r="A174" s="1" t="s">
        <v>691</v>
      </c>
      <c r="B174" s="1" t="s">
        <v>692</v>
      </c>
      <c r="C174" s="4">
        <v>46089</v>
      </c>
      <c r="D174" s="4">
        <v>46103</v>
      </c>
      <c r="E174" s="4">
        <v>46102</v>
      </c>
      <c r="F174" s="63" t="s">
        <v>100</v>
      </c>
      <c r="G174" s="63" t="s">
        <v>3841</v>
      </c>
      <c r="H174" s="63" t="s">
        <v>102</v>
      </c>
      <c r="I174" s="63" t="s">
        <v>178</v>
      </c>
      <c r="J174" s="63" t="s">
        <v>62</v>
      </c>
      <c r="K174" s="63" t="s">
        <v>693</v>
      </c>
      <c r="L174" s="63" t="s">
        <v>225</v>
      </c>
      <c r="M174" s="69">
        <v>462.15</v>
      </c>
      <c r="N174" s="63" t="s">
        <v>159</v>
      </c>
      <c r="O174" s="73">
        <f>_xlfn.XLOOKUP(Supplier_Perf_Table[[#This Row],[Currency]],'Comments 2'!$C$4:$C$16,'Comments 2'!$D$4:$D$16)</f>
        <v>7.2999999999999996E-4</v>
      </c>
      <c r="P174" s="69">
        <f>IFERROR(Supplier_Perf_Table[[#This Row],[Unit_Cost]]*Supplier_Perf_Table[[#This Row],[Dollar Equivalent]],"")</f>
        <v>0.33736949999999999</v>
      </c>
      <c r="Q174" s="75">
        <v>250</v>
      </c>
      <c r="R174" s="1">
        <v>115537.5</v>
      </c>
      <c r="S174" s="75">
        <f>Supplier_Perf_Table[[#This Row],[Unit_Cost]]*Supplier_Perf_Table[[#This Row],[Order_Quantity]]</f>
        <v>115537.5</v>
      </c>
      <c r="T174" s="75">
        <f>IFERROR(Supplier_Perf_Table[[#This Row],[Dollar Equivalent]]*Supplier_Perf_Table[[#This Row],[Ordered_Value]],"")</f>
        <v>84.34237499999999</v>
      </c>
      <c r="U174" s="75">
        <v>-1</v>
      </c>
      <c r="V174" s="7">
        <v>2.8000000000000001E-2</v>
      </c>
      <c r="W174" s="75">
        <v>13</v>
      </c>
      <c r="X174" s="55">
        <f>IFERROR(Supplier_Perf_Table[[#This Row],[Actual_Delivery_Date]]-Supplier_Perf_Table[[#This Row],[Order Date]],"")</f>
        <v>13</v>
      </c>
      <c r="Y174" s="75">
        <v>14</v>
      </c>
      <c r="Z174" s="56">
        <f>IFERROR(Supplier_Perf_Table[[#This Row],[Expected Delivery_Date]]-Supplier_Perf_Table[[#This Row],[Order Date]],"")</f>
        <v>14</v>
      </c>
      <c r="AA174" s="56">
        <f>Supplier_Perf_Table[[#This Row],[Calculated_Lead_Time2]]-Supplier_Perf_Table[[#This Row],[Calculated_Expected_Lead_Time]]</f>
        <v>-1</v>
      </c>
      <c r="AB174" s="75">
        <v>-1</v>
      </c>
      <c r="AC174" s="63" t="s">
        <v>87</v>
      </c>
      <c r="AD174" s="63" t="s">
        <v>40</v>
      </c>
      <c r="AE174" s="63" t="s">
        <v>105</v>
      </c>
      <c r="AF174" s="63" t="s">
        <v>106</v>
      </c>
      <c r="AG174" s="63" t="s">
        <v>43</v>
      </c>
      <c r="AH174" s="63" t="s">
        <v>3112</v>
      </c>
      <c r="AI174" s="63" t="s">
        <v>137</v>
      </c>
      <c r="AJ174" s="63" t="s">
        <v>138</v>
      </c>
      <c r="AK174" s="83">
        <v>4.0999999999999996</v>
      </c>
      <c r="AL174" s="63" t="s">
        <v>76</v>
      </c>
      <c r="AM174" s="63" t="s">
        <v>138</v>
      </c>
      <c r="AN174"/>
    </row>
    <row r="175" spans="1:40" ht="18" customHeight="1">
      <c r="A175" s="1" t="s">
        <v>694</v>
      </c>
      <c r="B175" s="1" t="s">
        <v>695</v>
      </c>
      <c r="C175" s="4">
        <v>46105</v>
      </c>
      <c r="D175" s="4">
        <v>46114</v>
      </c>
      <c r="E175" s="4">
        <v>46122</v>
      </c>
      <c r="F175" s="63" t="s">
        <v>235</v>
      </c>
      <c r="G175" s="63" t="s">
        <v>3848</v>
      </c>
      <c r="H175" s="63" t="s">
        <v>479</v>
      </c>
      <c r="I175" s="63" t="s">
        <v>178</v>
      </c>
      <c r="J175" s="63" t="s">
        <v>71</v>
      </c>
      <c r="K175" s="63" t="s">
        <v>696</v>
      </c>
      <c r="L175" s="63" t="s">
        <v>337</v>
      </c>
      <c r="M175" s="69">
        <v>502.45</v>
      </c>
      <c r="N175" s="63" t="s">
        <v>291</v>
      </c>
      <c r="O175" s="73">
        <f>_xlfn.XLOOKUP(Supplier_Perf_Table[[#This Row],[Currency]],'Comments 2'!$C$4:$C$16,'Comments 2'!$D$4:$D$16)</f>
        <v>7.2999999999999996E-4</v>
      </c>
      <c r="P175" s="69">
        <f>IFERROR(Supplier_Perf_Table[[#This Row],[Unit_Cost]]*Supplier_Perf_Table[[#This Row],[Dollar Equivalent]],"")</f>
        <v>0.36678849999999996</v>
      </c>
      <c r="Q175" s="75">
        <v>75</v>
      </c>
      <c r="R175" s="1">
        <v>37683.75</v>
      </c>
      <c r="S175" s="75">
        <f>Supplier_Perf_Table[[#This Row],[Unit_Cost]]*Supplier_Perf_Table[[#This Row],[Order_Quantity]]</f>
        <v>37683.75</v>
      </c>
      <c r="T175" s="75">
        <f>IFERROR(Supplier_Perf_Table[[#This Row],[Dollar Equivalent]]*Supplier_Perf_Table[[#This Row],[Ordered_Value]],"")</f>
        <v>27.509137499999998</v>
      </c>
      <c r="U175" s="75">
        <v>0</v>
      </c>
      <c r="V175" s="7">
        <v>0</v>
      </c>
      <c r="W175" s="75">
        <v>17</v>
      </c>
      <c r="X175" s="55">
        <f>IFERROR(Supplier_Perf_Table[[#This Row],[Actual_Delivery_Date]]-Supplier_Perf_Table[[#This Row],[Order Date]],"")</f>
        <v>17</v>
      </c>
      <c r="Y175" s="75">
        <v>9</v>
      </c>
      <c r="Z175" s="56">
        <f>IFERROR(Supplier_Perf_Table[[#This Row],[Expected Delivery_Date]]-Supplier_Perf_Table[[#This Row],[Order Date]],"")</f>
        <v>9</v>
      </c>
      <c r="AA175" s="56">
        <f>Supplier_Perf_Table[[#This Row],[Calculated_Lead_Time2]]-Supplier_Perf_Table[[#This Row],[Calculated_Expected_Lead_Time]]</f>
        <v>8</v>
      </c>
      <c r="AB175" s="75">
        <v>8</v>
      </c>
      <c r="AC175" s="63" t="s">
        <v>39</v>
      </c>
      <c r="AD175" s="63" t="s">
        <v>40</v>
      </c>
      <c r="AE175" s="63" t="s">
        <v>146</v>
      </c>
      <c r="AF175" s="63" t="s">
        <v>66</v>
      </c>
      <c r="AG175" s="63" t="s">
        <v>128</v>
      </c>
      <c r="AH175" s="63" t="s">
        <v>3112</v>
      </c>
      <c r="AI175" s="63" t="s">
        <v>56</v>
      </c>
      <c r="AJ175" s="63" t="s">
        <v>138</v>
      </c>
      <c r="AK175" s="83">
        <v>2.7</v>
      </c>
      <c r="AL175" s="63" t="s">
        <v>45</v>
      </c>
      <c r="AM175" s="63" t="s">
        <v>148</v>
      </c>
      <c r="AN175"/>
    </row>
    <row r="176" spans="1:40" ht="18" customHeight="1">
      <c r="A176" s="1" t="s">
        <v>697</v>
      </c>
      <c r="B176" s="1" t="s">
        <v>698</v>
      </c>
      <c r="C176" s="4">
        <v>46165</v>
      </c>
      <c r="D176" s="4">
        <v>46172</v>
      </c>
      <c r="E176" s="4">
        <v>46178</v>
      </c>
      <c r="F176" s="63" t="s">
        <v>60</v>
      </c>
      <c r="G176" s="63" t="s">
        <v>3837</v>
      </c>
      <c r="H176" s="63" t="s">
        <v>152</v>
      </c>
      <c r="I176" s="63" t="s">
        <v>83</v>
      </c>
      <c r="J176" s="63" t="s">
        <v>62</v>
      </c>
      <c r="K176" s="63" t="s">
        <v>699</v>
      </c>
      <c r="L176" s="63" t="s">
        <v>225</v>
      </c>
      <c r="M176" s="69">
        <v>93.48</v>
      </c>
      <c r="N176" s="63" t="s">
        <v>53</v>
      </c>
      <c r="O176" s="73">
        <f>_xlfn.XLOOKUP(Supplier_Perf_Table[[#This Row],[Currency]],'Comments 2'!$C$4:$C$16,'Comments 2'!$D$4:$D$16)</f>
        <v>6.0999999999999999E-2</v>
      </c>
      <c r="P176" s="69">
        <f>IFERROR(Supplier_Perf_Table[[#This Row],[Unit_Cost]]*Supplier_Perf_Table[[#This Row],[Dollar Equivalent]],"")</f>
        <v>5.70228</v>
      </c>
      <c r="Q176" s="75">
        <v>1500</v>
      </c>
      <c r="R176" s="1">
        <v>140220</v>
      </c>
      <c r="S176" s="75">
        <f>Supplier_Perf_Table[[#This Row],[Unit_Cost]]*Supplier_Perf_Table[[#This Row],[Order_Quantity]]</f>
        <v>140220</v>
      </c>
      <c r="T176" s="75">
        <f>IFERROR(Supplier_Perf_Table[[#This Row],[Dollar Equivalent]]*Supplier_Perf_Table[[#This Row],[Ordered_Value]],"")</f>
        <v>8553.42</v>
      </c>
      <c r="U176" s="75">
        <v>46</v>
      </c>
      <c r="V176" s="7">
        <v>3.0700000000000002E-2</v>
      </c>
      <c r="W176" s="75">
        <v>13</v>
      </c>
      <c r="X176" s="55">
        <f>IFERROR(Supplier_Perf_Table[[#This Row],[Actual_Delivery_Date]]-Supplier_Perf_Table[[#This Row],[Order Date]],"")</f>
        <v>13</v>
      </c>
      <c r="Y176" s="75">
        <v>7</v>
      </c>
      <c r="Z176" s="56">
        <f>IFERROR(Supplier_Perf_Table[[#This Row],[Expected Delivery_Date]]-Supplier_Perf_Table[[#This Row],[Order Date]],"")</f>
        <v>7</v>
      </c>
      <c r="AA176" s="56">
        <f>Supplier_Perf_Table[[#This Row],[Calculated_Lead_Time2]]-Supplier_Perf_Table[[#This Row],[Calculated_Expected_Lead_Time]]</f>
        <v>6</v>
      </c>
      <c r="AB176" s="75">
        <v>6</v>
      </c>
      <c r="AC176" s="63" t="s">
        <v>135</v>
      </c>
      <c r="AD176" s="63" t="s">
        <v>40</v>
      </c>
      <c r="AE176" s="63" t="s">
        <v>105</v>
      </c>
      <c r="AF176" s="63" t="s">
        <v>106</v>
      </c>
      <c r="AG176" s="63" t="s">
        <v>43</v>
      </c>
      <c r="AH176" s="63" t="s">
        <v>55</v>
      </c>
      <c r="AI176" s="63" t="s">
        <v>44</v>
      </c>
      <c r="AJ176" s="63" t="s">
        <v>138</v>
      </c>
      <c r="AK176" s="83">
        <v>3.2</v>
      </c>
      <c r="AL176" s="63" t="s">
        <v>45</v>
      </c>
      <c r="AM176" s="63" t="s">
        <v>46</v>
      </c>
      <c r="AN176"/>
    </row>
    <row r="177" spans="1:40" ht="18" customHeight="1">
      <c r="A177" s="1" t="s">
        <v>700</v>
      </c>
      <c r="B177" s="1" t="s">
        <v>701</v>
      </c>
      <c r="C177" s="4">
        <v>46185</v>
      </c>
      <c r="D177" s="4">
        <v>46200</v>
      </c>
      <c r="E177" s="4">
        <v>46200</v>
      </c>
      <c r="F177" s="63" t="s">
        <v>142</v>
      </c>
      <c r="G177" s="63" t="s">
        <v>3843</v>
      </c>
      <c r="H177" s="63" t="s">
        <v>702</v>
      </c>
      <c r="I177" s="63" t="s">
        <v>83</v>
      </c>
      <c r="J177" s="63" t="s">
        <v>50</v>
      </c>
      <c r="K177" s="63" t="s">
        <v>703</v>
      </c>
      <c r="L177" s="63" t="s">
        <v>145</v>
      </c>
      <c r="M177" s="69">
        <v>57.32</v>
      </c>
      <c r="N177" s="63" t="s">
        <v>53</v>
      </c>
      <c r="O177" s="73">
        <f>_xlfn.XLOOKUP(Supplier_Perf_Table[[#This Row],[Currency]],'Comments 2'!$C$4:$C$16,'Comments 2'!$D$4:$D$16)</f>
        <v>6.0999999999999999E-2</v>
      </c>
      <c r="P177" s="69">
        <f>IFERROR(Supplier_Perf_Table[[#This Row],[Unit_Cost]]*Supplier_Perf_Table[[#This Row],[Dollar Equivalent]],"")</f>
        <v>3.4965199999999999</v>
      </c>
      <c r="Q177" s="75">
        <v>150</v>
      </c>
      <c r="R177" s="1">
        <v>8598</v>
      </c>
      <c r="S177" s="75">
        <f>Supplier_Perf_Table[[#This Row],[Unit_Cost]]*Supplier_Perf_Table[[#This Row],[Order_Quantity]]</f>
        <v>8598</v>
      </c>
      <c r="T177" s="75">
        <f>IFERROR(Supplier_Perf_Table[[#This Row],[Dollar Equivalent]]*Supplier_Perf_Table[[#This Row],[Ordered_Value]],"")</f>
        <v>524.47799999999995</v>
      </c>
      <c r="U177" s="75">
        <v>0</v>
      </c>
      <c r="V177" s="7">
        <v>0</v>
      </c>
      <c r="W177" s="75">
        <v>15</v>
      </c>
      <c r="X177" s="55">
        <f>IFERROR(Supplier_Perf_Table[[#This Row],[Actual_Delivery_Date]]-Supplier_Perf_Table[[#This Row],[Order Date]],"")</f>
        <v>15</v>
      </c>
      <c r="Y177" s="75">
        <v>15</v>
      </c>
      <c r="Z177" s="56">
        <f>IFERROR(Supplier_Perf_Table[[#This Row],[Expected Delivery_Date]]-Supplier_Perf_Table[[#This Row],[Order Date]],"")</f>
        <v>15</v>
      </c>
      <c r="AA177" s="56">
        <f>Supplier_Perf_Table[[#This Row],[Calculated_Lead_Time2]]-Supplier_Perf_Table[[#This Row],[Calculated_Expected_Lead_Time]]</f>
        <v>0</v>
      </c>
      <c r="AB177" s="75">
        <v>0</v>
      </c>
      <c r="AC177" s="63" t="s">
        <v>270</v>
      </c>
      <c r="AD177" s="63" t="s">
        <v>40</v>
      </c>
      <c r="AE177" s="63" t="s">
        <v>105</v>
      </c>
      <c r="AF177" s="63" t="s">
        <v>212</v>
      </c>
      <c r="AG177" s="63" t="s">
        <v>107</v>
      </c>
      <c r="AH177" s="63" t="s">
        <v>3112</v>
      </c>
      <c r="AI177" s="63" t="s">
        <v>95</v>
      </c>
      <c r="AJ177" s="63" t="s">
        <v>138</v>
      </c>
      <c r="AK177" s="83">
        <v>4.3</v>
      </c>
      <c r="AL177" s="63" t="s">
        <v>57</v>
      </c>
      <c r="AM177" s="63" t="s">
        <v>138</v>
      </c>
      <c r="AN177"/>
    </row>
    <row r="178" spans="1:40" ht="18" customHeight="1">
      <c r="A178" s="1" t="s">
        <v>704</v>
      </c>
      <c r="B178" s="1" t="s">
        <v>705</v>
      </c>
      <c r="C178" s="4">
        <v>46088</v>
      </c>
      <c r="D178" s="4">
        <v>46109</v>
      </c>
      <c r="E178" s="4">
        <v>46118</v>
      </c>
      <c r="F178" s="63" t="s">
        <v>118</v>
      </c>
      <c r="G178" s="63" t="s">
        <v>3842</v>
      </c>
      <c r="H178" s="63" t="s">
        <v>301</v>
      </c>
      <c r="I178" s="63" t="s">
        <v>70</v>
      </c>
      <c r="J178" s="63" t="s">
        <v>62</v>
      </c>
      <c r="K178" s="63" t="s">
        <v>706</v>
      </c>
      <c r="L178" s="63" t="s">
        <v>64</v>
      </c>
      <c r="M178" s="69">
        <v>544.92999999999995</v>
      </c>
      <c r="N178" s="63" t="s">
        <v>86</v>
      </c>
      <c r="O178" s="73">
        <f>_xlfn.XLOOKUP(Supplier_Perf_Table[[#This Row],[Currency]],'Comments 2'!$C$4:$C$16,'Comments 2'!$D$4:$D$16)</f>
        <v>8.8999999999999996E-2</v>
      </c>
      <c r="P178" s="69">
        <f>IFERROR(Supplier_Perf_Table[[#This Row],[Unit_Cost]]*Supplier_Perf_Table[[#This Row],[Dollar Equivalent]],"")</f>
        <v>48.498769999999993</v>
      </c>
      <c r="Q178" s="75">
        <v>200</v>
      </c>
      <c r="R178" s="1">
        <v>108986</v>
      </c>
      <c r="S178" s="75">
        <f>Supplier_Perf_Table[[#This Row],[Unit_Cost]]*Supplier_Perf_Table[[#This Row],[Order_Quantity]]</f>
        <v>108985.99999999999</v>
      </c>
      <c r="T178" s="75">
        <f>IFERROR(Supplier_Perf_Table[[#This Row],[Dollar Equivalent]]*Supplier_Perf_Table[[#This Row],[Ordered_Value]],"")</f>
        <v>9699.753999999999</v>
      </c>
      <c r="U178" s="75">
        <v>1</v>
      </c>
      <c r="V178" s="7">
        <v>5.0000000000000001E-3</v>
      </c>
      <c r="W178" s="75">
        <v>30</v>
      </c>
      <c r="X178" s="55">
        <f>IFERROR(Supplier_Perf_Table[[#This Row],[Actual_Delivery_Date]]-Supplier_Perf_Table[[#This Row],[Order Date]],"")</f>
        <v>30</v>
      </c>
      <c r="Y178" s="75">
        <v>21</v>
      </c>
      <c r="Z178" s="56">
        <f>IFERROR(Supplier_Perf_Table[[#This Row],[Expected Delivery_Date]]-Supplier_Perf_Table[[#This Row],[Order Date]],"")</f>
        <v>21</v>
      </c>
      <c r="AA178" s="56">
        <f>Supplier_Perf_Table[[#This Row],[Calculated_Lead_Time2]]-Supplier_Perf_Table[[#This Row],[Calculated_Expected_Lead_Time]]</f>
        <v>9</v>
      </c>
      <c r="AB178" s="75">
        <v>9</v>
      </c>
      <c r="AC178" s="63" t="s">
        <v>39</v>
      </c>
      <c r="AD178" s="63" t="s">
        <v>40</v>
      </c>
      <c r="AE178" s="63" t="s">
        <v>41</v>
      </c>
      <c r="AF178" s="63" t="s">
        <v>190</v>
      </c>
      <c r="AG178" s="63" t="s">
        <v>3088</v>
      </c>
      <c r="AH178" s="63" t="s">
        <v>206</v>
      </c>
      <c r="AI178" s="63" t="s">
        <v>56</v>
      </c>
      <c r="AJ178" s="63" t="s">
        <v>138</v>
      </c>
      <c r="AK178" s="83">
        <v>3.2</v>
      </c>
      <c r="AL178" s="63" t="s">
        <v>76</v>
      </c>
      <c r="AM178" s="63" t="s">
        <v>46</v>
      </c>
      <c r="AN178"/>
    </row>
    <row r="179" spans="1:40" ht="18" customHeight="1">
      <c r="A179" s="1" t="s">
        <v>707</v>
      </c>
      <c r="B179" s="1" t="s">
        <v>708</v>
      </c>
      <c r="C179" s="4">
        <v>46059</v>
      </c>
      <c r="D179" s="4">
        <v>46087</v>
      </c>
      <c r="E179" s="4">
        <v>46075</v>
      </c>
      <c r="F179" s="63" t="s">
        <v>118</v>
      </c>
      <c r="G179" s="63" t="s">
        <v>3842</v>
      </c>
      <c r="H179" s="63" t="s">
        <v>301</v>
      </c>
      <c r="I179" s="63" t="s">
        <v>70</v>
      </c>
      <c r="J179" s="63" t="s">
        <v>62</v>
      </c>
      <c r="K179" s="63" t="s">
        <v>709</v>
      </c>
      <c r="L179" s="63" t="s">
        <v>94</v>
      </c>
      <c r="M179" s="69">
        <v>819.91</v>
      </c>
      <c r="N179" s="63" t="s">
        <v>38</v>
      </c>
      <c r="O179" s="73">
        <f>_xlfn.XLOOKUP(Supplier_Perf_Table[[#This Row],[Currency]],'Comments 2'!$C$4:$C$16,'Comments 2'!$D$4:$D$16)</f>
        <v>7.7000000000000002E-3</v>
      </c>
      <c r="P179" s="69">
        <f>IFERROR(Supplier_Perf_Table[[#This Row],[Unit_Cost]]*Supplier_Perf_Table[[#This Row],[Dollar Equivalent]],"")</f>
        <v>6.313307</v>
      </c>
      <c r="Q179" s="75">
        <v>150</v>
      </c>
      <c r="R179" s="1">
        <v>122986.5</v>
      </c>
      <c r="S179" s="75">
        <f>Supplier_Perf_Table[[#This Row],[Unit_Cost]]*Supplier_Perf_Table[[#This Row],[Order_Quantity]]</f>
        <v>122986.5</v>
      </c>
      <c r="T179" s="75">
        <f>IFERROR(Supplier_Perf_Table[[#This Row],[Dollar Equivalent]]*Supplier_Perf_Table[[#This Row],[Ordered_Value]],"")</f>
        <v>946.99605000000008</v>
      </c>
      <c r="U179" s="75">
        <v>4</v>
      </c>
      <c r="V179" s="7">
        <v>2.6700000000000002E-2</v>
      </c>
      <c r="W179" s="75">
        <v>16</v>
      </c>
      <c r="X179" s="55">
        <f>IFERROR(Supplier_Perf_Table[[#This Row],[Actual_Delivery_Date]]-Supplier_Perf_Table[[#This Row],[Order Date]],"")</f>
        <v>16</v>
      </c>
      <c r="Y179" s="75">
        <v>28</v>
      </c>
      <c r="Z179" s="56">
        <f>IFERROR(Supplier_Perf_Table[[#This Row],[Expected Delivery_Date]]-Supplier_Perf_Table[[#This Row],[Order Date]],"")</f>
        <v>28</v>
      </c>
      <c r="AA179" s="56">
        <f>Supplier_Perf_Table[[#This Row],[Calculated_Lead_Time2]]-Supplier_Perf_Table[[#This Row],[Calculated_Expected_Lead_Time]]</f>
        <v>-12</v>
      </c>
      <c r="AB179" s="75">
        <v>-12</v>
      </c>
      <c r="AC179" s="63" t="s">
        <v>270</v>
      </c>
      <c r="AD179" s="63" t="s">
        <v>40</v>
      </c>
      <c r="AE179" s="63" t="s">
        <v>105</v>
      </c>
      <c r="AF179" s="63" t="s">
        <v>106</v>
      </c>
      <c r="AG179" s="63" t="s">
        <v>173</v>
      </c>
      <c r="AH179" s="63" t="s">
        <v>88</v>
      </c>
      <c r="AI179" s="63" t="s">
        <v>138</v>
      </c>
      <c r="AJ179" s="63" t="s">
        <v>138</v>
      </c>
      <c r="AK179" s="83">
        <v>4</v>
      </c>
      <c r="AL179" s="63" t="s">
        <v>184</v>
      </c>
      <c r="AM179" s="63" t="s">
        <v>619</v>
      </c>
      <c r="AN179"/>
    </row>
    <row r="180" spans="1:40" ht="18" customHeight="1">
      <c r="A180" s="1" t="s">
        <v>710</v>
      </c>
      <c r="B180" s="1" t="s">
        <v>711</v>
      </c>
      <c r="C180" s="4">
        <v>46129</v>
      </c>
      <c r="D180" s="4">
        <v>46147</v>
      </c>
      <c r="E180" s="4">
        <v>46154</v>
      </c>
      <c r="F180" s="63" t="s">
        <v>235</v>
      </c>
      <c r="G180" s="63" t="s">
        <v>3848</v>
      </c>
      <c r="H180" s="63" t="s">
        <v>479</v>
      </c>
      <c r="I180" s="63" t="s">
        <v>83</v>
      </c>
      <c r="J180" s="63" t="s">
        <v>112</v>
      </c>
      <c r="K180" s="63" t="s">
        <v>712</v>
      </c>
      <c r="L180" s="63" t="s">
        <v>218</v>
      </c>
      <c r="M180" s="69">
        <v>344.74</v>
      </c>
      <c r="N180" s="63" t="s">
        <v>86</v>
      </c>
      <c r="O180" s="73">
        <f>_xlfn.XLOOKUP(Supplier_Perf_Table[[#This Row],[Currency]],'Comments 2'!$C$4:$C$16,'Comments 2'!$D$4:$D$16)</f>
        <v>8.8999999999999996E-2</v>
      </c>
      <c r="P180" s="69">
        <f>IFERROR(Supplier_Perf_Table[[#This Row],[Unit_Cost]]*Supplier_Perf_Table[[#This Row],[Dollar Equivalent]],"")</f>
        <v>30.68186</v>
      </c>
      <c r="Q180" s="75">
        <v>1500</v>
      </c>
      <c r="R180" s="1">
        <v>517110</v>
      </c>
      <c r="S180" s="75">
        <f>Supplier_Perf_Table[[#This Row],[Unit_Cost]]*Supplier_Perf_Table[[#This Row],[Order_Quantity]]</f>
        <v>517110</v>
      </c>
      <c r="T180" s="75">
        <f>IFERROR(Supplier_Perf_Table[[#This Row],[Dollar Equivalent]]*Supplier_Perf_Table[[#This Row],[Ordered_Value]],"")</f>
        <v>46022.79</v>
      </c>
      <c r="U180" s="75">
        <v>42</v>
      </c>
      <c r="V180" s="7">
        <v>2.8000000000000001E-2</v>
      </c>
      <c r="W180" s="75">
        <v>25</v>
      </c>
      <c r="X180" s="55">
        <f>IFERROR(Supplier_Perf_Table[[#This Row],[Actual_Delivery_Date]]-Supplier_Perf_Table[[#This Row],[Order Date]],"")</f>
        <v>25</v>
      </c>
      <c r="Y180" s="75">
        <v>18</v>
      </c>
      <c r="Z180" s="56">
        <f>IFERROR(Supplier_Perf_Table[[#This Row],[Expected Delivery_Date]]-Supplier_Perf_Table[[#This Row],[Order Date]],"")</f>
        <v>18</v>
      </c>
      <c r="AA180" s="56">
        <f>Supplier_Perf_Table[[#This Row],[Calculated_Lead_Time2]]-Supplier_Perf_Table[[#This Row],[Calculated_Expected_Lead_Time]]</f>
        <v>7</v>
      </c>
      <c r="AB180" s="75">
        <v>7</v>
      </c>
      <c r="AC180" s="63" t="s">
        <v>135</v>
      </c>
      <c r="AD180" s="63" t="s">
        <v>40</v>
      </c>
      <c r="AE180" s="63" t="s">
        <v>105</v>
      </c>
      <c r="AF180" s="63" t="s">
        <v>66</v>
      </c>
      <c r="AG180" s="63" t="s">
        <v>3088</v>
      </c>
      <c r="AH180" s="63" t="s">
        <v>174</v>
      </c>
      <c r="AI180" s="63" t="s">
        <v>44</v>
      </c>
      <c r="AJ180" s="63" t="s">
        <v>138</v>
      </c>
      <c r="AK180" s="83">
        <v>3.2</v>
      </c>
      <c r="AL180" s="63" t="s">
        <v>45</v>
      </c>
      <c r="AM180" s="63" t="s">
        <v>46</v>
      </c>
      <c r="AN180"/>
    </row>
    <row r="181" spans="1:40" ht="18" customHeight="1">
      <c r="A181" s="1" t="s">
        <v>713</v>
      </c>
      <c r="B181" s="1" t="s">
        <v>714</v>
      </c>
      <c r="C181" s="4">
        <v>46121</v>
      </c>
      <c r="D181" s="4">
        <v>46128</v>
      </c>
      <c r="E181" s="4">
        <v>46118</v>
      </c>
      <c r="F181" s="63" t="s">
        <v>60</v>
      </c>
      <c r="G181" s="63" t="s">
        <v>3837</v>
      </c>
      <c r="H181" s="63" t="s">
        <v>152</v>
      </c>
      <c r="I181" s="63" t="s">
        <v>241</v>
      </c>
      <c r="J181" s="63" t="s">
        <v>71</v>
      </c>
      <c r="K181" s="63" t="s">
        <v>715</v>
      </c>
      <c r="L181" s="63" t="s">
        <v>553</v>
      </c>
      <c r="M181" s="69">
        <v>744.73</v>
      </c>
      <c r="N181" s="63" t="s">
        <v>159</v>
      </c>
      <c r="O181" s="73">
        <f>_xlfn.XLOOKUP(Supplier_Perf_Table[[#This Row],[Currency]],'Comments 2'!$C$4:$C$16,'Comments 2'!$D$4:$D$16)</f>
        <v>7.2999999999999996E-4</v>
      </c>
      <c r="P181" s="69">
        <f>IFERROR(Supplier_Perf_Table[[#This Row],[Unit_Cost]]*Supplier_Perf_Table[[#This Row],[Dollar Equivalent]],"")</f>
        <v>0.54365289999999999</v>
      </c>
      <c r="Q181" s="75">
        <v>150</v>
      </c>
      <c r="R181" s="1">
        <v>111709.5</v>
      </c>
      <c r="S181" s="75">
        <f>Supplier_Perf_Table[[#This Row],[Unit_Cost]]*Supplier_Perf_Table[[#This Row],[Order_Quantity]]</f>
        <v>111709.5</v>
      </c>
      <c r="T181" s="75">
        <f>IFERROR(Supplier_Perf_Table[[#This Row],[Dollar Equivalent]]*Supplier_Perf_Table[[#This Row],[Ordered_Value]],"")</f>
        <v>81.547934999999995</v>
      </c>
      <c r="U181" s="75">
        <v>2</v>
      </c>
      <c r="V181" s="7">
        <v>1.3299999999999999E-2</v>
      </c>
      <c r="W181" s="75">
        <v>-3</v>
      </c>
      <c r="X181" s="55">
        <f>IFERROR(Supplier_Perf_Table[[#This Row],[Actual_Delivery_Date]]-Supplier_Perf_Table[[#This Row],[Order Date]],"")</f>
        <v>-3</v>
      </c>
      <c r="Y181" s="75">
        <v>7</v>
      </c>
      <c r="Z181" s="56">
        <f>IFERROR(Supplier_Perf_Table[[#This Row],[Expected Delivery_Date]]-Supplier_Perf_Table[[#This Row],[Order Date]],"")</f>
        <v>7</v>
      </c>
      <c r="AA181" s="56">
        <f>Supplier_Perf_Table[[#This Row],[Calculated_Lead_Time2]]-Supplier_Perf_Table[[#This Row],[Calculated_Expected_Lead_Time]]</f>
        <v>-10</v>
      </c>
      <c r="AB181" s="75">
        <v>-10</v>
      </c>
      <c r="AC181" s="63" t="s">
        <v>362</v>
      </c>
      <c r="AD181" s="63" t="s">
        <v>40</v>
      </c>
      <c r="AE181" s="63" t="s">
        <v>41</v>
      </c>
      <c r="AF181" s="63" t="s">
        <v>42</v>
      </c>
      <c r="AG181" s="63" t="s">
        <v>43</v>
      </c>
      <c r="AH181" s="63" t="s">
        <v>3112</v>
      </c>
      <c r="AI181" s="63" t="s">
        <v>147</v>
      </c>
      <c r="AJ181" s="63" t="s">
        <v>138</v>
      </c>
      <c r="AK181" s="83">
        <v>2.4</v>
      </c>
      <c r="AL181" s="63" t="s">
        <v>115</v>
      </c>
      <c r="AM181" s="63" t="s">
        <v>138</v>
      </c>
      <c r="AN181"/>
    </row>
    <row r="182" spans="1:40" ht="18" customHeight="1">
      <c r="A182" s="1" t="s">
        <v>716</v>
      </c>
      <c r="B182" s="1" t="s">
        <v>717</v>
      </c>
      <c r="C182" s="4">
        <v>46050</v>
      </c>
      <c r="D182" s="4">
        <v>46054</v>
      </c>
      <c r="E182" s="4">
        <v>46071</v>
      </c>
      <c r="F182" s="63" t="s">
        <v>215</v>
      </c>
      <c r="G182" s="63" t="s">
        <v>3846</v>
      </c>
      <c r="H182" s="63" t="s">
        <v>152</v>
      </c>
      <c r="I182" s="63" t="s">
        <v>34</v>
      </c>
      <c r="J182" s="63" t="s">
        <v>112</v>
      </c>
      <c r="K182" s="63" t="s">
        <v>718</v>
      </c>
      <c r="L182" s="63" t="s">
        <v>229</v>
      </c>
      <c r="M182" s="69">
        <v>81.02</v>
      </c>
      <c r="N182" s="63" t="s">
        <v>159</v>
      </c>
      <c r="O182" s="73">
        <f>_xlfn.XLOOKUP(Supplier_Perf_Table[[#This Row],[Currency]],'Comments 2'!$C$4:$C$16,'Comments 2'!$D$4:$D$16)</f>
        <v>7.2999999999999996E-4</v>
      </c>
      <c r="P182" s="69">
        <f>IFERROR(Supplier_Perf_Table[[#This Row],[Unit_Cost]]*Supplier_Perf_Table[[#This Row],[Dollar Equivalent]],"")</f>
        <v>5.9144599999999992E-2</v>
      </c>
      <c r="Q182" s="75">
        <v>300</v>
      </c>
      <c r="R182" s="1">
        <v>24306</v>
      </c>
      <c r="S182" s="75">
        <f>Supplier_Perf_Table[[#This Row],[Unit_Cost]]*Supplier_Perf_Table[[#This Row],[Order_Quantity]]</f>
        <v>24306</v>
      </c>
      <c r="T182" s="75">
        <f>IFERROR(Supplier_Perf_Table[[#This Row],[Dollar Equivalent]]*Supplier_Perf_Table[[#This Row],[Ordered_Value]],"")</f>
        <v>17.743379999999998</v>
      </c>
      <c r="U182" s="75">
        <v>0</v>
      </c>
      <c r="V182" s="7">
        <v>0</v>
      </c>
      <c r="W182" s="75">
        <v>21</v>
      </c>
      <c r="X182" s="55">
        <f>IFERROR(Supplier_Perf_Table[[#This Row],[Actual_Delivery_Date]]-Supplier_Perf_Table[[#This Row],[Order Date]],"")</f>
        <v>21</v>
      </c>
      <c r="Y182" s="75">
        <v>4</v>
      </c>
      <c r="Z182" s="56">
        <f>IFERROR(Supplier_Perf_Table[[#This Row],[Expected Delivery_Date]]-Supplier_Perf_Table[[#This Row],[Order Date]],"")</f>
        <v>4</v>
      </c>
      <c r="AA182" s="56">
        <f>Supplier_Perf_Table[[#This Row],[Calculated_Lead_Time2]]-Supplier_Perf_Table[[#This Row],[Calculated_Expected_Lead_Time]]</f>
        <v>17</v>
      </c>
      <c r="AB182" s="75">
        <v>17</v>
      </c>
      <c r="AC182" s="63" t="s">
        <v>135</v>
      </c>
      <c r="AD182" s="63" t="s">
        <v>40</v>
      </c>
      <c r="AE182" s="63" t="s">
        <v>105</v>
      </c>
      <c r="AF182" s="63" t="s">
        <v>106</v>
      </c>
      <c r="AG182" s="63" t="s">
        <v>43</v>
      </c>
      <c r="AH182" s="63" t="s">
        <v>88</v>
      </c>
      <c r="AI182" s="63" t="s">
        <v>147</v>
      </c>
      <c r="AJ182" s="63" t="s">
        <v>138</v>
      </c>
      <c r="AK182" s="83">
        <v>2.2000000000000002</v>
      </c>
      <c r="AL182" s="63" t="s">
        <v>108</v>
      </c>
      <c r="AM182" s="63" t="s">
        <v>46</v>
      </c>
      <c r="AN182"/>
    </row>
    <row r="183" spans="1:40" ht="18" customHeight="1">
      <c r="A183" s="1" t="s">
        <v>719</v>
      </c>
      <c r="B183" s="1" t="s">
        <v>720</v>
      </c>
      <c r="C183" s="4">
        <v>46033</v>
      </c>
      <c r="D183" s="4">
        <v>46047</v>
      </c>
      <c r="E183" s="4">
        <v>46050</v>
      </c>
      <c r="F183" s="63" t="s">
        <v>80</v>
      </c>
      <c r="G183" s="63" t="s">
        <v>3839</v>
      </c>
      <c r="H183" s="63" t="s">
        <v>82</v>
      </c>
      <c r="I183" s="63" t="s">
        <v>83</v>
      </c>
      <c r="J183" s="63" t="s">
        <v>35</v>
      </c>
      <c r="K183" s="63" t="s">
        <v>721</v>
      </c>
      <c r="L183" s="63" t="s">
        <v>85</v>
      </c>
      <c r="M183" s="69">
        <v>978.42</v>
      </c>
      <c r="N183" s="63" t="s">
        <v>86</v>
      </c>
      <c r="O183" s="73">
        <f>_xlfn.XLOOKUP(Supplier_Perf_Table[[#This Row],[Currency]],'Comments 2'!$C$4:$C$16,'Comments 2'!$D$4:$D$16)</f>
        <v>8.8999999999999996E-2</v>
      </c>
      <c r="P183" s="69">
        <f>IFERROR(Supplier_Perf_Table[[#This Row],[Unit_Cost]]*Supplier_Perf_Table[[#This Row],[Dollar Equivalent]],"")</f>
        <v>87.079379999999986</v>
      </c>
      <c r="Q183" s="75">
        <v>250</v>
      </c>
      <c r="R183" s="1">
        <v>244605</v>
      </c>
      <c r="S183" s="75">
        <f>Supplier_Perf_Table[[#This Row],[Unit_Cost]]*Supplier_Perf_Table[[#This Row],[Order_Quantity]]</f>
        <v>244605</v>
      </c>
      <c r="T183" s="75">
        <f>IFERROR(Supplier_Perf_Table[[#This Row],[Dollar Equivalent]]*Supplier_Perf_Table[[#This Row],[Ordered_Value]],"")</f>
        <v>21769.844999999998</v>
      </c>
      <c r="U183" s="75">
        <v>5</v>
      </c>
      <c r="V183" s="7">
        <v>0.02</v>
      </c>
      <c r="W183" s="75">
        <v>17</v>
      </c>
      <c r="X183" s="55">
        <f>IFERROR(Supplier_Perf_Table[[#This Row],[Actual_Delivery_Date]]-Supplier_Perf_Table[[#This Row],[Order Date]],"")</f>
        <v>17</v>
      </c>
      <c r="Y183" s="75">
        <v>14</v>
      </c>
      <c r="Z183" s="56">
        <f>IFERROR(Supplier_Perf_Table[[#This Row],[Expected Delivery_Date]]-Supplier_Perf_Table[[#This Row],[Order Date]],"")</f>
        <v>14</v>
      </c>
      <c r="AA183" s="56">
        <f>Supplier_Perf_Table[[#This Row],[Calculated_Lead_Time2]]-Supplier_Perf_Table[[#This Row],[Calculated_Expected_Lead_Time]]</f>
        <v>3</v>
      </c>
      <c r="AB183" s="75">
        <v>3</v>
      </c>
      <c r="AC183" s="63" t="s">
        <v>135</v>
      </c>
      <c r="AD183" s="63" t="s">
        <v>40</v>
      </c>
      <c r="AE183" s="63" t="s">
        <v>105</v>
      </c>
      <c r="AF183" s="63" t="s">
        <v>212</v>
      </c>
      <c r="AG183" s="63" t="s">
        <v>107</v>
      </c>
      <c r="AH183" s="63" t="s">
        <v>3112</v>
      </c>
      <c r="AI183" s="63" t="s">
        <v>137</v>
      </c>
      <c r="AJ183" s="63" t="s">
        <v>138</v>
      </c>
      <c r="AK183" s="83">
        <v>4.9000000000000004</v>
      </c>
      <c r="AL183" s="63" t="s">
        <v>45</v>
      </c>
      <c r="AM183" s="63" t="s">
        <v>46</v>
      </c>
      <c r="AN183"/>
    </row>
    <row r="184" spans="1:40" ht="18" customHeight="1">
      <c r="A184" s="1" t="s">
        <v>722</v>
      </c>
      <c r="B184" s="1" t="s">
        <v>723</v>
      </c>
      <c r="C184" s="4">
        <v>46129</v>
      </c>
      <c r="D184" s="4">
        <v>46151</v>
      </c>
      <c r="E184" s="4">
        <v>46143</v>
      </c>
      <c r="F184" s="63" t="s">
        <v>118</v>
      </c>
      <c r="G184" s="63" t="s">
        <v>3842</v>
      </c>
      <c r="H184" s="63" t="s">
        <v>301</v>
      </c>
      <c r="I184" s="63" t="s">
        <v>83</v>
      </c>
      <c r="J184" s="63" t="s">
        <v>62</v>
      </c>
      <c r="K184" s="63" t="s">
        <v>724</v>
      </c>
      <c r="L184" s="63" t="s">
        <v>64</v>
      </c>
      <c r="M184" s="69">
        <v>621.41</v>
      </c>
      <c r="N184" s="63" t="s">
        <v>38</v>
      </c>
      <c r="O184" s="73">
        <f>_xlfn.XLOOKUP(Supplier_Perf_Table[[#This Row],[Currency]],'Comments 2'!$C$4:$C$16,'Comments 2'!$D$4:$D$16)</f>
        <v>7.7000000000000002E-3</v>
      </c>
      <c r="P184" s="69">
        <f>IFERROR(Supplier_Perf_Table[[#This Row],[Unit_Cost]]*Supplier_Perf_Table[[#This Row],[Dollar Equivalent]],"")</f>
        <v>4.7848569999999997</v>
      </c>
      <c r="Q184" s="75">
        <v>150</v>
      </c>
      <c r="R184" s="1">
        <v>93211.5</v>
      </c>
      <c r="S184" s="75">
        <f>Supplier_Perf_Table[[#This Row],[Unit_Cost]]*Supplier_Perf_Table[[#This Row],[Order_Quantity]]</f>
        <v>93211.5</v>
      </c>
      <c r="T184" s="75">
        <f>IFERROR(Supplier_Perf_Table[[#This Row],[Dollar Equivalent]]*Supplier_Perf_Table[[#This Row],[Ordered_Value]],"")</f>
        <v>717.72855000000004</v>
      </c>
      <c r="U184" s="75">
        <v>4</v>
      </c>
      <c r="V184" s="7">
        <v>2.6700000000000002E-2</v>
      </c>
      <c r="W184" s="75">
        <v>14</v>
      </c>
      <c r="X184" s="55">
        <f>IFERROR(Supplier_Perf_Table[[#This Row],[Actual_Delivery_Date]]-Supplier_Perf_Table[[#This Row],[Order Date]],"")</f>
        <v>14</v>
      </c>
      <c r="Y184" s="75">
        <v>22</v>
      </c>
      <c r="Z184" s="56">
        <f>IFERROR(Supplier_Perf_Table[[#This Row],[Expected Delivery_Date]]-Supplier_Perf_Table[[#This Row],[Order Date]],"")</f>
        <v>22</v>
      </c>
      <c r="AA184" s="56">
        <f>Supplier_Perf_Table[[#This Row],[Calculated_Lead_Time2]]-Supplier_Perf_Table[[#This Row],[Calculated_Expected_Lead_Time]]</f>
        <v>-8</v>
      </c>
      <c r="AB184" s="75">
        <v>-8</v>
      </c>
      <c r="AC184" s="63" t="s">
        <v>87</v>
      </c>
      <c r="AD184" s="63" t="s">
        <v>40</v>
      </c>
      <c r="AE184" s="63" t="s">
        <v>127</v>
      </c>
      <c r="AF184" s="63" t="s">
        <v>106</v>
      </c>
      <c r="AG184" s="63" t="s">
        <v>173</v>
      </c>
      <c r="AH184" s="63" t="s">
        <v>136</v>
      </c>
      <c r="AI184" s="63" t="s">
        <v>147</v>
      </c>
      <c r="AJ184" s="63" t="s">
        <v>138</v>
      </c>
      <c r="AK184" s="83">
        <v>3</v>
      </c>
      <c r="AL184" s="63" t="s">
        <v>115</v>
      </c>
      <c r="AM184" s="63" t="s">
        <v>130</v>
      </c>
      <c r="AN184"/>
    </row>
    <row r="185" spans="1:40" ht="18" customHeight="1">
      <c r="A185" s="1" t="s">
        <v>725</v>
      </c>
      <c r="B185" s="1" t="s">
        <v>726</v>
      </c>
      <c r="C185" s="4">
        <v>46136</v>
      </c>
      <c r="D185" s="4">
        <v>46149</v>
      </c>
      <c r="E185" s="4">
        <v>46148</v>
      </c>
      <c r="F185" s="63" t="s">
        <v>90</v>
      </c>
      <c r="G185" s="63" t="s">
        <v>3840</v>
      </c>
      <c r="H185" s="63" t="s">
        <v>133</v>
      </c>
      <c r="I185" s="63" t="s">
        <v>178</v>
      </c>
      <c r="J185" s="63" t="s">
        <v>71</v>
      </c>
      <c r="K185" s="63" t="s">
        <v>727</v>
      </c>
      <c r="L185" s="63" t="s">
        <v>553</v>
      </c>
      <c r="M185" s="69">
        <v>529.65</v>
      </c>
      <c r="N185" s="63" t="s">
        <v>38</v>
      </c>
      <c r="O185" s="73">
        <f>_xlfn.XLOOKUP(Supplier_Perf_Table[[#This Row],[Currency]],'Comments 2'!$C$4:$C$16,'Comments 2'!$D$4:$D$16)</f>
        <v>7.7000000000000002E-3</v>
      </c>
      <c r="P185" s="69">
        <f>IFERROR(Supplier_Perf_Table[[#This Row],[Unit_Cost]]*Supplier_Perf_Table[[#This Row],[Dollar Equivalent]],"")</f>
        <v>4.0783050000000003</v>
      </c>
      <c r="Q185" s="75">
        <v>100</v>
      </c>
      <c r="R185" s="1">
        <v>52965</v>
      </c>
      <c r="S185" s="75">
        <f>Supplier_Perf_Table[[#This Row],[Unit_Cost]]*Supplier_Perf_Table[[#This Row],[Order_Quantity]]</f>
        <v>52965</v>
      </c>
      <c r="T185" s="75">
        <f>IFERROR(Supplier_Perf_Table[[#This Row],[Dollar Equivalent]]*Supplier_Perf_Table[[#This Row],[Ordered_Value]],"")</f>
        <v>407.83050000000003</v>
      </c>
      <c r="U185" s="75">
        <v>3</v>
      </c>
      <c r="V185" s="7">
        <v>0.03</v>
      </c>
      <c r="W185" s="75">
        <v>12</v>
      </c>
      <c r="X185" s="55">
        <f>IFERROR(Supplier_Perf_Table[[#This Row],[Actual_Delivery_Date]]-Supplier_Perf_Table[[#This Row],[Order Date]],"")</f>
        <v>12</v>
      </c>
      <c r="Y185" s="75">
        <v>13</v>
      </c>
      <c r="Z185" s="56">
        <f>IFERROR(Supplier_Perf_Table[[#This Row],[Expected Delivery_Date]]-Supplier_Perf_Table[[#This Row],[Order Date]],"")</f>
        <v>13</v>
      </c>
      <c r="AA185" s="56">
        <f>Supplier_Perf_Table[[#This Row],[Calculated_Lead_Time2]]-Supplier_Perf_Table[[#This Row],[Calculated_Expected_Lead_Time]]</f>
        <v>-1</v>
      </c>
      <c r="AB185" s="75">
        <v>-1</v>
      </c>
      <c r="AC185" s="63" t="s">
        <v>270</v>
      </c>
      <c r="AD185" s="63" t="s">
        <v>40</v>
      </c>
      <c r="AE185" s="63" t="s">
        <v>105</v>
      </c>
      <c r="AF185" s="63" t="s">
        <v>212</v>
      </c>
      <c r="AG185" s="63" t="s">
        <v>43</v>
      </c>
      <c r="AH185" s="63" t="s">
        <v>129</v>
      </c>
      <c r="AI185" s="63" t="s">
        <v>138</v>
      </c>
      <c r="AJ185" s="63" t="s">
        <v>138</v>
      </c>
      <c r="AK185" s="83">
        <v>4.9000000000000004</v>
      </c>
      <c r="AL185" s="63" t="s">
        <v>76</v>
      </c>
      <c r="AM185" s="63" t="s">
        <v>138</v>
      </c>
      <c r="AN185"/>
    </row>
    <row r="186" spans="1:40" ht="18" customHeight="1">
      <c r="A186" s="1" t="s">
        <v>728</v>
      </c>
      <c r="B186" s="1" t="s">
        <v>729</v>
      </c>
      <c r="C186" s="4">
        <v>46120</v>
      </c>
      <c r="D186" s="4">
        <v>46132</v>
      </c>
      <c r="E186" s="4">
        <v>46135</v>
      </c>
      <c r="F186" s="63" t="s">
        <v>90</v>
      </c>
      <c r="G186" s="63" t="s">
        <v>3840</v>
      </c>
      <c r="H186" s="63" t="s">
        <v>133</v>
      </c>
      <c r="I186" s="63" t="s">
        <v>92</v>
      </c>
      <c r="J186" s="63" t="s">
        <v>71</v>
      </c>
      <c r="K186" s="63" t="s">
        <v>730</v>
      </c>
      <c r="L186" s="63" t="s">
        <v>238</v>
      </c>
      <c r="M186" s="69">
        <v>3.24</v>
      </c>
      <c r="N186" s="63" t="s">
        <v>104</v>
      </c>
      <c r="O186" s="73">
        <f>_xlfn.XLOOKUP(Supplier_Perf_Table[[#This Row],[Currency]],'Comments 2'!$C$4:$C$16,'Comments 2'!$D$4:$D$16)</f>
        <v>1.9E-2</v>
      </c>
      <c r="P186" s="69">
        <f>IFERROR(Supplier_Perf_Table[[#This Row],[Unit_Cost]]*Supplier_Perf_Table[[#This Row],[Dollar Equivalent]],"")</f>
        <v>6.1560000000000004E-2</v>
      </c>
      <c r="Q186" s="75">
        <v>1000</v>
      </c>
      <c r="R186" s="1">
        <v>3240</v>
      </c>
      <c r="S186" s="75">
        <f>Supplier_Perf_Table[[#This Row],[Unit_Cost]]*Supplier_Perf_Table[[#This Row],[Order_Quantity]]</f>
        <v>3240</v>
      </c>
      <c r="T186" s="75">
        <f>IFERROR(Supplier_Perf_Table[[#This Row],[Dollar Equivalent]]*Supplier_Perf_Table[[#This Row],[Ordered_Value]],"")</f>
        <v>61.559999999999995</v>
      </c>
      <c r="U186" s="75">
        <v>8</v>
      </c>
      <c r="V186" s="7">
        <v>8.0000000000000002E-3</v>
      </c>
      <c r="W186" s="75">
        <v>15</v>
      </c>
      <c r="X186" s="55">
        <f>IFERROR(Supplier_Perf_Table[[#This Row],[Actual_Delivery_Date]]-Supplier_Perf_Table[[#This Row],[Order Date]],"")</f>
        <v>15</v>
      </c>
      <c r="Y186" s="75">
        <v>12</v>
      </c>
      <c r="Z186" s="56">
        <f>IFERROR(Supplier_Perf_Table[[#This Row],[Expected Delivery_Date]]-Supplier_Perf_Table[[#This Row],[Order Date]],"")</f>
        <v>12</v>
      </c>
      <c r="AA186" s="56">
        <f>Supplier_Perf_Table[[#This Row],[Calculated_Lead_Time2]]-Supplier_Perf_Table[[#This Row],[Calculated_Expected_Lead_Time]]</f>
        <v>3</v>
      </c>
      <c r="AB186" s="75">
        <v>3</v>
      </c>
      <c r="AC186" s="63" t="s">
        <v>166</v>
      </c>
      <c r="AD186" s="63" t="s">
        <v>40</v>
      </c>
      <c r="AE186" s="63" t="s">
        <v>127</v>
      </c>
      <c r="AF186" s="63" t="s">
        <v>106</v>
      </c>
      <c r="AG186" s="63" t="s">
        <v>173</v>
      </c>
      <c r="AH186" s="63" t="s">
        <v>88</v>
      </c>
      <c r="AI186" s="63" t="s">
        <v>95</v>
      </c>
      <c r="AJ186" s="63" t="s">
        <v>138</v>
      </c>
      <c r="AK186" s="83">
        <v>2.4</v>
      </c>
      <c r="AL186" s="63" t="s">
        <v>76</v>
      </c>
      <c r="AM186" s="63" t="s">
        <v>148</v>
      </c>
      <c r="AN186"/>
    </row>
    <row r="187" spans="1:40" ht="18" customHeight="1">
      <c r="A187" s="1" t="s">
        <v>731</v>
      </c>
      <c r="B187" s="1" t="s">
        <v>732</v>
      </c>
      <c r="C187" s="4">
        <v>46134</v>
      </c>
      <c r="D187" s="4">
        <v>46150</v>
      </c>
      <c r="E187" s="4">
        <v>46148</v>
      </c>
      <c r="F187" s="63" t="s">
        <v>80</v>
      </c>
      <c r="G187" s="63" t="s">
        <v>3839</v>
      </c>
      <c r="H187" s="63" t="s">
        <v>82</v>
      </c>
      <c r="I187" s="63" t="s">
        <v>70</v>
      </c>
      <c r="J187" s="63" t="s">
        <v>35</v>
      </c>
      <c r="K187" s="63" t="s">
        <v>733</v>
      </c>
      <c r="L187" s="63" t="s">
        <v>37</v>
      </c>
      <c r="M187" s="69">
        <v>1440.86</v>
      </c>
      <c r="N187" s="63" t="s">
        <v>159</v>
      </c>
      <c r="O187" s="73">
        <f>_xlfn.XLOOKUP(Supplier_Perf_Table[[#This Row],[Currency]],'Comments 2'!$C$4:$C$16,'Comments 2'!$D$4:$D$16)</f>
        <v>7.2999999999999996E-4</v>
      </c>
      <c r="P187" s="69">
        <f>IFERROR(Supplier_Perf_Table[[#This Row],[Unit_Cost]]*Supplier_Perf_Table[[#This Row],[Dollar Equivalent]],"")</f>
        <v>1.0518277999999999</v>
      </c>
      <c r="Q187" s="75">
        <v>1500</v>
      </c>
      <c r="R187" s="1">
        <v>2161290</v>
      </c>
      <c r="S187" s="75">
        <f>Supplier_Perf_Table[[#This Row],[Unit_Cost]]*Supplier_Perf_Table[[#This Row],[Order_Quantity]]</f>
        <v>2161290</v>
      </c>
      <c r="T187" s="75">
        <f>IFERROR(Supplier_Perf_Table[[#This Row],[Dollar Equivalent]]*Supplier_Perf_Table[[#This Row],[Ordered_Value]],"")</f>
        <v>1577.7416999999998</v>
      </c>
      <c r="U187" s="75">
        <v>34</v>
      </c>
      <c r="V187" s="7">
        <v>2.2700000000000001E-2</v>
      </c>
      <c r="W187" s="75" t="s">
        <v>3080</v>
      </c>
      <c r="X187" s="55">
        <f>IFERROR(Supplier_Perf_Table[[#This Row],[Actual_Delivery_Date]]-Supplier_Perf_Table[[#This Row],[Order Date]],"")</f>
        <v>14</v>
      </c>
      <c r="Y187" s="75">
        <v>16</v>
      </c>
      <c r="Z187" s="56">
        <f>IFERROR(Supplier_Perf_Table[[#This Row],[Expected Delivery_Date]]-Supplier_Perf_Table[[#This Row],[Order Date]],"")</f>
        <v>16</v>
      </c>
      <c r="AA187" s="56">
        <f>Supplier_Perf_Table[[#This Row],[Calculated_Lead_Time2]]-Supplier_Perf_Table[[#This Row],[Calculated_Expected_Lead_Time]]</f>
        <v>-2</v>
      </c>
      <c r="AB187" s="75">
        <v>-2</v>
      </c>
      <c r="AC187" s="63" t="s">
        <v>270</v>
      </c>
      <c r="AD187" s="63" t="s">
        <v>40</v>
      </c>
      <c r="AE187" s="63" t="s">
        <v>105</v>
      </c>
      <c r="AF187" s="63" t="s">
        <v>190</v>
      </c>
      <c r="AG187" s="63" t="s">
        <v>43</v>
      </c>
      <c r="AH187" s="63" t="s">
        <v>3112</v>
      </c>
      <c r="AI187" s="63" t="s">
        <v>147</v>
      </c>
      <c r="AJ187" s="63" t="s">
        <v>138</v>
      </c>
      <c r="AK187" s="83">
        <v>3.8</v>
      </c>
      <c r="AL187" s="63" t="s">
        <v>115</v>
      </c>
      <c r="AM187" s="63" t="s">
        <v>138</v>
      </c>
      <c r="AN187"/>
    </row>
    <row r="188" spans="1:40" ht="18" customHeight="1">
      <c r="A188" s="1" t="s">
        <v>734</v>
      </c>
      <c r="B188" s="1" t="s">
        <v>735</v>
      </c>
      <c r="C188" s="4">
        <v>46182</v>
      </c>
      <c r="D188" s="4">
        <v>46205</v>
      </c>
      <c r="E188" s="4">
        <v>46202</v>
      </c>
      <c r="F188" s="63" t="s">
        <v>142</v>
      </c>
      <c r="G188" s="63" t="s">
        <v>3843</v>
      </c>
      <c r="H188" s="63" t="s">
        <v>169</v>
      </c>
      <c r="I188" s="63" t="s">
        <v>61</v>
      </c>
      <c r="J188" s="63" t="s">
        <v>50</v>
      </c>
      <c r="K188" s="63" t="s">
        <v>736</v>
      </c>
      <c r="L188" s="63" t="s">
        <v>126</v>
      </c>
      <c r="M188" s="69">
        <v>1945.81</v>
      </c>
      <c r="N188" s="63" t="s">
        <v>159</v>
      </c>
      <c r="O188" s="73">
        <f>_xlfn.XLOOKUP(Supplier_Perf_Table[[#This Row],[Currency]],'Comments 2'!$C$4:$C$16,'Comments 2'!$D$4:$D$16)</f>
        <v>7.2999999999999996E-4</v>
      </c>
      <c r="P188" s="69">
        <f>IFERROR(Supplier_Perf_Table[[#This Row],[Unit_Cost]]*Supplier_Perf_Table[[#This Row],[Dollar Equivalent]],"")</f>
        <v>1.4204412999999998</v>
      </c>
      <c r="Q188" s="75">
        <v>300</v>
      </c>
      <c r="R188" s="1">
        <v>583743</v>
      </c>
      <c r="S188" s="75">
        <f>Supplier_Perf_Table[[#This Row],[Unit_Cost]]*Supplier_Perf_Table[[#This Row],[Order_Quantity]]</f>
        <v>583743</v>
      </c>
      <c r="T188" s="75">
        <f>IFERROR(Supplier_Perf_Table[[#This Row],[Dollar Equivalent]]*Supplier_Perf_Table[[#This Row],[Ordered_Value]],"")</f>
        <v>426.13238999999999</v>
      </c>
      <c r="U188" s="75">
        <v>4</v>
      </c>
      <c r="V188" s="7">
        <v>1.3299999999999999E-2</v>
      </c>
      <c r="W188" s="75">
        <v>20</v>
      </c>
      <c r="X188" s="55">
        <f>IFERROR(Supplier_Perf_Table[[#This Row],[Actual_Delivery_Date]]-Supplier_Perf_Table[[#This Row],[Order Date]],"")</f>
        <v>20</v>
      </c>
      <c r="Y188" s="75">
        <v>23</v>
      </c>
      <c r="Z188" s="56">
        <f>IFERROR(Supplier_Perf_Table[[#This Row],[Expected Delivery_Date]]-Supplier_Perf_Table[[#This Row],[Order Date]],"")</f>
        <v>23</v>
      </c>
      <c r="AA188" s="56">
        <f>Supplier_Perf_Table[[#This Row],[Calculated_Lead_Time2]]-Supplier_Perf_Table[[#This Row],[Calculated_Expected_Lead_Time]]</f>
        <v>-3</v>
      </c>
      <c r="AB188" s="75">
        <v>-3</v>
      </c>
      <c r="AC188" s="63" t="s">
        <v>87</v>
      </c>
      <c r="AD188" s="63" t="s">
        <v>40</v>
      </c>
      <c r="AE188" s="63" t="s">
        <v>41</v>
      </c>
      <c r="AF188" s="63" t="s">
        <v>42</v>
      </c>
      <c r="AG188" s="63" t="s">
        <v>107</v>
      </c>
      <c r="AH188" s="63" t="s">
        <v>129</v>
      </c>
      <c r="AI188" s="63" t="s">
        <v>56</v>
      </c>
      <c r="AJ188" s="63" t="s">
        <v>138</v>
      </c>
      <c r="AK188" s="83">
        <v>2.5</v>
      </c>
      <c r="AL188" s="63" t="s">
        <v>184</v>
      </c>
      <c r="AM188" s="63" t="s">
        <v>138</v>
      </c>
      <c r="AN188"/>
    </row>
    <row r="189" spans="1:40" ht="18" customHeight="1">
      <c r="A189" s="1" t="s">
        <v>737</v>
      </c>
      <c r="B189" s="1" t="s">
        <v>738</v>
      </c>
      <c r="C189" s="4">
        <v>46039</v>
      </c>
      <c r="D189" s="4">
        <v>46043</v>
      </c>
      <c r="E189" s="4">
        <v>46042</v>
      </c>
      <c r="F189" s="63" t="s">
        <v>60</v>
      </c>
      <c r="G189" s="63" t="s">
        <v>3837</v>
      </c>
      <c r="H189" s="63" t="s">
        <v>152</v>
      </c>
      <c r="I189" s="63" t="s">
        <v>83</v>
      </c>
      <c r="J189" s="63" t="s">
        <v>62</v>
      </c>
      <c r="K189" s="63" t="s">
        <v>739</v>
      </c>
      <c r="L189" s="63" t="s">
        <v>94</v>
      </c>
      <c r="M189" s="69">
        <v>110.45</v>
      </c>
      <c r="N189" s="63" t="s">
        <v>65</v>
      </c>
      <c r="O189" s="73">
        <f>_xlfn.XLOOKUP(Supplier_Perf_Table[[#This Row],[Currency]],'Comments 2'!$C$4:$C$16,'Comments 2'!$D$4:$D$16)</f>
        <v>1</v>
      </c>
      <c r="P189" s="69">
        <f>IFERROR(Supplier_Perf_Table[[#This Row],[Unit_Cost]]*Supplier_Perf_Table[[#This Row],[Dollar Equivalent]],"")</f>
        <v>110.45</v>
      </c>
      <c r="Q189" s="75">
        <v>1000</v>
      </c>
      <c r="R189" s="1">
        <v>110450</v>
      </c>
      <c r="S189" s="75">
        <f>Supplier_Perf_Table[[#This Row],[Unit_Cost]]*Supplier_Perf_Table[[#This Row],[Order_Quantity]]</f>
        <v>110450</v>
      </c>
      <c r="T189" s="75">
        <f>IFERROR(Supplier_Perf_Table[[#This Row],[Dollar Equivalent]]*Supplier_Perf_Table[[#This Row],[Ordered_Value]],"")</f>
        <v>110450</v>
      </c>
      <c r="U189" s="75">
        <v>49</v>
      </c>
      <c r="V189" s="7">
        <v>4.9000000000000002E-2</v>
      </c>
      <c r="W189" s="75">
        <v>3</v>
      </c>
      <c r="X189" s="55">
        <f>IFERROR(Supplier_Perf_Table[[#This Row],[Actual_Delivery_Date]]-Supplier_Perf_Table[[#This Row],[Order Date]],"")</f>
        <v>3</v>
      </c>
      <c r="Y189" s="75">
        <v>4</v>
      </c>
      <c r="Z189" s="56">
        <f>IFERROR(Supplier_Perf_Table[[#This Row],[Expected Delivery_Date]]-Supplier_Perf_Table[[#This Row],[Order Date]],"")</f>
        <v>4</v>
      </c>
      <c r="AA189" s="56">
        <f>Supplier_Perf_Table[[#This Row],[Calculated_Lead_Time2]]-Supplier_Perf_Table[[#This Row],[Calculated_Expected_Lead_Time]]</f>
        <v>-1</v>
      </c>
      <c r="AB189" s="75">
        <v>-1</v>
      </c>
      <c r="AC189" s="63" t="s">
        <v>87</v>
      </c>
      <c r="AD189" s="63" t="s">
        <v>420</v>
      </c>
      <c r="AE189" s="63" t="s">
        <v>105</v>
      </c>
      <c r="AF189" s="63" t="s">
        <v>42</v>
      </c>
      <c r="AG189" s="63" t="s">
        <v>107</v>
      </c>
      <c r="AH189" s="63" t="s">
        <v>88</v>
      </c>
      <c r="AI189" s="63" t="s">
        <v>147</v>
      </c>
      <c r="AJ189" s="63" t="s">
        <v>96</v>
      </c>
      <c r="AK189" s="83">
        <v>1.5</v>
      </c>
      <c r="AL189" s="63" t="s">
        <v>184</v>
      </c>
      <c r="AM189" s="63" t="s">
        <v>97</v>
      </c>
      <c r="AN189"/>
    </row>
    <row r="190" spans="1:40" ht="18" customHeight="1">
      <c r="A190" s="1" t="s">
        <v>740</v>
      </c>
      <c r="B190" s="1" t="s">
        <v>741</v>
      </c>
      <c r="C190" s="4">
        <v>46101</v>
      </c>
      <c r="D190" s="4">
        <v>46113</v>
      </c>
      <c r="E190" s="4">
        <v>46114</v>
      </c>
      <c r="F190" s="63" t="s">
        <v>162</v>
      </c>
      <c r="G190" s="63" t="s">
        <v>3847</v>
      </c>
      <c r="H190" s="63" t="s">
        <v>152</v>
      </c>
      <c r="I190" s="63" t="s">
        <v>49</v>
      </c>
      <c r="J190" s="63" t="s">
        <v>163</v>
      </c>
      <c r="K190" s="63" t="s">
        <v>742</v>
      </c>
      <c r="L190" s="63" t="s">
        <v>253</v>
      </c>
      <c r="M190" s="69">
        <v>2488.17</v>
      </c>
      <c r="N190" s="63" t="s">
        <v>65</v>
      </c>
      <c r="O190" s="73">
        <f>_xlfn.XLOOKUP(Supplier_Perf_Table[[#This Row],[Currency]],'Comments 2'!$C$4:$C$16,'Comments 2'!$D$4:$D$16)</f>
        <v>1</v>
      </c>
      <c r="P190" s="69">
        <f>IFERROR(Supplier_Perf_Table[[#This Row],[Unit_Cost]]*Supplier_Perf_Table[[#This Row],[Dollar Equivalent]],"")</f>
        <v>2488.17</v>
      </c>
      <c r="Q190" s="75">
        <v>1500</v>
      </c>
      <c r="R190" s="1">
        <v>0</v>
      </c>
      <c r="S190" s="75">
        <f>Supplier_Perf_Table[[#This Row],[Unit_Cost]]*Supplier_Perf_Table[[#This Row],[Order_Quantity]]</f>
        <v>3732255</v>
      </c>
      <c r="T190" s="75">
        <f>IFERROR(Supplier_Perf_Table[[#This Row],[Dollar Equivalent]]*Supplier_Perf_Table[[#This Row],[Ordered_Value]],"")</f>
        <v>0</v>
      </c>
      <c r="U190" s="75">
        <v>13</v>
      </c>
      <c r="V190" s="7">
        <v>8.6999999999999994E-3</v>
      </c>
      <c r="W190" s="75">
        <v>-5</v>
      </c>
      <c r="X190" s="55">
        <f>IFERROR(Supplier_Perf_Table[[#This Row],[Actual_Delivery_Date]]-Supplier_Perf_Table[[#This Row],[Order Date]],"")</f>
        <v>13</v>
      </c>
      <c r="Y190" s="75">
        <v>12</v>
      </c>
      <c r="Z190" s="56">
        <f>IFERROR(Supplier_Perf_Table[[#This Row],[Expected Delivery_Date]]-Supplier_Perf_Table[[#This Row],[Order Date]],"")</f>
        <v>12</v>
      </c>
      <c r="AA190" s="56">
        <f>Supplier_Perf_Table[[#This Row],[Calculated_Lead_Time2]]-Supplier_Perf_Table[[#This Row],[Calculated_Expected_Lead_Time]]</f>
        <v>1</v>
      </c>
      <c r="AB190" s="75">
        <v>1</v>
      </c>
      <c r="AC190" s="63" t="s">
        <v>166</v>
      </c>
      <c r="AD190" s="63" t="s">
        <v>40</v>
      </c>
      <c r="AE190" s="63" t="s">
        <v>105</v>
      </c>
      <c r="AF190" s="63" t="s">
        <v>190</v>
      </c>
      <c r="AG190" s="63" t="s">
        <v>43</v>
      </c>
      <c r="AH190" s="63" t="s">
        <v>129</v>
      </c>
      <c r="AI190" s="63" t="s">
        <v>56</v>
      </c>
      <c r="AJ190" s="63" t="s">
        <v>138</v>
      </c>
      <c r="AK190" s="83">
        <v>4.9000000000000004</v>
      </c>
      <c r="AL190" s="63" t="s">
        <v>76</v>
      </c>
      <c r="AM190" s="63" t="s">
        <v>46</v>
      </c>
      <c r="AN190"/>
    </row>
    <row r="191" spans="1:40" ht="18" customHeight="1">
      <c r="A191" s="1" t="s">
        <v>743</v>
      </c>
      <c r="B191" s="1" t="s">
        <v>744</v>
      </c>
      <c r="C191" s="4">
        <v>46200</v>
      </c>
      <c r="D191" s="4">
        <v>46208</v>
      </c>
      <c r="E191" s="4">
        <v>46201</v>
      </c>
      <c r="F191" s="63" t="s">
        <v>60</v>
      </c>
      <c r="G191" s="63" t="s">
        <v>3837</v>
      </c>
      <c r="H191" s="63" t="s">
        <v>152</v>
      </c>
      <c r="I191" s="63" t="s">
        <v>83</v>
      </c>
      <c r="J191" s="63" t="s">
        <v>112</v>
      </c>
      <c r="K191" s="63" t="s">
        <v>361</v>
      </c>
      <c r="L191" s="63" t="s">
        <v>246</v>
      </c>
      <c r="M191" s="69">
        <v>21.47</v>
      </c>
      <c r="N191" s="63" t="s">
        <v>159</v>
      </c>
      <c r="O191" s="73">
        <f>_xlfn.XLOOKUP(Supplier_Perf_Table[[#This Row],[Currency]],'Comments 2'!$C$4:$C$16,'Comments 2'!$D$4:$D$16)</f>
        <v>7.2999999999999996E-4</v>
      </c>
      <c r="P191" s="69">
        <f>IFERROR(Supplier_Perf_Table[[#This Row],[Unit_Cost]]*Supplier_Perf_Table[[#This Row],[Dollar Equivalent]],"")</f>
        <v>1.5673099999999999E-2</v>
      </c>
      <c r="Q191" s="75">
        <v>750</v>
      </c>
      <c r="R191" s="1">
        <v>16102.5</v>
      </c>
      <c r="S191" s="75">
        <f>Supplier_Perf_Table[[#This Row],[Unit_Cost]]*Supplier_Perf_Table[[#This Row],[Order_Quantity]]</f>
        <v>16102.5</v>
      </c>
      <c r="T191" s="75">
        <f>IFERROR(Supplier_Perf_Table[[#This Row],[Dollar Equivalent]]*Supplier_Perf_Table[[#This Row],[Ordered_Value]],"")</f>
        <v>11.754824999999999</v>
      </c>
      <c r="U191" s="75">
        <v>5</v>
      </c>
      <c r="V191" s="7">
        <v>6.7000000000000002E-3</v>
      </c>
      <c r="W191" s="75">
        <v>1</v>
      </c>
      <c r="X191" s="55">
        <f>IFERROR(Supplier_Perf_Table[[#This Row],[Actual_Delivery_Date]]-Supplier_Perf_Table[[#This Row],[Order Date]],"")</f>
        <v>1</v>
      </c>
      <c r="Y191" s="75">
        <v>8</v>
      </c>
      <c r="Z191" s="56">
        <f>IFERROR(Supplier_Perf_Table[[#This Row],[Expected Delivery_Date]]-Supplier_Perf_Table[[#This Row],[Order Date]],"")</f>
        <v>8</v>
      </c>
      <c r="AA191" s="56">
        <f>Supplier_Perf_Table[[#This Row],[Calculated_Lead_Time2]]-Supplier_Perf_Table[[#This Row],[Calculated_Expected_Lead_Time]]</f>
        <v>-7</v>
      </c>
      <c r="AB191" s="75">
        <v>-7</v>
      </c>
      <c r="AC191" s="63" t="s">
        <v>87</v>
      </c>
      <c r="AD191" s="63" t="s">
        <v>40</v>
      </c>
      <c r="AE191" s="63" t="s">
        <v>105</v>
      </c>
      <c r="AF191" s="63" t="s">
        <v>212</v>
      </c>
      <c r="AG191" s="63" t="s">
        <v>107</v>
      </c>
      <c r="AH191" s="63" t="s">
        <v>136</v>
      </c>
      <c r="AI191" s="63" t="s">
        <v>138</v>
      </c>
      <c r="AJ191" s="63" t="s">
        <v>138</v>
      </c>
      <c r="AK191" s="83">
        <v>3.1</v>
      </c>
      <c r="AL191" s="63" t="s">
        <v>45</v>
      </c>
      <c r="AM191" s="63" t="s">
        <v>138</v>
      </c>
      <c r="AN191"/>
    </row>
    <row r="192" spans="1:40" ht="18" customHeight="1">
      <c r="A192" s="1" t="s">
        <v>745</v>
      </c>
      <c r="B192" s="1" t="s">
        <v>746</v>
      </c>
      <c r="C192" s="4">
        <v>46050</v>
      </c>
      <c r="D192" s="4">
        <v>46064</v>
      </c>
      <c r="E192" s="4">
        <v>46067</v>
      </c>
      <c r="F192" s="63" t="s">
        <v>60</v>
      </c>
      <c r="G192" s="63" t="s">
        <v>3837</v>
      </c>
      <c r="H192" s="63" t="s">
        <v>152</v>
      </c>
      <c r="I192" s="63" t="s">
        <v>83</v>
      </c>
      <c r="J192" s="63" t="s">
        <v>62</v>
      </c>
      <c r="K192" s="63" t="s">
        <v>747</v>
      </c>
      <c r="L192" s="63" t="s">
        <v>64</v>
      </c>
      <c r="M192" s="69">
        <v>235.32</v>
      </c>
      <c r="N192" s="63" t="s">
        <v>159</v>
      </c>
      <c r="O192" s="73">
        <f>_xlfn.XLOOKUP(Supplier_Perf_Table[[#This Row],[Currency]],'Comments 2'!$C$4:$C$16,'Comments 2'!$D$4:$D$16)</f>
        <v>7.2999999999999996E-4</v>
      </c>
      <c r="P192" s="69">
        <f>IFERROR(Supplier_Perf_Table[[#This Row],[Unit_Cost]]*Supplier_Perf_Table[[#This Row],[Dollar Equivalent]],"")</f>
        <v>0.17178359999999998</v>
      </c>
      <c r="Q192" s="75">
        <v>250</v>
      </c>
      <c r="R192" s="1">
        <v>58830</v>
      </c>
      <c r="S192" s="75">
        <f>Supplier_Perf_Table[[#This Row],[Unit_Cost]]*Supplier_Perf_Table[[#This Row],[Order_Quantity]]</f>
        <v>58830</v>
      </c>
      <c r="T192" s="75">
        <f>IFERROR(Supplier_Perf_Table[[#This Row],[Dollar Equivalent]]*Supplier_Perf_Table[[#This Row],[Ordered_Value]],"")</f>
        <v>42.945899999999995</v>
      </c>
      <c r="U192" s="75">
        <v>7</v>
      </c>
      <c r="V192" s="7">
        <v>2.8000000000000001E-2</v>
      </c>
      <c r="W192" s="75">
        <v>17</v>
      </c>
      <c r="X192" s="55">
        <f>IFERROR(Supplier_Perf_Table[[#This Row],[Actual_Delivery_Date]]-Supplier_Perf_Table[[#This Row],[Order Date]],"")</f>
        <v>17</v>
      </c>
      <c r="Y192" s="75">
        <v>14</v>
      </c>
      <c r="Z192" s="56">
        <f>IFERROR(Supplier_Perf_Table[[#This Row],[Expected Delivery_Date]]-Supplier_Perf_Table[[#This Row],[Order Date]],"")</f>
        <v>14</v>
      </c>
      <c r="AA192" s="56">
        <f>Supplier_Perf_Table[[#This Row],[Calculated_Lead_Time2]]-Supplier_Perf_Table[[#This Row],[Calculated_Expected_Lead_Time]]</f>
        <v>3</v>
      </c>
      <c r="AB192" s="75">
        <v>3</v>
      </c>
      <c r="AC192" s="63" t="s">
        <v>166</v>
      </c>
      <c r="AD192" s="63" t="s">
        <v>40</v>
      </c>
      <c r="AE192" s="63" t="s">
        <v>41</v>
      </c>
      <c r="AF192" s="63" t="s">
        <v>106</v>
      </c>
      <c r="AG192" s="63" t="s">
        <v>43</v>
      </c>
      <c r="AH192" s="63" t="s">
        <v>3112</v>
      </c>
      <c r="AI192" s="63" t="s">
        <v>138</v>
      </c>
      <c r="AJ192" s="63" t="s">
        <v>138</v>
      </c>
      <c r="AK192" s="83">
        <v>2.2000000000000002</v>
      </c>
      <c r="AL192" s="63" t="s">
        <v>45</v>
      </c>
      <c r="AM192" s="63" t="s">
        <v>46</v>
      </c>
      <c r="AN192"/>
    </row>
    <row r="193" spans="1:40" ht="18" customHeight="1">
      <c r="A193" s="1" t="s">
        <v>748</v>
      </c>
      <c r="B193" s="1" t="s">
        <v>749</v>
      </c>
      <c r="C193" s="4">
        <v>46163</v>
      </c>
      <c r="D193" s="4">
        <v>46174</v>
      </c>
      <c r="E193" s="4">
        <v>46179</v>
      </c>
      <c r="F193" s="63" t="s">
        <v>69</v>
      </c>
      <c r="G193" s="63" t="s">
        <v>3838</v>
      </c>
      <c r="H193" s="63" t="s">
        <v>194</v>
      </c>
      <c r="I193" s="63" t="s">
        <v>70</v>
      </c>
      <c r="J193" s="63" t="s">
        <v>112</v>
      </c>
      <c r="K193" s="63" t="s">
        <v>750</v>
      </c>
      <c r="L193" s="63" t="s">
        <v>218</v>
      </c>
      <c r="M193" s="69">
        <v>411.5</v>
      </c>
      <c r="N193" s="63" t="s">
        <v>53</v>
      </c>
      <c r="O193" s="73">
        <f>_xlfn.XLOOKUP(Supplier_Perf_Table[[#This Row],[Currency]],'Comments 2'!$C$4:$C$16,'Comments 2'!$D$4:$D$16)</f>
        <v>6.0999999999999999E-2</v>
      </c>
      <c r="P193" s="69">
        <f>IFERROR(Supplier_Perf_Table[[#This Row],[Unit_Cost]]*Supplier_Perf_Table[[#This Row],[Dollar Equivalent]],"")</f>
        <v>25.101499999999998</v>
      </c>
      <c r="Q193" s="75">
        <v>250</v>
      </c>
      <c r="R193" s="1">
        <v>102875</v>
      </c>
      <c r="S193" s="75">
        <f>Supplier_Perf_Table[[#This Row],[Unit_Cost]]*Supplier_Perf_Table[[#This Row],[Order_Quantity]]</f>
        <v>102875</v>
      </c>
      <c r="T193" s="75">
        <f>IFERROR(Supplier_Perf_Table[[#This Row],[Dollar Equivalent]]*Supplier_Perf_Table[[#This Row],[Ordered_Value]],"")</f>
        <v>6275.375</v>
      </c>
      <c r="U193" s="75">
        <v>-1</v>
      </c>
      <c r="V193" s="7">
        <v>3.2000000000000001E-2</v>
      </c>
      <c r="W193" s="75">
        <v>-5</v>
      </c>
      <c r="X193" s="55">
        <f>IFERROR(Supplier_Perf_Table[[#This Row],[Actual_Delivery_Date]]-Supplier_Perf_Table[[#This Row],[Order Date]],"")</f>
        <v>16</v>
      </c>
      <c r="Y193" s="75">
        <v>11</v>
      </c>
      <c r="Z193" s="56">
        <f>IFERROR(Supplier_Perf_Table[[#This Row],[Expected Delivery_Date]]-Supplier_Perf_Table[[#This Row],[Order Date]],"")</f>
        <v>11</v>
      </c>
      <c r="AA193" s="56">
        <f>Supplier_Perf_Table[[#This Row],[Calculated_Lead_Time2]]-Supplier_Perf_Table[[#This Row],[Calculated_Expected_Lead_Time]]</f>
        <v>5</v>
      </c>
      <c r="AB193" s="75"/>
      <c r="AC193" s="63" t="s">
        <v>135</v>
      </c>
      <c r="AD193" s="63" t="s">
        <v>40</v>
      </c>
      <c r="AE193" s="63" t="s">
        <v>105</v>
      </c>
      <c r="AF193" s="63" t="s">
        <v>106</v>
      </c>
      <c r="AG193" s="63" t="s">
        <v>173</v>
      </c>
      <c r="AH193" s="63" t="s">
        <v>3112</v>
      </c>
      <c r="AI193" s="63" t="s">
        <v>44</v>
      </c>
      <c r="AJ193" s="63" t="s">
        <v>138</v>
      </c>
      <c r="AK193" s="83">
        <v>3.4</v>
      </c>
      <c r="AL193" s="63" t="s">
        <v>184</v>
      </c>
      <c r="AM193" s="63" t="s">
        <v>46</v>
      </c>
      <c r="AN193"/>
    </row>
    <row r="194" spans="1:40" ht="18" customHeight="1">
      <c r="A194" s="1" t="s">
        <v>751</v>
      </c>
      <c r="B194" s="1" t="s">
        <v>752</v>
      </c>
      <c r="C194" s="4">
        <v>46057</v>
      </c>
      <c r="D194" s="4">
        <v>46077</v>
      </c>
      <c r="E194" s="4">
        <v>46069</v>
      </c>
      <c r="F194" s="63" t="s">
        <v>48</v>
      </c>
      <c r="G194" s="63" t="s">
        <v>3836</v>
      </c>
      <c r="H194" s="63" t="s">
        <v>102</v>
      </c>
      <c r="I194" s="63" t="s">
        <v>61</v>
      </c>
      <c r="J194" s="63" t="s">
        <v>153</v>
      </c>
      <c r="K194" s="63" t="s">
        <v>753</v>
      </c>
      <c r="L194" s="63" t="s">
        <v>155</v>
      </c>
      <c r="M194" s="69">
        <v>686.71</v>
      </c>
      <c r="N194" s="63" t="s">
        <v>159</v>
      </c>
      <c r="O194" s="73">
        <f>_xlfn.XLOOKUP(Supplier_Perf_Table[[#This Row],[Currency]],'Comments 2'!$C$4:$C$16,'Comments 2'!$D$4:$D$16)</f>
        <v>7.2999999999999996E-4</v>
      </c>
      <c r="P194" s="69">
        <f>IFERROR(Supplier_Perf_Table[[#This Row],[Unit_Cost]]*Supplier_Perf_Table[[#This Row],[Dollar Equivalent]],"")</f>
        <v>0.50129829999999997</v>
      </c>
      <c r="Q194" s="75">
        <v>50</v>
      </c>
      <c r="R194" s="1">
        <v>34335.5</v>
      </c>
      <c r="S194" s="75">
        <f>Supplier_Perf_Table[[#This Row],[Unit_Cost]]*Supplier_Perf_Table[[#This Row],[Order_Quantity]]</f>
        <v>34335.5</v>
      </c>
      <c r="T194" s="75">
        <f>IFERROR(Supplier_Perf_Table[[#This Row],[Dollar Equivalent]]*Supplier_Perf_Table[[#This Row],[Ordered_Value]],"")</f>
        <v>25.064914999999999</v>
      </c>
      <c r="U194" s="75">
        <v>4</v>
      </c>
      <c r="V194" s="7">
        <v>0.08</v>
      </c>
      <c r="W194" s="75">
        <v>12</v>
      </c>
      <c r="X194" s="55">
        <f>IFERROR(Supplier_Perf_Table[[#This Row],[Actual_Delivery_Date]]-Supplier_Perf_Table[[#This Row],[Order Date]],"")</f>
        <v>12</v>
      </c>
      <c r="Y194" s="75">
        <v>20</v>
      </c>
      <c r="Z194" s="56">
        <f>IFERROR(Supplier_Perf_Table[[#This Row],[Expected Delivery_Date]]-Supplier_Perf_Table[[#This Row],[Order Date]],"")</f>
        <v>20</v>
      </c>
      <c r="AA194" s="56">
        <f>Supplier_Perf_Table[[#This Row],[Calculated_Lead_Time2]]-Supplier_Perf_Table[[#This Row],[Calculated_Expected_Lead_Time]]</f>
        <v>-8</v>
      </c>
      <c r="AB194" s="75">
        <v>-8</v>
      </c>
      <c r="AC194" s="63" t="s">
        <v>87</v>
      </c>
      <c r="AD194" s="63" t="s">
        <v>420</v>
      </c>
      <c r="AE194" s="63" t="s">
        <v>105</v>
      </c>
      <c r="AF194" s="63" t="s">
        <v>42</v>
      </c>
      <c r="AG194" s="63" t="s">
        <v>43</v>
      </c>
      <c r="AH194" s="63" t="s">
        <v>3112</v>
      </c>
      <c r="AI194" s="63" t="s">
        <v>95</v>
      </c>
      <c r="AJ194" s="63" t="s">
        <v>183</v>
      </c>
      <c r="AK194" s="83">
        <v>3.2</v>
      </c>
      <c r="AL194" s="63" t="s">
        <v>57</v>
      </c>
      <c r="AM194" s="63" t="s">
        <v>97</v>
      </c>
      <c r="AN194"/>
    </row>
    <row r="195" spans="1:40" ht="18" customHeight="1">
      <c r="A195" s="1" t="s">
        <v>754</v>
      </c>
      <c r="B195" s="1" t="s">
        <v>755</v>
      </c>
      <c r="C195" s="4">
        <v>46177</v>
      </c>
      <c r="D195" s="4">
        <v>46190</v>
      </c>
      <c r="E195" s="4">
        <v>46193</v>
      </c>
      <c r="F195" s="63" t="s">
        <v>209</v>
      </c>
      <c r="G195" s="63" t="s">
        <v>3845</v>
      </c>
      <c r="H195" s="63" t="s">
        <v>316</v>
      </c>
      <c r="I195" s="63" t="s">
        <v>241</v>
      </c>
      <c r="J195" s="63" t="s">
        <v>153</v>
      </c>
      <c r="K195" s="63" t="s">
        <v>203</v>
      </c>
      <c r="L195" s="63" t="s">
        <v>295</v>
      </c>
      <c r="M195" s="69">
        <v>224.87</v>
      </c>
      <c r="N195" s="63" t="s">
        <v>86</v>
      </c>
      <c r="O195" s="73">
        <f>_xlfn.XLOOKUP(Supplier_Perf_Table[[#This Row],[Currency]],'Comments 2'!$C$4:$C$16,'Comments 2'!$D$4:$D$16)</f>
        <v>8.8999999999999996E-2</v>
      </c>
      <c r="P195" s="69">
        <f>IFERROR(Supplier_Perf_Table[[#This Row],[Unit_Cost]]*Supplier_Perf_Table[[#This Row],[Dollar Equivalent]],"")</f>
        <v>20.01343</v>
      </c>
      <c r="Q195" s="75">
        <v>250</v>
      </c>
      <c r="R195" s="1">
        <v>56217.5</v>
      </c>
      <c r="S195" s="75">
        <f>Supplier_Perf_Table[[#This Row],[Unit_Cost]]*Supplier_Perf_Table[[#This Row],[Order_Quantity]]</f>
        <v>56217.5</v>
      </c>
      <c r="T195" s="75">
        <f>IFERROR(Supplier_Perf_Table[[#This Row],[Dollar Equivalent]]*Supplier_Perf_Table[[#This Row],[Ordered_Value]],"")</f>
        <v>5003.3575000000001</v>
      </c>
      <c r="U195" s="75">
        <v>8</v>
      </c>
      <c r="V195" s="7">
        <v>3.2000000000000001E-2</v>
      </c>
      <c r="W195" s="75">
        <v>16</v>
      </c>
      <c r="X195" s="55">
        <f>IFERROR(Supplier_Perf_Table[[#This Row],[Actual_Delivery_Date]]-Supplier_Perf_Table[[#This Row],[Order Date]],"")</f>
        <v>16</v>
      </c>
      <c r="Y195" s="75">
        <v>13</v>
      </c>
      <c r="Z195" s="56">
        <f>IFERROR(Supplier_Perf_Table[[#This Row],[Expected Delivery_Date]]-Supplier_Perf_Table[[#This Row],[Order Date]],"")</f>
        <v>13</v>
      </c>
      <c r="AA195" s="56">
        <f>Supplier_Perf_Table[[#This Row],[Calculated_Lead_Time2]]-Supplier_Perf_Table[[#This Row],[Calculated_Expected_Lead_Time]]</f>
        <v>3</v>
      </c>
      <c r="AB195" s="75">
        <v>3</v>
      </c>
      <c r="AC195" s="63" t="s">
        <v>135</v>
      </c>
      <c r="AD195" s="63" t="s">
        <v>40</v>
      </c>
      <c r="AE195" s="63" t="s">
        <v>41</v>
      </c>
      <c r="AF195" s="63" t="s">
        <v>190</v>
      </c>
      <c r="AG195" s="63" t="s">
        <v>107</v>
      </c>
      <c r="AH195" s="63" t="s">
        <v>129</v>
      </c>
      <c r="AI195" s="63" t="s">
        <v>138</v>
      </c>
      <c r="AJ195" s="63" t="s">
        <v>138</v>
      </c>
      <c r="AK195" s="83">
        <v>4.0999999999999996</v>
      </c>
      <c r="AL195" s="63" t="s">
        <v>115</v>
      </c>
      <c r="AM195" s="63" t="s">
        <v>46</v>
      </c>
      <c r="AN195"/>
    </row>
    <row r="196" spans="1:40" ht="18" customHeight="1">
      <c r="A196" s="1" t="s">
        <v>756</v>
      </c>
      <c r="B196" s="1" t="s">
        <v>757</v>
      </c>
      <c r="C196" s="4">
        <v>46094</v>
      </c>
      <c r="D196" s="4">
        <v>46114</v>
      </c>
      <c r="E196" s="4">
        <v>46119</v>
      </c>
      <c r="F196" s="63" t="s">
        <v>118</v>
      </c>
      <c r="G196" s="63" t="s">
        <v>3842</v>
      </c>
      <c r="H196" s="63" t="s">
        <v>301</v>
      </c>
      <c r="I196" s="63" t="s">
        <v>70</v>
      </c>
      <c r="J196" s="63" t="s">
        <v>62</v>
      </c>
      <c r="K196" s="63" t="s">
        <v>758</v>
      </c>
      <c r="L196" s="63" t="s">
        <v>122</v>
      </c>
      <c r="M196" s="69">
        <v>248.35</v>
      </c>
      <c r="N196" s="63" t="s">
        <v>38</v>
      </c>
      <c r="O196" s="73">
        <f>_xlfn.XLOOKUP(Supplier_Perf_Table[[#This Row],[Currency]],'Comments 2'!$C$4:$C$16,'Comments 2'!$D$4:$D$16)</f>
        <v>7.7000000000000002E-3</v>
      </c>
      <c r="P196" s="69">
        <f>IFERROR(Supplier_Perf_Table[[#This Row],[Unit_Cost]]*Supplier_Perf_Table[[#This Row],[Dollar Equivalent]],"")</f>
        <v>1.9122950000000001</v>
      </c>
      <c r="Q196" s="75">
        <v>250</v>
      </c>
      <c r="R196" s="1">
        <v>62087.5</v>
      </c>
      <c r="S196" s="75">
        <f>Supplier_Perf_Table[[#This Row],[Unit_Cost]]*Supplier_Perf_Table[[#This Row],[Order_Quantity]]</f>
        <v>62087.5</v>
      </c>
      <c r="T196" s="75">
        <f>IFERROR(Supplier_Perf_Table[[#This Row],[Dollar Equivalent]]*Supplier_Perf_Table[[#This Row],[Ordered_Value]],"")</f>
        <v>478.07375000000002</v>
      </c>
      <c r="U196" s="75">
        <v>256</v>
      </c>
      <c r="V196" s="7">
        <v>1.2E-2</v>
      </c>
      <c r="W196" s="75">
        <v>25</v>
      </c>
      <c r="X196" s="55">
        <f>IFERROR(Supplier_Perf_Table[[#This Row],[Actual_Delivery_Date]]-Supplier_Perf_Table[[#This Row],[Order Date]],"")</f>
        <v>25</v>
      </c>
      <c r="Y196" s="75">
        <v>20</v>
      </c>
      <c r="Z196" s="56">
        <f>IFERROR(Supplier_Perf_Table[[#This Row],[Expected Delivery_Date]]-Supplier_Perf_Table[[#This Row],[Order Date]],"")</f>
        <v>20</v>
      </c>
      <c r="AA196" s="56">
        <f>Supplier_Perf_Table[[#This Row],[Calculated_Lead_Time2]]-Supplier_Perf_Table[[#This Row],[Calculated_Expected_Lead_Time]]</f>
        <v>5</v>
      </c>
      <c r="AB196" s="75">
        <v>5</v>
      </c>
      <c r="AC196" s="63" t="s">
        <v>39</v>
      </c>
      <c r="AD196" s="63" t="s">
        <v>40</v>
      </c>
      <c r="AE196" s="63" t="s">
        <v>41</v>
      </c>
      <c r="AF196" s="63" t="s">
        <v>212</v>
      </c>
      <c r="AG196" s="63" t="s">
        <v>173</v>
      </c>
      <c r="AH196" s="63" t="s">
        <v>55</v>
      </c>
      <c r="AI196" s="63" t="s">
        <v>137</v>
      </c>
      <c r="AJ196" s="63" t="s">
        <v>138</v>
      </c>
      <c r="AK196" s="83">
        <v>3.7</v>
      </c>
      <c r="AL196" s="63" t="s">
        <v>108</v>
      </c>
      <c r="AM196" s="63" t="s">
        <v>46</v>
      </c>
      <c r="AN196"/>
    </row>
    <row r="197" spans="1:40" ht="18" customHeight="1">
      <c r="A197" s="63" t="s">
        <v>759</v>
      </c>
      <c r="B197" s="63" t="s">
        <v>760</v>
      </c>
      <c r="C197" s="4">
        <v>46041</v>
      </c>
      <c r="D197" s="4">
        <v>46050</v>
      </c>
      <c r="E197" s="4">
        <v>46051</v>
      </c>
      <c r="F197" s="63" t="s">
        <v>69</v>
      </c>
      <c r="G197" s="63" t="s">
        <v>3838</v>
      </c>
      <c r="H197" s="63" t="s">
        <v>194</v>
      </c>
      <c r="I197" s="63" t="s">
        <v>49</v>
      </c>
      <c r="J197" s="63" t="s">
        <v>112</v>
      </c>
      <c r="K197" s="63" t="s">
        <v>761</v>
      </c>
      <c r="L197" s="63" t="s">
        <v>246</v>
      </c>
      <c r="M197" s="69">
        <v>460.76</v>
      </c>
      <c r="N197" s="63" t="s">
        <v>38</v>
      </c>
      <c r="O197" s="73">
        <f>_xlfn.XLOOKUP(Supplier_Perf_Table[[#This Row],[Currency]],'Comments 2'!$C$4:$C$16,'Comments 2'!$D$4:$D$16)</f>
        <v>7.7000000000000002E-3</v>
      </c>
      <c r="P197" s="69">
        <f>IFERROR(Supplier_Perf_Table[[#This Row],[Unit_Cost]]*Supplier_Perf_Table[[#This Row],[Dollar Equivalent]],"")</f>
        <v>3.5478520000000002</v>
      </c>
      <c r="Q197" s="75">
        <v>1500</v>
      </c>
      <c r="R197" s="1">
        <v>691140</v>
      </c>
      <c r="S197" s="75">
        <f>Supplier_Perf_Table[[#This Row],[Unit_Cost]]*Supplier_Perf_Table[[#This Row],[Order_Quantity]]</f>
        <v>691140</v>
      </c>
      <c r="T197" s="75">
        <f>IFERROR(Supplier_Perf_Table[[#This Row],[Dollar Equivalent]]*Supplier_Perf_Table[[#This Row],[Ordered_Value]],"")</f>
        <v>5321.7780000000002</v>
      </c>
      <c r="U197" s="75"/>
      <c r="V197" s="7">
        <v>6.8000000000000005E-2</v>
      </c>
      <c r="W197" s="75">
        <v>10</v>
      </c>
      <c r="X197" s="55">
        <f>IFERROR(Supplier_Perf_Table[[#This Row],[Actual_Delivery_Date]]-Supplier_Perf_Table[[#This Row],[Order Date]],"")</f>
        <v>10</v>
      </c>
      <c r="Y197" s="75">
        <v>9</v>
      </c>
      <c r="Z197" s="56">
        <f>IFERROR(Supplier_Perf_Table[[#This Row],[Expected Delivery_Date]]-Supplier_Perf_Table[[#This Row],[Order Date]],"")</f>
        <v>9</v>
      </c>
      <c r="AA197" s="56">
        <f>Supplier_Perf_Table[[#This Row],[Calculated_Lead_Time2]]-Supplier_Perf_Table[[#This Row],[Calculated_Expected_Lead_Time]]</f>
        <v>1</v>
      </c>
      <c r="AB197" s="75">
        <v>1</v>
      </c>
      <c r="AC197" s="63" t="s">
        <v>166</v>
      </c>
      <c r="AD197" s="63" t="s">
        <v>366</v>
      </c>
      <c r="AE197" s="63" t="s">
        <v>41</v>
      </c>
      <c r="AF197" s="63" t="s">
        <v>212</v>
      </c>
      <c r="AG197" s="63" t="s">
        <v>173</v>
      </c>
      <c r="AH197" s="63" t="s">
        <v>136</v>
      </c>
      <c r="AI197" s="63" t="s">
        <v>147</v>
      </c>
      <c r="AJ197" s="63" t="s">
        <v>373</v>
      </c>
      <c r="AK197" s="83">
        <v>2.2000000000000002</v>
      </c>
      <c r="AL197" s="63" t="s">
        <v>76</v>
      </c>
      <c r="AM197" s="63" t="s">
        <v>77</v>
      </c>
      <c r="AN197"/>
    </row>
    <row r="198" spans="1:40" ht="18" customHeight="1">
      <c r="A198" s="1" t="s">
        <v>762</v>
      </c>
      <c r="B198" s="1" t="s">
        <v>763</v>
      </c>
      <c r="C198" s="4">
        <v>46152</v>
      </c>
      <c r="D198" s="4">
        <v>46171</v>
      </c>
      <c r="E198" s="4">
        <v>46166</v>
      </c>
      <c r="F198" s="63" t="s">
        <v>80</v>
      </c>
      <c r="G198" s="63" t="s">
        <v>3839</v>
      </c>
      <c r="H198" s="63" t="s">
        <v>82</v>
      </c>
      <c r="I198" s="63" t="s">
        <v>61</v>
      </c>
      <c r="J198" s="63" t="s">
        <v>163</v>
      </c>
      <c r="K198" s="63" t="s">
        <v>764</v>
      </c>
      <c r="L198" s="63" t="s">
        <v>165</v>
      </c>
      <c r="M198" s="69">
        <v>1799.68</v>
      </c>
      <c r="N198" s="63" t="s">
        <v>38</v>
      </c>
      <c r="O198" s="73">
        <f>_xlfn.XLOOKUP(Supplier_Perf_Table[[#This Row],[Currency]],'Comments 2'!$C$4:$C$16,'Comments 2'!$D$4:$D$16)</f>
        <v>7.7000000000000002E-3</v>
      </c>
      <c r="P198" s="69">
        <f>IFERROR(Supplier_Perf_Table[[#This Row],[Unit_Cost]]*Supplier_Perf_Table[[#This Row],[Dollar Equivalent]],"")</f>
        <v>13.857536000000001</v>
      </c>
      <c r="Q198" s="75">
        <v>2000</v>
      </c>
      <c r="R198" s="1">
        <v>3599360</v>
      </c>
      <c r="S198" s="75">
        <f>Supplier_Perf_Table[[#This Row],[Unit_Cost]]*Supplier_Perf_Table[[#This Row],[Order_Quantity]]</f>
        <v>3599360</v>
      </c>
      <c r="T198" s="75">
        <f>IFERROR(Supplier_Perf_Table[[#This Row],[Dollar Equivalent]]*Supplier_Perf_Table[[#This Row],[Ordered_Value]],"")</f>
        <v>27715.072</v>
      </c>
      <c r="U198" s="75">
        <v>78</v>
      </c>
      <c r="V198" s="7">
        <v>3.9E-2</v>
      </c>
      <c r="W198" s="75">
        <v>14</v>
      </c>
      <c r="X198" s="55">
        <f>IFERROR(Supplier_Perf_Table[[#This Row],[Actual_Delivery_Date]]-Supplier_Perf_Table[[#This Row],[Order Date]],"")</f>
        <v>14</v>
      </c>
      <c r="Y198" s="75">
        <v>19</v>
      </c>
      <c r="Z198" s="56">
        <f>IFERROR(Supplier_Perf_Table[[#This Row],[Expected Delivery_Date]]-Supplier_Perf_Table[[#This Row],[Order Date]],"")</f>
        <v>19</v>
      </c>
      <c r="AA198" s="56">
        <f>Supplier_Perf_Table[[#This Row],[Calculated_Lead_Time2]]-Supplier_Perf_Table[[#This Row],[Calculated_Expected_Lead_Time]]</f>
        <v>-5</v>
      </c>
      <c r="AB198" s="75">
        <v>-5</v>
      </c>
      <c r="AC198" s="63" t="s">
        <v>87</v>
      </c>
      <c r="AD198" s="63" t="s">
        <v>40</v>
      </c>
      <c r="AE198" s="63" t="s">
        <v>3088</v>
      </c>
      <c r="AF198" s="63" t="s">
        <v>212</v>
      </c>
      <c r="AG198" s="63" t="s">
        <v>128</v>
      </c>
      <c r="AH198" s="63" t="s">
        <v>3112</v>
      </c>
      <c r="AI198" s="63" t="s">
        <v>44</v>
      </c>
      <c r="AJ198" s="63" t="s">
        <v>138</v>
      </c>
      <c r="AK198" s="83">
        <v>4.5999999999999996</v>
      </c>
      <c r="AL198" s="63" t="s">
        <v>139</v>
      </c>
      <c r="AM198" s="63" t="s">
        <v>130</v>
      </c>
      <c r="AN198"/>
    </row>
    <row r="199" spans="1:40" ht="18" customHeight="1">
      <c r="A199" s="1" t="s">
        <v>765</v>
      </c>
      <c r="B199" s="1" t="s">
        <v>766</v>
      </c>
      <c r="C199" s="4">
        <v>46149</v>
      </c>
      <c r="D199" s="4">
        <v>46156</v>
      </c>
      <c r="E199" s="4">
        <v>46165</v>
      </c>
      <c r="F199" s="63" t="s">
        <v>69</v>
      </c>
      <c r="G199" s="63" t="s">
        <v>3838</v>
      </c>
      <c r="H199" s="63" t="s">
        <v>194</v>
      </c>
      <c r="I199" s="63" t="s">
        <v>120</v>
      </c>
      <c r="J199" s="63" t="s">
        <v>112</v>
      </c>
      <c r="K199" s="63" t="s">
        <v>308</v>
      </c>
      <c r="L199" s="63" t="s">
        <v>218</v>
      </c>
      <c r="M199" s="69">
        <v>555.27</v>
      </c>
      <c r="N199" s="63" t="s">
        <v>104</v>
      </c>
      <c r="O199" s="73">
        <f>_xlfn.XLOOKUP(Supplier_Perf_Table[[#This Row],[Currency]],'Comments 2'!$C$4:$C$16,'Comments 2'!$D$4:$D$16)</f>
        <v>1.9E-2</v>
      </c>
      <c r="P199" s="69">
        <f>IFERROR(Supplier_Perf_Table[[#This Row],[Unit_Cost]]*Supplier_Perf_Table[[#This Row],[Dollar Equivalent]],"")</f>
        <v>10.550129999999999</v>
      </c>
      <c r="Q199" s="75">
        <v>500</v>
      </c>
      <c r="R199" s="1">
        <v>277635</v>
      </c>
      <c r="S199" s="75">
        <f>Supplier_Perf_Table[[#This Row],[Unit_Cost]]*Supplier_Perf_Table[[#This Row],[Order_Quantity]]</f>
        <v>277635</v>
      </c>
      <c r="T199" s="75">
        <f>IFERROR(Supplier_Perf_Table[[#This Row],[Dollar Equivalent]]*Supplier_Perf_Table[[#This Row],[Ordered_Value]],"")</f>
        <v>5275.0649999999996</v>
      </c>
      <c r="U199" s="75">
        <v>26</v>
      </c>
      <c r="V199" s="7">
        <v>5.1999999999999998E-2</v>
      </c>
      <c r="W199" s="75">
        <v>16</v>
      </c>
      <c r="X199" s="55">
        <f>IFERROR(Supplier_Perf_Table[[#This Row],[Actual_Delivery_Date]]-Supplier_Perf_Table[[#This Row],[Order Date]],"")</f>
        <v>16</v>
      </c>
      <c r="Y199" s="75">
        <v>7</v>
      </c>
      <c r="Z199" s="56">
        <f>IFERROR(Supplier_Perf_Table[[#This Row],[Expected Delivery_Date]]-Supplier_Perf_Table[[#This Row],[Order Date]],"")</f>
        <v>7</v>
      </c>
      <c r="AA199" s="56">
        <f>Supplier_Perf_Table[[#This Row],[Calculated_Lead_Time2]]-Supplier_Perf_Table[[#This Row],[Calculated_Expected_Lead_Time]]</f>
        <v>9</v>
      </c>
      <c r="AB199" s="75">
        <v>9</v>
      </c>
      <c r="AC199" s="63" t="s">
        <v>205</v>
      </c>
      <c r="AD199" s="63" t="s">
        <v>366</v>
      </c>
      <c r="AE199" s="63" t="s">
        <v>3088</v>
      </c>
      <c r="AF199" s="63" t="s">
        <v>42</v>
      </c>
      <c r="AG199" s="63" t="s">
        <v>107</v>
      </c>
      <c r="AH199" s="63" t="s">
        <v>136</v>
      </c>
      <c r="AI199" s="63" t="s">
        <v>147</v>
      </c>
      <c r="AJ199" s="63" t="s">
        <v>373</v>
      </c>
      <c r="AK199" s="83">
        <v>1.5</v>
      </c>
      <c r="AL199" s="63" t="s">
        <v>115</v>
      </c>
      <c r="AM199" s="63" t="s">
        <v>185</v>
      </c>
      <c r="AN199"/>
    </row>
    <row r="200" spans="1:40" ht="18" customHeight="1">
      <c r="A200" s="1" t="s">
        <v>767</v>
      </c>
      <c r="B200" s="1" t="s">
        <v>768</v>
      </c>
      <c r="C200" s="4">
        <v>46101</v>
      </c>
      <c r="D200" s="4">
        <v>46111</v>
      </c>
      <c r="E200" s="4">
        <v>46111</v>
      </c>
      <c r="F200" s="63" t="s">
        <v>215</v>
      </c>
      <c r="G200" s="63" t="s">
        <v>3846</v>
      </c>
      <c r="H200" s="63" t="s">
        <v>152</v>
      </c>
      <c r="I200" s="63" t="s">
        <v>120</v>
      </c>
      <c r="J200" s="63" t="s">
        <v>71</v>
      </c>
      <c r="K200" s="63" t="s">
        <v>769</v>
      </c>
      <c r="L200" s="63" t="s">
        <v>73</v>
      </c>
      <c r="M200" s="69">
        <v>132.44</v>
      </c>
      <c r="N200" s="63" t="s">
        <v>159</v>
      </c>
      <c r="O200" s="73">
        <f>_xlfn.XLOOKUP(Supplier_Perf_Table[[#This Row],[Currency]],'Comments 2'!$C$4:$C$16,'Comments 2'!$D$4:$D$16)</f>
        <v>7.2999999999999996E-4</v>
      </c>
      <c r="P200" s="69">
        <f>IFERROR(Supplier_Perf_Table[[#This Row],[Unit_Cost]]*Supplier_Perf_Table[[#This Row],[Dollar Equivalent]],"")</f>
        <v>9.6681199999999995E-2</v>
      </c>
      <c r="Q200" s="75">
        <v>2000</v>
      </c>
      <c r="R200" s="1">
        <v>264880</v>
      </c>
      <c r="S200" s="75">
        <f>Supplier_Perf_Table[[#This Row],[Unit_Cost]]*Supplier_Perf_Table[[#This Row],[Order_Quantity]]</f>
        <v>264880</v>
      </c>
      <c r="T200" s="75">
        <f>IFERROR(Supplier_Perf_Table[[#This Row],[Dollar Equivalent]]*Supplier_Perf_Table[[#This Row],[Ordered_Value]],"")</f>
        <v>193.36239999999998</v>
      </c>
      <c r="U200" s="75">
        <v>32</v>
      </c>
      <c r="V200" s="7">
        <v>1.6E-2</v>
      </c>
      <c r="W200" s="75">
        <v>10</v>
      </c>
      <c r="X200" s="55">
        <f>IFERROR(Supplier_Perf_Table[[#This Row],[Actual_Delivery_Date]]-Supplier_Perf_Table[[#This Row],[Order Date]],"")</f>
        <v>10</v>
      </c>
      <c r="Y200" s="75">
        <v>10</v>
      </c>
      <c r="Z200" s="56">
        <f>IFERROR(Supplier_Perf_Table[[#This Row],[Expected Delivery_Date]]-Supplier_Perf_Table[[#This Row],[Order Date]],"")</f>
        <v>10</v>
      </c>
      <c r="AA200" s="56">
        <f>Supplier_Perf_Table[[#This Row],[Calculated_Lead_Time2]]-Supplier_Perf_Table[[#This Row],[Calculated_Expected_Lead_Time]]</f>
        <v>0</v>
      </c>
      <c r="AB200" s="75">
        <v>0</v>
      </c>
      <c r="AC200" s="63" t="s">
        <v>87</v>
      </c>
      <c r="AD200" s="63" t="s">
        <v>40</v>
      </c>
      <c r="AE200" s="63" t="s">
        <v>41</v>
      </c>
      <c r="AF200" s="63" t="s">
        <v>212</v>
      </c>
      <c r="AG200" s="63" t="s">
        <v>173</v>
      </c>
      <c r="AH200" s="63" t="s">
        <v>206</v>
      </c>
      <c r="AI200" s="63" t="s">
        <v>44</v>
      </c>
      <c r="AJ200" s="63" t="s">
        <v>138</v>
      </c>
      <c r="AK200" s="83">
        <v>3.6</v>
      </c>
      <c r="AL200" s="63" t="s">
        <v>45</v>
      </c>
      <c r="AM200" s="63" t="s">
        <v>138</v>
      </c>
      <c r="AN200"/>
    </row>
    <row r="201" spans="1:40" ht="18" customHeight="1">
      <c r="A201" s="1" t="s">
        <v>770</v>
      </c>
      <c r="B201" s="1" t="s">
        <v>771</v>
      </c>
      <c r="C201" s="4">
        <v>46135</v>
      </c>
      <c r="D201" s="4">
        <v>46151</v>
      </c>
      <c r="E201" s="4">
        <v>46155</v>
      </c>
      <c r="F201" s="63" t="s">
        <v>142</v>
      </c>
      <c r="G201" s="63" t="s">
        <v>3843</v>
      </c>
      <c r="H201" s="63" t="s">
        <v>169</v>
      </c>
      <c r="I201" s="63" t="s">
        <v>34</v>
      </c>
      <c r="J201" s="63" t="s">
        <v>50</v>
      </c>
      <c r="K201" s="63" t="s">
        <v>772</v>
      </c>
      <c r="L201" s="63" t="s">
        <v>189</v>
      </c>
      <c r="M201" s="69">
        <v>1529.16</v>
      </c>
      <c r="N201" s="63" t="s">
        <v>65</v>
      </c>
      <c r="O201" s="73">
        <f>_xlfn.XLOOKUP(Supplier_Perf_Table[[#This Row],[Currency]],'Comments 2'!$C$4:$C$16,'Comments 2'!$D$4:$D$16)</f>
        <v>1</v>
      </c>
      <c r="P201" s="69">
        <f>IFERROR(Supplier_Perf_Table[[#This Row],[Unit_Cost]]*Supplier_Perf_Table[[#This Row],[Dollar Equivalent]],"")</f>
        <v>1529.16</v>
      </c>
      <c r="Q201" s="75">
        <v>250</v>
      </c>
      <c r="R201" s="1">
        <v>382290</v>
      </c>
      <c r="S201" s="75">
        <f>Supplier_Perf_Table[[#This Row],[Unit_Cost]]*Supplier_Perf_Table[[#This Row],[Order_Quantity]]</f>
        <v>382290</v>
      </c>
      <c r="T201" s="75">
        <f>IFERROR(Supplier_Perf_Table[[#This Row],[Dollar Equivalent]]*Supplier_Perf_Table[[#This Row],[Ordered_Value]],"")</f>
        <v>382290</v>
      </c>
      <c r="U201" s="75">
        <v>4</v>
      </c>
      <c r="V201" s="7">
        <v>1.6E-2</v>
      </c>
      <c r="W201" s="75" t="s">
        <v>3080</v>
      </c>
      <c r="X201" s="55">
        <f>IFERROR(Supplier_Perf_Table[[#This Row],[Actual_Delivery_Date]]-Supplier_Perf_Table[[#This Row],[Order Date]],"")</f>
        <v>20</v>
      </c>
      <c r="Y201" s="75">
        <v>16</v>
      </c>
      <c r="Z201" s="56">
        <f>IFERROR(Supplier_Perf_Table[[#This Row],[Expected Delivery_Date]]-Supplier_Perf_Table[[#This Row],[Order Date]],"")</f>
        <v>16</v>
      </c>
      <c r="AA201" s="56">
        <f>Supplier_Perf_Table[[#This Row],[Calculated_Lead_Time2]]-Supplier_Perf_Table[[#This Row],[Calculated_Expected_Lead_Time]]</f>
        <v>4</v>
      </c>
      <c r="AB201" s="75">
        <v>4</v>
      </c>
      <c r="AC201" s="63" t="s">
        <v>39</v>
      </c>
      <c r="AD201" s="63" t="s">
        <v>40</v>
      </c>
      <c r="AE201" s="63" t="s">
        <v>3088</v>
      </c>
      <c r="AF201" s="63" t="s">
        <v>106</v>
      </c>
      <c r="AG201" s="63" t="s">
        <v>173</v>
      </c>
      <c r="AH201" s="63" t="s">
        <v>206</v>
      </c>
      <c r="AI201" s="63" t="s">
        <v>138</v>
      </c>
      <c r="AJ201" s="63" t="s">
        <v>138</v>
      </c>
      <c r="AK201" s="83">
        <v>4.9000000000000004</v>
      </c>
      <c r="AL201" s="63" t="s">
        <v>139</v>
      </c>
      <c r="AM201" s="63" t="s">
        <v>148</v>
      </c>
      <c r="AN201"/>
    </row>
    <row r="202" spans="1:40" ht="18" customHeight="1">
      <c r="A202" s="1" t="s">
        <v>773</v>
      </c>
      <c r="B202" s="1" t="s">
        <v>774</v>
      </c>
      <c r="C202" s="4">
        <v>46102</v>
      </c>
      <c r="D202" s="4">
        <v>46119</v>
      </c>
      <c r="E202" s="4">
        <v>46124</v>
      </c>
      <c r="F202" s="63" t="s">
        <v>80</v>
      </c>
      <c r="G202" s="63" t="s">
        <v>3839</v>
      </c>
      <c r="H202" s="63" t="s">
        <v>82</v>
      </c>
      <c r="I202" s="63" t="s">
        <v>120</v>
      </c>
      <c r="J202" s="63" t="s">
        <v>35</v>
      </c>
      <c r="K202" s="63" t="s">
        <v>775</v>
      </c>
      <c r="L202" s="63" t="s">
        <v>37</v>
      </c>
      <c r="M202" s="69">
        <v>1390.45</v>
      </c>
      <c r="N202" s="63" t="s">
        <v>53</v>
      </c>
      <c r="O202" s="73">
        <f>_xlfn.XLOOKUP(Supplier_Perf_Table[[#This Row],[Currency]],'Comments 2'!$C$4:$C$16,'Comments 2'!$D$4:$D$16)</f>
        <v>6.0999999999999999E-2</v>
      </c>
      <c r="P202" s="69">
        <f>IFERROR(Supplier_Perf_Table[[#This Row],[Unit_Cost]]*Supplier_Perf_Table[[#This Row],[Dollar Equivalent]],"")</f>
        <v>84.817450000000008</v>
      </c>
      <c r="Q202" s="75">
        <v>250</v>
      </c>
      <c r="R202" s="1">
        <v>347612.5</v>
      </c>
      <c r="S202" s="75">
        <f>Supplier_Perf_Table[[#This Row],[Unit_Cost]]*Supplier_Perf_Table[[#This Row],[Order_Quantity]]</f>
        <v>347612.5</v>
      </c>
      <c r="T202" s="75">
        <f>IFERROR(Supplier_Perf_Table[[#This Row],[Dollar Equivalent]]*Supplier_Perf_Table[[#This Row],[Ordered_Value]],"")</f>
        <v>21204.362499999999</v>
      </c>
      <c r="U202" s="75">
        <v>7</v>
      </c>
      <c r="V202" s="7">
        <v>2.8000000000000001E-2</v>
      </c>
      <c r="W202" s="75">
        <v>-5</v>
      </c>
      <c r="X202" s="55">
        <f>IFERROR(Supplier_Perf_Table[[#This Row],[Actual_Delivery_Date]]-Supplier_Perf_Table[[#This Row],[Order Date]],"")</f>
        <v>22</v>
      </c>
      <c r="Y202" s="75">
        <v>17</v>
      </c>
      <c r="Z202" s="56">
        <f>IFERROR(Supplier_Perf_Table[[#This Row],[Expected Delivery_Date]]-Supplier_Perf_Table[[#This Row],[Order Date]],"")</f>
        <v>17</v>
      </c>
      <c r="AA202" s="56">
        <f>Supplier_Perf_Table[[#This Row],[Calculated_Lead_Time2]]-Supplier_Perf_Table[[#This Row],[Calculated_Expected_Lead_Time]]</f>
        <v>5</v>
      </c>
      <c r="AB202" s="75">
        <v>5</v>
      </c>
      <c r="AC202" s="63" t="s">
        <v>135</v>
      </c>
      <c r="AD202" s="63" t="s">
        <v>40</v>
      </c>
      <c r="AE202" s="63" t="s">
        <v>105</v>
      </c>
      <c r="AF202" s="63" t="s">
        <v>190</v>
      </c>
      <c r="AG202" s="63" t="s">
        <v>173</v>
      </c>
      <c r="AH202" s="63" t="s">
        <v>55</v>
      </c>
      <c r="AI202" s="63" t="s">
        <v>138</v>
      </c>
      <c r="AJ202" s="63" t="s">
        <v>138</v>
      </c>
      <c r="AK202" s="83">
        <v>3.7</v>
      </c>
      <c r="AL202" s="63" t="s">
        <v>45</v>
      </c>
      <c r="AM202" s="63" t="s">
        <v>46</v>
      </c>
      <c r="AN202"/>
    </row>
    <row r="203" spans="1:40" ht="18" customHeight="1">
      <c r="A203" s="1" t="s">
        <v>776</v>
      </c>
      <c r="B203" s="1" t="s">
        <v>777</v>
      </c>
      <c r="C203" s="4">
        <v>46127</v>
      </c>
      <c r="D203" s="4">
        <v>46138</v>
      </c>
      <c r="E203" s="4">
        <v>46129</v>
      </c>
      <c r="F203" s="63" t="s">
        <v>215</v>
      </c>
      <c r="G203" s="63" t="s">
        <v>3846</v>
      </c>
      <c r="H203" s="63" t="s">
        <v>152</v>
      </c>
      <c r="I203" s="63" t="s">
        <v>178</v>
      </c>
      <c r="J203" s="63" t="s">
        <v>35</v>
      </c>
      <c r="K203" s="63" t="s">
        <v>778</v>
      </c>
      <c r="L203" s="63" t="s">
        <v>180</v>
      </c>
      <c r="M203" s="69">
        <v>1186.1300000000001</v>
      </c>
      <c r="N203" s="63" t="s">
        <v>104</v>
      </c>
      <c r="O203" s="73">
        <f>_xlfn.XLOOKUP(Supplier_Perf_Table[[#This Row],[Currency]],'Comments 2'!$C$4:$C$16,'Comments 2'!$D$4:$D$16)</f>
        <v>1.9E-2</v>
      </c>
      <c r="P203" s="69">
        <f>IFERROR(Supplier_Perf_Table[[#This Row],[Unit_Cost]]*Supplier_Perf_Table[[#This Row],[Dollar Equivalent]],"")</f>
        <v>22.536470000000001</v>
      </c>
      <c r="Q203" s="75">
        <v>300</v>
      </c>
      <c r="R203" s="1">
        <v>355839</v>
      </c>
      <c r="S203" s="75">
        <f>Supplier_Perf_Table[[#This Row],[Unit_Cost]]*Supplier_Perf_Table[[#This Row],[Order_Quantity]]</f>
        <v>355839.00000000006</v>
      </c>
      <c r="T203" s="75">
        <f>IFERROR(Supplier_Perf_Table[[#This Row],[Dollar Equivalent]]*Supplier_Perf_Table[[#This Row],[Ordered_Value]],"")</f>
        <v>6760.9409999999998</v>
      </c>
      <c r="U203" s="75">
        <v>6</v>
      </c>
      <c r="V203" s="7">
        <v>0.02</v>
      </c>
      <c r="W203" s="75">
        <v>2</v>
      </c>
      <c r="X203" s="55">
        <f>IFERROR(Supplier_Perf_Table[[#This Row],[Actual_Delivery_Date]]-Supplier_Perf_Table[[#This Row],[Order Date]],"")</f>
        <v>2</v>
      </c>
      <c r="Y203" s="75">
        <v>11</v>
      </c>
      <c r="Z203" s="56">
        <f>IFERROR(Supplier_Perf_Table[[#This Row],[Expected Delivery_Date]]-Supplier_Perf_Table[[#This Row],[Order Date]],"")</f>
        <v>11</v>
      </c>
      <c r="AA203" s="56">
        <f>Supplier_Perf_Table[[#This Row],[Calculated_Lead_Time2]]-Supplier_Perf_Table[[#This Row],[Calculated_Expected_Lead_Time]]</f>
        <v>-9</v>
      </c>
      <c r="AB203" s="75">
        <v>-9</v>
      </c>
      <c r="AC203" s="63" t="s">
        <v>270</v>
      </c>
      <c r="AD203" s="63" t="s">
        <v>40</v>
      </c>
      <c r="AE203" s="63" t="s">
        <v>105</v>
      </c>
      <c r="AF203" s="63" t="s">
        <v>190</v>
      </c>
      <c r="AG203" s="63" t="s">
        <v>173</v>
      </c>
      <c r="AH203" s="63" t="s">
        <v>3112</v>
      </c>
      <c r="AI203" s="63" t="s">
        <v>147</v>
      </c>
      <c r="AJ203" s="63" t="s">
        <v>138</v>
      </c>
      <c r="AK203" s="83">
        <v>5</v>
      </c>
      <c r="AL203" s="63" t="s">
        <v>115</v>
      </c>
      <c r="AM203" s="63" t="s">
        <v>138</v>
      </c>
      <c r="AN203"/>
    </row>
    <row r="204" spans="1:40" ht="18" customHeight="1">
      <c r="A204" s="1" t="s">
        <v>779</v>
      </c>
      <c r="B204" s="1" t="s">
        <v>780</v>
      </c>
      <c r="C204" s="4">
        <v>46201</v>
      </c>
      <c r="D204" s="4">
        <v>46209</v>
      </c>
      <c r="E204" s="4">
        <v>46214</v>
      </c>
      <c r="F204" s="63" t="s">
        <v>100</v>
      </c>
      <c r="G204" s="63" t="s">
        <v>3841</v>
      </c>
      <c r="H204" s="63" t="s">
        <v>102</v>
      </c>
      <c r="I204" s="63" t="s">
        <v>61</v>
      </c>
      <c r="J204" s="63" t="s">
        <v>50</v>
      </c>
      <c r="K204" s="63" t="s">
        <v>781</v>
      </c>
      <c r="L204" s="63" t="s">
        <v>189</v>
      </c>
      <c r="M204" s="69" t="s">
        <v>3080</v>
      </c>
      <c r="N204" s="63" t="s">
        <v>38</v>
      </c>
      <c r="O204" s="73">
        <f>_xlfn.XLOOKUP(Supplier_Perf_Table[[#This Row],[Currency]],'Comments 2'!$C$4:$C$16,'Comments 2'!$D$4:$D$16)</f>
        <v>7.7000000000000002E-3</v>
      </c>
      <c r="P204" s="69" t="str">
        <f>IFERROR(Supplier_Perf_Table[[#This Row],[Unit_Cost]]*Supplier_Perf_Table[[#This Row],[Dollar Equivalent]],"")</f>
        <v/>
      </c>
      <c r="Q204" s="75">
        <v>300</v>
      </c>
      <c r="R204" s="1">
        <v>148392</v>
      </c>
      <c r="S204" s="75" t="e">
        <f>Supplier_Perf_Table[[#This Row],[Unit_Cost]]*Supplier_Perf_Table[[#This Row],[Order_Quantity]]</f>
        <v>#VALUE!</v>
      </c>
      <c r="T204" s="75">
        <f>IFERROR(Supplier_Perf_Table[[#This Row],[Dollar Equivalent]]*Supplier_Perf_Table[[#This Row],[Ordered_Value]],"")</f>
        <v>1142.6184000000001</v>
      </c>
      <c r="U204" s="75">
        <v>7</v>
      </c>
      <c r="V204" s="7">
        <v>2.3300000000000001E-2</v>
      </c>
      <c r="W204" s="75">
        <v>13</v>
      </c>
      <c r="X204" s="55">
        <f>IFERROR(Supplier_Perf_Table[[#This Row],[Actual_Delivery_Date]]-Supplier_Perf_Table[[#This Row],[Order Date]],"")</f>
        <v>13</v>
      </c>
      <c r="Y204" s="75">
        <v>8</v>
      </c>
      <c r="Z204" s="56">
        <f>IFERROR(Supplier_Perf_Table[[#This Row],[Expected Delivery_Date]]-Supplier_Perf_Table[[#This Row],[Order Date]],"")</f>
        <v>8</v>
      </c>
      <c r="AA204" s="56">
        <f>Supplier_Perf_Table[[#This Row],[Calculated_Lead_Time2]]-Supplier_Perf_Table[[#This Row],[Calculated_Expected_Lead_Time]]</f>
        <v>5</v>
      </c>
      <c r="AB204" s="75">
        <v>5</v>
      </c>
      <c r="AC204" s="63" t="s">
        <v>135</v>
      </c>
      <c r="AD204" s="63" t="s">
        <v>40</v>
      </c>
      <c r="AE204" s="63" t="s">
        <v>3088</v>
      </c>
      <c r="AF204" s="63" t="s">
        <v>190</v>
      </c>
      <c r="AG204" s="63" t="s">
        <v>173</v>
      </c>
      <c r="AH204" s="63" t="s">
        <v>55</v>
      </c>
      <c r="AI204" s="63" t="s">
        <v>138</v>
      </c>
      <c r="AJ204" s="63" t="s">
        <v>138</v>
      </c>
      <c r="AK204" s="83">
        <v>3.1</v>
      </c>
      <c r="AL204" s="63" t="s">
        <v>57</v>
      </c>
      <c r="AM204" s="63" t="s">
        <v>148</v>
      </c>
      <c r="AN204"/>
    </row>
    <row r="205" spans="1:40" ht="18" customHeight="1">
      <c r="A205" s="1" t="s">
        <v>782</v>
      </c>
      <c r="B205" s="1" t="s">
        <v>783</v>
      </c>
      <c r="C205" s="4">
        <v>46088</v>
      </c>
      <c r="D205" s="4">
        <v>46111</v>
      </c>
      <c r="E205" s="4">
        <v>46116</v>
      </c>
      <c r="F205" s="63" t="s">
        <v>32</v>
      </c>
      <c r="G205" s="63" t="s">
        <v>3835</v>
      </c>
      <c r="H205" s="63" t="s">
        <v>177</v>
      </c>
      <c r="I205" s="63" t="s">
        <v>178</v>
      </c>
      <c r="J205" s="63" t="s">
        <v>35</v>
      </c>
      <c r="K205" s="63" t="s">
        <v>784</v>
      </c>
      <c r="L205" s="63" t="s">
        <v>200</v>
      </c>
      <c r="M205" s="69">
        <v>3183.99</v>
      </c>
      <c r="N205" s="63" t="s">
        <v>53</v>
      </c>
      <c r="O205" s="73">
        <f>_xlfn.XLOOKUP(Supplier_Perf_Table[[#This Row],[Currency]],'Comments 2'!$C$4:$C$16,'Comments 2'!$D$4:$D$16)</f>
        <v>6.0999999999999999E-2</v>
      </c>
      <c r="P205" s="69">
        <f>IFERROR(Supplier_Perf_Table[[#This Row],[Unit_Cost]]*Supplier_Perf_Table[[#This Row],[Dollar Equivalent]],"")</f>
        <v>194.22338999999999</v>
      </c>
      <c r="Q205" s="75">
        <v>250</v>
      </c>
      <c r="R205" s="1">
        <v>795997.5</v>
      </c>
      <c r="S205" s="75">
        <f>Supplier_Perf_Table[[#This Row],[Unit_Cost]]*Supplier_Perf_Table[[#This Row],[Order_Quantity]]</f>
        <v>795997.5</v>
      </c>
      <c r="T205" s="75">
        <f>IFERROR(Supplier_Perf_Table[[#This Row],[Dollar Equivalent]]*Supplier_Perf_Table[[#This Row],[Ordered_Value]],"")</f>
        <v>48555.847499999996</v>
      </c>
      <c r="U205" s="75">
        <v>17</v>
      </c>
      <c r="V205" s="7">
        <v>6.8000000000000005E-2</v>
      </c>
      <c r="W205" s="75">
        <v>28</v>
      </c>
      <c r="X205" s="55">
        <f>IFERROR(Supplier_Perf_Table[[#This Row],[Actual_Delivery_Date]]-Supplier_Perf_Table[[#This Row],[Order Date]],"")</f>
        <v>28</v>
      </c>
      <c r="Y205" s="75">
        <v>23</v>
      </c>
      <c r="Z205" s="56">
        <f>IFERROR(Supplier_Perf_Table[[#This Row],[Expected Delivery_Date]]-Supplier_Perf_Table[[#This Row],[Order Date]],"")</f>
        <v>23</v>
      </c>
      <c r="AA205" s="56">
        <f>Supplier_Perf_Table[[#This Row],[Calculated_Lead_Time2]]-Supplier_Perf_Table[[#This Row],[Calculated_Expected_Lead_Time]]</f>
        <v>5</v>
      </c>
      <c r="AB205" s="75">
        <v>5</v>
      </c>
      <c r="AC205" s="63" t="s">
        <v>205</v>
      </c>
      <c r="AD205" s="63" t="s">
        <v>420</v>
      </c>
      <c r="AE205" s="63" t="s">
        <v>105</v>
      </c>
      <c r="AF205" s="63" t="s">
        <v>212</v>
      </c>
      <c r="AG205" s="63" t="s">
        <v>173</v>
      </c>
      <c r="AH205" s="63" t="s">
        <v>3112</v>
      </c>
      <c r="AI205" s="63" t="s">
        <v>137</v>
      </c>
      <c r="AJ205" s="63" t="s">
        <v>183</v>
      </c>
      <c r="AK205" s="83">
        <v>1.5</v>
      </c>
      <c r="AL205" s="63" t="s">
        <v>184</v>
      </c>
      <c r="AM205" s="63" t="s">
        <v>77</v>
      </c>
      <c r="AN205"/>
    </row>
    <row r="206" spans="1:40" ht="18" customHeight="1">
      <c r="A206" s="1" t="s">
        <v>785</v>
      </c>
      <c r="B206" s="1" t="s">
        <v>786</v>
      </c>
      <c r="C206" s="4">
        <v>46154</v>
      </c>
      <c r="D206" s="4">
        <v>46165</v>
      </c>
      <c r="E206" s="4">
        <v>46175</v>
      </c>
      <c r="F206" s="63" t="s">
        <v>60</v>
      </c>
      <c r="G206" s="63" t="s">
        <v>3837</v>
      </c>
      <c r="H206" s="63" t="s">
        <v>152</v>
      </c>
      <c r="I206" s="63" t="s">
        <v>34</v>
      </c>
      <c r="J206" s="63" t="s">
        <v>62</v>
      </c>
      <c r="K206" s="63" t="s">
        <v>787</v>
      </c>
      <c r="L206" s="63" t="s">
        <v>225</v>
      </c>
      <c r="M206" s="69">
        <v>127.6</v>
      </c>
      <c r="N206" s="63" t="s">
        <v>159</v>
      </c>
      <c r="O206" s="73">
        <f>_xlfn.XLOOKUP(Supplier_Perf_Table[[#This Row],[Currency]],'Comments 2'!$C$4:$C$16,'Comments 2'!$D$4:$D$16)</f>
        <v>7.2999999999999996E-4</v>
      </c>
      <c r="P206" s="69">
        <f>IFERROR(Supplier_Perf_Table[[#This Row],[Unit_Cost]]*Supplier_Perf_Table[[#This Row],[Dollar Equivalent]],"")</f>
        <v>9.3147999999999995E-2</v>
      </c>
      <c r="Q206" s="75">
        <v>300</v>
      </c>
      <c r="R206" s="1">
        <v>38280</v>
      </c>
      <c r="S206" s="75">
        <f>Supplier_Perf_Table[[#This Row],[Unit_Cost]]*Supplier_Perf_Table[[#This Row],[Order_Quantity]]</f>
        <v>38280</v>
      </c>
      <c r="T206" s="75">
        <f>IFERROR(Supplier_Perf_Table[[#This Row],[Dollar Equivalent]]*Supplier_Perf_Table[[#This Row],[Ordered_Value]],"")</f>
        <v>27.944399999999998</v>
      </c>
      <c r="U206" s="75">
        <v>6</v>
      </c>
      <c r="V206" s="7">
        <v>0.02</v>
      </c>
      <c r="W206" s="75">
        <v>21</v>
      </c>
      <c r="X206" s="55">
        <f>IFERROR(Supplier_Perf_Table[[#This Row],[Actual_Delivery_Date]]-Supplier_Perf_Table[[#This Row],[Order Date]],"")</f>
        <v>21</v>
      </c>
      <c r="Y206" s="75">
        <v>11</v>
      </c>
      <c r="Z206" s="56">
        <f>IFERROR(Supplier_Perf_Table[[#This Row],[Expected Delivery_Date]]-Supplier_Perf_Table[[#This Row],[Order Date]],"")</f>
        <v>11</v>
      </c>
      <c r="AA206" s="56">
        <f>Supplier_Perf_Table[[#This Row],[Calculated_Lead_Time2]]-Supplier_Perf_Table[[#This Row],[Calculated_Expected_Lead_Time]]</f>
        <v>10</v>
      </c>
      <c r="AB206" s="75">
        <v>10</v>
      </c>
      <c r="AC206" s="63" t="s">
        <v>135</v>
      </c>
      <c r="AD206" s="63" t="s">
        <v>40</v>
      </c>
      <c r="AE206" s="63" t="s">
        <v>105</v>
      </c>
      <c r="AF206" s="63" t="s">
        <v>106</v>
      </c>
      <c r="AG206" s="63" t="s">
        <v>107</v>
      </c>
      <c r="AH206" s="63" t="s">
        <v>3112</v>
      </c>
      <c r="AI206" s="63" t="s">
        <v>56</v>
      </c>
      <c r="AJ206" s="63" t="s">
        <v>138</v>
      </c>
      <c r="AK206" s="83">
        <v>1.1000000000000001</v>
      </c>
      <c r="AL206" s="63" t="s">
        <v>115</v>
      </c>
      <c r="AM206" s="63" t="s">
        <v>46</v>
      </c>
      <c r="AN206"/>
    </row>
    <row r="207" spans="1:40" ht="18" customHeight="1">
      <c r="A207" s="1" t="s">
        <v>788</v>
      </c>
      <c r="B207" s="1" t="s">
        <v>789</v>
      </c>
      <c r="C207" s="4">
        <v>46034</v>
      </c>
      <c r="D207" s="4">
        <v>46046</v>
      </c>
      <c r="E207" s="4">
        <v>46057</v>
      </c>
      <c r="F207" s="63" t="s">
        <v>100</v>
      </c>
      <c r="G207" s="63" t="s">
        <v>3841</v>
      </c>
      <c r="H207" s="63" t="s">
        <v>102</v>
      </c>
      <c r="I207" s="63" t="s">
        <v>83</v>
      </c>
      <c r="J207" s="63" t="s">
        <v>50</v>
      </c>
      <c r="K207" s="63" t="s">
        <v>790</v>
      </c>
      <c r="L207" s="63" t="s">
        <v>189</v>
      </c>
      <c r="M207" s="69">
        <v>1027.75</v>
      </c>
      <c r="N207" s="63" t="s">
        <v>86</v>
      </c>
      <c r="O207" s="73">
        <f>_xlfn.XLOOKUP(Supplier_Perf_Table[[#This Row],[Currency]],'Comments 2'!$C$4:$C$16,'Comments 2'!$D$4:$D$16)</f>
        <v>8.8999999999999996E-2</v>
      </c>
      <c r="P207" s="69">
        <f>IFERROR(Supplier_Perf_Table[[#This Row],[Unit_Cost]]*Supplier_Perf_Table[[#This Row],[Dollar Equivalent]],"")</f>
        <v>91.469749999999991</v>
      </c>
      <c r="Q207" s="75">
        <v>300</v>
      </c>
      <c r="R207" s="1">
        <v>308325</v>
      </c>
      <c r="S207" s="75">
        <f>Supplier_Perf_Table[[#This Row],[Unit_Cost]]*Supplier_Perf_Table[[#This Row],[Order_Quantity]]</f>
        <v>308325</v>
      </c>
      <c r="T207" s="75">
        <f>IFERROR(Supplier_Perf_Table[[#This Row],[Dollar Equivalent]]*Supplier_Perf_Table[[#This Row],[Ordered_Value]],"")</f>
        <v>27440.924999999999</v>
      </c>
      <c r="U207" s="75">
        <v>7</v>
      </c>
      <c r="V207" s="7">
        <v>2.3300000000000001E-2</v>
      </c>
      <c r="W207" s="75">
        <v>23</v>
      </c>
      <c r="X207" s="55">
        <f>IFERROR(Supplier_Perf_Table[[#This Row],[Actual_Delivery_Date]]-Supplier_Perf_Table[[#This Row],[Order Date]],"")</f>
        <v>23</v>
      </c>
      <c r="Y207" s="75">
        <v>12</v>
      </c>
      <c r="Z207" s="56">
        <f>IFERROR(Supplier_Perf_Table[[#This Row],[Expected Delivery_Date]]-Supplier_Perf_Table[[#This Row],[Order Date]],"")</f>
        <v>12</v>
      </c>
      <c r="AA207" s="56">
        <f>Supplier_Perf_Table[[#This Row],[Calculated_Lead_Time2]]-Supplier_Perf_Table[[#This Row],[Calculated_Expected_Lead_Time]]</f>
        <v>11</v>
      </c>
      <c r="AB207" s="75">
        <v>11</v>
      </c>
      <c r="AC207" s="63" t="s">
        <v>205</v>
      </c>
      <c r="AD207" s="63" t="s">
        <v>40</v>
      </c>
      <c r="AE207" s="63" t="s">
        <v>3088</v>
      </c>
      <c r="AF207" s="63" t="s">
        <v>3088</v>
      </c>
      <c r="AG207" s="63" t="s">
        <v>107</v>
      </c>
      <c r="AH207" s="63" t="s">
        <v>88</v>
      </c>
      <c r="AI207" s="63" t="s">
        <v>95</v>
      </c>
      <c r="AJ207" s="63" t="s">
        <v>138</v>
      </c>
      <c r="AK207" s="83">
        <v>1.7</v>
      </c>
      <c r="AL207" s="63" t="s">
        <v>184</v>
      </c>
      <c r="AM207" s="63" t="s">
        <v>148</v>
      </c>
      <c r="AN207"/>
    </row>
    <row r="208" spans="1:40" ht="18" customHeight="1">
      <c r="A208" s="1" t="s">
        <v>791</v>
      </c>
      <c r="B208" s="1" t="s">
        <v>792</v>
      </c>
      <c r="C208" s="4">
        <v>46148</v>
      </c>
      <c r="D208" s="4">
        <v>46156</v>
      </c>
      <c r="E208" s="4">
        <v>46161</v>
      </c>
      <c r="F208" s="63" t="s">
        <v>215</v>
      </c>
      <c r="G208" s="63" t="s">
        <v>3846</v>
      </c>
      <c r="H208" s="63" t="s">
        <v>152</v>
      </c>
      <c r="I208" s="63" t="s">
        <v>61</v>
      </c>
      <c r="J208" s="63" t="s">
        <v>112</v>
      </c>
      <c r="K208" s="63" t="s">
        <v>793</v>
      </c>
      <c r="L208" s="63" t="s">
        <v>246</v>
      </c>
      <c r="M208" s="69">
        <v>781.9</v>
      </c>
      <c r="N208" s="63" t="s">
        <v>86</v>
      </c>
      <c r="O208" s="73">
        <f>_xlfn.XLOOKUP(Supplier_Perf_Table[[#This Row],[Currency]],'Comments 2'!$C$4:$C$16,'Comments 2'!$D$4:$D$16)</f>
        <v>8.8999999999999996E-2</v>
      </c>
      <c r="P208" s="69">
        <f>IFERROR(Supplier_Perf_Table[[#This Row],[Unit_Cost]]*Supplier_Perf_Table[[#This Row],[Dollar Equivalent]],"")</f>
        <v>69.589099999999988</v>
      </c>
      <c r="Q208" s="75">
        <v>50</v>
      </c>
      <c r="R208" s="1">
        <v>39095</v>
      </c>
      <c r="S208" s="75">
        <f>Supplier_Perf_Table[[#This Row],[Unit_Cost]]*Supplier_Perf_Table[[#This Row],[Order_Quantity]]</f>
        <v>39095</v>
      </c>
      <c r="T208" s="75">
        <f>IFERROR(Supplier_Perf_Table[[#This Row],[Dollar Equivalent]]*Supplier_Perf_Table[[#This Row],[Ordered_Value]],"")</f>
        <v>3479.4549999999999</v>
      </c>
      <c r="U208" s="75">
        <v>3</v>
      </c>
      <c r="V208" s="7">
        <v>0.06</v>
      </c>
      <c r="W208" s="75">
        <v>13</v>
      </c>
      <c r="X208" s="55">
        <f>IFERROR(Supplier_Perf_Table[[#This Row],[Actual_Delivery_Date]]-Supplier_Perf_Table[[#This Row],[Order Date]],"")</f>
        <v>13</v>
      </c>
      <c r="Y208" s="75">
        <v>8</v>
      </c>
      <c r="Z208" s="56">
        <f>IFERROR(Supplier_Perf_Table[[#This Row],[Expected Delivery_Date]]-Supplier_Perf_Table[[#This Row],[Order Date]],"")</f>
        <v>8</v>
      </c>
      <c r="AA208" s="56">
        <f>Supplier_Perf_Table[[#This Row],[Calculated_Lead_Time2]]-Supplier_Perf_Table[[#This Row],[Calculated_Expected_Lead_Time]]</f>
        <v>5</v>
      </c>
      <c r="AB208" s="75">
        <v>5</v>
      </c>
      <c r="AC208" s="63" t="s">
        <v>205</v>
      </c>
      <c r="AD208" s="63" t="s">
        <v>420</v>
      </c>
      <c r="AE208" s="63" t="s">
        <v>105</v>
      </c>
      <c r="AF208" s="63" t="s">
        <v>190</v>
      </c>
      <c r="AG208" s="63" t="s">
        <v>43</v>
      </c>
      <c r="AH208" s="63" t="s">
        <v>3112</v>
      </c>
      <c r="AI208" s="63" t="s">
        <v>44</v>
      </c>
      <c r="AJ208" s="63" t="s">
        <v>96</v>
      </c>
      <c r="AK208" s="83">
        <v>2</v>
      </c>
      <c r="AL208" s="63" t="s">
        <v>108</v>
      </c>
      <c r="AM208" s="63" t="s">
        <v>77</v>
      </c>
      <c r="AN208"/>
    </row>
    <row r="209" spans="1:40" ht="18" customHeight="1">
      <c r="A209" s="1" t="s">
        <v>794</v>
      </c>
      <c r="B209" s="1" t="s">
        <v>795</v>
      </c>
      <c r="C209" s="4">
        <v>46196</v>
      </c>
      <c r="D209" s="4">
        <v>46210</v>
      </c>
      <c r="E209" s="4">
        <v>46211</v>
      </c>
      <c r="F209" s="63" t="s">
        <v>215</v>
      </c>
      <c r="G209" s="63" t="s">
        <v>3846</v>
      </c>
      <c r="H209" s="63" t="s">
        <v>152</v>
      </c>
      <c r="I209" s="63" t="s">
        <v>70</v>
      </c>
      <c r="J209" s="63" t="s">
        <v>163</v>
      </c>
      <c r="K209" s="63" t="s">
        <v>796</v>
      </c>
      <c r="L209" s="63" t="s">
        <v>269</v>
      </c>
      <c r="M209" s="69">
        <v>686.41</v>
      </c>
      <c r="N209" s="63" t="s">
        <v>53</v>
      </c>
      <c r="O209" s="73">
        <f>_xlfn.XLOOKUP(Supplier_Perf_Table[[#This Row],[Currency]],'Comments 2'!$C$4:$C$16,'Comments 2'!$D$4:$D$16)</f>
        <v>6.0999999999999999E-2</v>
      </c>
      <c r="P209" s="69">
        <f>IFERROR(Supplier_Perf_Table[[#This Row],[Unit_Cost]]*Supplier_Perf_Table[[#This Row],[Dollar Equivalent]],"")</f>
        <v>41.871009999999998</v>
      </c>
      <c r="Q209" s="75">
        <v>250</v>
      </c>
      <c r="R209" s="1">
        <v>171602.5</v>
      </c>
      <c r="S209" s="75">
        <f>Supplier_Perf_Table[[#This Row],[Unit_Cost]]*Supplier_Perf_Table[[#This Row],[Order_Quantity]]</f>
        <v>171602.5</v>
      </c>
      <c r="T209" s="75">
        <f>IFERROR(Supplier_Perf_Table[[#This Row],[Dollar Equivalent]]*Supplier_Perf_Table[[#This Row],[Ordered_Value]],"")</f>
        <v>10467.752500000001</v>
      </c>
      <c r="U209" s="75">
        <v>3</v>
      </c>
      <c r="V209" s="7">
        <v>1.2E-2</v>
      </c>
      <c r="W209" s="75">
        <v>15</v>
      </c>
      <c r="X209" s="55">
        <f>IFERROR(Supplier_Perf_Table[[#This Row],[Actual_Delivery_Date]]-Supplier_Perf_Table[[#This Row],[Order Date]],"")</f>
        <v>15</v>
      </c>
      <c r="Y209" s="75">
        <v>14</v>
      </c>
      <c r="Z209" s="56">
        <f>IFERROR(Supplier_Perf_Table[[#This Row],[Expected Delivery_Date]]-Supplier_Perf_Table[[#This Row],[Order Date]],"")</f>
        <v>14</v>
      </c>
      <c r="AA209" s="56">
        <f>Supplier_Perf_Table[[#This Row],[Calculated_Lead_Time2]]-Supplier_Perf_Table[[#This Row],[Calculated_Expected_Lead_Time]]</f>
        <v>1</v>
      </c>
      <c r="AB209" s="75">
        <v>1</v>
      </c>
      <c r="AC209" s="63" t="s">
        <v>166</v>
      </c>
      <c r="AD209" s="63" t="s">
        <v>40</v>
      </c>
      <c r="AE209" s="63" t="s">
        <v>105</v>
      </c>
      <c r="AF209" s="63" t="s">
        <v>42</v>
      </c>
      <c r="AG209" s="63" t="s">
        <v>173</v>
      </c>
      <c r="AH209" s="63" t="s">
        <v>55</v>
      </c>
      <c r="AI209" s="63" t="s">
        <v>44</v>
      </c>
      <c r="AJ209" s="63" t="s">
        <v>138</v>
      </c>
      <c r="AK209" s="83">
        <v>5</v>
      </c>
      <c r="AL209" s="63" t="s">
        <v>115</v>
      </c>
      <c r="AM209" s="63" t="s">
        <v>46</v>
      </c>
      <c r="AN209"/>
    </row>
    <row r="210" spans="1:40" ht="18" customHeight="1">
      <c r="A210" s="1" t="s">
        <v>797</v>
      </c>
      <c r="B210" s="1" t="s">
        <v>798</v>
      </c>
      <c r="C210" s="4">
        <v>46118</v>
      </c>
      <c r="D210" s="4">
        <v>46126</v>
      </c>
      <c r="E210" s="4">
        <v>46129</v>
      </c>
      <c r="F210" s="63" t="s">
        <v>215</v>
      </c>
      <c r="G210" s="63" t="s">
        <v>3846</v>
      </c>
      <c r="H210" s="63" t="s">
        <v>152</v>
      </c>
      <c r="I210" s="63" t="s">
        <v>241</v>
      </c>
      <c r="J210" s="63" t="s">
        <v>112</v>
      </c>
      <c r="K210" s="63" t="s">
        <v>799</v>
      </c>
      <c r="L210" s="63" t="s">
        <v>218</v>
      </c>
      <c r="M210" s="69">
        <v>628.58000000000004</v>
      </c>
      <c r="N210" s="63" t="s">
        <v>65</v>
      </c>
      <c r="O210" s="73">
        <f>_xlfn.XLOOKUP(Supplier_Perf_Table[[#This Row],[Currency]],'Comments 2'!$C$4:$C$16,'Comments 2'!$D$4:$D$16)</f>
        <v>1</v>
      </c>
      <c r="P210" s="69">
        <f>IFERROR(Supplier_Perf_Table[[#This Row],[Unit_Cost]]*Supplier_Perf_Table[[#This Row],[Dollar Equivalent]],"")</f>
        <v>628.58000000000004</v>
      </c>
      <c r="Q210" s="75">
        <v>250</v>
      </c>
      <c r="R210" s="1">
        <v>157145</v>
      </c>
      <c r="S210" s="75">
        <f>Supplier_Perf_Table[[#This Row],[Unit_Cost]]*Supplier_Perf_Table[[#This Row],[Order_Quantity]]</f>
        <v>157145</v>
      </c>
      <c r="T210" s="75">
        <f>IFERROR(Supplier_Perf_Table[[#This Row],[Dollar Equivalent]]*Supplier_Perf_Table[[#This Row],[Ordered_Value]],"")</f>
        <v>157145</v>
      </c>
      <c r="U210" s="75"/>
      <c r="V210" s="7">
        <v>1.6E-2</v>
      </c>
      <c r="W210" s="75">
        <v>11</v>
      </c>
      <c r="X210" s="55">
        <f>IFERROR(Supplier_Perf_Table[[#This Row],[Actual_Delivery_Date]]-Supplier_Perf_Table[[#This Row],[Order Date]],"")</f>
        <v>11</v>
      </c>
      <c r="Y210" s="75">
        <v>8</v>
      </c>
      <c r="Z210" s="56">
        <f>IFERROR(Supplier_Perf_Table[[#This Row],[Expected Delivery_Date]]-Supplier_Perf_Table[[#This Row],[Order Date]],"")</f>
        <v>8</v>
      </c>
      <c r="AA210" s="56">
        <f>Supplier_Perf_Table[[#This Row],[Calculated_Lead_Time2]]-Supplier_Perf_Table[[#This Row],[Calculated_Expected_Lead_Time]]</f>
        <v>3</v>
      </c>
      <c r="AB210" s="75">
        <v>3</v>
      </c>
      <c r="AC210" s="63" t="s">
        <v>135</v>
      </c>
      <c r="AD210" s="63" t="s">
        <v>40</v>
      </c>
      <c r="AE210" s="63" t="s">
        <v>105</v>
      </c>
      <c r="AF210" s="63" t="s">
        <v>106</v>
      </c>
      <c r="AG210" s="63" t="s">
        <v>128</v>
      </c>
      <c r="AH210" s="63" t="s">
        <v>136</v>
      </c>
      <c r="AI210" s="63" t="s">
        <v>137</v>
      </c>
      <c r="AJ210" s="63" t="s">
        <v>138</v>
      </c>
      <c r="AK210" s="83">
        <v>3.7</v>
      </c>
      <c r="AL210" s="63" t="s">
        <v>76</v>
      </c>
      <c r="AM210" s="63" t="s">
        <v>46</v>
      </c>
      <c r="AN210"/>
    </row>
    <row r="211" spans="1:40" ht="18" customHeight="1">
      <c r="A211" s="1" t="s">
        <v>800</v>
      </c>
      <c r="B211" s="1" t="s">
        <v>801</v>
      </c>
      <c r="C211" s="4">
        <v>46059</v>
      </c>
      <c r="D211" s="4">
        <v>46073</v>
      </c>
      <c r="E211" s="4">
        <v>46063</v>
      </c>
      <c r="F211" s="63" t="s">
        <v>209</v>
      </c>
      <c r="G211" s="63" t="s">
        <v>3845</v>
      </c>
      <c r="H211" s="63" t="s">
        <v>316</v>
      </c>
      <c r="I211" s="63" t="s">
        <v>241</v>
      </c>
      <c r="J211" s="63" t="s">
        <v>153</v>
      </c>
      <c r="K211" s="63" t="s">
        <v>802</v>
      </c>
      <c r="L211" s="63" t="s">
        <v>318</v>
      </c>
      <c r="M211" s="69">
        <v>221.08</v>
      </c>
      <c r="N211" s="63" t="s">
        <v>38</v>
      </c>
      <c r="O211" s="73">
        <f>_xlfn.XLOOKUP(Supplier_Perf_Table[[#This Row],[Currency]],'Comments 2'!$C$4:$C$16,'Comments 2'!$D$4:$D$16)</f>
        <v>7.7000000000000002E-3</v>
      </c>
      <c r="P211" s="69">
        <f>IFERROR(Supplier_Perf_Table[[#This Row],[Unit_Cost]]*Supplier_Perf_Table[[#This Row],[Dollar Equivalent]],"")</f>
        <v>1.7023160000000002</v>
      </c>
      <c r="Q211" s="75">
        <v>1000</v>
      </c>
      <c r="R211" s="1">
        <v>221080</v>
      </c>
      <c r="S211" s="75">
        <f>Supplier_Perf_Table[[#This Row],[Unit_Cost]]*Supplier_Perf_Table[[#This Row],[Order_Quantity]]</f>
        <v>221080</v>
      </c>
      <c r="T211" s="75">
        <f>IFERROR(Supplier_Perf_Table[[#This Row],[Dollar Equivalent]]*Supplier_Perf_Table[[#This Row],[Ordered_Value]],"")</f>
        <v>1702.316</v>
      </c>
      <c r="U211" s="75">
        <v>28</v>
      </c>
      <c r="V211" s="7">
        <v>2.8000000000000001E-2</v>
      </c>
      <c r="W211" s="75">
        <v>4</v>
      </c>
      <c r="X211" s="55">
        <f>IFERROR(Supplier_Perf_Table[[#This Row],[Actual_Delivery_Date]]-Supplier_Perf_Table[[#This Row],[Order Date]],"")</f>
        <v>4</v>
      </c>
      <c r="Y211" s="75">
        <v>14</v>
      </c>
      <c r="Z211" s="56">
        <f>IFERROR(Supplier_Perf_Table[[#This Row],[Expected Delivery_Date]]-Supplier_Perf_Table[[#This Row],[Order Date]],"")</f>
        <v>14</v>
      </c>
      <c r="AA211" s="56">
        <f>Supplier_Perf_Table[[#This Row],[Calculated_Lead_Time2]]-Supplier_Perf_Table[[#This Row],[Calculated_Expected_Lead_Time]]</f>
        <v>-10</v>
      </c>
      <c r="AB211" s="75">
        <v>-10</v>
      </c>
      <c r="AC211" s="63" t="s">
        <v>87</v>
      </c>
      <c r="AD211" s="63" t="s">
        <v>40</v>
      </c>
      <c r="AE211" s="63" t="s">
        <v>105</v>
      </c>
      <c r="AF211" s="63" t="s">
        <v>190</v>
      </c>
      <c r="AG211" s="63" t="s">
        <v>173</v>
      </c>
      <c r="AH211" s="63" t="s">
        <v>3112</v>
      </c>
      <c r="AI211" s="63" t="s">
        <v>147</v>
      </c>
      <c r="AJ211" s="63" t="s">
        <v>138</v>
      </c>
      <c r="AK211" s="83">
        <v>2.8</v>
      </c>
      <c r="AL211" s="63" t="s">
        <v>45</v>
      </c>
      <c r="AM211" s="63" t="s">
        <v>138</v>
      </c>
      <c r="AN211"/>
    </row>
    <row r="212" spans="1:40" ht="18" customHeight="1">
      <c r="A212" s="1" t="s">
        <v>803</v>
      </c>
      <c r="B212" s="1" t="s">
        <v>804</v>
      </c>
      <c r="C212" s="4">
        <v>46155</v>
      </c>
      <c r="D212" s="4">
        <v>46163</v>
      </c>
      <c r="E212" s="4">
        <v>46166</v>
      </c>
      <c r="F212" s="63" t="s">
        <v>151</v>
      </c>
      <c r="G212" s="63" t="s">
        <v>3844</v>
      </c>
      <c r="H212" s="63" t="s">
        <v>152</v>
      </c>
      <c r="I212" s="63" t="s">
        <v>61</v>
      </c>
      <c r="J212" s="63" t="s">
        <v>112</v>
      </c>
      <c r="K212" s="63" t="s">
        <v>805</v>
      </c>
      <c r="L212" s="63" t="s">
        <v>246</v>
      </c>
      <c r="M212" s="69">
        <v>340.05</v>
      </c>
      <c r="N212" s="63" t="s">
        <v>65</v>
      </c>
      <c r="O212" s="73">
        <f>_xlfn.XLOOKUP(Supplier_Perf_Table[[#This Row],[Currency]],'Comments 2'!$C$4:$C$16,'Comments 2'!$D$4:$D$16)</f>
        <v>1</v>
      </c>
      <c r="P212" s="69">
        <f>IFERROR(Supplier_Perf_Table[[#This Row],[Unit_Cost]]*Supplier_Perf_Table[[#This Row],[Dollar Equivalent]],"")</f>
        <v>340.05</v>
      </c>
      <c r="Q212" s="75">
        <v>100</v>
      </c>
      <c r="R212" s="1">
        <v>34005</v>
      </c>
      <c r="S212" s="75">
        <f>Supplier_Perf_Table[[#This Row],[Unit_Cost]]*Supplier_Perf_Table[[#This Row],[Order_Quantity]]</f>
        <v>34005</v>
      </c>
      <c r="T212" s="75">
        <f>IFERROR(Supplier_Perf_Table[[#This Row],[Dollar Equivalent]]*Supplier_Perf_Table[[#This Row],[Ordered_Value]],"")</f>
        <v>34005</v>
      </c>
      <c r="U212" s="75">
        <v>0</v>
      </c>
      <c r="V212" s="7">
        <v>0</v>
      </c>
      <c r="W212" s="75">
        <v>11</v>
      </c>
      <c r="X212" s="55">
        <f>IFERROR(Supplier_Perf_Table[[#This Row],[Actual_Delivery_Date]]-Supplier_Perf_Table[[#This Row],[Order Date]],"")</f>
        <v>11</v>
      </c>
      <c r="Y212" s="75">
        <v>8</v>
      </c>
      <c r="Z212" s="56">
        <f>IFERROR(Supplier_Perf_Table[[#This Row],[Expected Delivery_Date]]-Supplier_Perf_Table[[#This Row],[Order Date]],"")</f>
        <v>8</v>
      </c>
      <c r="AA212" s="56">
        <f>Supplier_Perf_Table[[#This Row],[Calculated_Lead_Time2]]-Supplier_Perf_Table[[#This Row],[Calculated_Expected_Lead_Time]]</f>
        <v>3</v>
      </c>
      <c r="AB212" s="75">
        <v>3</v>
      </c>
      <c r="AC212" s="63" t="s">
        <v>166</v>
      </c>
      <c r="AD212" s="63" t="s">
        <v>40</v>
      </c>
      <c r="AE212" s="63" t="s">
        <v>105</v>
      </c>
      <c r="AF212" s="63" t="s">
        <v>190</v>
      </c>
      <c r="AG212" s="63" t="s">
        <v>43</v>
      </c>
      <c r="AH212" s="63" t="s">
        <v>3112</v>
      </c>
      <c r="AI212" s="63" t="s">
        <v>44</v>
      </c>
      <c r="AJ212" s="63" t="s">
        <v>138</v>
      </c>
      <c r="AK212" s="83">
        <v>4.7</v>
      </c>
      <c r="AL212" s="63" t="s">
        <v>115</v>
      </c>
      <c r="AM212" s="63" t="s">
        <v>46</v>
      </c>
      <c r="AN212"/>
    </row>
    <row r="213" spans="1:40" ht="18" customHeight="1">
      <c r="A213" s="1" t="s">
        <v>806</v>
      </c>
      <c r="B213" s="1" t="s">
        <v>807</v>
      </c>
      <c r="C213" s="4">
        <v>46163</v>
      </c>
      <c r="D213" s="4">
        <v>46182</v>
      </c>
      <c r="E213" s="4">
        <v>46189</v>
      </c>
      <c r="F213" s="63" t="s">
        <v>235</v>
      </c>
      <c r="G213" s="63" t="s">
        <v>3848</v>
      </c>
      <c r="H213" s="63" t="s">
        <v>479</v>
      </c>
      <c r="I213" s="63" t="s">
        <v>92</v>
      </c>
      <c r="J213" s="63" t="s">
        <v>62</v>
      </c>
      <c r="K213" s="63" t="s">
        <v>808</v>
      </c>
      <c r="L213" s="63" t="s">
        <v>225</v>
      </c>
      <c r="M213" s="69">
        <v>228.08</v>
      </c>
      <c r="N213" s="63" t="s">
        <v>38</v>
      </c>
      <c r="O213" s="73">
        <f>_xlfn.XLOOKUP(Supplier_Perf_Table[[#This Row],[Currency]],'Comments 2'!$C$4:$C$16,'Comments 2'!$D$4:$D$16)</f>
        <v>7.7000000000000002E-3</v>
      </c>
      <c r="P213" s="69">
        <f>IFERROR(Supplier_Perf_Table[[#This Row],[Unit_Cost]]*Supplier_Perf_Table[[#This Row],[Dollar Equivalent]],"")</f>
        <v>1.7562160000000002</v>
      </c>
      <c r="Q213" s="75">
        <v>500</v>
      </c>
      <c r="R213" s="1">
        <v>114040</v>
      </c>
      <c r="S213" s="75">
        <f>Supplier_Perf_Table[[#This Row],[Unit_Cost]]*Supplier_Perf_Table[[#This Row],[Order_Quantity]]</f>
        <v>114040</v>
      </c>
      <c r="T213" s="75">
        <f>IFERROR(Supplier_Perf_Table[[#This Row],[Dollar Equivalent]]*Supplier_Perf_Table[[#This Row],[Ordered_Value]],"")</f>
        <v>878.10800000000006</v>
      </c>
      <c r="U213" s="75">
        <v>27</v>
      </c>
      <c r="V213" s="7">
        <v>5.3999999999999999E-2</v>
      </c>
      <c r="W213" s="75" t="s">
        <v>3080</v>
      </c>
      <c r="X213" s="55">
        <f>IFERROR(Supplier_Perf_Table[[#This Row],[Actual_Delivery_Date]]-Supplier_Perf_Table[[#This Row],[Order Date]],"")</f>
        <v>26</v>
      </c>
      <c r="Y213" s="75">
        <v>19</v>
      </c>
      <c r="Z213" s="56">
        <f>IFERROR(Supplier_Perf_Table[[#This Row],[Expected Delivery_Date]]-Supplier_Perf_Table[[#This Row],[Order Date]],"")</f>
        <v>19</v>
      </c>
      <c r="AA213" s="56">
        <f>Supplier_Perf_Table[[#This Row],[Calculated_Lead_Time2]]-Supplier_Perf_Table[[#This Row],[Calculated_Expected_Lead_Time]]</f>
        <v>7</v>
      </c>
      <c r="AB213" s="75">
        <v>7</v>
      </c>
      <c r="AC213" s="63" t="s">
        <v>39</v>
      </c>
      <c r="AD213" s="63" t="s">
        <v>366</v>
      </c>
      <c r="AE213" s="63" t="s">
        <v>105</v>
      </c>
      <c r="AF213" s="63" t="s">
        <v>42</v>
      </c>
      <c r="AG213" s="63" t="s">
        <v>173</v>
      </c>
      <c r="AH213" s="63" t="s">
        <v>88</v>
      </c>
      <c r="AI213" s="63" t="s">
        <v>56</v>
      </c>
      <c r="AJ213" s="63" t="s">
        <v>183</v>
      </c>
      <c r="AK213" s="83">
        <v>2.2999999999999998</v>
      </c>
      <c r="AL213" s="63" t="s">
        <v>115</v>
      </c>
      <c r="AM213" s="63" t="s">
        <v>77</v>
      </c>
      <c r="AN213"/>
    </row>
    <row r="214" spans="1:40" ht="18" customHeight="1">
      <c r="A214" s="1" t="s">
        <v>809</v>
      </c>
      <c r="B214" s="1" t="s">
        <v>810</v>
      </c>
      <c r="C214" s="4">
        <v>46063</v>
      </c>
      <c r="D214" s="4">
        <v>46078</v>
      </c>
      <c r="E214" s="4">
        <v>46083</v>
      </c>
      <c r="F214" s="63" t="s">
        <v>256</v>
      </c>
      <c r="G214" s="63" t="s">
        <v>3849</v>
      </c>
      <c r="H214" s="63" t="s">
        <v>258</v>
      </c>
      <c r="I214" s="63" t="s">
        <v>61</v>
      </c>
      <c r="J214" s="63" t="s">
        <v>35</v>
      </c>
      <c r="K214" s="63" t="s">
        <v>811</v>
      </c>
      <c r="L214" s="63" t="s">
        <v>85</v>
      </c>
      <c r="M214" s="69">
        <v>689.94</v>
      </c>
      <c r="N214" s="63" t="s">
        <v>104</v>
      </c>
      <c r="O214" s="73">
        <f>_xlfn.XLOOKUP(Supplier_Perf_Table[[#This Row],[Currency]],'Comments 2'!$C$4:$C$16,'Comments 2'!$D$4:$D$16)</f>
        <v>1.9E-2</v>
      </c>
      <c r="P214" s="69">
        <f>IFERROR(Supplier_Perf_Table[[#This Row],[Unit_Cost]]*Supplier_Perf_Table[[#This Row],[Dollar Equivalent]],"")</f>
        <v>13.10886</v>
      </c>
      <c r="Q214" s="75">
        <v>50</v>
      </c>
      <c r="R214" s="1">
        <v>34497</v>
      </c>
      <c r="S214" s="75">
        <f>Supplier_Perf_Table[[#This Row],[Unit_Cost]]*Supplier_Perf_Table[[#This Row],[Order_Quantity]]</f>
        <v>34497</v>
      </c>
      <c r="T214" s="75">
        <f>IFERROR(Supplier_Perf_Table[[#This Row],[Dollar Equivalent]]*Supplier_Perf_Table[[#This Row],[Ordered_Value]],"")</f>
        <v>655.44299999999998</v>
      </c>
      <c r="U214" s="75">
        <v>0</v>
      </c>
      <c r="V214" s="7">
        <v>0</v>
      </c>
      <c r="W214" s="75">
        <v>20</v>
      </c>
      <c r="X214" s="55">
        <f>IFERROR(Supplier_Perf_Table[[#This Row],[Actual_Delivery_Date]]-Supplier_Perf_Table[[#This Row],[Order Date]],"")</f>
        <v>20</v>
      </c>
      <c r="Y214" s="75">
        <v>15</v>
      </c>
      <c r="Z214" s="56">
        <f>IFERROR(Supplier_Perf_Table[[#This Row],[Expected Delivery_Date]]-Supplier_Perf_Table[[#This Row],[Order Date]],"")</f>
        <v>15</v>
      </c>
      <c r="AA214" s="56">
        <f>Supplier_Perf_Table[[#This Row],[Calculated_Lead_Time2]]-Supplier_Perf_Table[[#This Row],[Calculated_Expected_Lead_Time]]</f>
        <v>5</v>
      </c>
      <c r="AB214" s="75">
        <v>5</v>
      </c>
      <c r="AC214" s="63" t="s">
        <v>205</v>
      </c>
      <c r="AD214" s="63" t="s">
        <v>3088</v>
      </c>
      <c r="AE214" s="63" t="s">
        <v>41</v>
      </c>
      <c r="AF214" s="63" t="s">
        <v>106</v>
      </c>
      <c r="AG214" s="63" t="s">
        <v>173</v>
      </c>
      <c r="AH214" s="63" t="s">
        <v>88</v>
      </c>
      <c r="AI214" s="63" t="s">
        <v>95</v>
      </c>
      <c r="AJ214" s="63" t="s">
        <v>138</v>
      </c>
      <c r="AK214" s="83">
        <v>3.2</v>
      </c>
      <c r="AL214" s="63" t="s">
        <v>108</v>
      </c>
      <c r="AM214" s="63" t="s">
        <v>46</v>
      </c>
      <c r="AN214"/>
    </row>
    <row r="215" spans="1:40" ht="18" customHeight="1">
      <c r="A215" s="1" t="s">
        <v>812</v>
      </c>
      <c r="B215" s="1" t="s">
        <v>813</v>
      </c>
      <c r="C215" s="4">
        <v>46181</v>
      </c>
      <c r="D215" s="4">
        <v>46194</v>
      </c>
      <c r="E215" s="4">
        <v>46193</v>
      </c>
      <c r="F215" s="63" t="s">
        <v>162</v>
      </c>
      <c r="G215" s="63" t="s">
        <v>3847</v>
      </c>
      <c r="H215" s="63" t="s">
        <v>152</v>
      </c>
      <c r="I215" s="63" t="s">
        <v>49</v>
      </c>
      <c r="J215" s="63" t="s">
        <v>163</v>
      </c>
      <c r="K215" s="63" t="s">
        <v>814</v>
      </c>
      <c r="L215" s="63" t="s">
        <v>253</v>
      </c>
      <c r="M215" s="69">
        <v>2400.58</v>
      </c>
      <c r="N215" s="63" t="s">
        <v>159</v>
      </c>
      <c r="O215" s="73">
        <f>_xlfn.XLOOKUP(Supplier_Perf_Table[[#This Row],[Currency]],'Comments 2'!$C$4:$C$16,'Comments 2'!$D$4:$D$16)</f>
        <v>7.2999999999999996E-4</v>
      </c>
      <c r="P215" s="69">
        <f>IFERROR(Supplier_Perf_Table[[#This Row],[Unit_Cost]]*Supplier_Perf_Table[[#This Row],[Dollar Equivalent]],"")</f>
        <v>1.7524233999999999</v>
      </c>
      <c r="Q215" s="75">
        <v>150</v>
      </c>
      <c r="R215" s="1">
        <v>360087</v>
      </c>
      <c r="S215" s="75">
        <f>Supplier_Perf_Table[[#This Row],[Unit_Cost]]*Supplier_Perf_Table[[#This Row],[Order_Quantity]]</f>
        <v>360087</v>
      </c>
      <c r="T215" s="75">
        <f>IFERROR(Supplier_Perf_Table[[#This Row],[Dollar Equivalent]]*Supplier_Perf_Table[[#This Row],[Ordered_Value]],"")</f>
        <v>262.86350999999996</v>
      </c>
      <c r="U215" s="75">
        <v>6</v>
      </c>
      <c r="V215" s="7">
        <v>0.04</v>
      </c>
      <c r="W215" s="75">
        <v>12</v>
      </c>
      <c r="X215" s="55">
        <f>IFERROR(Supplier_Perf_Table[[#This Row],[Actual_Delivery_Date]]-Supplier_Perf_Table[[#This Row],[Order Date]],"")</f>
        <v>12</v>
      </c>
      <c r="Y215" s="75">
        <v>13</v>
      </c>
      <c r="Z215" s="56">
        <f>IFERROR(Supplier_Perf_Table[[#This Row],[Expected Delivery_Date]]-Supplier_Perf_Table[[#This Row],[Order Date]],"")</f>
        <v>13</v>
      </c>
      <c r="AA215" s="56">
        <f>Supplier_Perf_Table[[#This Row],[Calculated_Lead_Time2]]-Supplier_Perf_Table[[#This Row],[Calculated_Expected_Lead_Time]]</f>
        <v>-1</v>
      </c>
      <c r="AB215" s="75">
        <v>-1</v>
      </c>
      <c r="AC215" s="63" t="s">
        <v>87</v>
      </c>
      <c r="AD215" s="63" t="s">
        <v>40</v>
      </c>
      <c r="AE215" s="63" t="s">
        <v>105</v>
      </c>
      <c r="AF215" s="63" t="s">
        <v>66</v>
      </c>
      <c r="AG215" s="63" t="s">
        <v>43</v>
      </c>
      <c r="AH215" s="63" t="s">
        <v>88</v>
      </c>
      <c r="AI215" s="63" t="s">
        <v>191</v>
      </c>
      <c r="AJ215" s="63" t="s">
        <v>138</v>
      </c>
      <c r="AK215" s="83">
        <v>4.2</v>
      </c>
      <c r="AL215" s="63" t="s">
        <v>139</v>
      </c>
      <c r="AM215" s="63" t="s">
        <v>138</v>
      </c>
      <c r="AN215"/>
    </row>
    <row r="216" spans="1:40" ht="18" customHeight="1">
      <c r="A216" s="1" t="s">
        <v>815</v>
      </c>
      <c r="B216" s="1" t="s">
        <v>816</v>
      </c>
      <c r="C216" s="4">
        <v>46171</v>
      </c>
      <c r="D216" s="4">
        <v>46189</v>
      </c>
      <c r="E216" s="4">
        <v>46186</v>
      </c>
      <c r="F216" s="63" t="s">
        <v>256</v>
      </c>
      <c r="G216" s="63" t="s">
        <v>3849</v>
      </c>
      <c r="H216" s="63" t="s">
        <v>258</v>
      </c>
      <c r="I216" s="63" t="s">
        <v>70</v>
      </c>
      <c r="J216" s="63" t="s">
        <v>153</v>
      </c>
      <c r="K216" s="63" t="s">
        <v>817</v>
      </c>
      <c r="L216" s="63" t="s">
        <v>318</v>
      </c>
      <c r="M216" s="69">
        <v>134.11000000000001</v>
      </c>
      <c r="N216" s="63" t="s">
        <v>53</v>
      </c>
      <c r="O216" s="73">
        <f>_xlfn.XLOOKUP(Supplier_Perf_Table[[#This Row],[Currency]],'Comments 2'!$C$4:$C$16,'Comments 2'!$D$4:$D$16)</f>
        <v>6.0999999999999999E-2</v>
      </c>
      <c r="P216" s="69">
        <f>IFERROR(Supplier_Perf_Table[[#This Row],[Unit_Cost]]*Supplier_Perf_Table[[#This Row],[Dollar Equivalent]],"")</f>
        <v>8.1807100000000013</v>
      </c>
      <c r="Q216" s="75">
        <v>75</v>
      </c>
      <c r="R216" s="1">
        <v>10058.25</v>
      </c>
      <c r="S216" s="75">
        <f>Supplier_Perf_Table[[#This Row],[Unit_Cost]]*Supplier_Perf_Table[[#This Row],[Order_Quantity]]</f>
        <v>10058.250000000002</v>
      </c>
      <c r="T216" s="75">
        <f>IFERROR(Supplier_Perf_Table[[#This Row],[Dollar Equivalent]]*Supplier_Perf_Table[[#This Row],[Ordered_Value]],"")</f>
        <v>613.55324999999993</v>
      </c>
      <c r="U216" s="75">
        <v>0</v>
      </c>
      <c r="V216" s="7">
        <v>0</v>
      </c>
      <c r="W216" s="75">
        <v>15</v>
      </c>
      <c r="X216" s="55">
        <f>IFERROR(Supplier_Perf_Table[[#This Row],[Actual_Delivery_Date]]-Supplier_Perf_Table[[#This Row],[Order Date]],"")</f>
        <v>15</v>
      </c>
      <c r="Y216" s="75">
        <v>18</v>
      </c>
      <c r="Z216" s="56">
        <f>IFERROR(Supplier_Perf_Table[[#This Row],[Expected Delivery_Date]]-Supplier_Perf_Table[[#This Row],[Order Date]],"")</f>
        <v>18</v>
      </c>
      <c r="AA216" s="56">
        <f>Supplier_Perf_Table[[#This Row],[Calculated_Lead_Time2]]-Supplier_Perf_Table[[#This Row],[Calculated_Expected_Lead_Time]]</f>
        <v>-3</v>
      </c>
      <c r="AB216" s="75">
        <v>-3</v>
      </c>
      <c r="AC216" s="63" t="s">
        <v>87</v>
      </c>
      <c r="AD216" s="63" t="s">
        <v>40</v>
      </c>
      <c r="AE216" s="63" t="s">
        <v>105</v>
      </c>
      <c r="AF216" s="63" t="s">
        <v>106</v>
      </c>
      <c r="AG216" s="63" t="s">
        <v>54</v>
      </c>
      <c r="AH216" s="63" t="s">
        <v>55</v>
      </c>
      <c r="AI216" s="63" t="s">
        <v>138</v>
      </c>
      <c r="AJ216" s="63" t="s">
        <v>138</v>
      </c>
      <c r="AK216" s="83">
        <v>4.2</v>
      </c>
      <c r="AL216" s="63" t="s">
        <v>139</v>
      </c>
      <c r="AM216" s="63" t="s">
        <v>138</v>
      </c>
      <c r="AN216"/>
    </row>
    <row r="217" spans="1:40" ht="18" customHeight="1">
      <c r="A217" s="1" t="s">
        <v>818</v>
      </c>
      <c r="B217" s="1" t="s">
        <v>819</v>
      </c>
      <c r="C217" s="4">
        <v>46155</v>
      </c>
      <c r="D217" s="4">
        <v>46159</v>
      </c>
      <c r="E217" s="4">
        <v>46164</v>
      </c>
      <c r="F217" s="63" t="s">
        <v>151</v>
      </c>
      <c r="G217" s="63" t="s">
        <v>3844</v>
      </c>
      <c r="H217" s="63" t="s">
        <v>152</v>
      </c>
      <c r="I217" s="63" t="s">
        <v>49</v>
      </c>
      <c r="J217" s="63" t="s">
        <v>112</v>
      </c>
      <c r="K217" s="63" t="s">
        <v>820</v>
      </c>
      <c r="L217" s="63" t="s">
        <v>114</v>
      </c>
      <c r="M217" s="69">
        <v>155.88999999999999</v>
      </c>
      <c r="N217" s="63" t="s">
        <v>104</v>
      </c>
      <c r="O217" s="73">
        <f>_xlfn.XLOOKUP(Supplier_Perf_Table[[#This Row],[Currency]],'Comments 2'!$C$4:$C$16,'Comments 2'!$D$4:$D$16)</f>
        <v>1.9E-2</v>
      </c>
      <c r="P217" s="69">
        <f>IFERROR(Supplier_Perf_Table[[#This Row],[Unit_Cost]]*Supplier_Perf_Table[[#This Row],[Dollar Equivalent]],"")</f>
        <v>2.9619099999999996</v>
      </c>
      <c r="Q217" s="75">
        <v>50</v>
      </c>
      <c r="R217" s="1">
        <v>7794.5</v>
      </c>
      <c r="S217" s="75">
        <f>Supplier_Perf_Table[[#This Row],[Unit_Cost]]*Supplier_Perf_Table[[#This Row],[Order_Quantity]]</f>
        <v>7794.4999999999991</v>
      </c>
      <c r="T217" s="75">
        <f>IFERROR(Supplier_Perf_Table[[#This Row],[Dollar Equivalent]]*Supplier_Perf_Table[[#This Row],[Ordered_Value]],"")</f>
        <v>148.09549999999999</v>
      </c>
      <c r="U217" s="75">
        <v>0</v>
      </c>
      <c r="V217" s="7">
        <v>0</v>
      </c>
      <c r="W217" s="75">
        <v>9</v>
      </c>
      <c r="X217" s="55">
        <f>IFERROR(Supplier_Perf_Table[[#This Row],[Actual_Delivery_Date]]-Supplier_Perf_Table[[#This Row],[Order Date]],"")</f>
        <v>9</v>
      </c>
      <c r="Y217" s="75">
        <v>4</v>
      </c>
      <c r="Z217" s="56">
        <f>IFERROR(Supplier_Perf_Table[[#This Row],[Expected Delivery_Date]]-Supplier_Perf_Table[[#This Row],[Order Date]],"")</f>
        <v>4</v>
      </c>
      <c r="AA217" s="56">
        <f>Supplier_Perf_Table[[#This Row],[Calculated_Lead_Time2]]-Supplier_Perf_Table[[#This Row],[Calculated_Expected_Lead_Time]]</f>
        <v>5</v>
      </c>
      <c r="AB217" s="75">
        <v>5</v>
      </c>
      <c r="AC217" s="63" t="s">
        <v>135</v>
      </c>
      <c r="AD217" s="63" t="s">
        <v>40</v>
      </c>
      <c r="AE217" s="63" t="s">
        <v>3088</v>
      </c>
      <c r="AF217" s="63" t="s">
        <v>106</v>
      </c>
      <c r="AG217" s="63" t="s">
        <v>107</v>
      </c>
      <c r="AH217" s="63" t="s">
        <v>174</v>
      </c>
      <c r="AI217" s="63" t="s">
        <v>191</v>
      </c>
      <c r="AJ217" s="63" t="s">
        <v>138</v>
      </c>
      <c r="AK217" s="83">
        <v>2.8</v>
      </c>
      <c r="AL217" s="63" t="s">
        <v>108</v>
      </c>
      <c r="AM217" s="63" t="s">
        <v>148</v>
      </c>
      <c r="AN217"/>
    </row>
    <row r="218" spans="1:40" ht="18" customHeight="1">
      <c r="A218" s="1" t="s">
        <v>821</v>
      </c>
      <c r="B218" s="1" t="s">
        <v>822</v>
      </c>
      <c r="C218" s="4">
        <v>46068</v>
      </c>
      <c r="D218" s="4">
        <v>46081</v>
      </c>
      <c r="E218" s="4">
        <v>46074</v>
      </c>
      <c r="F218" s="63" t="s">
        <v>100</v>
      </c>
      <c r="G218" s="63" t="s">
        <v>3841</v>
      </c>
      <c r="H218" s="63" t="s">
        <v>102</v>
      </c>
      <c r="I218" s="63" t="s">
        <v>34</v>
      </c>
      <c r="J218" s="63" t="s">
        <v>50</v>
      </c>
      <c r="K218" s="63" t="s">
        <v>823</v>
      </c>
      <c r="L218" s="63" t="s">
        <v>145</v>
      </c>
      <c r="M218" s="69">
        <v>363.68</v>
      </c>
      <c r="N218" s="63" t="s">
        <v>104</v>
      </c>
      <c r="O218" s="73">
        <f>_xlfn.XLOOKUP(Supplier_Perf_Table[[#This Row],[Currency]],'Comments 2'!$C$4:$C$16,'Comments 2'!$D$4:$D$16)</f>
        <v>1.9E-2</v>
      </c>
      <c r="P218" s="69">
        <f>IFERROR(Supplier_Perf_Table[[#This Row],[Unit_Cost]]*Supplier_Perf_Table[[#This Row],[Dollar Equivalent]],"")</f>
        <v>6.9099199999999996</v>
      </c>
      <c r="Q218" s="75">
        <v>500</v>
      </c>
      <c r="R218" s="1">
        <v>181840</v>
      </c>
      <c r="S218" s="75">
        <f>Supplier_Perf_Table[[#This Row],[Unit_Cost]]*Supplier_Perf_Table[[#This Row],[Order_Quantity]]</f>
        <v>181840</v>
      </c>
      <c r="T218" s="75">
        <f>IFERROR(Supplier_Perf_Table[[#This Row],[Dollar Equivalent]]*Supplier_Perf_Table[[#This Row],[Ordered_Value]],"")</f>
        <v>3454.96</v>
      </c>
      <c r="U218" s="75">
        <v>6</v>
      </c>
      <c r="V218" s="7">
        <v>1.2E-2</v>
      </c>
      <c r="W218" s="75">
        <v>6</v>
      </c>
      <c r="X218" s="55">
        <f>IFERROR(Supplier_Perf_Table[[#This Row],[Actual_Delivery_Date]]-Supplier_Perf_Table[[#This Row],[Order Date]],"")</f>
        <v>6</v>
      </c>
      <c r="Y218" s="75">
        <v>13</v>
      </c>
      <c r="Z218" s="56">
        <f>IFERROR(Supplier_Perf_Table[[#This Row],[Expected Delivery_Date]]-Supplier_Perf_Table[[#This Row],[Order Date]],"")</f>
        <v>13</v>
      </c>
      <c r="AA218" s="56">
        <f>Supplier_Perf_Table[[#This Row],[Calculated_Lead_Time2]]-Supplier_Perf_Table[[#This Row],[Calculated_Expected_Lead_Time]]</f>
        <v>-7</v>
      </c>
      <c r="AB218" s="75">
        <v>-7</v>
      </c>
      <c r="AC218" s="63" t="s">
        <v>270</v>
      </c>
      <c r="AD218" s="63" t="s">
        <v>40</v>
      </c>
      <c r="AE218" s="63" t="s">
        <v>146</v>
      </c>
      <c r="AF218" s="63" t="s">
        <v>212</v>
      </c>
      <c r="AG218" s="63" t="s">
        <v>43</v>
      </c>
      <c r="AH218" s="63" t="s">
        <v>3112</v>
      </c>
      <c r="AI218" s="63" t="s">
        <v>138</v>
      </c>
      <c r="AJ218" s="63" t="s">
        <v>138</v>
      </c>
      <c r="AK218" s="83">
        <v>3.4</v>
      </c>
      <c r="AL218" s="63" t="s">
        <v>108</v>
      </c>
      <c r="AM218" s="63" t="s">
        <v>130</v>
      </c>
      <c r="AN218"/>
    </row>
    <row r="219" spans="1:40" ht="18" customHeight="1">
      <c r="A219" s="1" t="s">
        <v>824</v>
      </c>
      <c r="B219" s="1" t="s">
        <v>825</v>
      </c>
      <c r="C219" s="4">
        <v>46114</v>
      </c>
      <c r="D219" s="4">
        <v>46125</v>
      </c>
      <c r="E219" s="4">
        <v>46141</v>
      </c>
      <c r="F219" s="63" t="s">
        <v>48</v>
      </c>
      <c r="G219" s="63" t="s">
        <v>3836</v>
      </c>
      <c r="H219" s="63" t="s">
        <v>102</v>
      </c>
      <c r="I219" s="63" t="s">
        <v>34</v>
      </c>
      <c r="J219" s="63" t="s">
        <v>50</v>
      </c>
      <c r="K219" s="63" t="s">
        <v>826</v>
      </c>
      <c r="L219" s="63" t="s">
        <v>126</v>
      </c>
      <c r="M219" s="69">
        <v>1785.71</v>
      </c>
      <c r="N219" s="63" t="s">
        <v>38</v>
      </c>
      <c r="O219" s="73">
        <f>_xlfn.XLOOKUP(Supplier_Perf_Table[[#This Row],[Currency]],'Comments 2'!$C$4:$C$16,'Comments 2'!$D$4:$D$16)</f>
        <v>7.7000000000000002E-3</v>
      </c>
      <c r="P219" s="69">
        <f>IFERROR(Supplier_Perf_Table[[#This Row],[Unit_Cost]]*Supplier_Perf_Table[[#This Row],[Dollar Equivalent]],"")</f>
        <v>13.749967000000002</v>
      </c>
      <c r="Q219" s="75">
        <v>1500</v>
      </c>
      <c r="R219" s="1">
        <v>2678565</v>
      </c>
      <c r="S219" s="75">
        <f>Supplier_Perf_Table[[#This Row],[Unit_Cost]]*Supplier_Perf_Table[[#This Row],[Order_Quantity]]</f>
        <v>2678565</v>
      </c>
      <c r="T219" s="75">
        <f>IFERROR(Supplier_Perf_Table[[#This Row],[Dollar Equivalent]]*Supplier_Perf_Table[[#This Row],[Ordered_Value]],"")</f>
        <v>20624.950499999999</v>
      </c>
      <c r="U219" s="75">
        <v>40</v>
      </c>
      <c r="V219" s="7">
        <v>2.6700000000000002E-2</v>
      </c>
      <c r="W219" s="75">
        <v>27</v>
      </c>
      <c r="X219" s="55">
        <f>IFERROR(Supplier_Perf_Table[[#This Row],[Actual_Delivery_Date]]-Supplier_Perf_Table[[#This Row],[Order Date]],"")</f>
        <v>27</v>
      </c>
      <c r="Y219" s="75">
        <v>11</v>
      </c>
      <c r="Z219" s="56">
        <f>IFERROR(Supplier_Perf_Table[[#This Row],[Expected Delivery_Date]]-Supplier_Perf_Table[[#This Row],[Order Date]],"")</f>
        <v>11</v>
      </c>
      <c r="AA219" s="56">
        <f>Supplier_Perf_Table[[#This Row],[Calculated_Lead_Time2]]-Supplier_Perf_Table[[#This Row],[Calculated_Expected_Lead_Time]]</f>
        <v>16</v>
      </c>
      <c r="AB219" s="75">
        <v>16</v>
      </c>
      <c r="AC219" s="63" t="s">
        <v>135</v>
      </c>
      <c r="AD219" s="63" t="s">
        <v>40</v>
      </c>
      <c r="AE219" s="63" t="s">
        <v>105</v>
      </c>
      <c r="AF219" s="63" t="s">
        <v>106</v>
      </c>
      <c r="AG219" s="63" t="s">
        <v>173</v>
      </c>
      <c r="AH219" s="63" t="s">
        <v>55</v>
      </c>
      <c r="AI219" s="63" t="s">
        <v>147</v>
      </c>
      <c r="AJ219" s="63" t="s">
        <v>138</v>
      </c>
      <c r="AK219" s="83">
        <v>4</v>
      </c>
      <c r="AL219" s="63" t="s">
        <v>184</v>
      </c>
      <c r="AM219" s="63" t="s">
        <v>46</v>
      </c>
      <c r="AN219"/>
    </row>
    <row r="220" spans="1:40" ht="18" customHeight="1">
      <c r="A220" s="1" t="s">
        <v>827</v>
      </c>
      <c r="B220" s="1" t="s">
        <v>828</v>
      </c>
      <c r="C220" s="4">
        <v>46074</v>
      </c>
      <c r="D220" s="4">
        <v>46075</v>
      </c>
      <c r="E220" s="4">
        <v>46080</v>
      </c>
      <c r="F220" s="63" t="s">
        <v>151</v>
      </c>
      <c r="G220" s="63" t="s">
        <v>3844</v>
      </c>
      <c r="H220" s="63" t="s">
        <v>152</v>
      </c>
      <c r="I220" s="63" t="s">
        <v>83</v>
      </c>
      <c r="J220" s="63" t="s">
        <v>112</v>
      </c>
      <c r="K220" s="63" t="s">
        <v>829</v>
      </c>
      <c r="L220" s="63" t="s">
        <v>229</v>
      </c>
      <c r="M220" s="69">
        <v>340.17</v>
      </c>
      <c r="N220" s="63" t="s">
        <v>38</v>
      </c>
      <c r="O220" s="73">
        <f>_xlfn.XLOOKUP(Supplier_Perf_Table[[#This Row],[Currency]],'Comments 2'!$C$4:$C$16,'Comments 2'!$D$4:$D$16)</f>
        <v>7.7000000000000002E-3</v>
      </c>
      <c r="P220" s="69">
        <f>IFERROR(Supplier_Perf_Table[[#This Row],[Unit_Cost]]*Supplier_Perf_Table[[#This Row],[Dollar Equivalent]],"")</f>
        <v>2.6193090000000003</v>
      </c>
      <c r="Q220" s="75">
        <v>150</v>
      </c>
      <c r="R220" s="1">
        <v>51025.5</v>
      </c>
      <c r="S220" s="75">
        <f>Supplier_Perf_Table[[#This Row],[Unit_Cost]]*Supplier_Perf_Table[[#This Row],[Order_Quantity]]</f>
        <v>51025.5</v>
      </c>
      <c r="T220" s="75">
        <f>IFERROR(Supplier_Perf_Table[[#This Row],[Dollar Equivalent]]*Supplier_Perf_Table[[#This Row],[Ordered_Value]],"")</f>
        <v>392.89635000000004</v>
      </c>
      <c r="U220" s="75">
        <v>0</v>
      </c>
      <c r="V220" s="7">
        <v>0</v>
      </c>
      <c r="W220" s="75">
        <v>6</v>
      </c>
      <c r="X220" s="55">
        <f>IFERROR(Supplier_Perf_Table[[#This Row],[Actual_Delivery_Date]]-Supplier_Perf_Table[[#This Row],[Order Date]],"")</f>
        <v>6</v>
      </c>
      <c r="Y220" s="75">
        <v>1</v>
      </c>
      <c r="Z220" s="56">
        <f>IFERROR(Supplier_Perf_Table[[#This Row],[Expected Delivery_Date]]-Supplier_Perf_Table[[#This Row],[Order Date]],"")</f>
        <v>1</v>
      </c>
      <c r="AA220" s="56">
        <f>Supplier_Perf_Table[[#This Row],[Calculated_Lead_Time2]]-Supplier_Perf_Table[[#This Row],[Calculated_Expected_Lead_Time]]</f>
        <v>5</v>
      </c>
      <c r="AB220" s="75">
        <v>5</v>
      </c>
      <c r="AC220" s="63" t="s">
        <v>205</v>
      </c>
      <c r="AD220" s="63" t="s">
        <v>40</v>
      </c>
      <c r="AE220" s="63" t="s">
        <v>146</v>
      </c>
      <c r="AF220" s="63" t="s">
        <v>3088</v>
      </c>
      <c r="AG220" s="63" t="s">
        <v>173</v>
      </c>
      <c r="AH220" s="63" t="s">
        <v>88</v>
      </c>
      <c r="AI220" s="63" t="s">
        <v>95</v>
      </c>
      <c r="AJ220" s="63" t="s">
        <v>138</v>
      </c>
      <c r="AK220" s="83">
        <v>2.8</v>
      </c>
      <c r="AL220" s="63" t="s">
        <v>108</v>
      </c>
      <c r="AM220" s="63" t="s">
        <v>148</v>
      </c>
      <c r="AN220"/>
    </row>
    <row r="221" spans="1:40" ht="18" customHeight="1">
      <c r="A221" s="1" t="s">
        <v>830</v>
      </c>
      <c r="B221" s="1" t="s">
        <v>831</v>
      </c>
      <c r="C221" s="4">
        <v>46183</v>
      </c>
      <c r="D221" s="4">
        <v>46195</v>
      </c>
      <c r="E221" s="4">
        <v>46203</v>
      </c>
      <c r="F221" s="63" t="s">
        <v>209</v>
      </c>
      <c r="G221" s="63" t="s">
        <v>3845</v>
      </c>
      <c r="H221" s="63" t="s">
        <v>316</v>
      </c>
      <c r="I221" s="63" t="s">
        <v>70</v>
      </c>
      <c r="J221" s="63" t="s">
        <v>62</v>
      </c>
      <c r="K221" s="63" t="s">
        <v>832</v>
      </c>
      <c r="L221" s="63" t="s">
        <v>64</v>
      </c>
      <c r="M221" s="69">
        <v>636.94000000000005</v>
      </c>
      <c r="N221" s="63" t="s">
        <v>38</v>
      </c>
      <c r="O221" s="73">
        <f>_xlfn.XLOOKUP(Supplier_Perf_Table[[#This Row],[Currency]],'Comments 2'!$C$4:$C$16,'Comments 2'!$D$4:$D$16)</f>
        <v>7.7000000000000002E-3</v>
      </c>
      <c r="P221" s="69">
        <f>IFERROR(Supplier_Perf_Table[[#This Row],[Unit_Cost]]*Supplier_Perf_Table[[#This Row],[Dollar Equivalent]],"")</f>
        <v>4.9044380000000007</v>
      </c>
      <c r="Q221" s="75">
        <v>200</v>
      </c>
      <c r="R221" s="1">
        <v>127388</v>
      </c>
      <c r="S221" s="75">
        <f>Supplier_Perf_Table[[#This Row],[Unit_Cost]]*Supplier_Perf_Table[[#This Row],[Order_Quantity]]</f>
        <v>127388.00000000001</v>
      </c>
      <c r="T221" s="75">
        <f>IFERROR(Supplier_Perf_Table[[#This Row],[Dollar Equivalent]]*Supplier_Perf_Table[[#This Row],[Ordered_Value]],"")</f>
        <v>980.88760000000002</v>
      </c>
      <c r="U221" s="75">
        <v>5</v>
      </c>
      <c r="V221" s="7">
        <v>2.5000000000000001E-2</v>
      </c>
      <c r="W221" s="75">
        <v>20</v>
      </c>
      <c r="X221" s="55">
        <f>IFERROR(Supplier_Perf_Table[[#This Row],[Actual_Delivery_Date]]-Supplier_Perf_Table[[#This Row],[Order Date]],"")</f>
        <v>20</v>
      </c>
      <c r="Y221" s="75">
        <v>12</v>
      </c>
      <c r="Z221" s="56">
        <f>IFERROR(Supplier_Perf_Table[[#This Row],[Expected Delivery_Date]]-Supplier_Perf_Table[[#This Row],[Order Date]],"")</f>
        <v>12</v>
      </c>
      <c r="AA221" s="56">
        <f>Supplier_Perf_Table[[#This Row],[Calculated_Lead_Time2]]-Supplier_Perf_Table[[#This Row],[Calculated_Expected_Lead_Time]]</f>
        <v>8</v>
      </c>
      <c r="AB221" s="75">
        <v>8</v>
      </c>
      <c r="AC221" s="63" t="s">
        <v>205</v>
      </c>
      <c r="AD221" s="63" t="s">
        <v>40</v>
      </c>
      <c r="AE221" s="63" t="s">
        <v>105</v>
      </c>
      <c r="AF221" s="63" t="s">
        <v>190</v>
      </c>
      <c r="AG221" s="63" t="s">
        <v>43</v>
      </c>
      <c r="AH221" s="63" t="s">
        <v>88</v>
      </c>
      <c r="AI221" s="63" t="s">
        <v>44</v>
      </c>
      <c r="AJ221" s="63" t="s">
        <v>138</v>
      </c>
      <c r="AK221" s="83">
        <v>1.2</v>
      </c>
      <c r="AL221" s="63" t="s">
        <v>115</v>
      </c>
      <c r="AM221" s="63" t="s">
        <v>46</v>
      </c>
      <c r="AN221"/>
    </row>
    <row r="222" spans="1:40" ht="18" customHeight="1">
      <c r="A222" s="1" t="s">
        <v>833</v>
      </c>
      <c r="B222" s="1" t="s">
        <v>834</v>
      </c>
      <c r="C222" s="4">
        <v>46070</v>
      </c>
      <c r="D222" s="4">
        <v>46083</v>
      </c>
      <c r="E222" s="4">
        <v>46085</v>
      </c>
      <c r="F222" s="63" t="s">
        <v>142</v>
      </c>
      <c r="G222" s="63" t="s">
        <v>3843</v>
      </c>
      <c r="H222" s="63" t="s">
        <v>169</v>
      </c>
      <c r="I222" s="63" t="s">
        <v>61</v>
      </c>
      <c r="J222" s="63" t="s">
        <v>50</v>
      </c>
      <c r="K222" s="63" t="s">
        <v>835</v>
      </c>
      <c r="L222" s="63" t="s">
        <v>189</v>
      </c>
      <c r="M222" s="69">
        <v>503.43</v>
      </c>
      <c r="N222" s="63" t="s">
        <v>159</v>
      </c>
      <c r="O222" s="73">
        <f>_xlfn.XLOOKUP(Supplier_Perf_Table[[#This Row],[Currency]],'Comments 2'!$C$4:$C$16,'Comments 2'!$D$4:$D$16)</f>
        <v>7.2999999999999996E-4</v>
      </c>
      <c r="P222" s="69">
        <f>IFERROR(Supplier_Perf_Table[[#This Row],[Unit_Cost]]*Supplier_Perf_Table[[#This Row],[Dollar Equivalent]],"")</f>
        <v>0.36750389999999999</v>
      </c>
      <c r="Q222" s="75">
        <v>150</v>
      </c>
      <c r="R222" s="1">
        <v>75514.5</v>
      </c>
      <c r="S222" s="75">
        <f>Supplier_Perf_Table[[#This Row],[Unit_Cost]]*Supplier_Perf_Table[[#This Row],[Order_Quantity]]</f>
        <v>75514.5</v>
      </c>
      <c r="T222" s="75">
        <f>IFERROR(Supplier_Perf_Table[[#This Row],[Dollar Equivalent]]*Supplier_Perf_Table[[#This Row],[Ordered_Value]],"")</f>
        <v>55.125584999999994</v>
      </c>
      <c r="U222" s="75">
        <v>0</v>
      </c>
      <c r="V222" s="7">
        <v>0</v>
      </c>
      <c r="W222" s="75">
        <v>15</v>
      </c>
      <c r="X222" s="55">
        <f>IFERROR(Supplier_Perf_Table[[#This Row],[Actual_Delivery_Date]]-Supplier_Perf_Table[[#This Row],[Order Date]],"")</f>
        <v>15</v>
      </c>
      <c r="Y222" s="75">
        <v>13</v>
      </c>
      <c r="Z222" s="56">
        <f>IFERROR(Supplier_Perf_Table[[#This Row],[Expected Delivery_Date]]-Supplier_Perf_Table[[#This Row],[Order Date]],"")</f>
        <v>13</v>
      </c>
      <c r="AA222" s="56">
        <f>Supplier_Perf_Table[[#This Row],[Calculated_Lead_Time2]]-Supplier_Perf_Table[[#This Row],[Calculated_Expected_Lead_Time]]</f>
        <v>2</v>
      </c>
      <c r="AB222" s="75">
        <v>2</v>
      </c>
      <c r="AC222" s="63" t="s">
        <v>135</v>
      </c>
      <c r="AD222" s="63" t="s">
        <v>40</v>
      </c>
      <c r="AE222" s="63" t="s">
        <v>105</v>
      </c>
      <c r="AF222" s="63" t="s">
        <v>106</v>
      </c>
      <c r="AG222" s="63" t="s">
        <v>54</v>
      </c>
      <c r="AH222" s="63" t="s">
        <v>174</v>
      </c>
      <c r="AI222" s="63" t="s">
        <v>95</v>
      </c>
      <c r="AJ222" s="63" t="s">
        <v>138</v>
      </c>
      <c r="AK222" s="83">
        <v>2.4</v>
      </c>
      <c r="AL222" s="63" t="s">
        <v>45</v>
      </c>
      <c r="AM222" s="63" t="s">
        <v>46</v>
      </c>
      <c r="AN222"/>
    </row>
    <row r="223" spans="1:40" ht="18" customHeight="1">
      <c r="A223" s="63" t="s">
        <v>836</v>
      </c>
      <c r="B223" s="63" t="s">
        <v>837</v>
      </c>
      <c r="C223" s="4">
        <v>46069</v>
      </c>
      <c r="D223" s="4">
        <v>46088</v>
      </c>
      <c r="E223" s="4">
        <v>46086</v>
      </c>
      <c r="F223" s="63" t="s">
        <v>256</v>
      </c>
      <c r="G223" s="63" t="s">
        <v>3849</v>
      </c>
      <c r="H223" s="63" t="s">
        <v>258</v>
      </c>
      <c r="I223" s="63" t="s">
        <v>120</v>
      </c>
      <c r="J223" s="63" t="s">
        <v>153</v>
      </c>
      <c r="K223" s="63" t="s">
        <v>838</v>
      </c>
      <c r="L223" s="63" t="s">
        <v>318</v>
      </c>
      <c r="M223" s="69">
        <v>116.54</v>
      </c>
      <c r="N223" s="63" t="s">
        <v>38</v>
      </c>
      <c r="O223" s="73">
        <f>_xlfn.XLOOKUP(Supplier_Perf_Table[[#This Row],[Currency]],'Comments 2'!$C$4:$C$16,'Comments 2'!$D$4:$D$16)</f>
        <v>7.7000000000000002E-3</v>
      </c>
      <c r="P223" s="69">
        <f>IFERROR(Supplier_Perf_Table[[#This Row],[Unit_Cost]]*Supplier_Perf_Table[[#This Row],[Dollar Equivalent]],"")</f>
        <v>0.8973580000000001</v>
      </c>
      <c r="Q223" s="75">
        <v>1000</v>
      </c>
      <c r="R223" s="1">
        <v>116540</v>
      </c>
      <c r="S223" s="75">
        <f>Supplier_Perf_Table[[#This Row],[Unit_Cost]]*Supplier_Perf_Table[[#This Row],[Order_Quantity]]</f>
        <v>116540</v>
      </c>
      <c r="T223" s="75">
        <f>IFERROR(Supplier_Perf_Table[[#This Row],[Dollar Equivalent]]*Supplier_Perf_Table[[#This Row],[Ordered_Value]],"")</f>
        <v>897.35800000000006</v>
      </c>
      <c r="U223" s="75">
        <v>45</v>
      </c>
      <c r="V223" s="7">
        <v>4.4999999999999998E-2</v>
      </c>
      <c r="W223" s="75">
        <v>17</v>
      </c>
      <c r="X223" s="55">
        <f>IFERROR(Supplier_Perf_Table[[#This Row],[Actual_Delivery_Date]]-Supplier_Perf_Table[[#This Row],[Order Date]],"")</f>
        <v>17</v>
      </c>
      <c r="Y223" s="75">
        <v>19</v>
      </c>
      <c r="Z223" s="56">
        <f>IFERROR(Supplier_Perf_Table[[#This Row],[Expected Delivery_Date]]-Supplier_Perf_Table[[#This Row],[Order Date]],"")</f>
        <v>19</v>
      </c>
      <c r="AA223" s="56">
        <f>Supplier_Perf_Table[[#This Row],[Calculated_Lead_Time2]]-Supplier_Perf_Table[[#This Row],[Calculated_Expected_Lead_Time]]</f>
        <v>-2</v>
      </c>
      <c r="AB223" s="75">
        <v>-2</v>
      </c>
      <c r="AC223" s="63" t="s">
        <v>270</v>
      </c>
      <c r="AD223" s="63" t="s">
        <v>420</v>
      </c>
      <c r="AE223" s="63" t="s">
        <v>41</v>
      </c>
      <c r="AF223" s="63" t="s">
        <v>42</v>
      </c>
      <c r="AG223" s="63" t="s">
        <v>107</v>
      </c>
      <c r="AH223" s="63" t="s">
        <v>136</v>
      </c>
      <c r="AI223" s="63" t="s">
        <v>138</v>
      </c>
      <c r="AJ223" s="63" t="s">
        <v>283</v>
      </c>
      <c r="AK223" s="83">
        <v>3.3</v>
      </c>
      <c r="AL223" s="63" t="s">
        <v>108</v>
      </c>
      <c r="AM223" s="63" t="s">
        <v>97</v>
      </c>
      <c r="AN223"/>
    </row>
    <row r="224" spans="1:40" ht="18" customHeight="1">
      <c r="A224" s="1" t="s">
        <v>839</v>
      </c>
      <c r="B224" s="1" t="s">
        <v>840</v>
      </c>
      <c r="C224" s="4">
        <v>46157</v>
      </c>
      <c r="D224" s="4">
        <v>46175</v>
      </c>
      <c r="E224" s="4">
        <v>46180</v>
      </c>
      <c r="F224" s="63" t="s">
        <v>118</v>
      </c>
      <c r="G224" s="63" t="s">
        <v>3842</v>
      </c>
      <c r="H224" s="63" t="s">
        <v>301</v>
      </c>
      <c r="I224" s="63" t="s">
        <v>92</v>
      </c>
      <c r="J224" s="63" t="s">
        <v>62</v>
      </c>
      <c r="K224" s="63" t="s">
        <v>841</v>
      </c>
      <c r="L224" s="63" t="s">
        <v>64</v>
      </c>
      <c r="M224" s="69">
        <v>392.72</v>
      </c>
      <c r="N224" s="63" t="s">
        <v>53</v>
      </c>
      <c r="O224" s="73">
        <f>_xlfn.XLOOKUP(Supplier_Perf_Table[[#This Row],[Currency]],'Comments 2'!$C$4:$C$16,'Comments 2'!$D$4:$D$16)</f>
        <v>6.0999999999999999E-2</v>
      </c>
      <c r="P224" s="69">
        <f>IFERROR(Supplier_Perf_Table[[#This Row],[Unit_Cost]]*Supplier_Perf_Table[[#This Row],[Dollar Equivalent]],"")</f>
        <v>23.955920000000003</v>
      </c>
      <c r="Q224" s="75">
        <v>1000</v>
      </c>
      <c r="R224" s="1">
        <v>392720</v>
      </c>
      <c r="S224" s="75">
        <f>Supplier_Perf_Table[[#This Row],[Unit_Cost]]*Supplier_Perf_Table[[#This Row],[Order_Quantity]]</f>
        <v>392720</v>
      </c>
      <c r="T224" s="75">
        <f>IFERROR(Supplier_Perf_Table[[#This Row],[Dollar Equivalent]]*Supplier_Perf_Table[[#This Row],[Ordered_Value]],"")</f>
        <v>23955.919999999998</v>
      </c>
      <c r="U224" s="75">
        <v>0</v>
      </c>
      <c r="V224" s="7">
        <v>0</v>
      </c>
      <c r="W224" s="75">
        <v>23</v>
      </c>
      <c r="X224" s="55">
        <f>IFERROR(Supplier_Perf_Table[[#This Row],[Actual_Delivery_Date]]-Supplier_Perf_Table[[#This Row],[Order Date]],"")</f>
        <v>23</v>
      </c>
      <c r="Y224" s="75">
        <v>18</v>
      </c>
      <c r="Z224" s="56">
        <f>IFERROR(Supplier_Perf_Table[[#This Row],[Expected Delivery_Date]]-Supplier_Perf_Table[[#This Row],[Order Date]],"")</f>
        <v>18</v>
      </c>
      <c r="AA224" s="56">
        <f>Supplier_Perf_Table[[#This Row],[Calculated_Lead_Time2]]-Supplier_Perf_Table[[#This Row],[Calculated_Expected_Lead_Time]]</f>
        <v>5</v>
      </c>
      <c r="AB224" s="75">
        <v>5</v>
      </c>
      <c r="AC224" s="63" t="s">
        <v>135</v>
      </c>
      <c r="AD224" s="63" t="s">
        <v>40</v>
      </c>
      <c r="AE224" s="63" t="s">
        <v>105</v>
      </c>
      <c r="AF224" s="63" t="s">
        <v>3088</v>
      </c>
      <c r="AG224" s="63" t="s">
        <v>107</v>
      </c>
      <c r="AH224" s="63" t="s">
        <v>3112</v>
      </c>
      <c r="AI224" s="63" t="s">
        <v>56</v>
      </c>
      <c r="AJ224" s="63" t="s">
        <v>138</v>
      </c>
      <c r="AK224" s="83">
        <v>4.2</v>
      </c>
      <c r="AL224" s="63" t="s">
        <v>115</v>
      </c>
      <c r="AM224" s="63" t="s">
        <v>46</v>
      </c>
      <c r="AN224"/>
    </row>
    <row r="225" spans="1:40" ht="18" customHeight="1">
      <c r="A225" s="1" t="s">
        <v>842</v>
      </c>
      <c r="B225" s="1" t="s">
        <v>843</v>
      </c>
      <c r="C225" s="4">
        <v>46182</v>
      </c>
      <c r="D225" s="4">
        <v>46194</v>
      </c>
      <c r="E225" s="4">
        <v>46196</v>
      </c>
      <c r="F225" s="63" t="s">
        <v>256</v>
      </c>
      <c r="G225" s="63" t="s">
        <v>3849</v>
      </c>
      <c r="H225" s="63" t="s">
        <v>258</v>
      </c>
      <c r="I225" s="63" t="s">
        <v>120</v>
      </c>
      <c r="J225" s="63" t="s">
        <v>153</v>
      </c>
      <c r="K225" s="63" t="s">
        <v>844</v>
      </c>
      <c r="L225" s="63" t="s">
        <v>204</v>
      </c>
      <c r="M225" s="69">
        <v>71.02</v>
      </c>
      <c r="N225" s="63" t="s">
        <v>86</v>
      </c>
      <c r="O225" s="73">
        <f>_xlfn.XLOOKUP(Supplier_Perf_Table[[#This Row],[Currency]],'Comments 2'!$C$4:$C$16,'Comments 2'!$D$4:$D$16)</f>
        <v>8.8999999999999996E-2</v>
      </c>
      <c r="P225" s="69">
        <f>IFERROR(Supplier_Perf_Table[[#This Row],[Unit_Cost]]*Supplier_Perf_Table[[#This Row],[Dollar Equivalent]],"")</f>
        <v>6.3207799999999992</v>
      </c>
      <c r="Q225" s="75">
        <v>75</v>
      </c>
      <c r="R225" s="1">
        <v>5326.5</v>
      </c>
      <c r="S225" s="75">
        <f>Supplier_Perf_Table[[#This Row],[Unit_Cost]]*Supplier_Perf_Table[[#This Row],[Order_Quantity]]</f>
        <v>5326.5</v>
      </c>
      <c r="T225" s="75">
        <f>IFERROR(Supplier_Perf_Table[[#This Row],[Dollar Equivalent]]*Supplier_Perf_Table[[#This Row],[Ordered_Value]],"")</f>
        <v>474.05849999999998</v>
      </c>
      <c r="U225" s="75"/>
      <c r="V225" s="7">
        <v>0.08</v>
      </c>
      <c r="W225" s="75">
        <v>14</v>
      </c>
      <c r="X225" s="55">
        <f>IFERROR(Supplier_Perf_Table[[#This Row],[Actual_Delivery_Date]]-Supplier_Perf_Table[[#This Row],[Order Date]],"")</f>
        <v>14</v>
      </c>
      <c r="Y225" s="75">
        <v>12</v>
      </c>
      <c r="Z225" s="56">
        <f>IFERROR(Supplier_Perf_Table[[#This Row],[Expected Delivery_Date]]-Supplier_Perf_Table[[#This Row],[Order Date]],"")</f>
        <v>12</v>
      </c>
      <c r="AA225" s="56">
        <f>Supplier_Perf_Table[[#This Row],[Calculated_Lead_Time2]]-Supplier_Perf_Table[[#This Row],[Calculated_Expected_Lead_Time]]</f>
        <v>2</v>
      </c>
      <c r="AB225" s="75">
        <v>2</v>
      </c>
      <c r="AC225" s="63" t="s">
        <v>135</v>
      </c>
      <c r="AD225" s="63" t="s">
        <v>74</v>
      </c>
      <c r="AE225" s="63" t="s">
        <v>146</v>
      </c>
      <c r="AF225" s="63" t="s">
        <v>190</v>
      </c>
      <c r="AG225" s="63" t="s">
        <v>173</v>
      </c>
      <c r="AH225" s="63" t="s">
        <v>136</v>
      </c>
      <c r="AI225" s="63" t="s">
        <v>95</v>
      </c>
      <c r="AJ225" s="63" t="s">
        <v>96</v>
      </c>
      <c r="AK225" s="83">
        <v>2.7</v>
      </c>
      <c r="AL225" s="63" t="s">
        <v>184</v>
      </c>
      <c r="AM225" s="63" t="s">
        <v>185</v>
      </c>
      <c r="AN225"/>
    </row>
    <row r="226" spans="1:40" ht="18" customHeight="1">
      <c r="A226" s="1" t="s">
        <v>845</v>
      </c>
      <c r="B226" s="1" t="s">
        <v>846</v>
      </c>
      <c r="C226" s="4">
        <v>46169</v>
      </c>
      <c r="D226" s="4">
        <v>46177</v>
      </c>
      <c r="E226" s="4">
        <v>46188</v>
      </c>
      <c r="F226" s="63" t="s">
        <v>69</v>
      </c>
      <c r="G226" s="63" t="s">
        <v>3838</v>
      </c>
      <c r="H226" s="63" t="s">
        <v>194</v>
      </c>
      <c r="I226" s="63" t="s">
        <v>83</v>
      </c>
      <c r="J226" s="63" t="s">
        <v>112</v>
      </c>
      <c r="K226" s="63" t="s">
        <v>847</v>
      </c>
      <c r="L226" s="63" t="s">
        <v>218</v>
      </c>
      <c r="M226" s="69">
        <v>36.909999999999997</v>
      </c>
      <c r="N226" s="63" t="s">
        <v>86</v>
      </c>
      <c r="O226" s="73">
        <f>_xlfn.XLOOKUP(Supplier_Perf_Table[[#This Row],[Currency]],'Comments 2'!$C$4:$C$16,'Comments 2'!$D$4:$D$16)</f>
        <v>8.8999999999999996E-2</v>
      </c>
      <c r="P226" s="69">
        <f>IFERROR(Supplier_Perf_Table[[#This Row],[Unit_Cost]]*Supplier_Perf_Table[[#This Row],[Dollar Equivalent]],"")</f>
        <v>3.2849899999999996</v>
      </c>
      <c r="Q226" s="75">
        <v>200</v>
      </c>
      <c r="R226" s="1">
        <v>7382</v>
      </c>
      <c r="S226" s="75">
        <f>Supplier_Perf_Table[[#This Row],[Unit_Cost]]*Supplier_Perf_Table[[#This Row],[Order_Quantity]]</f>
        <v>7381.9999999999991</v>
      </c>
      <c r="T226" s="75">
        <f>IFERROR(Supplier_Perf_Table[[#This Row],[Dollar Equivalent]]*Supplier_Perf_Table[[#This Row],[Ordered_Value]],"")</f>
        <v>656.99799999999993</v>
      </c>
      <c r="U226" s="75">
        <v>3</v>
      </c>
      <c r="V226" s="7">
        <v>1.4999999999999999E-2</v>
      </c>
      <c r="W226" s="75">
        <v>19</v>
      </c>
      <c r="X226" s="55">
        <f>IFERROR(Supplier_Perf_Table[[#This Row],[Actual_Delivery_Date]]-Supplier_Perf_Table[[#This Row],[Order Date]],"")</f>
        <v>19</v>
      </c>
      <c r="Y226" s="75">
        <v>8</v>
      </c>
      <c r="Z226" s="56">
        <f>IFERROR(Supplier_Perf_Table[[#This Row],[Expected Delivery_Date]]-Supplier_Perf_Table[[#This Row],[Order Date]],"")</f>
        <v>8</v>
      </c>
      <c r="AA226" s="56">
        <f>Supplier_Perf_Table[[#This Row],[Calculated_Lead_Time2]]-Supplier_Perf_Table[[#This Row],[Calculated_Expected_Lead_Time]]</f>
        <v>11</v>
      </c>
      <c r="AB226" s="75">
        <v>11</v>
      </c>
      <c r="AC226" s="63" t="s">
        <v>205</v>
      </c>
      <c r="AD226" s="63" t="s">
        <v>40</v>
      </c>
      <c r="AE226" s="63" t="s">
        <v>146</v>
      </c>
      <c r="AF226" s="63" t="s">
        <v>190</v>
      </c>
      <c r="AG226" s="63" t="s">
        <v>173</v>
      </c>
      <c r="AH226" s="63" t="s">
        <v>3112</v>
      </c>
      <c r="AI226" s="63" t="s">
        <v>138</v>
      </c>
      <c r="AJ226" s="63" t="s">
        <v>138</v>
      </c>
      <c r="AK226" s="83">
        <v>1.6</v>
      </c>
      <c r="AL226" s="63" t="s">
        <v>45</v>
      </c>
      <c r="AM226" s="63" t="s">
        <v>148</v>
      </c>
      <c r="AN226"/>
    </row>
    <row r="227" spans="1:40" ht="18" customHeight="1">
      <c r="A227" s="1" t="s">
        <v>848</v>
      </c>
      <c r="B227" s="1" t="s">
        <v>849</v>
      </c>
      <c r="C227" s="4">
        <v>46051</v>
      </c>
      <c r="D227" s="4">
        <v>46064</v>
      </c>
      <c r="E227" s="4">
        <v>46073</v>
      </c>
      <c r="F227" s="63" t="s">
        <v>48</v>
      </c>
      <c r="G227" s="63" t="s">
        <v>3836</v>
      </c>
      <c r="H227" s="63" t="s">
        <v>102</v>
      </c>
      <c r="I227" s="63" t="s">
        <v>178</v>
      </c>
      <c r="J227" s="63" t="s">
        <v>50</v>
      </c>
      <c r="K227" s="63" t="s">
        <v>850</v>
      </c>
      <c r="L227" s="63" t="s">
        <v>52</v>
      </c>
      <c r="M227" s="69">
        <v>3485.18</v>
      </c>
      <c r="N227" s="63" t="s">
        <v>53</v>
      </c>
      <c r="O227" s="73">
        <f>_xlfn.XLOOKUP(Supplier_Perf_Table[[#This Row],[Currency]],'Comments 2'!$C$4:$C$16,'Comments 2'!$D$4:$D$16)</f>
        <v>6.0999999999999999E-2</v>
      </c>
      <c r="P227" s="69">
        <f>IFERROR(Supplier_Perf_Table[[#This Row],[Unit_Cost]]*Supplier_Perf_Table[[#This Row],[Dollar Equivalent]],"")</f>
        <v>212.59598</v>
      </c>
      <c r="Q227" s="75">
        <v>250</v>
      </c>
      <c r="R227" s="1">
        <v>871295</v>
      </c>
      <c r="S227" s="75">
        <f>Supplier_Perf_Table[[#This Row],[Unit_Cost]]*Supplier_Perf_Table[[#This Row],[Order_Quantity]]</f>
        <v>871295</v>
      </c>
      <c r="T227" s="75">
        <f>IFERROR(Supplier_Perf_Table[[#This Row],[Dollar Equivalent]]*Supplier_Perf_Table[[#This Row],[Ordered_Value]],"")</f>
        <v>53148.994999999995</v>
      </c>
      <c r="U227" s="75">
        <v>5</v>
      </c>
      <c r="V227" s="7">
        <v>0.02</v>
      </c>
      <c r="W227" s="75">
        <v>22</v>
      </c>
      <c r="X227" s="55">
        <f>IFERROR(Supplier_Perf_Table[[#This Row],[Actual_Delivery_Date]]-Supplier_Perf_Table[[#This Row],[Order Date]],"")</f>
        <v>22</v>
      </c>
      <c r="Y227" s="75">
        <v>13</v>
      </c>
      <c r="Z227" s="56">
        <f>IFERROR(Supplier_Perf_Table[[#This Row],[Expected Delivery_Date]]-Supplier_Perf_Table[[#This Row],[Order Date]],"")</f>
        <v>13</v>
      </c>
      <c r="AA227" s="56">
        <f>Supplier_Perf_Table[[#This Row],[Calculated_Lead_Time2]]-Supplier_Perf_Table[[#This Row],[Calculated_Expected_Lead_Time]]</f>
        <v>9</v>
      </c>
      <c r="AB227" s="75">
        <v>9</v>
      </c>
      <c r="AC227" s="63" t="s">
        <v>135</v>
      </c>
      <c r="AD227" s="63" t="s">
        <v>40</v>
      </c>
      <c r="AE227" s="63" t="s">
        <v>105</v>
      </c>
      <c r="AF227" s="63" t="s">
        <v>190</v>
      </c>
      <c r="AG227" s="63" t="s">
        <v>173</v>
      </c>
      <c r="AH227" s="63" t="s">
        <v>88</v>
      </c>
      <c r="AI227" s="63" t="s">
        <v>138</v>
      </c>
      <c r="AJ227" s="63" t="s">
        <v>138</v>
      </c>
      <c r="AK227" s="83">
        <v>2.8</v>
      </c>
      <c r="AL227" s="63" t="s">
        <v>115</v>
      </c>
      <c r="AM227" s="63" t="s">
        <v>46</v>
      </c>
      <c r="AN227"/>
    </row>
    <row r="228" spans="1:40" ht="18" customHeight="1">
      <c r="A228" s="1" t="s">
        <v>851</v>
      </c>
      <c r="B228" s="1" t="s">
        <v>852</v>
      </c>
      <c r="C228" s="4">
        <v>46100</v>
      </c>
      <c r="D228" s="4">
        <v>46116</v>
      </c>
      <c r="E228" s="4">
        <v>46114</v>
      </c>
      <c r="F228" s="63" t="s">
        <v>256</v>
      </c>
      <c r="G228" s="63" t="s">
        <v>3849</v>
      </c>
      <c r="H228" s="63" t="s">
        <v>258</v>
      </c>
      <c r="I228" s="63" t="s">
        <v>92</v>
      </c>
      <c r="J228" s="63" t="s">
        <v>153</v>
      </c>
      <c r="K228" s="63" t="s">
        <v>853</v>
      </c>
      <c r="L228" s="63" t="s">
        <v>155</v>
      </c>
      <c r="M228" s="69">
        <v>481.79</v>
      </c>
      <c r="N228" s="63" t="s">
        <v>65</v>
      </c>
      <c r="O228" s="73">
        <f>_xlfn.XLOOKUP(Supplier_Perf_Table[[#This Row],[Currency]],'Comments 2'!$C$4:$C$16,'Comments 2'!$D$4:$D$16)</f>
        <v>1</v>
      </c>
      <c r="P228" s="69">
        <f>IFERROR(Supplier_Perf_Table[[#This Row],[Unit_Cost]]*Supplier_Perf_Table[[#This Row],[Dollar Equivalent]],"")</f>
        <v>481.79</v>
      </c>
      <c r="Q228" s="75">
        <v>75</v>
      </c>
      <c r="R228" s="1">
        <v>36134.25</v>
      </c>
      <c r="S228" s="75">
        <f>Supplier_Perf_Table[[#This Row],[Unit_Cost]]*Supplier_Perf_Table[[#This Row],[Order_Quantity]]</f>
        <v>36134.25</v>
      </c>
      <c r="T228" s="75">
        <f>IFERROR(Supplier_Perf_Table[[#This Row],[Dollar Equivalent]]*Supplier_Perf_Table[[#This Row],[Ordered_Value]],"")</f>
        <v>36134.25</v>
      </c>
      <c r="U228" s="75">
        <v>0</v>
      </c>
      <c r="V228" s="7">
        <v>0</v>
      </c>
      <c r="W228" s="75">
        <v>14</v>
      </c>
      <c r="X228" s="55">
        <f>IFERROR(Supplier_Perf_Table[[#This Row],[Actual_Delivery_Date]]-Supplier_Perf_Table[[#This Row],[Order Date]],"")</f>
        <v>14</v>
      </c>
      <c r="Y228" s="75">
        <v>16</v>
      </c>
      <c r="Z228" s="56">
        <f>IFERROR(Supplier_Perf_Table[[#This Row],[Expected Delivery_Date]]-Supplier_Perf_Table[[#This Row],[Order Date]],"")</f>
        <v>16</v>
      </c>
      <c r="AA228" s="56">
        <f>Supplier_Perf_Table[[#This Row],[Calculated_Lead_Time2]]-Supplier_Perf_Table[[#This Row],[Calculated_Expected_Lead_Time]]</f>
        <v>-2</v>
      </c>
      <c r="AB228" s="75">
        <v>-2</v>
      </c>
      <c r="AC228" s="63" t="s">
        <v>87</v>
      </c>
      <c r="AD228" s="63" t="s">
        <v>40</v>
      </c>
      <c r="AE228" s="63" t="s">
        <v>41</v>
      </c>
      <c r="AF228" s="63" t="s">
        <v>190</v>
      </c>
      <c r="AG228" s="63" t="s">
        <v>43</v>
      </c>
      <c r="AH228" s="63" t="s">
        <v>129</v>
      </c>
      <c r="AI228" s="63" t="s">
        <v>56</v>
      </c>
      <c r="AJ228" s="63" t="s">
        <v>138</v>
      </c>
      <c r="AK228" s="83">
        <v>3.6</v>
      </c>
      <c r="AL228" s="63" t="s">
        <v>57</v>
      </c>
      <c r="AM228" s="63" t="s">
        <v>138</v>
      </c>
      <c r="AN228"/>
    </row>
    <row r="229" spans="1:40" ht="18" customHeight="1">
      <c r="A229" s="1" t="s">
        <v>854</v>
      </c>
      <c r="B229" s="1" t="s">
        <v>855</v>
      </c>
      <c r="C229" s="4">
        <v>46049</v>
      </c>
      <c r="D229" s="4">
        <v>46068</v>
      </c>
      <c r="E229" s="4">
        <v>46058</v>
      </c>
      <c r="F229" s="63" t="s">
        <v>256</v>
      </c>
      <c r="G229" s="63" t="s">
        <v>3849</v>
      </c>
      <c r="H229" s="63" t="s">
        <v>258</v>
      </c>
      <c r="I229" s="63" t="s">
        <v>120</v>
      </c>
      <c r="J229" s="63" t="s">
        <v>153</v>
      </c>
      <c r="K229" s="63" t="s">
        <v>856</v>
      </c>
      <c r="L229" s="63" t="s">
        <v>155</v>
      </c>
      <c r="M229" s="69">
        <v>591.91999999999996</v>
      </c>
      <c r="N229" s="63" t="s">
        <v>104</v>
      </c>
      <c r="O229" s="73">
        <f>_xlfn.XLOOKUP(Supplier_Perf_Table[[#This Row],[Currency]],'Comments 2'!$C$4:$C$16,'Comments 2'!$D$4:$D$16)</f>
        <v>1.9E-2</v>
      </c>
      <c r="P229" s="69">
        <f>IFERROR(Supplier_Perf_Table[[#This Row],[Unit_Cost]]*Supplier_Perf_Table[[#This Row],[Dollar Equivalent]],"")</f>
        <v>11.246479999999998</v>
      </c>
      <c r="Q229" s="75">
        <v>100</v>
      </c>
      <c r="R229" s="1">
        <v>59192</v>
      </c>
      <c r="S229" s="75">
        <f>Supplier_Perf_Table[[#This Row],[Unit_Cost]]*Supplier_Perf_Table[[#This Row],[Order_Quantity]]</f>
        <v>59191.999999999993</v>
      </c>
      <c r="T229" s="75">
        <f>IFERROR(Supplier_Perf_Table[[#This Row],[Dollar Equivalent]]*Supplier_Perf_Table[[#This Row],[Ordered_Value]],"")</f>
        <v>1124.6479999999999</v>
      </c>
      <c r="U229" s="75">
        <v>8</v>
      </c>
      <c r="V229" s="7">
        <v>0.08</v>
      </c>
      <c r="W229" s="75">
        <v>9</v>
      </c>
      <c r="X229" s="55">
        <f>IFERROR(Supplier_Perf_Table[[#This Row],[Actual_Delivery_Date]]-Supplier_Perf_Table[[#This Row],[Order Date]],"")</f>
        <v>9</v>
      </c>
      <c r="Y229" s="75">
        <v>19</v>
      </c>
      <c r="Z229" s="56">
        <f>IFERROR(Supplier_Perf_Table[[#This Row],[Expected Delivery_Date]]-Supplier_Perf_Table[[#This Row],[Order Date]],"")</f>
        <v>19</v>
      </c>
      <c r="AA229" s="56">
        <f>Supplier_Perf_Table[[#This Row],[Calculated_Lead_Time2]]-Supplier_Perf_Table[[#This Row],[Calculated_Expected_Lead_Time]]</f>
        <v>-10</v>
      </c>
      <c r="AB229" s="75">
        <v>-10</v>
      </c>
      <c r="AC229" s="63" t="s">
        <v>87</v>
      </c>
      <c r="AD229" s="63" t="s">
        <v>74</v>
      </c>
      <c r="AE229" s="63" t="s">
        <v>127</v>
      </c>
      <c r="AF229" s="63" t="s">
        <v>42</v>
      </c>
      <c r="AG229" s="63" t="s">
        <v>128</v>
      </c>
      <c r="AH229" s="63" t="s">
        <v>174</v>
      </c>
      <c r="AI229" s="63" t="s">
        <v>95</v>
      </c>
      <c r="AJ229" s="63" t="s">
        <v>183</v>
      </c>
      <c r="AK229" s="83">
        <v>2.6</v>
      </c>
      <c r="AL229" s="63" t="s">
        <v>115</v>
      </c>
      <c r="AM229" s="63" t="s">
        <v>284</v>
      </c>
      <c r="AN229"/>
    </row>
    <row r="230" spans="1:40" ht="18" customHeight="1">
      <c r="A230" s="1" t="s">
        <v>857</v>
      </c>
      <c r="B230" s="1" t="s">
        <v>858</v>
      </c>
      <c r="C230" s="4">
        <v>46170</v>
      </c>
      <c r="D230" s="4">
        <v>46182</v>
      </c>
      <c r="E230" s="4">
        <v>46192</v>
      </c>
      <c r="F230" s="63" t="s">
        <v>256</v>
      </c>
      <c r="G230" s="63" t="s">
        <v>3849</v>
      </c>
      <c r="H230" s="63" t="s">
        <v>258</v>
      </c>
      <c r="I230" s="63" t="s">
        <v>83</v>
      </c>
      <c r="J230" s="63" t="s">
        <v>153</v>
      </c>
      <c r="K230" s="63" t="s">
        <v>859</v>
      </c>
      <c r="L230" s="63" t="s">
        <v>295</v>
      </c>
      <c r="M230" s="69">
        <v>456.04</v>
      </c>
      <c r="N230" s="63" t="s">
        <v>159</v>
      </c>
      <c r="O230" s="73">
        <f>_xlfn.XLOOKUP(Supplier_Perf_Table[[#This Row],[Currency]],'Comments 2'!$C$4:$C$16,'Comments 2'!$D$4:$D$16)</f>
        <v>7.2999999999999996E-4</v>
      </c>
      <c r="P230" s="69">
        <f>IFERROR(Supplier_Perf_Table[[#This Row],[Unit_Cost]]*Supplier_Perf_Table[[#This Row],[Dollar Equivalent]],"")</f>
        <v>0.33290920000000002</v>
      </c>
      <c r="Q230" s="75">
        <v>200</v>
      </c>
      <c r="R230" s="1">
        <v>91208</v>
      </c>
      <c r="S230" s="75">
        <f>Supplier_Perf_Table[[#This Row],[Unit_Cost]]*Supplier_Perf_Table[[#This Row],[Order_Quantity]]</f>
        <v>91208</v>
      </c>
      <c r="T230" s="75">
        <f>IFERROR(Supplier_Perf_Table[[#This Row],[Dollar Equivalent]]*Supplier_Perf_Table[[#This Row],[Ordered_Value]],"")</f>
        <v>66.58184</v>
      </c>
      <c r="U230" s="75">
        <v>11</v>
      </c>
      <c r="V230" s="7">
        <v>5.5E-2</v>
      </c>
      <c r="W230" s="75">
        <v>22</v>
      </c>
      <c r="X230" s="55">
        <f>IFERROR(Supplier_Perf_Table[[#This Row],[Actual_Delivery_Date]]-Supplier_Perf_Table[[#This Row],[Order Date]],"")</f>
        <v>22</v>
      </c>
      <c r="Y230" s="75">
        <v>12</v>
      </c>
      <c r="Z230" s="56">
        <f>IFERROR(Supplier_Perf_Table[[#This Row],[Expected Delivery_Date]]-Supplier_Perf_Table[[#This Row],[Order Date]],"")</f>
        <v>12</v>
      </c>
      <c r="AA230" s="56">
        <f>Supplier_Perf_Table[[#This Row],[Calculated_Lead_Time2]]-Supplier_Perf_Table[[#This Row],[Calculated_Expected_Lead_Time]]</f>
        <v>10</v>
      </c>
      <c r="AB230" s="75">
        <v>10</v>
      </c>
      <c r="AC230" s="63" t="s">
        <v>135</v>
      </c>
      <c r="AD230" s="63" t="s">
        <v>420</v>
      </c>
      <c r="AE230" s="63" t="s">
        <v>3088</v>
      </c>
      <c r="AF230" s="63" t="s">
        <v>106</v>
      </c>
      <c r="AG230" s="63" t="s">
        <v>107</v>
      </c>
      <c r="AH230" s="63" t="s">
        <v>3112</v>
      </c>
      <c r="AI230" s="63" t="s">
        <v>191</v>
      </c>
      <c r="AJ230" s="63" t="s">
        <v>96</v>
      </c>
      <c r="AK230" s="83">
        <v>1.2</v>
      </c>
      <c r="AL230" s="63" t="s">
        <v>115</v>
      </c>
      <c r="AM230" s="63" t="s">
        <v>185</v>
      </c>
      <c r="AN230"/>
    </row>
    <row r="231" spans="1:40" ht="18" customHeight="1">
      <c r="A231" s="1" t="s">
        <v>860</v>
      </c>
      <c r="B231" s="1" t="s">
        <v>861</v>
      </c>
      <c r="C231" s="4">
        <v>46046</v>
      </c>
      <c r="D231" s="4">
        <v>46054</v>
      </c>
      <c r="E231" s="4">
        <v>46062</v>
      </c>
      <c r="F231" s="63" t="s">
        <v>60</v>
      </c>
      <c r="G231" s="63" t="s">
        <v>3837</v>
      </c>
      <c r="H231" s="63" t="s">
        <v>152</v>
      </c>
      <c r="I231" s="63" t="s">
        <v>70</v>
      </c>
      <c r="J231" s="63" t="s">
        <v>62</v>
      </c>
      <c r="K231" s="63" t="s">
        <v>447</v>
      </c>
      <c r="L231" s="63" t="s">
        <v>122</v>
      </c>
      <c r="M231" s="69">
        <v>100.37</v>
      </c>
      <c r="N231" s="63" t="s">
        <v>86</v>
      </c>
      <c r="O231" s="73">
        <f>_xlfn.XLOOKUP(Supplier_Perf_Table[[#This Row],[Currency]],'Comments 2'!$C$4:$C$16,'Comments 2'!$D$4:$D$16)</f>
        <v>8.8999999999999996E-2</v>
      </c>
      <c r="P231" s="69">
        <f>IFERROR(Supplier_Perf_Table[[#This Row],[Unit_Cost]]*Supplier_Perf_Table[[#This Row],[Dollar Equivalent]],"")</f>
        <v>8.9329300000000007</v>
      </c>
      <c r="Q231" s="75">
        <v>200</v>
      </c>
      <c r="R231" s="1">
        <v>20074</v>
      </c>
      <c r="S231" s="75">
        <f>Supplier_Perf_Table[[#This Row],[Unit_Cost]]*Supplier_Perf_Table[[#This Row],[Order_Quantity]]</f>
        <v>20074</v>
      </c>
      <c r="T231" s="75">
        <f>IFERROR(Supplier_Perf_Table[[#This Row],[Dollar Equivalent]]*Supplier_Perf_Table[[#This Row],[Ordered_Value]],"")</f>
        <v>1786.586</v>
      </c>
      <c r="U231" s="75">
        <v>7</v>
      </c>
      <c r="V231" s="7">
        <v>3.5000000000000003E-2</v>
      </c>
      <c r="W231" s="75">
        <v>16</v>
      </c>
      <c r="X231" s="55">
        <f>IFERROR(Supplier_Perf_Table[[#This Row],[Actual_Delivery_Date]]-Supplier_Perf_Table[[#This Row],[Order Date]],"")</f>
        <v>16</v>
      </c>
      <c r="Y231" s="75">
        <v>8</v>
      </c>
      <c r="Z231" s="56">
        <f>IFERROR(Supplier_Perf_Table[[#This Row],[Expected Delivery_Date]]-Supplier_Perf_Table[[#This Row],[Order Date]],"")</f>
        <v>8</v>
      </c>
      <c r="AA231" s="56">
        <f>Supplier_Perf_Table[[#This Row],[Calculated_Lead_Time2]]-Supplier_Perf_Table[[#This Row],[Calculated_Expected_Lead_Time]]</f>
        <v>8</v>
      </c>
      <c r="AB231" s="75">
        <v>8</v>
      </c>
      <c r="AC231" s="63" t="s">
        <v>135</v>
      </c>
      <c r="AD231" s="63" t="s">
        <v>40</v>
      </c>
      <c r="AE231" s="63" t="s">
        <v>105</v>
      </c>
      <c r="AF231" s="63" t="s">
        <v>190</v>
      </c>
      <c r="AG231" s="63" t="s">
        <v>43</v>
      </c>
      <c r="AH231" s="63" t="s">
        <v>3112</v>
      </c>
      <c r="AI231" s="63" t="s">
        <v>137</v>
      </c>
      <c r="AJ231" s="63" t="s">
        <v>138</v>
      </c>
      <c r="AK231" s="83">
        <v>2.2999999999999998</v>
      </c>
      <c r="AL231" s="63" t="s">
        <v>115</v>
      </c>
      <c r="AM231" s="63" t="s">
        <v>46</v>
      </c>
      <c r="AN231"/>
    </row>
    <row r="232" spans="1:40" ht="18" customHeight="1">
      <c r="A232" s="1" t="s">
        <v>862</v>
      </c>
      <c r="B232" s="1" t="s">
        <v>863</v>
      </c>
      <c r="C232" s="4">
        <v>46091</v>
      </c>
      <c r="D232" s="4">
        <v>46106</v>
      </c>
      <c r="E232" s="4">
        <v>46111</v>
      </c>
      <c r="F232" s="63" t="s">
        <v>235</v>
      </c>
      <c r="G232" s="63" t="s">
        <v>3848</v>
      </c>
      <c r="H232" s="63" t="s">
        <v>479</v>
      </c>
      <c r="I232" s="63" t="s">
        <v>83</v>
      </c>
      <c r="J232" s="63" t="s">
        <v>71</v>
      </c>
      <c r="K232" s="63" t="s">
        <v>864</v>
      </c>
      <c r="L232" s="63" t="s">
        <v>553</v>
      </c>
      <c r="M232" s="69">
        <v>549.07000000000005</v>
      </c>
      <c r="N232" s="63" t="s">
        <v>38</v>
      </c>
      <c r="O232" s="73">
        <f>_xlfn.XLOOKUP(Supplier_Perf_Table[[#This Row],[Currency]],'Comments 2'!$C$4:$C$16,'Comments 2'!$D$4:$D$16)</f>
        <v>7.7000000000000002E-3</v>
      </c>
      <c r="P232" s="69">
        <f>IFERROR(Supplier_Perf_Table[[#This Row],[Unit_Cost]]*Supplier_Perf_Table[[#This Row],[Dollar Equivalent]],"")</f>
        <v>4.2278390000000003</v>
      </c>
      <c r="Q232" s="75">
        <v>75</v>
      </c>
      <c r="R232" s="1">
        <v>41180.25</v>
      </c>
      <c r="S232" s="75">
        <f>Supplier_Perf_Table[[#This Row],[Unit_Cost]]*Supplier_Perf_Table[[#This Row],[Order_Quantity]]</f>
        <v>41180.250000000007</v>
      </c>
      <c r="T232" s="75">
        <f>IFERROR(Supplier_Perf_Table[[#This Row],[Dollar Equivalent]]*Supplier_Perf_Table[[#This Row],[Ordered_Value]],"")</f>
        <v>317.08792499999998</v>
      </c>
      <c r="U232" s="75">
        <v>78</v>
      </c>
      <c r="V232" s="7">
        <v>2.6700000000000002E-2</v>
      </c>
      <c r="W232" s="75">
        <v>20</v>
      </c>
      <c r="X232" s="55">
        <f>IFERROR(Supplier_Perf_Table[[#This Row],[Actual_Delivery_Date]]-Supplier_Perf_Table[[#This Row],[Order Date]],"")</f>
        <v>20</v>
      </c>
      <c r="Y232" s="75">
        <v>15</v>
      </c>
      <c r="Z232" s="56">
        <f>IFERROR(Supplier_Perf_Table[[#This Row],[Expected Delivery_Date]]-Supplier_Perf_Table[[#This Row],[Order Date]],"")</f>
        <v>15</v>
      </c>
      <c r="AA232" s="56">
        <f>Supplier_Perf_Table[[#This Row],[Calculated_Lead_Time2]]-Supplier_Perf_Table[[#This Row],[Calculated_Expected_Lead_Time]]</f>
        <v>5</v>
      </c>
      <c r="AB232" s="75"/>
      <c r="AC232" s="63" t="s">
        <v>205</v>
      </c>
      <c r="AD232" s="63" t="s">
        <v>404</v>
      </c>
      <c r="AE232" s="63" t="s">
        <v>127</v>
      </c>
      <c r="AF232" s="63" t="s">
        <v>212</v>
      </c>
      <c r="AG232" s="63" t="s">
        <v>43</v>
      </c>
      <c r="AH232" s="63" t="s">
        <v>174</v>
      </c>
      <c r="AI232" s="63" t="s">
        <v>137</v>
      </c>
      <c r="AJ232" s="63" t="s">
        <v>138</v>
      </c>
      <c r="AK232" s="83">
        <v>2.5</v>
      </c>
      <c r="AL232" s="63" t="s">
        <v>108</v>
      </c>
      <c r="AM232" s="63" t="s">
        <v>148</v>
      </c>
      <c r="AN232"/>
    </row>
    <row r="233" spans="1:40" ht="18" customHeight="1">
      <c r="A233" s="1" t="s">
        <v>865</v>
      </c>
      <c r="B233" s="1" t="s">
        <v>866</v>
      </c>
      <c r="C233" s="4">
        <v>46198</v>
      </c>
      <c r="D233" s="4">
        <v>46217</v>
      </c>
      <c r="E233" s="4">
        <v>46217</v>
      </c>
      <c r="F233" s="63" t="s">
        <v>142</v>
      </c>
      <c r="G233" s="63" t="s">
        <v>3843</v>
      </c>
      <c r="H233" s="63" t="s">
        <v>169</v>
      </c>
      <c r="I233" s="63" t="s">
        <v>61</v>
      </c>
      <c r="J233" s="63" t="s">
        <v>50</v>
      </c>
      <c r="K233" s="63" t="s">
        <v>868</v>
      </c>
      <c r="L233" s="63" t="s">
        <v>52</v>
      </c>
      <c r="M233" s="69">
        <v>1349.03</v>
      </c>
      <c r="N233" s="63" t="s">
        <v>86</v>
      </c>
      <c r="O233" s="73">
        <f>_xlfn.XLOOKUP(Supplier_Perf_Table[[#This Row],[Currency]],'Comments 2'!$C$4:$C$16,'Comments 2'!$D$4:$D$16)</f>
        <v>8.8999999999999996E-2</v>
      </c>
      <c r="P233" s="69">
        <f>IFERROR(Supplier_Perf_Table[[#This Row],[Unit_Cost]]*Supplier_Perf_Table[[#This Row],[Dollar Equivalent]],"")</f>
        <v>120.06366999999999</v>
      </c>
      <c r="Q233" s="75">
        <v>100</v>
      </c>
      <c r="R233" s="1">
        <v>134903</v>
      </c>
      <c r="S233" s="75">
        <f>Supplier_Perf_Table[[#This Row],[Unit_Cost]]*Supplier_Perf_Table[[#This Row],[Order_Quantity]]</f>
        <v>134903</v>
      </c>
      <c r="T233" s="75">
        <f>IFERROR(Supplier_Perf_Table[[#This Row],[Dollar Equivalent]]*Supplier_Perf_Table[[#This Row],[Ordered_Value]],"")</f>
        <v>12006.367</v>
      </c>
      <c r="U233" s="75">
        <v>0</v>
      </c>
      <c r="V233" s="7">
        <v>0</v>
      </c>
      <c r="W233" s="75">
        <v>19</v>
      </c>
      <c r="X233" s="55">
        <f>IFERROR(Supplier_Perf_Table[[#This Row],[Actual_Delivery_Date]]-Supplier_Perf_Table[[#This Row],[Order Date]],"")</f>
        <v>19</v>
      </c>
      <c r="Y233" s="75">
        <v>19</v>
      </c>
      <c r="Z233" s="56">
        <f>IFERROR(Supplier_Perf_Table[[#This Row],[Expected Delivery_Date]]-Supplier_Perf_Table[[#This Row],[Order Date]],"")</f>
        <v>19</v>
      </c>
      <c r="AA233" s="56">
        <f>Supplier_Perf_Table[[#This Row],[Calculated_Lead_Time2]]-Supplier_Perf_Table[[#This Row],[Calculated_Expected_Lead_Time]]</f>
        <v>0</v>
      </c>
      <c r="AB233" s="75">
        <v>0</v>
      </c>
      <c r="AC233" s="63" t="s">
        <v>87</v>
      </c>
      <c r="AD233" s="63" t="s">
        <v>40</v>
      </c>
      <c r="AE233" s="63" t="s">
        <v>41</v>
      </c>
      <c r="AF233" s="63" t="s">
        <v>212</v>
      </c>
      <c r="AG233" s="63" t="s">
        <v>173</v>
      </c>
      <c r="AH233" s="63" t="s">
        <v>174</v>
      </c>
      <c r="AI233" s="63" t="s">
        <v>137</v>
      </c>
      <c r="AJ233" s="63" t="s">
        <v>138</v>
      </c>
      <c r="AK233" s="83">
        <v>2.9</v>
      </c>
      <c r="AL233" s="63" t="s">
        <v>108</v>
      </c>
      <c r="AM233" s="63" t="s">
        <v>619</v>
      </c>
      <c r="AN233"/>
    </row>
    <row r="234" spans="1:40" ht="18" customHeight="1">
      <c r="A234" s="1" t="s">
        <v>869</v>
      </c>
      <c r="B234" s="1" t="s">
        <v>870</v>
      </c>
      <c r="C234" s="4">
        <v>46106</v>
      </c>
      <c r="D234" s="4">
        <v>46126</v>
      </c>
      <c r="E234" s="4">
        <v>46124</v>
      </c>
      <c r="F234" s="63" t="s">
        <v>32</v>
      </c>
      <c r="G234" s="63" t="s">
        <v>3835</v>
      </c>
      <c r="H234" s="63" t="s">
        <v>177</v>
      </c>
      <c r="I234" s="63" t="s">
        <v>178</v>
      </c>
      <c r="J234" s="63" t="s">
        <v>35</v>
      </c>
      <c r="K234" s="63" t="s">
        <v>871</v>
      </c>
      <c r="L234" s="63" t="s">
        <v>37</v>
      </c>
      <c r="M234" s="69">
        <v>1018.84</v>
      </c>
      <c r="N234" s="63" t="s">
        <v>86</v>
      </c>
      <c r="O234" s="73">
        <f>_xlfn.XLOOKUP(Supplier_Perf_Table[[#This Row],[Currency]],'Comments 2'!$C$4:$C$16,'Comments 2'!$D$4:$D$16)</f>
        <v>8.8999999999999996E-2</v>
      </c>
      <c r="P234" s="69">
        <f>IFERROR(Supplier_Perf_Table[[#This Row],[Unit_Cost]]*Supplier_Perf_Table[[#This Row],[Dollar Equivalent]],"")</f>
        <v>90.676760000000002</v>
      </c>
      <c r="Q234" s="75">
        <v>150</v>
      </c>
      <c r="R234" s="1">
        <v>152826</v>
      </c>
      <c r="S234" s="75">
        <f>Supplier_Perf_Table[[#This Row],[Unit_Cost]]*Supplier_Perf_Table[[#This Row],[Order_Quantity]]</f>
        <v>152826</v>
      </c>
      <c r="T234" s="75">
        <f>IFERROR(Supplier_Perf_Table[[#This Row],[Dollar Equivalent]]*Supplier_Perf_Table[[#This Row],[Ordered_Value]],"")</f>
        <v>13601.513999999999</v>
      </c>
      <c r="U234" s="75">
        <v>0</v>
      </c>
      <c r="V234" s="7">
        <v>0</v>
      </c>
      <c r="W234" s="75">
        <v>18</v>
      </c>
      <c r="X234" s="55">
        <f>IFERROR(Supplier_Perf_Table[[#This Row],[Actual_Delivery_Date]]-Supplier_Perf_Table[[#This Row],[Order Date]],"")</f>
        <v>18</v>
      </c>
      <c r="Y234" s="75">
        <v>20</v>
      </c>
      <c r="Z234" s="56">
        <f>IFERROR(Supplier_Perf_Table[[#This Row],[Expected Delivery_Date]]-Supplier_Perf_Table[[#This Row],[Order Date]],"")</f>
        <v>20</v>
      </c>
      <c r="AA234" s="56">
        <f>Supplier_Perf_Table[[#This Row],[Calculated_Lead_Time2]]-Supplier_Perf_Table[[#This Row],[Calculated_Expected_Lead_Time]]</f>
        <v>-2</v>
      </c>
      <c r="AB234" s="75">
        <v>-2</v>
      </c>
      <c r="AC234" s="63" t="s">
        <v>87</v>
      </c>
      <c r="AD234" s="63" t="s">
        <v>649</v>
      </c>
      <c r="AE234" s="63" t="s">
        <v>105</v>
      </c>
      <c r="AF234" s="63" t="s">
        <v>42</v>
      </c>
      <c r="AG234" s="63" t="s">
        <v>173</v>
      </c>
      <c r="AH234" s="63" t="s">
        <v>136</v>
      </c>
      <c r="AI234" s="63" t="s">
        <v>138</v>
      </c>
      <c r="AJ234" s="63" t="s">
        <v>138</v>
      </c>
      <c r="AK234" s="83">
        <v>4.2</v>
      </c>
      <c r="AL234" s="63" t="s">
        <v>139</v>
      </c>
      <c r="AM234" s="63" t="s">
        <v>138</v>
      </c>
      <c r="AN234"/>
    </row>
    <row r="235" spans="1:40" ht="18" customHeight="1">
      <c r="A235" s="1" t="s">
        <v>872</v>
      </c>
      <c r="B235" s="1" t="s">
        <v>873</v>
      </c>
      <c r="C235" s="4">
        <v>46195</v>
      </c>
      <c r="D235" s="4">
        <v>46206</v>
      </c>
      <c r="E235" s="4">
        <v>46210</v>
      </c>
      <c r="F235" s="63" t="s">
        <v>60</v>
      </c>
      <c r="G235" s="63" t="s">
        <v>3837</v>
      </c>
      <c r="H235" s="63" t="s">
        <v>152</v>
      </c>
      <c r="I235" s="63" t="s">
        <v>49</v>
      </c>
      <c r="J235" s="63" t="s">
        <v>71</v>
      </c>
      <c r="K235" s="63" t="s">
        <v>874</v>
      </c>
      <c r="L235" s="63" t="s">
        <v>553</v>
      </c>
      <c r="M235" s="69">
        <v>128.74</v>
      </c>
      <c r="N235" s="63" t="s">
        <v>159</v>
      </c>
      <c r="O235" s="73">
        <f>_xlfn.XLOOKUP(Supplier_Perf_Table[[#This Row],[Currency]],'Comments 2'!$C$4:$C$16,'Comments 2'!$D$4:$D$16)</f>
        <v>7.2999999999999996E-4</v>
      </c>
      <c r="P235" s="69">
        <f>IFERROR(Supplier_Perf_Table[[#This Row],[Unit_Cost]]*Supplier_Perf_Table[[#This Row],[Dollar Equivalent]],"")</f>
        <v>9.39802E-2</v>
      </c>
      <c r="Q235" s="75">
        <v>50</v>
      </c>
      <c r="R235" s="1">
        <v>6437</v>
      </c>
      <c r="S235" s="75">
        <f>Supplier_Perf_Table[[#This Row],[Unit_Cost]]*Supplier_Perf_Table[[#This Row],[Order_Quantity]]</f>
        <v>6437</v>
      </c>
      <c r="T235" s="75">
        <f>IFERROR(Supplier_Perf_Table[[#This Row],[Dollar Equivalent]]*Supplier_Perf_Table[[#This Row],[Ordered_Value]],"")</f>
        <v>4.6990099999999995</v>
      </c>
      <c r="U235" s="75"/>
      <c r="V235" s="7">
        <v>0</v>
      </c>
      <c r="W235" s="75">
        <v>15</v>
      </c>
      <c r="X235" s="55">
        <f>IFERROR(Supplier_Perf_Table[[#This Row],[Actual_Delivery_Date]]-Supplier_Perf_Table[[#This Row],[Order Date]],"")</f>
        <v>15</v>
      </c>
      <c r="Y235" s="75">
        <v>11</v>
      </c>
      <c r="Z235" s="56">
        <f>IFERROR(Supplier_Perf_Table[[#This Row],[Expected Delivery_Date]]-Supplier_Perf_Table[[#This Row],[Order Date]],"")</f>
        <v>11</v>
      </c>
      <c r="AA235" s="56">
        <f>Supplier_Perf_Table[[#This Row],[Calculated_Lead_Time2]]-Supplier_Perf_Table[[#This Row],[Calculated_Expected_Lead_Time]]</f>
        <v>4</v>
      </c>
      <c r="AB235" s="75">
        <v>4</v>
      </c>
      <c r="AC235" s="63" t="s">
        <v>205</v>
      </c>
      <c r="AD235" s="63" t="s">
        <v>40</v>
      </c>
      <c r="AE235" s="63" t="s">
        <v>3088</v>
      </c>
      <c r="AF235" s="63" t="s">
        <v>42</v>
      </c>
      <c r="AG235" s="63" t="s">
        <v>128</v>
      </c>
      <c r="AH235" s="63" t="s">
        <v>88</v>
      </c>
      <c r="AI235" s="63" t="s">
        <v>56</v>
      </c>
      <c r="AJ235" s="63" t="s">
        <v>138</v>
      </c>
      <c r="AK235" s="83">
        <v>4.5</v>
      </c>
      <c r="AL235" s="63" t="s">
        <v>45</v>
      </c>
      <c r="AM235" s="63" t="s">
        <v>148</v>
      </c>
      <c r="AN235"/>
    </row>
    <row r="236" spans="1:40" ht="18" customHeight="1">
      <c r="A236" s="1" t="s">
        <v>875</v>
      </c>
      <c r="B236" s="1" t="s">
        <v>876</v>
      </c>
      <c r="C236" s="4">
        <v>46122</v>
      </c>
      <c r="D236" s="4">
        <v>46135</v>
      </c>
      <c r="E236" s="4">
        <v>46135</v>
      </c>
      <c r="F236" s="63" t="s">
        <v>80</v>
      </c>
      <c r="G236" s="63" t="s">
        <v>3839</v>
      </c>
      <c r="H236" s="63" t="s">
        <v>82</v>
      </c>
      <c r="I236" s="63" t="s">
        <v>241</v>
      </c>
      <c r="J236" s="63" t="s">
        <v>50</v>
      </c>
      <c r="K236" s="63" t="s">
        <v>877</v>
      </c>
      <c r="L236" s="63" t="s">
        <v>189</v>
      </c>
      <c r="M236" s="69">
        <v>412.52</v>
      </c>
      <c r="N236" s="63" t="s">
        <v>159</v>
      </c>
      <c r="O236" s="73">
        <f>_xlfn.XLOOKUP(Supplier_Perf_Table[[#This Row],[Currency]],'Comments 2'!$C$4:$C$16,'Comments 2'!$D$4:$D$16)</f>
        <v>7.2999999999999996E-4</v>
      </c>
      <c r="P236" s="69">
        <f>IFERROR(Supplier_Perf_Table[[#This Row],[Unit_Cost]]*Supplier_Perf_Table[[#This Row],[Dollar Equivalent]],"")</f>
        <v>0.30113959999999995</v>
      </c>
      <c r="Q236" s="75">
        <v>1500</v>
      </c>
      <c r="R236" s="1">
        <v>618780</v>
      </c>
      <c r="S236" s="75">
        <f>Supplier_Perf_Table[[#This Row],[Unit_Cost]]*Supplier_Perf_Table[[#This Row],[Order_Quantity]]</f>
        <v>618780</v>
      </c>
      <c r="T236" s="75">
        <f>IFERROR(Supplier_Perf_Table[[#This Row],[Dollar Equivalent]]*Supplier_Perf_Table[[#This Row],[Ordered_Value]],"")</f>
        <v>451.70939999999996</v>
      </c>
      <c r="U236" s="75">
        <v>32</v>
      </c>
      <c r="V236" s="7">
        <v>2.1299999999999999E-2</v>
      </c>
      <c r="W236" s="75">
        <v>20</v>
      </c>
      <c r="X236" s="55">
        <f>IFERROR(Supplier_Perf_Table[[#This Row],[Actual_Delivery_Date]]-Supplier_Perf_Table[[#This Row],[Order Date]],"")</f>
        <v>13</v>
      </c>
      <c r="Y236" s="75">
        <v>13</v>
      </c>
      <c r="Z236" s="56">
        <f>IFERROR(Supplier_Perf_Table[[#This Row],[Expected Delivery_Date]]-Supplier_Perf_Table[[#This Row],[Order Date]],"")</f>
        <v>13</v>
      </c>
      <c r="AA236" s="56">
        <f>Supplier_Perf_Table[[#This Row],[Calculated_Lead_Time2]]-Supplier_Perf_Table[[#This Row],[Calculated_Expected_Lead_Time]]</f>
        <v>0</v>
      </c>
      <c r="AB236" s="75"/>
      <c r="AC236" s="63" t="s">
        <v>205</v>
      </c>
      <c r="AD236" s="63" t="s">
        <v>40</v>
      </c>
      <c r="AE236" s="63" t="s">
        <v>146</v>
      </c>
      <c r="AF236" s="63" t="s">
        <v>106</v>
      </c>
      <c r="AG236" s="63" t="s">
        <v>54</v>
      </c>
      <c r="AH236" s="63" t="s">
        <v>136</v>
      </c>
      <c r="AI236" s="63" t="s">
        <v>44</v>
      </c>
      <c r="AJ236" s="63" t="s">
        <v>138</v>
      </c>
      <c r="AK236" s="83">
        <v>1.2</v>
      </c>
      <c r="AL236" s="63" t="s">
        <v>57</v>
      </c>
      <c r="AM236" s="63" t="s">
        <v>148</v>
      </c>
      <c r="AN236"/>
    </row>
    <row r="237" spans="1:40" ht="18" customHeight="1">
      <c r="A237" s="1" t="s">
        <v>878</v>
      </c>
      <c r="B237" s="1" t="s">
        <v>879</v>
      </c>
      <c r="C237" s="4">
        <v>46121</v>
      </c>
      <c r="D237" s="4">
        <v>46129</v>
      </c>
      <c r="E237" s="4">
        <v>46123</v>
      </c>
      <c r="F237" s="63" t="s">
        <v>162</v>
      </c>
      <c r="G237" s="63" t="s">
        <v>3847</v>
      </c>
      <c r="H237" s="63" t="s">
        <v>152</v>
      </c>
      <c r="I237" s="63" t="s">
        <v>49</v>
      </c>
      <c r="J237" s="63" t="s">
        <v>163</v>
      </c>
      <c r="K237" s="63" t="s">
        <v>880</v>
      </c>
      <c r="L237" s="63" t="s">
        <v>253</v>
      </c>
      <c r="M237" s="69">
        <v>2337.6799999999998</v>
      </c>
      <c r="N237" s="63" t="s">
        <v>53</v>
      </c>
      <c r="O237" s="73">
        <f>_xlfn.XLOOKUP(Supplier_Perf_Table[[#This Row],[Currency]],'Comments 2'!$C$4:$C$16,'Comments 2'!$D$4:$D$16)</f>
        <v>6.0999999999999999E-2</v>
      </c>
      <c r="P237" s="69">
        <f>IFERROR(Supplier_Perf_Table[[#This Row],[Unit_Cost]]*Supplier_Perf_Table[[#This Row],[Dollar Equivalent]],"")</f>
        <v>142.59848</v>
      </c>
      <c r="Q237" s="75">
        <v>2000</v>
      </c>
      <c r="R237" s="1">
        <v>4675360</v>
      </c>
      <c r="S237" s="75">
        <f>Supplier_Perf_Table[[#This Row],[Unit_Cost]]*Supplier_Perf_Table[[#This Row],[Order_Quantity]]</f>
        <v>4675360</v>
      </c>
      <c r="T237" s="75">
        <f>IFERROR(Supplier_Perf_Table[[#This Row],[Dollar Equivalent]]*Supplier_Perf_Table[[#This Row],[Ordered_Value]],"")</f>
        <v>285196.96000000002</v>
      </c>
      <c r="U237" s="75">
        <v>48</v>
      </c>
      <c r="V237" s="7">
        <v>2.4E-2</v>
      </c>
      <c r="W237" s="75">
        <v>2</v>
      </c>
      <c r="X237" s="55">
        <f>IFERROR(Supplier_Perf_Table[[#This Row],[Actual_Delivery_Date]]-Supplier_Perf_Table[[#This Row],[Order Date]],"")</f>
        <v>2</v>
      </c>
      <c r="Y237" s="75">
        <v>8</v>
      </c>
      <c r="Z237" s="56">
        <f>IFERROR(Supplier_Perf_Table[[#This Row],[Expected Delivery_Date]]-Supplier_Perf_Table[[#This Row],[Order Date]],"")</f>
        <v>8</v>
      </c>
      <c r="AA237" s="56">
        <f>Supplier_Perf_Table[[#This Row],[Calculated_Lead_Time2]]-Supplier_Perf_Table[[#This Row],[Calculated_Expected_Lead_Time]]</f>
        <v>-6</v>
      </c>
      <c r="AB237" s="75">
        <v>-6</v>
      </c>
      <c r="AC237" s="63" t="s">
        <v>87</v>
      </c>
      <c r="AD237" s="63" t="s">
        <v>40</v>
      </c>
      <c r="AE237" s="63" t="s">
        <v>127</v>
      </c>
      <c r="AF237" s="63" t="s">
        <v>66</v>
      </c>
      <c r="AG237" s="63" t="s">
        <v>3088</v>
      </c>
      <c r="AH237" s="63" t="s">
        <v>129</v>
      </c>
      <c r="AI237" s="63" t="s">
        <v>138</v>
      </c>
      <c r="AJ237" s="63" t="s">
        <v>138</v>
      </c>
      <c r="AK237" s="83">
        <v>2.8</v>
      </c>
      <c r="AL237" s="63" t="s">
        <v>184</v>
      </c>
      <c r="AM237" s="63" t="s">
        <v>130</v>
      </c>
      <c r="AN237"/>
    </row>
    <row r="238" spans="1:40" ht="18" customHeight="1">
      <c r="A238" s="1" t="s">
        <v>881</v>
      </c>
      <c r="B238" s="1" t="s">
        <v>882</v>
      </c>
      <c r="C238" s="4">
        <v>46119</v>
      </c>
      <c r="D238" s="4">
        <v>46140</v>
      </c>
      <c r="E238" s="4">
        <v>46143</v>
      </c>
      <c r="F238" s="63" t="s">
        <v>142</v>
      </c>
      <c r="G238" s="63" t="s">
        <v>3843</v>
      </c>
      <c r="H238" s="63" t="s">
        <v>169</v>
      </c>
      <c r="I238" s="63" t="s">
        <v>49</v>
      </c>
      <c r="J238" s="63" t="s">
        <v>50</v>
      </c>
      <c r="K238" s="63" t="s">
        <v>883</v>
      </c>
      <c r="L238" s="63" t="s">
        <v>126</v>
      </c>
      <c r="M238" s="69">
        <v>1248.3599999999999</v>
      </c>
      <c r="N238" s="63" t="s">
        <v>86</v>
      </c>
      <c r="O238" s="73">
        <f>_xlfn.XLOOKUP(Supplier_Perf_Table[[#This Row],[Currency]],'Comments 2'!$C$4:$C$16,'Comments 2'!$D$4:$D$16)</f>
        <v>8.8999999999999996E-2</v>
      </c>
      <c r="P238" s="69">
        <f>IFERROR(Supplier_Perf_Table[[#This Row],[Unit_Cost]]*Supplier_Perf_Table[[#This Row],[Dollar Equivalent]],"")</f>
        <v>111.10403999999998</v>
      </c>
      <c r="Q238" s="75">
        <v>75</v>
      </c>
      <c r="R238" s="1">
        <v>93627</v>
      </c>
      <c r="S238" s="75">
        <f>Supplier_Perf_Table[[#This Row],[Unit_Cost]]*Supplier_Perf_Table[[#This Row],[Order_Quantity]]</f>
        <v>93626.999999999985</v>
      </c>
      <c r="T238" s="75">
        <f>IFERROR(Supplier_Perf_Table[[#This Row],[Dollar Equivalent]]*Supplier_Perf_Table[[#This Row],[Ordered_Value]],"")</f>
        <v>8332.8029999999999</v>
      </c>
      <c r="U238" s="75">
        <v>0</v>
      </c>
      <c r="V238" s="7">
        <v>0</v>
      </c>
      <c r="W238" s="75">
        <v>24</v>
      </c>
      <c r="X238" s="55">
        <f>IFERROR(Supplier_Perf_Table[[#This Row],[Actual_Delivery_Date]]-Supplier_Perf_Table[[#This Row],[Order Date]],"")</f>
        <v>24</v>
      </c>
      <c r="Y238" s="75">
        <v>21</v>
      </c>
      <c r="Z238" s="56">
        <f>IFERROR(Supplier_Perf_Table[[#This Row],[Expected Delivery_Date]]-Supplier_Perf_Table[[#This Row],[Order Date]],"")</f>
        <v>21</v>
      </c>
      <c r="AA238" s="56">
        <f>Supplier_Perf_Table[[#This Row],[Calculated_Lead_Time2]]-Supplier_Perf_Table[[#This Row],[Calculated_Expected_Lead_Time]]</f>
        <v>3</v>
      </c>
      <c r="AB238" s="75">
        <v>3</v>
      </c>
      <c r="AC238" s="63" t="s">
        <v>135</v>
      </c>
      <c r="AD238" s="63" t="s">
        <v>40</v>
      </c>
      <c r="AE238" s="63" t="s">
        <v>105</v>
      </c>
      <c r="AF238" s="63" t="s">
        <v>106</v>
      </c>
      <c r="AG238" s="63" t="s">
        <v>3088</v>
      </c>
      <c r="AH238" s="63" t="s">
        <v>136</v>
      </c>
      <c r="AI238" s="63" t="s">
        <v>44</v>
      </c>
      <c r="AJ238" s="63" t="s">
        <v>138</v>
      </c>
      <c r="AK238" s="83">
        <v>2.2999999999999998</v>
      </c>
      <c r="AL238" s="63" t="s">
        <v>57</v>
      </c>
      <c r="AM238" s="63" t="s">
        <v>46</v>
      </c>
      <c r="AN238"/>
    </row>
    <row r="239" spans="1:40" ht="18" customHeight="1">
      <c r="A239" s="1" t="s">
        <v>884</v>
      </c>
      <c r="B239" s="1" t="s">
        <v>885</v>
      </c>
      <c r="C239" s="4">
        <v>46060</v>
      </c>
      <c r="D239" s="4">
        <v>46073</v>
      </c>
      <c r="E239" s="4">
        <v>46065</v>
      </c>
      <c r="F239" s="63" t="s">
        <v>80</v>
      </c>
      <c r="G239" s="63" t="s">
        <v>3839</v>
      </c>
      <c r="H239" s="63" t="s">
        <v>82</v>
      </c>
      <c r="I239" s="63" t="s">
        <v>61</v>
      </c>
      <c r="J239" s="63" t="s">
        <v>35</v>
      </c>
      <c r="K239" s="63" t="s">
        <v>886</v>
      </c>
      <c r="L239" s="63" t="s">
        <v>85</v>
      </c>
      <c r="M239" s="69">
        <v>155.13</v>
      </c>
      <c r="N239" s="63" t="s">
        <v>104</v>
      </c>
      <c r="O239" s="73">
        <f>_xlfn.XLOOKUP(Supplier_Perf_Table[[#This Row],[Currency]],'Comments 2'!$C$4:$C$16,'Comments 2'!$D$4:$D$16)</f>
        <v>1.9E-2</v>
      </c>
      <c r="P239" s="69">
        <f>IFERROR(Supplier_Perf_Table[[#This Row],[Unit_Cost]]*Supplier_Perf_Table[[#This Row],[Dollar Equivalent]],"")</f>
        <v>2.94747</v>
      </c>
      <c r="Q239" s="75">
        <v>75</v>
      </c>
      <c r="R239" s="1">
        <v>11634.75</v>
      </c>
      <c r="S239" s="75">
        <f>Supplier_Perf_Table[[#This Row],[Unit_Cost]]*Supplier_Perf_Table[[#This Row],[Order_Quantity]]</f>
        <v>11634.75</v>
      </c>
      <c r="T239" s="75">
        <f>IFERROR(Supplier_Perf_Table[[#This Row],[Dollar Equivalent]]*Supplier_Perf_Table[[#This Row],[Ordered_Value]],"")</f>
        <v>221.06025</v>
      </c>
      <c r="U239" s="75">
        <v>0</v>
      </c>
      <c r="V239" s="7">
        <v>0</v>
      </c>
      <c r="W239" s="75">
        <v>5</v>
      </c>
      <c r="X239" s="55">
        <f>IFERROR(Supplier_Perf_Table[[#This Row],[Actual_Delivery_Date]]-Supplier_Perf_Table[[#This Row],[Order Date]],"")</f>
        <v>5</v>
      </c>
      <c r="Y239" s="75">
        <v>13</v>
      </c>
      <c r="Z239" s="56">
        <f>IFERROR(Supplier_Perf_Table[[#This Row],[Expected Delivery_Date]]-Supplier_Perf_Table[[#This Row],[Order Date]],"")</f>
        <v>13</v>
      </c>
      <c r="AA239" s="56">
        <f>Supplier_Perf_Table[[#This Row],[Calculated_Lead_Time2]]-Supplier_Perf_Table[[#This Row],[Calculated_Expected_Lead_Time]]</f>
        <v>-8</v>
      </c>
      <c r="AB239" s="75">
        <v>-8</v>
      </c>
      <c r="AC239" s="63" t="s">
        <v>87</v>
      </c>
      <c r="AD239" s="63" t="s">
        <v>404</v>
      </c>
      <c r="AE239" s="63" t="s">
        <v>3088</v>
      </c>
      <c r="AF239" s="63" t="s">
        <v>66</v>
      </c>
      <c r="AG239" s="63" t="s">
        <v>107</v>
      </c>
      <c r="AH239" s="63" t="s">
        <v>3112</v>
      </c>
      <c r="AI239" s="63" t="s">
        <v>95</v>
      </c>
      <c r="AJ239" s="63" t="s">
        <v>138</v>
      </c>
      <c r="AK239" s="83">
        <v>2.4</v>
      </c>
      <c r="AL239" s="63" t="s">
        <v>139</v>
      </c>
      <c r="AM239" s="63" t="s">
        <v>130</v>
      </c>
      <c r="AN239"/>
    </row>
    <row r="240" spans="1:40" ht="18" customHeight="1">
      <c r="A240" s="1" t="s">
        <v>325</v>
      </c>
      <c r="B240" s="1" t="s">
        <v>887</v>
      </c>
      <c r="C240" s="4">
        <v>46050</v>
      </c>
      <c r="D240" s="4">
        <v>46060</v>
      </c>
      <c r="E240" s="4">
        <v>46072</v>
      </c>
      <c r="F240" s="63" t="s">
        <v>69</v>
      </c>
      <c r="G240" s="63" t="s">
        <v>3838</v>
      </c>
      <c r="H240" s="63" t="s">
        <v>194</v>
      </c>
      <c r="I240" s="63" t="s">
        <v>49</v>
      </c>
      <c r="J240" s="63" t="s">
        <v>112</v>
      </c>
      <c r="K240" s="63" t="s">
        <v>888</v>
      </c>
      <c r="L240" s="63" t="s">
        <v>218</v>
      </c>
      <c r="M240" s="69">
        <v>296.38</v>
      </c>
      <c r="N240" s="63" t="s">
        <v>86</v>
      </c>
      <c r="O240" s="73">
        <f>_xlfn.XLOOKUP(Supplier_Perf_Table[[#This Row],[Currency]],'Comments 2'!$C$4:$C$16,'Comments 2'!$D$4:$D$16)</f>
        <v>8.8999999999999996E-2</v>
      </c>
      <c r="P240" s="69">
        <f>IFERROR(Supplier_Perf_Table[[#This Row],[Unit_Cost]]*Supplier_Perf_Table[[#This Row],[Dollar Equivalent]],"")</f>
        <v>26.37782</v>
      </c>
      <c r="Q240" s="75">
        <v>250</v>
      </c>
      <c r="R240" s="1">
        <v>74095</v>
      </c>
      <c r="S240" s="75">
        <f>Supplier_Perf_Table[[#This Row],[Unit_Cost]]*Supplier_Perf_Table[[#This Row],[Order_Quantity]]</f>
        <v>74095</v>
      </c>
      <c r="T240" s="75">
        <f>IFERROR(Supplier_Perf_Table[[#This Row],[Dollar Equivalent]]*Supplier_Perf_Table[[#This Row],[Ordered_Value]],"")</f>
        <v>6594.4549999999999</v>
      </c>
      <c r="U240" s="75">
        <v>7</v>
      </c>
      <c r="V240" s="7">
        <v>2.8000000000000001E-2</v>
      </c>
      <c r="W240" s="75">
        <v>22</v>
      </c>
      <c r="X240" s="55">
        <f>IFERROR(Supplier_Perf_Table[[#This Row],[Actual_Delivery_Date]]-Supplier_Perf_Table[[#This Row],[Order Date]],"")</f>
        <v>22</v>
      </c>
      <c r="Y240" s="75">
        <v>10</v>
      </c>
      <c r="Z240" s="56">
        <f>IFERROR(Supplier_Perf_Table[[#This Row],[Expected Delivery_Date]]-Supplier_Perf_Table[[#This Row],[Order Date]],"")</f>
        <v>10</v>
      </c>
      <c r="AA240" s="56">
        <f>Supplier_Perf_Table[[#This Row],[Calculated_Lead_Time2]]-Supplier_Perf_Table[[#This Row],[Calculated_Expected_Lead_Time]]</f>
        <v>12</v>
      </c>
      <c r="AB240" s="75">
        <v>12</v>
      </c>
      <c r="AC240" s="63" t="s">
        <v>135</v>
      </c>
      <c r="AD240" s="63" t="s">
        <v>40</v>
      </c>
      <c r="AE240" s="63" t="s">
        <v>105</v>
      </c>
      <c r="AF240" s="63" t="s">
        <v>42</v>
      </c>
      <c r="AG240" s="63" t="s">
        <v>107</v>
      </c>
      <c r="AH240" s="63" t="s">
        <v>129</v>
      </c>
      <c r="AI240" s="63" t="s">
        <v>56</v>
      </c>
      <c r="AJ240" s="63" t="s">
        <v>138</v>
      </c>
      <c r="AK240" s="83">
        <v>2.2999999999999998</v>
      </c>
      <c r="AL240" s="63" t="s">
        <v>115</v>
      </c>
      <c r="AM240" s="63" t="s">
        <v>46</v>
      </c>
      <c r="AN240"/>
    </row>
    <row r="241" spans="1:40" ht="18" customHeight="1">
      <c r="A241" s="1" t="s">
        <v>889</v>
      </c>
      <c r="B241" s="1" t="s">
        <v>890</v>
      </c>
      <c r="C241" s="4">
        <v>46157</v>
      </c>
      <c r="D241" s="4">
        <v>46174</v>
      </c>
      <c r="E241" s="4">
        <v>46168</v>
      </c>
      <c r="F241" s="63" t="s">
        <v>100</v>
      </c>
      <c r="G241" s="63" t="s">
        <v>3841</v>
      </c>
      <c r="H241" s="63" t="s">
        <v>102</v>
      </c>
      <c r="I241" s="63" t="s">
        <v>34</v>
      </c>
      <c r="J241" s="63" t="s">
        <v>50</v>
      </c>
      <c r="K241" s="63" t="s">
        <v>891</v>
      </c>
      <c r="L241" s="63" t="s">
        <v>189</v>
      </c>
      <c r="M241" s="69" t="s">
        <v>3080</v>
      </c>
      <c r="N241" s="63" t="s">
        <v>38</v>
      </c>
      <c r="O241" s="73">
        <f>_xlfn.XLOOKUP(Supplier_Perf_Table[[#This Row],[Currency]],'Comments 2'!$C$4:$C$16,'Comments 2'!$D$4:$D$16)</f>
        <v>7.7000000000000002E-3</v>
      </c>
      <c r="P241" s="69" t="str">
        <f>IFERROR(Supplier_Perf_Table[[#This Row],[Unit_Cost]]*Supplier_Perf_Table[[#This Row],[Dollar Equivalent]],"")</f>
        <v/>
      </c>
      <c r="Q241" s="75">
        <v>150</v>
      </c>
      <c r="R241" s="1">
        <v>653884.5</v>
      </c>
      <c r="S241" s="75" t="e">
        <f>Supplier_Perf_Table[[#This Row],[Unit_Cost]]*Supplier_Perf_Table[[#This Row],[Order_Quantity]]</f>
        <v>#VALUE!</v>
      </c>
      <c r="T241" s="75">
        <f>IFERROR(Supplier_Perf_Table[[#This Row],[Dollar Equivalent]]*Supplier_Perf_Table[[#This Row],[Ordered_Value]],"")</f>
        <v>5034.9106499999998</v>
      </c>
      <c r="U241" s="75">
        <v>4</v>
      </c>
      <c r="V241" s="7">
        <v>2.6700000000000002E-2</v>
      </c>
      <c r="W241" s="75">
        <v>11</v>
      </c>
      <c r="X241" s="55">
        <f>IFERROR(Supplier_Perf_Table[[#This Row],[Actual_Delivery_Date]]-Supplier_Perf_Table[[#This Row],[Order Date]],"")</f>
        <v>11</v>
      </c>
      <c r="Y241" s="75">
        <v>17</v>
      </c>
      <c r="Z241" s="56">
        <f>IFERROR(Supplier_Perf_Table[[#This Row],[Expected Delivery_Date]]-Supplier_Perf_Table[[#This Row],[Order Date]],"")</f>
        <v>17</v>
      </c>
      <c r="AA241" s="56">
        <f>Supplier_Perf_Table[[#This Row],[Calculated_Lead_Time2]]-Supplier_Perf_Table[[#This Row],[Calculated_Expected_Lead_Time]]</f>
        <v>-6</v>
      </c>
      <c r="AB241" s="75">
        <v>-6</v>
      </c>
      <c r="AC241" s="63" t="s">
        <v>87</v>
      </c>
      <c r="AD241" s="63" t="s">
        <v>40</v>
      </c>
      <c r="AE241" s="63" t="s">
        <v>146</v>
      </c>
      <c r="AF241" s="63" t="s">
        <v>3088</v>
      </c>
      <c r="AG241" s="63" t="s">
        <v>107</v>
      </c>
      <c r="AH241" s="63" t="s">
        <v>206</v>
      </c>
      <c r="AI241" s="63" t="s">
        <v>137</v>
      </c>
      <c r="AJ241" s="63" t="s">
        <v>138</v>
      </c>
      <c r="AK241" s="83">
        <v>3.1</v>
      </c>
      <c r="AL241" s="63" t="s">
        <v>76</v>
      </c>
      <c r="AM241" s="63" t="s">
        <v>130</v>
      </c>
      <c r="AN241"/>
    </row>
    <row r="242" spans="1:40" ht="18" customHeight="1">
      <c r="A242" s="1" t="s">
        <v>892</v>
      </c>
      <c r="B242" s="1" t="s">
        <v>893</v>
      </c>
      <c r="C242" s="4">
        <v>46052</v>
      </c>
      <c r="D242" s="4">
        <v>46076</v>
      </c>
      <c r="E242" s="4">
        <v>46073</v>
      </c>
      <c r="F242" s="63" t="s">
        <v>235</v>
      </c>
      <c r="G242" s="63" t="s">
        <v>3848</v>
      </c>
      <c r="H242" s="63" t="s">
        <v>479</v>
      </c>
      <c r="I242" s="63" t="s">
        <v>92</v>
      </c>
      <c r="J242" s="63" t="s">
        <v>153</v>
      </c>
      <c r="K242" s="63" t="s">
        <v>894</v>
      </c>
      <c r="L242" s="63" t="s">
        <v>295</v>
      </c>
      <c r="M242" s="69">
        <v>28.79</v>
      </c>
      <c r="N242" s="63" t="s">
        <v>38</v>
      </c>
      <c r="O242" s="73">
        <f>_xlfn.XLOOKUP(Supplier_Perf_Table[[#This Row],[Currency]],'Comments 2'!$C$4:$C$16,'Comments 2'!$D$4:$D$16)</f>
        <v>7.7000000000000002E-3</v>
      </c>
      <c r="P242" s="69">
        <f>IFERROR(Supplier_Perf_Table[[#This Row],[Unit_Cost]]*Supplier_Perf_Table[[#This Row],[Dollar Equivalent]],"")</f>
        <v>0.22168299999999999</v>
      </c>
      <c r="Q242" s="75">
        <v>750</v>
      </c>
      <c r="R242" s="1">
        <v>21592.5</v>
      </c>
      <c r="S242" s="75">
        <f>Supplier_Perf_Table[[#This Row],[Unit_Cost]]*Supplier_Perf_Table[[#This Row],[Order_Quantity]]</f>
        <v>21592.5</v>
      </c>
      <c r="T242" s="75">
        <f>IFERROR(Supplier_Perf_Table[[#This Row],[Dollar Equivalent]]*Supplier_Perf_Table[[#This Row],[Ordered_Value]],"")</f>
        <v>166.26224999999999</v>
      </c>
      <c r="U242" s="75">
        <v>52</v>
      </c>
      <c r="V242" s="7">
        <v>6.93E-2</v>
      </c>
      <c r="W242" s="75">
        <v>21</v>
      </c>
      <c r="X242" s="55">
        <f>IFERROR(Supplier_Perf_Table[[#This Row],[Actual_Delivery_Date]]-Supplier_Perf_Table[[#This Row],[Order Date]],"")</f>
        <v>21</v>
      </c>
      <c r="Y242" s="75">
        <v>24</v>
      </c>
      <c r="Z242" s="56">
        <f>IFERROR(Supplier_Perf_Table[[#This Row],[Expected Delivery_Date]]-Supplier_Perf_Table[[#This Row],[Order Date]],"")</f>
        <v>24</v>
      </c>
      <c r="AA242" s="56">
        <f>Supplier_Perf_Table[[#This Row],[Calculated_Lead_Time2]]-Supplier_Perf_Table[[#This Row],[Calculated_Expected_Lead_Time]]</f>
        <v>-3</v>
      </c>
      <c r="AB242" s="75">
        <v>-3</v>
      </c>
      <c r="AC242" s="63" t="s">
        <v>87</v>
      </c>
      <c r="AD242" s="63" t="s">
        <v>74</v>
      </c>
      <c r="AE242" s="63" t="s">
        <v>146</v>
      </c>
      <c r="AF242" s="63" t="s">
        <v>190</v>
      </c>
      <c r="AG242" s="63" t="s">
        <v>173</v>
      </c>
      <c r="AH242" s="63" t="s">
        <v>55</v>
      </c>
      <c r="AI242" s="63" t="s">
        <v>95</v>
      </c>
      <c r="AJ242" s="63" t="s">
        <v>75</v>
      </c>
      <c r="AK242" s="83">
        <v>3.1</v>
      </c>
      <c r="AL242" s="63" t="s">
        <v>45</v>
      </c>
      <c r="AM242" s="63" t="s">
        <v>284</v>
      </c>
      <c r="AN242"/>
    </row>
    <row r="243" spans="1:40" ht="18" customHeight="1">
      <c r="A243" s="1" t="s">
        <v>895</v>
      </c>
      <c r="B243" s="1" t="s">
        <v>896</v>
      </c>
      <c r="C243" s="4">
        <v>46099</v>
      </c>
      <c r="D243" s="4">
        <v>46119</v>
      </c>
      <c r="E243" s="4">
        <v>46103</v>
      </c>
      <c r="F243" s="63" t="s">
        <v>142</v>
      </c>
      <c r="G243" s="63" t="s">
        <v>3843</v>
      </c>
      <c r="H243" s="63" t="s">
        <v>169</v>
      </c>
      <c r="I243" s="63" t="s">
        <v>83</v>
      </c>
      <c r="J243" s="63" t="s">
        <v>50</v>
      </c>
      <c r="K243" s="63" t="s">
        <v>897</v>
      </c>
      <c r="L243" s="63" t="s">
        <v>189</v>
      </c>
      <c r="M243" s="69">
        <v>1447.49</v>
      </c>
      <c r="N243" s="63" t="s">
        <v>3114</v>
      </c>
      <c r="O243" s="73">
        <f>_xlfn.XLOOKUP(Supplier_Perf_Table[[#This Row],[Currency]],'Comments 2'!$C$4:$C$16,'Comments 2'!$D$4:$D$16)</f>
        <v>0.11</v>
      </c>
      <c r="P243" s="69">
        <f>IFERROR(Supplier_Perf_Table[[#This Row],[Unit_Cost]]*Supplier_Perf_Table[[#This Row],[Dollar Equivalent]],"")</f>
        <v>159.22390000000001</v>
      </c>
      <c r="Q243" s="75">
        <v>100</v>
      </c>
      <c r="R243" s="1">
        <v>144749</v>
      </c>
      <c r="S243" s="75">
        <f>Supplier_Perf_Table[[#This Row],[Unit_Cost]]*Supplier_Perf_Table[[#This Row],[Order_Quantity]]</f>
        <v>144749</v>
      </c>
      <c r="T243" s="75">
        <f>IFERROR(Supplier_Perf_Table[[#This Row],[Dollar Equivalent]]*Supplier_Perf_Table[[#This Row],[Ordered_Value]],"")</f>
        <v>15922.39</v>
      </c>
      <c r="U243" s="75"/>
      <c r="V243" s="7">
        <v>0.01</v>
      </c>
      <c r="W243" s="75">
        <v>4</v>
      </c>
      <c r="X243" s="55">
        <f>IFERROR(Supplier_Perf_Table[[#This Row],[Actual_Delivery_Date]]-Supplier_Perf_Table[[#This Row],[Order Date]],"")</f>
        <v>4</v>
      </c>
      <c r="Y243" s="75">
        <v>20</v>
      </c>
      <c r="Z243" s="56">
        <f>IFERROR(Supplier_Perf_Table[[#This Row],[Expected Delivery_Date]]-Supplier_Perf_Table[[#This Row],[Order Date]],"")</f>
        <v>20</v>
      </c>
      <c r="AA243" s="56">
        <f>Supplier_Perf_Table[[#This Row],[Calculated_Lead_Time2]]-Supplier_Perf_Table[[#This Row],[Calculated_Expected_Lead_Time]]</f>
        <v>-16</v>
      </c>
      <c r="AB243" s="75">
        <v>-16</v>
      </c>
      <c r="AC243" s="63" t="s">
        <v>270</v>
      </c>
      <c r="AD243" s="63" t="s">
        <v>40</v>
      </c>
      <c r="AE243" s="63" t="s">
        <v>105</v>
      </c>
      <c r="AF243" s="63" t="s">
        <v>212</v>
      </c>
      <c r="AG243" s="63" t="s">
        <v>43</v>
      </c>
      <c r="AH243" s="63" t="s">
        <v>129</v>
      </c>
      <c r="AI243" s="63" t="s">
        <v>137</v>
      </c>
      <c r="AJ243" s="63" t="s">
        <v>138</v>
      </c>
      <c r="AK243" s="83">
        <v>4</v>
      </c>
      <c r="AL243" s="63" t="s">
        <v>108</v>
      </c>
      <c r="AM243" s="63" t="s">
        <v>138</v>
      </c>
      <c r="AN243"/>
    </row>
    <row r="244" spans="1:40" ht="18" customHeight="1">
      <c r="A244" s="1" t="s">
        <v>898</v>
      </c>
      <c r="B244" s="1" t="s">
        <v>899</v>
      </c>
      <c r="C244" s="4">
        <v>46163</v>
      </c>
      <c r="D244" s="4">
        <v>46176</v>
      </c>
      <c r="E244" s="4">
        <v>46181</v>
      </c>
      <c r="F244" s="63" t="s">
        <v>69</v>
      </c>
      <c r="G244" s="63" t="s">
        <v>3838</v>
      </c>
      <c r="H244" s="63" t="s">
        <v>194</v>
      </c>
      <c r="I244" s="63" t="s">
        <v>70</v>
      </c>
      <c r="J244" s="63" t="s">
        <v>112</v>
      </c>
      <c r="K244" s="63" t="s">
        <v>900</v>
      </c>
      <c r="L244" s="63" t="s">
        <v>218</v>
      </c>
      <c r="M244" s="69">
        <v>695.68</v>
      </c>
      <c r="N244" s="63" t="s">
        <v>38</v>
      </c>
      <c r="O244" s="73">
        <f>_xlfn.XLOOKUP(Supplier_Perf_Table[[#This Row],[Currency]],'Comments 2'!$C$4:$C$16,'Comments 2'!$D$4:$D$16)</f>
        <v>7.7000000000000002E-3</v>
      </c>
      <c r="P244" s="69">
        <f>IFERROR(Supplier_Perf_Table[[#This Row],[Unit_Cost]]*Supplier_Perf_Table[[#This Row],[Dollar Equivalent]],"")</f>
        <v>5.3567359999999997</v>
      </c>
      <c r="Q244" s="75">
        <v>150</v>
      </c>
      <c r="R244" s="1">
        <v>104352</v>
      </c>
      <c r="S244" s="75">
        <f>Supplier_Perf_Table[[#This Row],[Unit_Cost]]*Supplier_Perf_Table[[#This Row],[Order_Quantity]]</f>
        <v>104351.99999999999</v>
      </c>
      <c r="T244" s="75">
        <f>IFERROR(Supplier_Perf_Table[[#This Row],[Dollar Equivalent]]*Supplier_Perf_Table[[#This Row],[Ordered_Value]],"")</f>
        <v>803.5104</v>
      </c>
      <c r="U244" s="75">
        <v>0</v>
      </c>
      <c r="V244" s="7">
        <v>0</v>
      </c>
      <c r="W244" s="75">
        <v>18</v>
      </c>
      <c r="X244" s="55">
        <f>IFERROR(Supplier_Perf_Table[[#This Row],[Actual_Delivery_Date]]-Supplier_Perf_Table[[#This Row],[Order Date]],"")</f>
        <v>18</v>
      </c>
      <c r="Y244" s="75">
        <v>13</v>
      </c>
      <c r="Z244" s="56">
        <f>IFERROR(Supplier_Perf_Table[[#This Row],[Expected Delivery_Date]]-Supplier_Perf_Table[[#This Row],[Order Date]],"")</f>
        <v>13</v>
      </c>
      <c r="AA244" s="56">
        <f>Supplier_Perf_Table[[#This Row],[Calculated_Lead_Time2]]-Supplier_Perf_Table[[#This Row],[Calculated_Expected_Lead_Time]]</f>
        <v>5</v>
      </c>
      <c r="AB244" s="75">
        <v>5</v>
      </c>
      <c r="AC244" s="63" t="s">
        <v>135</v>
      </c>
      <c r="AD244" s="63" t="s">
        <v>40</v>
      </c>
      <c r="AE244" s="63" t="s">
        <v>105</v>
      </c>
      <c r="AF244" s="63" t="s">
        <v>3088</v>
      </c>
      <c r="AG244" s="63" t="s">
        <v>43</v>
      </c>
      <c r="AH244" s="63" t="s">
        <v>3112</v>
      </c>
      <c r="AI244" s="63" t="s">
        <v>44</v>
      </c>
      <c r="AJ244" s="63" t="s">
        <v>138</v>
      </c>
      <c r="AK244" s="83">
        <v>3.4</v>
      </c>
      <c r="AL244" s="63" t="s">
        <v>45</v>
      </c>
      <c r="AM244" s="63" t="s">
        <v>386</v>
      </c>
      <c r="AN244"/>
    </row>
    <row r="245" spans="1:40" ht="18" customHeight="1">
      <c r="A245" s="1" t="s">
        <v>901</v>
      </c>
      <c r="B245" s="1" t="s">
        <v>902</v>
      </c>
      <c r="C245" s="4">
        <v>46042</v>
      </c>
      <c r="D245" s="4">
        <v>46055</v>
      </c>
      <c r="E245" s="4">
        <v>46045</v>
      </c>
      <c r="F245" s="63" t="s">
        <v>209</v>
      </c>
      <c r="G245" s="63" t="s">
        <v>3845</v>
      </c>
      <c r="H245" s="63" t="s">
        <v>316</v>
      </c>
      <c r="I245" s="63" t="s">
        <v>241</v>
      </c>
      <c r="J245" s="63" t="s">
        <v>153</v>
      </c>
      <c r="K245" s="63" t="s">
        <v>903</v>
      </c>
      <c r="L245" s="63" t="s">
        <v>295</v>
      </c>
      <c r="M245" s="69">
        <v>645.74</v>
      </c>
      <c r="N245" s="63" t="s">
        <v>159</v>
      </c>
      <c r="O245" s="73">
        <f>_xlfn.XLOOKUP(Supplier_Perf_Table[[#This Row],[Currency]],'Comments 2'!$C$4:$C$16,'Comments 2'!$D$4:$D$16)</f>
        <v>7.2999999999999996E-4</v>
      </c>
      <c r="P245" s="69">
        <f>IFERROR(Supplier_Perf_Table[[#This Row],[Unit_Cost]]*Supplier_Perf_Table[[#This Row],[Dollar Equivalent]],"")</f>
        <v>0.47139019999999998</v>
      </c>
      <c r="Q245" s="75">
        <v>750</v>
      </c>
      <c r="R245" s="1">
        <v>484305</v>
      </c>
      <c r="S245" s="75">
        <f>Supplier_Perf_Table[[#This Row],[Unit_Cost]]*Supplier_Perf_Table[[#This Row],[Order_Quantity]]</f>
        <v>484305</v>
      </c>
      <c r="T245" s="75">
        <f>IFERROR(Supplier_Perf_Table[[#This Row],[Dollar Equivalent]]*Supplier_Perf_Table[[#This Row],[Ordered_Value]],"")</f>
        <v>353.54264999999998</v>
      </c>
      <c r="U245" s="75">
        <v>0</v>
      </c>
      <c r="V245" s="7">
        <v>0</v>
      </c>
      <c r="W245" s="75">
        <v>3</v>
      </c>
      <c r="X245" s="55">
        <f>IFERROR(Supplier_Perf_Table[[#This Row],[Actual_Delivery_Date]]-Supplier_Perf_Table[[#This Row],[Order Date]],"")</f>
        <v>3</v>
      </c>
      <c r="Y245" s="75">
        <v>13</v>
      </c>
      <c r="Z245" s="56">
        <f>IFERROR(Supplier_Perf_Table[[#This Row],[Expected Delivery_Date]]-Supplier_Perf_Table[[#This Row],[Order Date]],"")</f>
        <v>13</v>
      </c>
      <c r="AA245" s="56">
        <f>Supplier_Perf_Table[[#This Row],[Calculated_Lead_Time2]]-Supplier_Perf_Table[[#This Row],[Calculated_Expected_Lead_Time]]</f>
        <v>-10</v>
      </c>
      <c r="AB245" s="75">
        <v>-10</v>
      </c>
      <c r="AC245" s="63" t="s">
        <v>270</v>
      </c>
      <c r="AD245" s="63" t="s">
        <v>40</v>
      </c>
      <c r="AE245" s="63" t="s">
        <v>105</v>
      </c>
      <c r="AF245" s="63" t="s">
        <v>42</v>
      </c>
      <c r="AG245" s="63" t="s">
        <v>54</v>
      </c>
      <c r="AH245" s="63" t="s">
        <v>174</v>
      </c>
      <c r="AI245" s="63" t="s">
        <v>56</v>
      </c>
      <c r="AJ245" s="63" t="s">
        <v>138</v>
      </c>
      <c r="AK245" s="83">
        <v>3.2</v>
      </c>
      <c r="AL245" s="63" t="s">
        <v>115</v>
      </c>
      <c r="AM245" s="63" t="s">
        <v>138</v>
      </c>
      <c r="AN245"/>
    </row>
    <row r="246" spans="1:40" ht="18" customHeight="1">
      <c r="A246" s="1" t="s">
        <v>904</v>
      </c>
      <c r="B246" s="1" t="s">
        <v>905</v>
      </c>
      <c r="C246" s="4">
        <v>46103</v>
      </c>
      <c r="D246" s="4">
        <v>46117</v>
      </c>
      <c r="E246" s="4">
        <v>46128</v>
      </c>
      <c r="F246" s="63" t="s">
        <v>100</v>
      </c>
      <c r="G246" s="63" t="s">
        <v>3841</v>
      </c>
      <c r="H246" s="63" t="s">
        <v>102</v>
      </c>
      <c r="I246" s="63" t="s">
        <v>70</v>
      </c>
      <c r="J246" s="63" t="s">
        <v>50</v>
      </c>
      <c r="K246" s="63" t="s">
        <v>906</v>
      </c>
      <c r="L246" s="63" t="s">
        <v>126</v>
      </c>
      <c r="M246" s="69">
        <v>1902.59</v>
      </c>
      <c r="N246" s="63" t="s">
        <v>159</v>
      </c>
      <c r="O246" s="73">
        <f>_xlfn.XLOOKUP(Supplier_Perf_Table[[#This Row],[Currency]],'Comments 2'!$C$4:$C$16,'Comments 2'!$D$4:$D$16)</f>
        <v>7.2999999999999996E-4</v>
      </c>
      <c r="P246" s="69">
        <f>IFERROR(Supplier_Perf_Table[[#This Row],[Unit_Cost]]*Supplier_Perf_Table[[#This Row],[Dollar Equivalent]],"")</f>
        <v>1.3888906999999999</v>
      </c>
      <c r="Q246" s="75">
        <v>300</v>
      </c>
      <c r="R246" s="1">
        <v>570777</v>
      </c>
      <c r="S246" s="75">
        <f>Supplier_Perf_Table[[#This Row],[Unit_Cost]]*Supplier_Perf_Table[[#This Row],[Order_Quantity]]</f>
        <v>570777</v>
      </c>
      <c r="T246" s="75">
        <f>IFERROR(Supplier_Perf_Table[[#This Row],[Dollar Equivalent]]*Supplier_Perf_Table[[#This Row],[Ordered_Value]],"")</f>
        <v>416.66720999999995</v>
      </c>
      <c r="U246" s="75">
        <v>6</v>
      </c>
      <c r="V246" s="7">
        <v>0.02</v>
      </c>
      <c r="W246" s="75">
        <v>25</v>
      </c>
      <c r="X246" s="55">
        <f>IFERROR(Supplier_Perf_Table[[#This Row],[Actual_Delivery_Date]]-Supplier_Perf_Table[[#This Row],[Order Date]],"")</f>
        <v>25</v>
      </c>
      <c r="Y246" s="75">
        <v>14</v>
      </c>
      <c r="Z246" s="56">
        <f>IFERROR(Supplier_Perf_Table[[#This Row],[Expected Delivery_Date]]-Supplier_Perf_Table[[#This Row],[Order Date]],"")</f>
        <v>14</v>
      </c>
      <c r="AA246" s="56">
        <f>Supplier_Perf_Table[[#This Row],[Calculated_Lead_Time2]]-Supplier_Perf_Table[[#This Row],[Calculated_Expected_Lead_Time]]</f>
        <v>11</v>
      </c>
      <c r="AB246" s="75">
        <v>11</v>
      </c>
      <c r="AC246" s="63" t="s">
        <v>39</v>
      </c>
      <c r="AD246" s="63" t="s">
        <v>40</v>
      </c>
      <c r="AE246" s="63" t="s">
        <v>105</v>
      </c>
      <c r="AF246" s="63" t="s">
        <v>212</v>
      </c>
      <c r="AG246" s="63" t="s">
        <v>107</v>
      </c>
      <c r="AH246" s="63" t="s">
        <v>136</v>
      </c>
      <c r="AI246" s="63" t="s">
        <v>147</v>
      </c>
      <c r="AJ246" s="63" t="s">
        <v>138</v>
      </c>
      <c r="AK246" s="83">
        <v>3.4</v>
      </c>
      <c r="AL246" s="63" t="s">
        <v>184</v>
      </c>
      <c r="AM246" s="63" t="s">
        <v>46</v>
      </c>
      <c r="AN246"/>
    </row>
    <row r="247" spans="1:40" ht="18" customHeight="1">
      <c r="A247" s="1" t="s">
        <v>907</v>
      </c>
      <c r="B247" s="1" t="s">
        <v>908</v>
      </c>
      <c r="C247" s="4">
        <v>46043</v>
      </c>
      <c r="D247" s="4">
        <v>46049</v>
      </c>
      <c r="E247" s="4">
        <v>46041</v>
      </c>
      <c r="F247" s="63" t="s">
        <v>151</v>
      </c>
      <c r="G247" s="63" t="s">
        <v>3844</v>
      </c>
      <c r="H247" s="63" t="s">
        <v>152</v>
      </c>
      <c r="I247" s="63" t="s">
        <v>61</v>
      </c>
      <c r="J247" s="63" t="s">
        <v>112</v>
      </c>
      <c r="K247" s="63" t="s">
        <v>909</v>
      </c>
      <c r="L247" s="63" t="s">
        <v>114</v>
      </c>
      <c r="M247" s="69">
        <v>273.17</v>
      </c>
      <c r="N247" s="63" t="s">
        <v>53</v>
      </c>
      <c r="O247" s="73">
        <f>_xlfn.XLOOKUP(Supplier_Perf_Table[[#This Row],[Currency]],'Comments 2'!$C$4:$C$16,'Comments 2'!$D$4:$D$16)</f>
        <v>6.0999999999999999E-2</v>
      </c>
      <c r="P247" s="69">
        <f>IFERROR(Supplier_Perf_Table[[#This Row],[Unit_Cost]]*Supplier_Perf_Table[[#This Row],[Dollar Equivalent]],"")</f>
        <v>16.66337</v>
      </c>
      <c r="Q247" s="75">
        <v>2000</v>
      </c>
      <c r="R247" s="1">
        <v>546340</v>
      </c>
      <c r="S247" s="75">
        <f>Supplier_Perf_Table[[#This Row],[Unit_Cost]]*Supplier_Perf_Table[[#This Row],[Order_Quantity]]</f>
        <v>546340</v>
      </c>
      <c r="T247" s="75">
        <f>IFERROR(Supplier_Perf_Table[[#This Row],[Dollar Equivalent]]*Supplier_Perf_Table[[#This Row],[Ordered_Value]],"")</f>
        <v>33326.74</v>
      </c>
      <c r="U247" s="75">
        <v>36</v>
      </c>
      <c r="V247" s="7">
        <v>1.7999999999999999E-2</v>
      </c>
      <c r="W247" s="75">
        <v>-2</v>
      </c>
      <c r="X247" s="55">
        <f>IFERROR(Supplier_Perf_Table[[#This Row],[Actual_Delivery_Date]]-Supplier_Perf_Table[[#This Row],[Order Date]],"")</f>
        <v>-2</v>
      </c>
      <c r="Y247" s="75">
        <v>6</v>
      </c>
      <c r="Z247" s="56">
        <f>IFERROR(Supplier_Perf_Table[[#This Row],[Expected Delivery_Date]]-Supplier_Perf_Table[[#This Row],[Order Date]],"")</f>
        <v>6</v>
      </c>
      <c r="AA247" s="56">
        <f>Supplier_Perf_Table[[#This Row],[Calculated_Lead_Time2]]-Supplier_Perf_Table[[#This Row],[Calculated_Expected_Lead_Time]]</f>
        <v>-8</v>
      </c>
      <c r="AB247" s="75">
        <v>-8</v>
      </c>
      <c r="AC247" s="63" t="s">
        <v>362</v>
      </c>
      <c r="AD247" s="63" t="s">
        <v>40</v>
      </c>
      <c r="AE247" s="63" t="s">
        <v>41</v>
      </c>
      <c r="AF247" s="63" t="s">
        <v>66</v>
      </c>
      <c r="AG247" s="63" t="s">
        <v>173</v>
      </c>
      <c r="AH247" s="63" t="s">
        <v>174</v>
      </c>
      <c r="AI247" s="63" t="s">
        <v>138</v>
      </c>
      <c r="AJ247" s="63" t="s">
        <v>138</v>
      </c>
      <c r="AK247" s="83">
        <v>2.5</v>
      </c>
      <c r="AL247" s="63" t="s">
        <v>57</v>
      </c>
      <c r="AM247" s="63" t="s">
        <v>138</v>
      </c>
      <c r="AN247"/>
    </row>
    <row r="248" spans="1:40" ht="18" customHeight="1">
      <c r="A248" s="1" t="s">
        <v>910</v>
      </c>
      <c r="B248" s="1" t="s">
        <v>911</v>
      </c>
      <c r="C248" s="4">
        <v>46061</v>
      </c>
      <c r="D248" s="4">
        <v>46071</v>
      </c>
      <c r="E248" s="4">
        <v>46075</v>
      </c>
      <c r="F248" s="63" t="s">
        <v>60</v>
      </c>
      <c r="G248" s="63" t="s">
        <v>3837</v>
      </c>
      <c r="H248" s="63" t="s">
        <v>152</v>
      </c>
      <c r="I248" s="63" t="s">
        <v>49</v>
      </c>
      <c r="J248" s="63" t="s">
        <v>62</v>
      </c>
      <c r="K248" s="63" t="s">
        <v>912</v>
      </c>
      <c r="L248" s="63" t="s">
        <v>225</v>
      </c>
      <c r="M248" s="69">
        <v>507.39</v>
      </c>
      <c r="N248" s="63" t="s">
        <v>104</v>
      </c>
      <c r="O248" s="73">
        <f>_xlfn.XLOOKUP(Supplier_Perf_Table[[#This Row],[Currency]],'Comments 2'!$C$4:$C$16,'Comments 2'!$D$4:$D$16)</f>
        <v>1.9E-2</v>
      </c>
      <c r="P248" s="69">
        <f>IFERROR(Supplier_Perf_Table[[#This Row],[Unit_Cost]]*Supplier_Perf_Table[[#This Row],[Dollar Equivalent]],"")</f>
        <v>9.6404099999999993</v>
      </c>
      <c r="Q248" s="75">
        <v>250</v>
      </c>
      <c r="R248" s="1">
        <v>126847.5</v>
      </c>
      <c r="S248" s="75">
        <f>Supplier_Perf_Table[[#This Row],[Unit_Cost]]*Supplier_Perf_Table[[#This Row],[Order_Quantity]]</f>
        <v>126847.5</v>
      </c>
      <c r="T248" s="75">
        <f>IFERROR(Supplier_Perf_Table[[#This Row],[Dollar Equivalent]]*Supplier_Perf_Table[[#This Row],[Ordered_Value]],"")</f>
        <v>2410.1025</v>
      </c>
      <c r="U248" s="75">
        <v>17</v>
      </c>
      <c r="V248" s="7">
        <v>6.8000000000000005E-2</v>
      </c>
      <c r="W248" s="75">
        <v>14</v>
      </c>
      <c r="X248" s="55">
        <f>IFERROR(Supplier_Perf_Table[[#This Row],[Actual_Delivery_Date]]-Supplier_Perf_Table[[#This Row],[Order Date]],"")</f>
        <v>14</v>
      </c>
      <c r="Y248" s="75">
        <v>10</v>
      </c>
      <c r="Z248" s="56">
        <f>IFERROR(Supplier_Perf_Table[[#This Row],[Expected Delivery_Date]]-Supplier_Perf_Table[[#This Row],[Order Date]],"")</f>
        <v>10</v>
      </c>
      <c r="AA248" s="56">
        <f>Supplier_Perf_Table[[#This Row],[Calculated_Lead_Time2]]-Supplier_Perf_Table[[#This Row],[Calculated_Expected_Lead_Time]]</f>
        <v>4</v>
      </c>
      <c r="AB248" s="75">
        <v>4</v>
      </c>
      <c r="AC248" s="63" t="s">
        <v>39</v>
      </c>
      <c r="AD248" s="63" t="s">
        <v>74</v>
      </c>
      <c r="AE248" s="63" t="s">
        <v>105</v>
      </c>
      <c r="AF248" s="63" t="s">
        <v>106</v>
      </c>
      <c r="AG248" s="63" t="s">
        <v>54</v>
      </c>
      <c r="AH248" s="63" t="s">
        <v>206</v>
      </c>
      <c r="AI248" s="63" t="s">
        <v>138</v>
      </c>
      <c r="AJ248" s="63" t="s">
        <v>373</v>
      </c>
      <c r="AK248" s="83">
        <v>2.5</v>
      </c>
      <c r="AL248" s="63" t="s">
        <v>184</v>
      </c>
      <c r="AM248" s="63" t="s">
        <v>77</v>
      </c>
      <c r="AN248"/>
    </row>
    <row r="249" spans="1:40" ht="18" customHeight="1">
      <c r="A249" s="1" t="s">
        <v>913</v>
      </c>
      <c r="B249" s="1" t="s">
        <v>914</v>
      </c>
      <c r="C249" s="4">
        <v>46056</v>
      </c>
      <c r="D249" s="4">
        <v>46070</v>
      </c>
      <c r="E249" s="4">
        <v>46067</v>
      </c>
      <c r="F249" s="63" t="s">
        <v>100</v>
      </c>
      <c r="G249" s="63" t="s">
        <v>3841</v>
      </c>
      <c r="H249" s="63" t="s">
        <v>102</v>
      </c>
      <c r="I249" s="63" t="s">
        <v>120</v>
      </c>
      <c r="J249" s="63" t="s">
        <v>50</v>
      </c>
      <c r="K249" s="63" t="s">
        <v>915</v>
      </c>
      <c r="L249" s="63" t="s">
        <v>145</v>
      </c>
      <c r="M249" s="69">
        <v>766.02</v>
      </c>
      <c r="N249" s="63" t="s">
        <v>159</v>
      </c>
      <c r="O249" s="73">
        <f>_xlfn.XLOOKUP(Supplier_Perf_Table[[#This Row],[Currency]],'Comments 2'!$C$4:$C$16,'Comments 2'!$D$4:$D$16)</f>
        <v>7.2999999999999996E-4</v>
      </c>
      <c r="P249" s="69">
        <f>IFERROR(Supplier_Perf_Table[[#This Row],[Unit_Cost]]*Supplier_Perf_Table[[#This Row],[Dollar Equivalent]],"")</f>
        <v>0.55919459999999999</v>
      </c>
      <c r="Q249" s="75">
        <v>150</v>
      </c>
      <c r="R249" s="1">
        <v>114903</v>
      </c>
      <c r="S249" s="75">
        <f>Supplier_Perf_Table[[#This Row],[Unit_Cost]]*Supplier_Perf_Table[[#This Row],[Order_Quantity]]</f>
        <v>114903</v>
      </c>
      <c r="T249" s="75">
        <f>IFERROR(Supplier_Perf_Table[[#This Row],[Dollar Equivalent]]*Supplier_Perf_Table[[#This Row],[Ordered_Value]],"")</f>
        <v>83.879189999999994</v>
      </c>
      <c r="U249" s="75">
        <v>2</v>
      </c>
      <c r="V249" s="7">
        <v>1.3299999999999999E-2</v>
      </c>
      <c r="W249" s="75">
        <v>11</v>
      </c>
      <c r="X249" s="55">
        <f>IFERROR(Supplier_Perf_Table[[#This Row],[Actual_Delivery_Date]]-Supplier_Perf_Table[[#This Row],[Order Date]],"")</f>
        <v>11</v>
      </c>
      <c r="Y249" s="75">
        <v>14</v>
      </c>
      <c r="Z249" s="56">
        <f>IFERROR(Supplier_Perf_Table[[#This Row],[Expected Delivery_Date]]-Supplier_Perf_Table[[#This Row],[Order Date]],"")</f>
        <v>14</v>
      </c>
      <c r="AA249" s="56">
        <f>Supplier_Perf_Table[[#This Row],[Calculated_Lead_Time2]]-Supplier_Perf_Table[[#This Row],[Calculated_Expected_Lead_Time]]</f>
        <v>-3</v>
      </c>
      <c r="AB249" s="75">
        <v>-3</v>
      </c>
      <c r="AC249" s="63" t="s">
        <v>270</v>
      </c>
      <c r="AD249" s="63" t="s">
        <v>40</v>
      </c>
      <c r="AE249" s="63" t="s">
        <v>127</v>
      </c>
      <c r="AF249" s="63" t="s">
        <v>42</v>
      </c>
      <c r="AG249" s="63" t="s">
        <v>43</v>
      </c>
      <c r="AH249" s="63" t="s">
        <v>174</v>
      </c>
      <c r="AI249" s="63" t="s">
        <v>137</v>
      </c>
      <c r="AJ249" s="63" t="s">
        <v>138</v>
      </c>
      <c r="AK249" s="83">
        <v>3.2</v>
      </c>
      <c r="AL249" s="63" t="s">
        <v>108</v>
      </c>
      <c r="AM249" s="63" t="s">
        <v>130</v>
      </c>
      <c r="AN249"/>
    </row>
    <row r="250" spans="1:40" ht="18" customHeight="1">
      <c r="A250" s="1" t="s">
        <v>916</v>
      </c>
      <c r="B250" s="1" t="s">
        <v>917</v>
      </c>
      <c r="C250" s="4">
        <v>46200</v>
      </c>
      <c r="D250" s="4">
        <v>46213</v>
      </c>
      <c r="E250" s="4">
        <v>46213</v>
      </c>
      <c r="F250" s="63" t="s">
        <v>48</v>
      </c>
      <c r="G250" s="63" t="s">
        <v>3836</v>
      </c>
      <c r="H250" s="63" t="s">
        <v>102</v>
      </c>
      <c r="I250" s="63" t="s">
        <v>70</v>
      </c>
      <c r="J250" s="63" t="s">
        <v>50</v>
      </c>
      <c r="K250" s="63" t="s">
        <v>918</v>
      </c>
      <c r="L250" s="63" t="s">
        <v>189</v>
      </c>
      <c r="M250" s="69">
        <v>184.92</v>
      </c>
      <c r="N250" s="63" t="s">
        <v>86</v>
      </c>
      <c r="O250" s="73">
        <f>_xlfn.XLOOKUP(Supplier_Perf_Table[[#This Row],[Currency]],'Comments 2'!$C$4:$C$16,'Comments 2'!$D$4:$D$16)</f>
        <v>8.8999999999999996E-2</v>
      </c>
      <c r="P250" s="69">
        <f>IFERROR(Supplier_Perf_Table[[#This Row],[Unit_Cost]]*Supplier_Perf_Table[[#This Row],[Dollar Equivalent]],"")</f>
        <v>16.457879999999999</v>
      </c>
      <c r="Q250" s="75">
        <v>150</v>
      </c>
      <c r="R250" s="1">
        <v>27738</v>
      </c>
      <c r="S250" s="75">
        <f>Supplier_Perf_Table[[#This Row],[Unit_Cost]]*Supplier_Perf_Table[[#This Row],[Order_Quantity]]</f>
        <v>27737.999999999996</v>
      </c>
      <c r="T250" s="75">
        <f>IFERROR(Supplier_Perf_Table[[#This Row],[Dollar Equivalent]]*Supplier_Perf_Table[[#This Row],[Ordered_Value]],"")</f>
        <v>2468.6819999999998</v>
      </c>
      <c r="U250" s="75">
        <v>0</v>
      </c>
      <c r="V250" s="7">
        <v>0</v>
      </c>
      <c r="W250" s="75">
        <v>13</v>
      </c>
      <c r="X250" s="55">
        <f>IFERROR(Supplier_Perf_Table[[#This Row],[Actual_Delivery_Date]]-Supplier_Perf_Table[[#This Row],[Order Date]],"")</f>
        <v>13</v>
      </c>
      <c r="Y250" s="75">
        <v>13</v>
      </c>
      <c r="Z250" s="56">
        <f>IFERROR(Supplier_Perf_Table[[#This Row],[Expected Delivery_Date]]-Supplier_Perf_Table[[#This Row],[Order Date]],"")</f>
        <v>13</v>
      </c>
      <c r="AA250" s="56">
        <f>Supplier_Perf_Table[[#This Row],[Calculated_Lead_Time2]]-Supplier_Perf_Table[[#This Row],[Calculated_Expected_Lead_Time]]</f>
        <v>0</v>
      </c>
      <c r="AB250" s="75">
        <v>0</v>
      </c>
      <c r="AC250" s="63" t="s">
        <v>87</v>
      </c>
      <c r="AD250" s="63" t="s">
        <v>40</v>
      </c>
      <c r="AE250" s="63" t="s">
        <v>105</v>
      </c>
      <c r="AF250" s="63" t="s">
        <v>212</v>
      </c>
      <c r="AG250" s="63" t="s">
        <v>107</v>
      </c>
      <c r="AH250" s="63" t="s">
        <v>129</v>
      </c>
      <c r="AI250" s="63" t="s">
        <v>95</v>
      </c>
      <c r="AJ250" s="63" t="s">
        <v>138</v>
      </c>
      <c r="AK250" s="83">
        <v>4.3</v>
      </c>
      <c r="AL250" s="63" t="s">
        <v>108</v>
      </c>
      <c r="AM250" s="63" t="s">
        <v>138</v>
      </c>
      <c r="AN250"/>
    </row>
    <row r="251" spans="1:40" ht="18" customHeight="1">
      <c r="A251" s="1" t="s">
        <v>919</v>
      </c>
      <c r="B251" s="1" t="s">
        <v>920</v>
      </c>
      <c r="C251" s="4">
        <v>46041</v>
      </c>
      <c r="D251" s="4">
        <v>46056</v>
      </c>
      <c r="E251" s="4">
        <v>46054</v>
      </c>
      <c r="F251" s="63" t="s">
        <v>48</v>
      </c>
      <c r="G251" s="63" t="s">
        <v>3836</v>
      </c>
      <c r="H251" s="63" t="s">
        <v>102</v>
      </c>
      <c r="I251" s="63" t="s">
        <v>61</v>
      </c>
      <c r="J251" s="63" t="s">
        <v>50</v>
      </c>
      <c r="K251" s="63" t="s">
        <v>921</v>
      </c>
      <c r="L251" s="63" t="s">
        <v>189</v>
      </c>
      <c r="M251" s="69">
        <v>383.28</v>
      </c>
      <c r="N251" s="63" t="s">
        <v>38</v>
      </c>
      <c r="O251" s="73">
        <f>_xlfn.XLOOKUP(Supplier_Perf_Table[[#This Row],[Currency]],'Comments 2'!$C$4:$C$16,'Comments 2'!$D$4:$D$16)</f>
        <v>7.7000000000000002E-3</v>
      </c>
      <c r="P251" s="69">
        <f>IFERROR(Supplier_Perf_Table[[#This Row],[Unit_Cost]]*Supplier_Perf_Table[[#This Row],[Dollar Equivalent]],"")</f>
        <v>2.9512559999999999</v>
      </c>
      <c r="Q251" s="75">
        <v>100</v>
      </c>
      <c r="R251" s="1">
        <v>38328</v>
      </c>
      <c r="S251" s="75">
        <f>Supplier_Perf_Table[[#This Row],[Unit_Cost]]*Supplier_Perf_Table[[#This Row],[Order_Quantity]]</f>
        <v>38328</v>
      </c>
      <c r="T251" s="75">
        <f>IFERROR(Supplier_Perf_Table[[#This Row],[Dollar Equivalent]]*Supplier_Perf_Table[[#This Row],[Ordered_Value]],"")</f>
        <v>295.12560000000002</v>
      </c>
      <c r="U251" s="75">
        <v>10</v>
      </c>
      <c r="V251" s="7">
        <v>0.1</v>
      </c>
      <c r="W251" s="75">
        <v>-5</v>
      </c>
      <c r="X251" s="55">
        <f>IFERROR(Supplier_Perf_Table[[#This Row],[Actual_Delivery_Date]]-Supplier_Perf_Table[[#This Row],[Order Date]],"")</f>
        <v>13</v>
      </c>
      <c r="Y251" s="75">
        <v>15</v>
      </c>
      <c r="Z251" s="56">
        <f>IFERROR(Supplier_Perf_Table[[#This Row],[Expected Delivery_Date]]-Supplier_Perf_Table[[#This Row],[Order Date]],"")</f>
        <v>15</v>
      </c>
      <c r="AA251" s="56">
        <f>Supplier_Perf_Table[[#This Row],[Calculated_Lead_Time2]]-Supplier_Perf_Table[[#This Row],[Calculated_Expected_Lead_Time]]</f>
        <v>-2</v>
      </c>
      <c r="AB251" s="75">
        <v>-2</v>
      </c>
      <c r="AC251" s="63" t="s">
        <v>270</v>
      </c>
      <c r="AD251" s="63" t="s">
        <v>420</v>
      </c>
      <c r="AE251" s="63" t="s">
        <v>127</v>
      </c>
      <c r="AF251" s="63" t="s">
        <v>3088</v>
      </c>
      <c r="AG251" s="63" t="s">
        <v>107</v>
      </c>
      <c r="AH251" s="63" t="s">
        <v>174</v>
      </c>
      <c r="AI251" s="63" t="s">
        <v>56</v>
      </c>
      <c r="AJ251" s="63" t="s">
        <v>96</v>
      </c>
      <c r="AK251" s="83">
        <v>3.2</v>
      </c>
      <c r="AL251" s="63" t="s">
        <v>115</v>
      </c>
      <c r="AM251" s="63" t="s">
        <v>284</v>
      </c>
      <c r="AN251"/>
    </row>
    <row r="252" spans="1:40" ht="18" customHeight="1">
      <c r="A252" s="1" t="s">
        <v>922</v>
      </c>
      <c r="B252" s="1" t="s">
        <v>923</v>
      </c>
      <c r="C252" s="4">
        <v>46044</v>
      </c>
      <c r="D252" s="4">
        <v>46061</v>
      </c>
      <c r="E252" s="4">
        <v>46067</v>
      </c>
      <c r="F252" s="63" t="s">
        <v>235</v>
      </c>
      <c r="G252" s="63" t="s">
        <v>3848</v>
      </c>
      <c r="H252" s="63" t="s">
        <v>479</v>
      </c>
      <c r="I252" s="63" t="s">
        <v>70</v>
      </c>
      <c r="J252" s="63" t="s">
        <v>71</v>
      </c>
      <c r="K252" s="63" t="s">
        <v>924</v>
      </c>
      <c r="L252" s="63" t="s">
        <v>553</v>
      </c>
      <c r="M252" s="69">
        <v>84.51</v>
      </c>
      <c r="N252" s="63" t="s">
        <v>159</v>
      </c>
      <c r="O252" s="73">
        <f>_xlfn.XLOOKUP(Supplier_Perf_Table[[#This Row],[Currency]],'Comments 2'!$C$4:$C$16,'Comments 2'!$D$4:$D$16)</f>
        <v>7.2999999999999996E-4</v>
      </c>
      <c r="P252" s="69">
        <f>IFERROR(Supplier_Perf_Table[[#This Row],[Unit_Cost]]*Supplier_Perf_Table[[#This Row],[Dollar Equivalent]],"")</f>
        <v>6.1692299999999999E-2</v>
      </c>
      <c r="Q252" s="75">
        <v>1000</v>
      </c>
      <c r="R252" s="1">
        <v>84510</v>
      </c>
      <c r="S252" s="75">
        <f>Supplier_Perf_Table[[#This Row],[Unit_Cost]]*Supplier_Perf_Table[[#This Row],[Order_Quantity]]</f>
        <v>84510</v>
      </c>
      <c r="T252" s="75">
        <f>IFERROR(Supplier_Perf_Table[[#This Row],[Dollar Equivalent]]*Supplier_Perf_Table[[#This Row],[Ordered_Value]],"")</f>
        <v>61.692299999999996</v>
      </c>
      <c r="U252" s="75">
        <v>35</v>
      </c>
      <c r="V252" s="7">
        <v>3.5000000000000003E-2</v>
      </c>
      <c r="W252" s="75">
        <v>23</v>
      </c>
      <c r="X252" s="55">
        <f>IFERROR(Supplier_Perf_Table[[#This Row],[Actual_Delivery_Date]]-Supplier_Perf_Table[[#This Row],[Order Date]],"")</f>
        <v>23</v>
      </c>
      <c r="Y252" s="75">
        <v>17</v>
      </c>
      <c r="Z252" s="56">
        <f>IFERROR(Supplier_Perf_Table[[#This Row],[Expected Delivery_Date]]-Supplier_Perf_Table[[#This Row],[Order Date]],"")</f>
        <v>17</v>
      </c>
      <c r="AA252" s="56">
        <f>Supplier_Perf_Table[[#This Row],[Calculated_Lead_Time2]]-Supplier_Perf_Table[[#This Row],[Calculated_Expected_Lead_Time]]</f>
        <v>6</v>
      </c>
      <c r="AB252" s="75">
        <v>6</v>
      </c>
      <c r="AC252" s="63" t="s">
        <v>39</v>
      </c>
      <c r="AD252" s="63" t="s">
        <v>40</v>
      </c>
      <c r="AE252" s="63" t="s">
        <v>105</v>
      </c>
      <c r="AF252" s="63" t="s">
        <v>106</v>
      </c>
      <c r="AG252" s="63" t="s">
        <v>54</v>
      </c>
      <c r="AH252" s="63" t="s">
        <v>88</v>
      </c>
      <c r="AI252" s="63" t="s">
        <v>191</v>
      </c>
      <c r="AJ252" s="63" t="s">
        <v>138</v>
      </c>
      <c r="AK252" s="83">
        <v>1.4</v>
      </c>
      <c r="AL252" s="63" t="s">
        <v>108</v>
      </c>
      <c r="AM252" s="63" t="s">
        <v>46</v>
      </c>
      <c r="AN252"/>
    </row>
    <row r="253" spans="1:40" ht="18" customHeight="1">
      <c r="A253" s="1" t="s">
        <v>925</v>
      </c>
      <c r="B253" s="1" t="s">
        <v>926</v>
      </c>
      <c r="C253" s="4">
        <v>46175</v>
      </c>
      <c r="D253" s="4">
        <v>46191</v>
      </c>
      <c r="E253" s="4">
        <v>46179</v>
      </c>
      <c r="F253" s="63" t="s">
        <v>162</v>
      </c>
      <c r="G253" s="63" t="s">
        <v>3847</v>
      </c>
      <c r="H253" s="63" t="s">
        <v>152</v>
      </c>
      <c r="I253" s="63" t="s">
        <v>70</v>
      </c>
      <c r="J253" s="63" t="s">
        <v>163</v>
      </c>
      <c r="K253" s="63" t="s">
        <v>927</v>
      </c>
      <c r="L253" s="63" t="s">
        <v>171</v>
      </c>
      <c r="M253" s="69">
        <v>63.24</v>
      </c>
      <c r="N253" s="63" t="s">
        <v>159</v>
      </c>
      <c r="O253" s="73">
        <f>_xlfn.XLOOKUP(Supplier_Perf_Table[[#This Row],[Currency]],'Comments 2'!$C$4:$C$16,'Comments 2'!$D$4:$D$16)</f>
        <v>7.2999999999999996E-4</v>
      </c>
      <c r="P253" s="69">
        <f>IFERROR(Supplier_Perf_Table[[#This Row],[Unit_Cost]]*Supplier_Perf_Table[[#This Row],[Dollar Equivalent]],"")</f>
        <v>4.6165199999999997E-2</v>
      </c>
      <c r="Q253" s="75">
        <v>2000</v>
      </c>
      <c r="R253" s="1">
        <v>126480</v>
      </c>
      <c r="S253" s="75">
        <f>Supplier_Perf_Table[[#This Row],[Unit_Cost]]*Supplier_Perf_Table[[#This Row],[Order_Quantity]]</f>
        <v>126480</v>
      </c>
      <c r="T253" s="75">
        <f>IFERROR(Supplier_Perf_Table[[#This Row],[Dollar Equivalent]]*Supplier_Perf_Table[[#This Row],[Ordered_Value]],"")</f>
        <v>92.330399999999997</v>
      </c>
      <c r="U253" s="75">
        <v>22</v>
      </c>
      <c r="V253" s="7">
        <v>1.0999999999999999E-2</v>
      </c>
      <c r="W253" s="75">
        <v>4</v>
      </c>
      <c r="X253" s="55">
        <f>IFERROR(Supplier_Perf_Table[[#This Row],[Actual_Delivery_Date]]-Supplier_Perf_Table[[#This Row],[Order Date]],"")</f>
        <v>4</v>
      </c>
      <c r="Y253" s="75">
        <v>16</v>
      </c>
      <c r="Z253" s="56">
        <f>IFERROR(Supplier_Perf_Table[[#This Row],[Expected Delivery_Date]]-Supplier_Perf_Table[[#This Row],[Order Date]],"")</f>
        <v>16</v>
      </c>
      <c r="AA253" s="56">
        <f>Supplier_Perf_Table[[#This Row],[Calculated_Lead_Time2]]-Supplier_Perf_Table[[#This Row],[Calculated_Expected_Lead_Time]]</f>
        <v>-12</v>
      </c>
      <c r="AB253" s="75">
        <v>-12</v>
      </c>
      <c r="AC253" s="63" t="s">
        <v>87</v>
      </c>
      <c r="AD253" s="63" t="s">
        <v>40</v>
      </c>
      <c r="AE253" s="63" t="s">
        <v>3088</v>
      </c>
      <c r="AF253" s="63" t="s">
        <v>66</v>
      </c>
      <c r="AG253" s="63" t="s">
        <v>54</v>
      </c>
      <c r="AH253" s="63" t="s">
        <v>3112</v>
      </c>
      <c r="AI253" s="63" t="s">
        <v>138</v>
      </c>
      <c r="AJ253" s="63" t="s">
        <v>138</v>
      </c>
      <c r="AK253" s="83">
        <v>3.9</v>
      </c>
      <c r="AL253" s="63" t="s">
        <v>184</v>
      </c>
      <c r="AM253" s="63" t="s">
        <v>130</v>
      </c>
      <c r="AN253"/>
    </row>
    <row r="254" spans="1:40" ht="18" customHeight="1">
      <c r="A254" s="1" t="s">
        <v>928</v>
      </c>
      <c r="B254" s="1" t="s">
        <v>929</v>
      </c>
      <c r="C254" s="4">
        <v>46034</v>
      </c>
      <c r="D254" s="4">
        <v>46050</v>
      </c>
      <c r="E254" s="4">
        <v>46053</v>
      </c>
      <c r="F254" s="63" t="s">
        <v>48</v>
      </c>
      <c r="G254" s="63" t="s">
        <v>3836</v>
      </c>
      <c r="H254" s="63" t="s">
        <v>102</v>
      </c>
      <c r="I254" s="63" t="s">
        <v>92</v>
      </c>
      <c r="J254" s="63" t="s">
        <v>50</v>
      </c>
      <c r="K254" s="63" t="s">
        <v>930</v>
      </c>
      <c r="L254" s="63" t="s">
        <v>52</v>
      </c>
      <c r="M254" s="69">
        <v>2555.3200000000002</v>
      </c>
      <c r="N254" s="63" t="s">
        <v>53</v>
      </c>
      <c r="O254" s="73">
        <f>_xlfn.XLOOKUP(Supplier_Perf_Table[[#This Row],[Currency]],'Comments 2'!$C$4:$C$16,'Comments 2'!$D$4:$D$16)</f>
        <v>6.0999999999999999E-2</v>
      </c>
      <c r="P254" s="69">
        <f>IFERROR(Supplier_Perf_Table[[#This Row],[Unit_Cost]]*Supplier_Perf_Table[[#This Row],[Dollar Equivalent]],"")</f>
        <v>155.87452000000002</v>
      </c>
      <c r="Q254" s="75">
        <v>2000</v>
      </c>
      <c r="R254" s="1">
        <v>5110640</v>
      </c>
      <c r="S254" s="75">
        <f>Supplier_Perf_Table[[#This Row],[Unit_Cost]]*Supplier_Perf_Table[[#This Row],[Order_Quantity]]</f>
        <v>5110640</v>
      </c>
      <c r="T254" s="75">
        <f>IFERROR(Supplier_Perf_Table[[#This Row],[Dollar Equivalent]]*Supplier_Perf_Table[[#This Row],[Ordered_Value]],"")</f>
        <v>311749.03999999998</v>
      </c>
      <c r="U254" s="75">
        <v>20</v>
      </c>
      <c r="V254" s="7">
        <v>0.01</v>
      </c>
      <c r="W254" s="75">
        <v>19</v>
      </c>
      <c r="X254" s="55">
        <f>IFERROR(Supplier_Perf_Table[[#This Row],[Actual_Delivery_Date]]-Supplier_Perf_Table[[#This Row],[Order Date]],"")</f>
        <v>19</v>
      </c>
      <c r="Y254" s="75">
        <v>16</v>
      </c>
      <c r="Z254" s="56">
        <f>IFERROR(Supplier_Perf_Table[[#This Row],[Expected Delivery_Date]]-Supplier_Perf_Table[[#This Row],[Order Date]],"")</f>
        <v>16</v>
      </c>
      <c r="AA254" s="56">
        <f>Supplier_Perf_Table[[#This Row],[Calculated_Lead_Time2]]-Supplier_Perf_Table[[#This Row],[Calculated_Expected_Lead_Time]]</f>
        <v>3</v>
      </c>
      <c r="AB254" s="75">
        <v>3</v>
      </c>
      <c r="AC254" s="63" t="s">
        <v>135</v>
      </c>
      <c r="AD254" s="63" t="s">
        <v>40</v>
      </c>
      <c r="AE254" s="63" t="s">
        <v>3088</v>
      </c>
      <c r="AF254" s="63" t="s">
        <v>3088</v>
      </c>
      <c r="AG254" s="63" t="s">
        <v>54</v>
      </c>
      <c r="AH254" s="63" t="s">
        <v>136</v>
      </c>
      <c r="AI254" s="63" t="s">
        <v>56</v>
      </c>
      <c r="AJ254" s="63" t="s">
        <v>138</v>
      </c>
      <c r="AK254" s="83">
        <v>3.5</v>
      </c>
      <c r="AL254" s="63" t="s">
        <v>76</v>
      </c>
      <c r="AM254" s="63" t="s">
        <v>148</v>
      </c>
      <c r="AN254"/>
    </row>
    <row r="255" spans="1:40" ht="18" customHeight="1">
      <c r="A255" s="1" t="s">
        <v>931</v>
      </c>
      <c r="B255" s="1" t="s">
        <v>932</v>
      </c>
      <c r="C255" s="4">
        <v>46136</v>
      </c>
      <c r="D255" s="4">
        <v>46159</v>
      </c>
      <c r="E255" s="4">
        <v>46157</v>
      </c>
      <c r="F255" s="63" t="s">
        <v>118</v>
      </c>
      <c r="G255" s="63" t="s">
        <v>3842</v>
      </c>
      <c r="H255" s="63" t="s">
        <v>301</v>
      </c>
      <c r="I255" s="63" t="s">
        <v>241</v>
      </c>
      <c r="J255" s="63" t="s">
        <v>62</v>
      </c>
      <c r="K255" s="63" t="s">
        <v>912</v>
      </c>
      <c r="L255" s="63" t="s">
        <v>64</v>
      </c>
      <c r="M255" s="69">
        <v>604.49</v>
      </c>
      <c r="N255" s="63" t="s">
        <v>104</v>
      </c>
      <c r="O255" s="73">
        <f>_xlfn.XLOOKUP(Supplier_Perf_Table[[#This Row],[Currency]],'Comments 2'!$C$4:$C$16,'Comments 2'!$D$4:$D$16)</f>
        <v>1.9E-2</v>
      </c>
      <c r="P255" s="69">
        <f>IFERROR(Supplier_Perf_Table[[#This Row],[Unit_Cost]]*Supplier_Perf_Table[[#This Row],[Dollar Equivalent]],"")</f>
        <v>11.48531</v>
      </c>
      <c r="Q255" s="75">
        <v>500</v>
      </c>
      <c r="R255" s="1">
        <v>302245</v>
      </c>
      <c r="S255" s="75">
        <f>Supplier_Perf_Table[[#This Row],[Unit_Cost]]*Supplier_Perf_Table[[#This Row],[Order_Quantity]]</f>
        <v>302245</v>
      </c>
      <c r="T255" s="75">
        <f>IFERROR(Supplier_Perf_Table[[#This Row],[Dollar Equivalent]]*Supplier_Perf_Table[[#This Row],[Ordered_Value]],"")</f>
        <v>5742.6549999999997</v>
      </c>
      <c r="U255" s="75">
        <v>4</v>
      </c>
      <c r="V255" s="7">
        <v>8.0000000000000002E-3</v>
      </c>
      <c r="W255" s="75">
        <v>21</v>
      </c>
      <c r="X255" s="55">
        <f>IFERROR(Supplier_Perf_Table[[#This Row],[Actual_Delivery_Date]]-Supplier_Perf_Table[[#This Row],[Order Date]],"")</f>
        <v>21</v>
      </c>
      <c r="Y255" s="75">
        <v>23</v>
      </c>
      <c r="Z255" s="56">
        <f>IFERROR(Supplier_Perf_Table[[#This Row],[Expected Delivery_Date]]-Supplier_Perf_Table[[#This Row],[Order Date]],"")</f>
        <v>23</v>
      </c>
      <c r="AA255" s="56">
        <f>Supplier_Perf_Table[[#This Row],[Calculated_Lead_Time2]]-Supplier_Perf_Table[[#This Row],[Calculated_Expected_Lead_Time]]</f>
        <v>-2</v>
      </c>
      <c r="AB255" s="75">
        <v>-2</v>
      </c>
      <c r="AC255" s="63" t="s">
        <v>87</v>
      </c>
      <c r="AD255" s="63" t="s">
        <v>40</v>
      </c>
      <c r="AE255" s="63" t="s">
        <v>41</v>
      </c>
      <c r="AF255" s="63" t="s">
        <v>190</v>
      </c>
      <c r="AG255" s="63" t="s">
        <v>54</v>
      </c>
      <c r="AH255" s="63" t="s">
        <v>3112</v>
      </c>
      <c r="AI255" s="63" t="s">
        <v>95</v>
      </c>
      <c r="AJ255" s="63" t="s">
        <v>138</v>
      </c>
      <c r="AK255" s="83">
        <v>3</v>
      </c>
      <c r="AL255" s="63" t="s">
        <v>57</v>
      </c>
      <c r="AM255" s="63" t="s">
        <v>138</v>
      </c>
      <c r="AN255"/>
    </row>
    <row r="256" spans="1:40" ht="18" customHeight="1">
      <c r="A256" s="63" t="s">
        <v>933</v>
      </c>
      <c r="B256" s="63" t="s">
        <v>934</v>
      </c>
      <c r="C256" s="4">
        <v>46186</v>
      </c>
      <c r="D256" s="4">
        <v>46197</v>
      </c>
      <c r="E256" s="4">
        <v>46195</v>
      </c>
      <c r="F256" s="63" t="s">
        <v>162</v>
      </c>
      <c r="G256" s="63" t="s">
        <v>3847</v>
      </c>
      <c r="H256" s="63" t="s">
        <v>152</v>
      </c>
      <c r="I256" s="63" t="s">
        <v>49</v>
      </c>
      <c r="J256" s="63" t="s">
        <v>163</v>
      </c>
      <c r="K256" s="63" t="s">
        <v>935</v>
      </c>
      <c r="L256" s="63" t="s">
        <v>269</v>
      </c>
      <c r="M256" s="69">
        <v>1078.68</v>
      </c>
      <c r="N256" s="63" t="s">
        <v>104</v>
      </c>
      <c r="O256" s="73">
        <f>_xlfn.XLOOKUP(Supplier_Perf_Table[[#This Row],[Currency]],'Comments 2'!$C$4:$C$16,'Comments 2'!$D$4:$D$16)</f>
        <v>1.9E-2</v>
      </c>
      <c r="P256" s="69">
        <f>IFERROR(Supplier_Perf_Table[[#This Row],[Unit_Cost]]*Supplier_Perf_Table[[#This Row],[Dollar Equivalent]],"")</f>
        <v>20.49492</v>
      </c>
      <c r="Q256" s="75">
        <v>200</v>
      </c>
      <c r="R256" s="1">
        <v>215736</v>
      </c>
      <c r="S256" s="75">
        <f>Supplier_Perf_Table[[#This Row],[Unit_Cost]]*Supplier_Perf_Table[[#This Row],[Order_Quantity]]</f>
        <v>215736</v>
      </c>
      <c r="T256" s="75">
        <f>IFERROR(Supplier_Perf_Table[[#This Row],[Dollar Equivalent]]*Supplier_Perf_Table[[#This Row],[Ordered_Value]],"")</f>
        <v>4098.9839999999995</v>
      </c>
      <c r="U256" s="75">
        <v>7</v>
      </c>
      <c r="V256" s="7">
        <v>3.5000000000000003E-2</v>
      </c>
      <c r="W256" s="75">
        <v>9</v>
      </c>
      <c r="X256" s="55">
        <f>IFERROR(Supplier_Perf_Table[[#This Row],[Actual_Delivery_Date]]-Supplier_Perf_Table[[#This Row],[Order Date]],"")</f>
        <v>9</v>
      </c>
      <c r="Y256" s="75">
        <v>11</v>
      </c>
      <c r="Z256" s="56">
        <f>IFERROR(Supplier_Perf_Table[[#This Row],[Expected Delivery_Date]]-Supplier_Perf_Table[[#This Row],[Order Date]],"")</f>
        <v>11</v>
      </c>
      <c r="AA256" s="56">
        <f>Supplier_Perf_Table[[#This Row],[Calculated_Lead_Time2]]-Supplier_Perf_Table[[#This Row],[Calculated_Expected_Lead_Time]]</f>
        <v>-2</v>
      </c>
      <c r="AB256" s="75">
        <v>-2</v>
      </c>
      <c r="AC256" s="63" t="s">
        <v>87</v>
      </c>
      <c r="AD256" s="63" t="s">
        <v>40</v>
      </c>
      <c r="AE256" s="63" t="s">
        <v>41</v>
      </c>
      <c r="AF256" s="63" t="s">
        <v>66</v>
      </c>
      <c r="AG256" s="63" t="s">
        <v>128</v>
      </c>
      <c r="AH256" s="63" t="s">
        <v>3112</v>
      </c>
      <c r="AI256" s="63" t="s">
        <v>56</v>
      </c>
      <c r="AJ256" s="63" t="s">
        <v>138</v>
      </c>
      <c r="AK256" s="83">
        <v>3.7</v>
      </c>
      <c r="AL256" s="63" t="s">
        <v>139</v>
      </c>
      <c r="AM256" s="63" t="s">
        <v>138</v>
      </c>
      <c r="AN256"/>
    </row>
    <row r="257" spans="1:40" ht="18" customHeight="1">
      <c r="A257" s="1" t="s">
        <v>936</v>
      </c>
      <c r="B257" s="1" t="s">
        <v>937</v>
      </c>
      <c r="C257" s="4">
        <v>46135</v>
      </c>
      <c r="D257" s="4">
        <v>46144</v>
      </c>
      <c r="E257" s="4">
        <v>46145</v>
      </c>
      <c r="F257" s="63" t="s">
        <v>162</v>
      </c>
      <c r="G257" s="63" t="s">
        <v>3847</v>
      </c>
      <c r="H257" s="63" t="s">
        <v>152</v>
      </c>
      <c r="I257" s="63" t="s">
        <v>34</v>
      </c>
      <c r="J257" s="63" t="s">
        <v>163</v>
      </c>
      <c r="K257" s="63" t="s">
        <v>938</v>
      </c>
      <c r="L257" s="63" t="s">
        <v>165</v>
      </c>
      <c r="M257" s="69">
        <v>486.11</v>
      </c>
      <c r="N257" s="63" t="s">
        <v>159</v>
      </c>
      <c r="O257" s="73">
        <f>_xlfn.XLOOKUP(Supplier_Perf_Table[[#This Row],[Currency]],'Comments 2'!$C$4:$C$16,'Comments 2'!$D$4:$D$16)</f>
        <v>7.2999999999999996E-4</v>
      </c>
      <c r="P257" s="69">
        <f>IFERROR(Supplier_Perf_Table[[#This Row],[Unit_Cost]]*Supplier_Perf_Table[[#This Row],[Dollar Equivalent]],"")</f>
        <v>0.35486030000000002</v>
      </c>
      <c r="Q257" s="75">
        <v>250</v>
      </c>
      <c r="R257" s="1">
        <v>121527.5</v>
      </c>
      <c r="S257" s="75">
        <f>Supplier_Perf_Table[[#This Row],[Unit_Cost]]*Supplier_Perf_Table[[#This Row],[Order_Quantity]]</f>
        <v>121527.5</v>
      </c>
      <c r="T257" s="75">
        <f>IFERROR(Supplier_Perf_Table[[#This Row],[Dollar Equivalent]]*Supplier_Perf_Table[[#This Row],[Ordered_Value]],"")</f>
        <v>88.715074999999999</v>
      </c>
      <c r="U257" s="75">
        <v>8</v>
      </c>
      <c r="V257" s="7">
        <v>3.2000000000000001E-2</v>
      </c>
      <c r="W257" s="75">
        <v>10</v>
      </c>
      <c r="X257" s="55">
        <f>IFERROR(Supplier_Perf_Table[[#This Row],[Actual_Delivery_Date]]-Supplier_Perf_Table[[#This Row],[Order Date]],"")</f>
        <v>10</v>
      </c>
      <c r="Y257" s="75">
        <v>9</v>
      </c>
      <c r="Z257" s="56">
        <f>IFERROR(Supplier_Perf_Table[[#This Row],[Expected Delivery_Date]]-Supplier_Perf_Table[[#This Row],[Order Date]],"")</f>
        <v>9</v>
      </c>
      <c r="AA257" s="56">
        <f>Supplier_Perf_Table[[#This Row],[Calculated_Lead_Time2]]-Supplier_Perf_Table[[#This Row],[Calculated_Expected_Lead_Time]]</f>
        <v>1</v>
      </c>
      <c r="AB257" s="75">
        <v>1</v>
      </c>
      <c r="AC257" s="63" t="s">
        <v>166</v>
      </c>
      <c r="AD257" s="63" t="s">
        <v>40</v>
      </c>
      <c r="AE257" s="63" t="s">
        <v>146</v>
      </c>
      <c r="AF257" s="63" t="s">
        <v>3088</v>
      </c>
      <c r="AG257" s="63" t="s">
        <v>43</v>
      </c>
      <c r="AH257" s="63" t="s">
        <v>136</v>
      </c>
      <c r="AI257" s="63" t="s">
        <v>147</v>
      </c>
      <c r="AJ257" s="63" t="s">
        <v>138</v>
      </c>
      <c r="AK257" s="83">
        <v>3.7</v>
      </c>
      <c r="AL257" s="63" t="s">
        <v>57</v>
      </c>
      <c r="AM257" s="63" t="s">
        <v>148</v>
      </c>
      <c r="AN257"/>
    </row>
    <row r="258" spans="1:40" ht="18" customHeight="1">
      <c r="A258" s="63" t="s">
        <v>939</v>
      </c>
      <c r="B258" s="63" t="s">
        <v>940</v>
      </c>
      <c r="C258" s="4">
        <v>46027</v>
      </c>
      <c r="D258" s="4">
        <v>46042</v>
      </c>
      <c r="E258" s="4">
        <v>46048</v>
      </c>
      <c r="F258" s="63" t="s">
        <v>48</v>
      </c>
      <c r="G258" s="63" t="s">
        <v>3836</v>
      </c>
      <c r="H258" s="63" t="s">
        <v>102</v>
      </c>
      <c r="I258" s="63" t="s">
        <v>70</v>
      </c>
      <c r="J258" s="63" t="s">
        <v>50</v>
      </c>
      <c r="K258" s="63" t="s">
        <v>941</v>
      </c>
      <c r="L258" s="63" t="s">
        <v>189</v>
      </c>
      <c r="M258" s="69">
        <v>627.47</v>
      </c>
      <c r="N258" s="63" t="s">
        <v>38</v>
      </c>
      <c r="O258" s="73">
        <f>_xlfn.XLOOKUP(Supplier_Perf_Table[[#This Row],[Currency]],'Comments 2'!$C$4:$C$16,'Comments 2'!$D$4:$D$16)</f>
        <v>7.7000000000000002E-3</v>
      </c>
      <c r="P258" s="69">
        <f>IFERROR(Supplier_Perf_Table[[#This Row],[Unit_Cost]]*Supplier_Perf_Table[[#This Row],[Dollar Equivalent]],"")</f>
        <v>4.8315190000000001</v>
      </c>
      <c r="Q258" s="75">
        <v>1000</v>
      </c>
      <c r="R258" s="1">
        <v>627470</v>
      </c>
      <c r="S258" s="75">
        <f>Supplier_Perf_Table[[#This Row],[Unit_Cost]]*Supplier_Perf_Table[[#This Row],[Order_Quantity]]</f>
        <v>627470</v>
      </c>
      <c r="T258" s="75">
        <f>IFERROR(Supplier_Perf_Table[[#This Row],[Dollar Equivalent]]*Supplier_Perf_Table[[#This Row],[Ordered_Value]],"")</f>
        <v>4831.5190000000002</v>
      </c>
      <c r="U258" s="75">
        <v>8</v>
      </c>
      <c r="V258" s="7">
        <v>8.0000000000000002E-3</v>
      </c>
      <c r="W258" s="75">
        <v>-5</v>
      </c>
      <c r="X258" s="55">
        <f>IFERROR(Supplier_Perf_Table[[#This Row],[Actual_Delivery_Date]]-Supplier_Perf_Table[[#This Row],[Order Date]],"")</f>
        <v>21</v>
      </c>
      <c r="Y258" s="75">
        <v>15</v>
      </c>
      <c r="Z258" s="56">
        <f>IFERROR(Supplier_Perf_Table[[#This Row],[Expected Delivery_Date]]-Supplier_Perf_Table[[#This Row],[Order Date]],"")</f>
        <v>15</v>
      </c>
      <c r="AA258" s="56">
        <f>Supplier_Perf_Table[[#This Row],[Calculated_Lead_Time2]]-Supplier_Perf_Table[[#This Row],[Calculated_Expected_Lead_Time]]</f>
        <v>6</v>
      </c>
      <c r="AB258" s="75">
        <v>6</v>
      </c>
      <c r="AC258" s="63" t="s">
        <v>39</v>
      </c>
      <c r="AD258" s="63" t="s">
        <v>40</v>
      </c>
      <c r="AE258" s="63" t="s">
        <v>41</v>
      </c>
      <c r="AF258" s="63" t="s">
        <v>106</v>
      </c>
      <c r="AG258" s="63" t="s">
        <v>173</v>
      </c>
      <c r="AH258" s="63" t="s">
        <v>55</v>
      </c>
      <c r="AI258" s="63" t="s">
        <v>191</v>
      </c>
      <c r="AJ258" s="63" t="s">
        <v>138</v>
      </c>
      <c r="AK258" s="83">
        <v>1.6</v>
      </c>
      <c r="AL258" s="63" t="s">
        <v>115</v>
      </c>
      <c r="AM258" s="63" t="s">
        <v>46</v>
      </c>
      <c r="AN258"/>
    </row>
    <row r="259" spans="1:40" ht="18" customHeight="1">
      <c r="A259" s="1" t="s">
        <v>942</v>
      </c>
      <c r="B259" s="1" t="s">
        <v>943</v>
      </c>
      <c r="C259" s="4">
        <v>46026</v>
      </c>
      <c r="D259" s="4">
        <v>46034</v>
      </c>
      <c r="E259" s="4">
        <v>46046</v>
      </c>
      <c r="F259" s="63" t="s">
        <v>100</v>
      </c>
      <c r="G259" s="63" t="s">
        <v>3841</v>
      </c>
      <c r="H259" s="63" t="s">
        <v>102</v>
      </c>
      <c r="I259" s="63" t="s">
        <v>49</v>
      </c>
      <c r="J259" s="63" t="s">
        <v>50</v>
      </c>
      <c r="K259" s="63" t="s">
        <v>944</v>
      </c>
      <c r="L259" s="63" t="s">
        <v>145</v>
      </c>
      <c r="M259" s="69">
        <v>2233.25</v>
      </c>
      <c r="N259" s="63" t="s">
        <v>38</v>
      </c>
      <c r="O259" s="73">
        <f>_xlfn.XLOOKUP(Supplier_Perf_Table[[#This Row],[Currency]],'Comments 2'!$C$4:$C$16,'Comments 2'!$D$4:$D$16)</f>
        <v>7.7000000000000002E-3</v>
      </c>
      <c r="P259" s="69">
        <f>IFERROR(Supplier_Perf_Table[[#This Row],[Unit_Cost]]*Supplier_Perf_Table[[#This Row],[Dollar Equivalent]],"")</f>
        <v>17.196024999999999</v>
      </c>
      <c r="Q259" s="75">
        <v>500</v>
      </c>
      <c r="R259" s="1">
        <v>1116625</v>
      </c>
      <c r="S259" s="75">
        <f>Supplier_Perf_Table[[#This Row],[Unit_Cost]]*Supplier_Perf_Table[[#This Row],[Order_Quantity]]</f>
        <v>1116625</v>
      </c>
      <c r="T259" s="75">
        <f>IFERROR(Supplier_Perf_Table[[#This Row],[Dollar Equivalent]]*Supplier_Perf_Table[[#This Row],[Ordered_Value]],"")</f>
        <v>8598.0125000000007</v>
      </c>
      <c r="U259" s="75">
        <v>1</v>
      </c>
      <c r="V259" s="7">
        <v>2E-3</v>
      </c>
      <c r="W259" s="75">
        <v>20</v>
      </c>
      <c r="X259" s="55">
        <f>IFERROR(Supplier_Perf_Table[[#This Row],[Actual_Delivery_Date]]-Supplier_Perf_Table[[#This Row],[Order Date]],"")</f>
        <v>20</v>
      </c>
      <c r="Y259" s="75">
        <v>8</v>
      </c>
      <c r="Z259" s="56">
        <f>IFERROR(Supplier_Perf_Table[[#This Row],[Expected Delivery_Date]]-Supplier_Perf_Table[[#This Row],[Order Date]],"")</f>
        <v>8</v>
      </c>
      <c r="AA259" s="56">
        <f>Supplier_Perf_Table[[#This Row],[Calculated_Lead_Time2]]-Supplier_Perf_Table[[#This Row],[Calculated_Expected_Lead_Time]]</f>
        <v>12</v>
      </c>
      <c r="AB259" s="75">
        <v>12</v>
      </c>
      <c r="AC259" s="63" t="s">
        <v>39</v>
      </c>
      <c r="AD259" s="63" t="s">
        <v>404</v>
      </c>
      <c r="AE259" s="63" t="s">
        <v>105</v>
      </c>
      <c r="AF259" s="63" t="s">
        <v>3088</v>
      </c>
      <c r="AG259" s="63" t="s">
        <v>43</v>
      </c>
      <c r="AH259" s="63" t="s">
        <v>174</v>
      </c>
      <c r="AI259" s="63" t="s">
        <v>44</v>
      </c>
      <c r="AJ259" s="63" t="s">
        <v>138</v>
      </c>
      <c r="AK259" s="83">
        <v>3.3</v>
      </c>
      <c r="AL259" s="63" t="s">
        <v>184</v>
      </c>
      <c r="AM259" s="63" t="s">
        <v>46</v>
      </c>
      <c r="AN259"/>
    </row>
    <row r="260" spans="1:40" ht="18" customHeight="1">
      <c r="A260" s="1" t="s">
        <v>945</v>
      </c>
      <c r="B260" s="1" t="s">
        <v>946</v>
      </c>
      <c r="C260" s="4">
        <v>46179</v>
      </c>
      <c r="D260" s="4">
        <v>46186</v>
      </c>
      <c r="E260" s="4">
        <v>46189</v>
      </c>
      <c r="F260" s="63" t="s">
        <v>162</v>
      </c>
      <c r="G260" s="63" t="s">
        <v>3847</v>
      </c>
      <c r="H260" s="63" t="s">
        <v>152</v>
      </c>
      <c r="I260" s="63" t="s">
        <v>83</v>
      </c>
      <c r="J260" s="63" t="s">
        <v>163</v>
      </c>
      <c r="K260" s="63" t="s">
        <v>947</v>
      </c>
      <c r="L260" s="63" t="s">
        <v>269</v>
      </c>
      <c r="M260" s="69">
        <v>1261.67</v>
      </c>
      <c r="N260" s="63" t="s">
        <v>38</v>
      </c>
      <c r="O260" s="73">
        <f>_xlfn.XLOOKUP(Supplier_Perf_Table[[#This Row],[Currency]],'Comments 2'!$C$4:$C$16,'Comments 2'!$D$4:$D$16)</f>
        <v>7.7000000000000002E-3</v>
      </c>
      <c r="P260" s="69">
        <f>IFERROR(Supplier_Perf_Table[[#This Row],[Unit_Cost]]*Supplier_Perf_Table[[#This Row],[Dollar Equivalent]],"")</f>
        <v>9.7148590000000006</v>
      </c>
      <c r="Q260" s="75">
        <v>1500</v>
      </c>
      <c r="R260" s="1">
        <v>1892505</v>
      </c>
      <c r="S260" s="75">
        <f>Supplier_Perf_Table[[#This Row],[Unit_Cost]]*Supplier_Perf_Table[[#This Row],[Order_Quantity]]</f>
        <v>1892505</v>
      </c>
      <c r="T260" s="75">
        <f>IFERROR(Supplier_Perf_Table[[#This Row],[Dollar Equivalent]]*Supplier_Perf_Table[[#This Row],[Ordered_Value]],"")</f>
        <v>14572.288500000001</v>
      </c>
      <c r="U260" s="75">
        <v>34</v>
      </c>
      <c r="V260" s="7">
        <v>2.2700000000000001E-2</v>
      </c>
      <c r="W260" s="75">
        <v>10</v>
      </c>
      <c r="X260" s="55">
        <f>IFERROR(Supplier_Perf_Table[[#This Row],[Actual_Delivery_Date]]-Supplier_Perf_Table[[#This Row],[Order Date]],"")</f>
        <v>10</v>
      </c>
      <c r="Y260" s="75">
        <v>7</v>
      </c>
      <c r="Z260" s="56">
        <f>IFERROR(Supplier_Perf_Table[[#This Row],[Expected Delivery_Date]]-Supplier_Perf_Table[[#This Row],[Order Date]],"")</f>
        <v>7</v>
      </c>
      <c r="AA260" s="56">
        <f>Supplier_Perf_Table[[#This Row],[Calculated_Lead_Time2]]-Supplier_Perf_Table[[#This Row],[Calculated_Expected_Lead_Time]]</f>
        <v>3</v>
      </c>
      <c r="AB260" s="75">
        <v>3</v>
      </c>
      <c r="AC260" s="63" t="s">
        <v>135</v>
      </c>
      <c r="AD260" s="63" t="s">
        <v>40</v>
      </c>
      <c r="AE260" s="63" t="s">
        <v>41</v>
      </c>
      <c r="AF260" s="63" t="s">
        <v>3088</v>
      </c>
      <c r="AG260" s="63" t="s">
        <v>173</v>
      </c>
      <c r="AH260" s="63" t="s">
        <v>88</v>
      </c>
      <c r="AI260" s="63" t="s">
        <v>138</v>
      </c>
      <c r="AJ260" s="63" t="s">
        <v>138</v>
      </c>
      <c r="AK260" s="83">
        <v>3.3</v>
      </c>
      <c r="AL260" s="63" t="s">
        <v>45</v>
      </c>
      <c r="AM260" s="63" t="s">
        <v>46</v>
      </c>
      <c r="AN260"/>
    </row>
    <row r="261" spans="1:40" ht="18" customHeight="1">
      <c r="A261" s="1" t="s">
        <v>948</v>
      </c>
      <c r="B261" s="1" t="s">
        <v>949</v>
      </c>
      <c r="C261" s="4">
        <v>46185</v>
      </c>
      <c r="D261" s="4">
        <v>46199</v>
      </c>
      <c r="E261" s="4">
        <v>46202</v>
      </c>
      <c r="F261" s="63" t="s">
        <v>48</v>
      </c>
      <c r="G261" s="63" t="s">
        <v>3836</v>
      </c>
      <c r="H261" s="63" t="s">
        <v>102</v>
      </c>
      <c r="I261" s="63" t="s">
        <v>70</v>
      </c>
      <c r="J261" s="63" t="s">
        <v>50</v>
      </c>
      <c r="K261" s="63" t="s">
        <v>950</v>
      </c>
      <c r="L261" s="63" t="s">
        <v>126</v>
      </c>
      <c r="M261" s="69" t="s">
        <v>3080</v>
      </c>
      <c r="N261" s="63" t="s">
        <v>104</v>
      </c>
      <c r="O261" s="73">
        <f>_xlfn.XLOOKUP(Supplier_Perf_Table[[#This Row],[Currency]],'Comments 2'!$C$4:$C$16,'Comments 2'!$D$4:$D$16)</f>
        <v>1.9E-2</v>
      </c>
      <c r="P261" s="69" t="str">
        <f>IFERROR(Supplier_Perf_Table[[#This Row],[Unit_Cost]]*Supplier_Perf_Table[[#This Row],[Dollar Equivalent]],"")</f>
        <v/>
      </c>
      <c r="Q261" s="75">
        <v>750</v>
      </c>
      <c r="R261" s="1">
        <v>3663525</v>
      </c>
      <c r="S261" s="75" t="e">
        <f>Supplier_Perf_Table[[#This Row],[Unit_Cost]]*Supplier_Perf_Table[[#This Row],[Order_Quantity]]</f>
        <v>#VALUE!</v>
      </c>
      <c r="T261" s="75">
        <f>IFERROR(Supplier_Perf_Table[[#This Row],[Dollar Equivalent]]*Supplier_Perf_Table[[#This Row],[Ordered_Value]],"")</f>
        <v>69606.974999999991</v>
      </c>
      <c r="U261" s="75">
        <v>0</v>
      </c>
      <c r="V261" s="7">
        <v>0</v>
      </c>
      <c r="W261" s="75">
        <v>17</v>
      </c>
      <c r="X261" s="55">
        <f>IFERROR(Supplier_Perf_Table[[#This Row],[Actual_Delivery_Date]]-Supplier_Perf_Table[[#This Row],[Order Date]],"")</f>
        <v>17</v>
      </c>
      <c r="Y261" s="75">
        <v>14</v>
      </c>
      <c r="Z261" s="56">
        <f>IFERROR(Supplier_Perf_Table[[#This Row],[Expected Delivery_Date]]-Supplier_Perf_Table[[#This Row],[Order Date]],"")</f>
        <v>14</v>
      </c>
      <c r="AA261" s="56">
        <f>Supplier_Perf_Table[[#This Row],[Calculated_Lead_Time2]]-Supplier_Perf_Table[[#This Row],[Calculated_Expected_Lead_Time]]</f>
        <v>3</v>
      </c>
      <c r="AB261" s="75">
        <v>3</v>
      </c>
      <c r="AC261" s="63" t="s">
        <v>166</v>
      </c>
      <c r="AD261" s="63" t="s">
        <v>3088</v>
      </c>
      <c r="AE261" s="63" t="s">
        <v>127</v>
      </c>
      <c r="AF261" s="63" t="s">
        <v>66</v>
      </c>
      <c r="AG261" s="63" t="s">
        <v>54</v>
      </c>
      <c r="AH261" s="63" t="s">
        <v>88</v>
      </c>
      <c r="AI261" s="63" t="s">
        <v>138</v>
      </c>
      <c r="AJ261" s="63" t="s">
        <v>138</v>
      </c>
      <c r="AK261" s="83">
        <v>3.9</v>
      </c>
      <c r="AL261" s="63" t="s">
        <v>76</v>
      </c>
      <c r="AM261" s="63" t="s">
        <v>148</v>
      </c>
      <c r="AN261"/>
    </row>
    <row r="262" spans="1:40" ht="18" customHeight="1">
      <c r="A262" s="1" t="s">
        <v>685</v>
      </c>
      <c r="B262" s="1" t="s">
        <v>951</v>
      </c>
      <c r="C262" s="4">
        <v>46172</v>
      </c>
      <c r="D262" s="4">
        <v>46187</v>
      </c>
      <c r="E262" s="4">
        <v>46190</v>
      </c>
      <c r="F262" s="63" t="s">
        <v>235</v>
      </c>
      <c r="G262" s="63" t="s">
        <v>3848</v>
      </c>
      <c r="H262" s="63" t="s">
        <v>479</v>
      </c>
      <c r="I262" s="63" t="s">
        <v>34</v>
      </c>
      <c r="J262" s="63" t="s">
        <v>62</v>
      </c>
      <c r="K262" s="63" t="s">
        <v>952</v>
      </c>
      <c r="L262" s="63" t="s">
        <v>122</v>
      </c>
      <c r="M262" s="69" t="s">
        <v>3080</v>
      </c>
      <c r="N262" s="63" t="s">
        <v>104</v>
      </c>
      <c r="O262" s="73">
        <f>_xlfn.XLOOKUP(Supplier_Perf_Table[[#This Row],[Currency]],'Comments 2'!$C$4:$C$16,'Comments 2'!$D$4:$D$16)</f>
        <v>1.9E-2</v>
      </c>
      <c r="P262" s="69" t="str">
        <f>IFERROR(Supplier_Perf_Table[[#This Row],[Unit_Cost]]*Supplier_Perf_Table[[#This Row],[Dollar Equivalent]],"")</f>
        <v/>
      </c>
      <c r="Q262" s="75">
        <v>200</v>
      </c>
      <c r="R262" s="1">
        <v>143498</v>
      </c>
      <c r="S262" s="75" t="e">
        <f>Supplier_Perf_Table[[#This Row],[Unit_Cost]]*Supplier_Perf_Table[[#This Row],[Order_Quantity]]</f>
        <v>#VALUE!</v>
      </c>
      <c r="T262" s="75">
        <f>IFERROR(Supplier_Perf_Table[[#This Row],[Dollar Equivalent]]*Supplier_Perf_Table[[#This Row],[Ordered_Value]],"")</f>
        <v>2726.462</v>
      </c>
      <c r="U262" s="75">
        <v>10</v>
      </c>
      <c r="V262" s="7">
        <v>0.05</v>
      </c>
      <c r="W262" s="75">
        <v>18</v>
      </c>
      <c r="X262" s="55">
        <f>IFERROR(Supplier_Perf_Table[[#This Row],[Actual_Delivery_Date]]-Supplier_Perf_Table[[#This Row],[Order Date]],"")</f>
        <v>18</v>
      </c>
      <c r="Y262" s="75">
        <v>15</v>
      </c>
      <c r="Z262" s="56">
        <f>IFERROR(Supplier_Perf_Table[[#This Row],[Expected Delivery_Date]]-Supplier_Perf_Table[[#This Row],[Order Date]],"")</f>
        <v>15</v>
      </c>
      <c r="AA262" s="56">
        <f>Supplier_Perf_Table[[#This Row],[Calculated_Lead_Time2]]-Supplier_Perf_Table[[#This Row],[Calculated_Expected_Lead_Time]]</f>
        <v>3</v>
      </c>
      <c r="AB262" s="75">
        <v>3</v>
      </c>
      <c r="AC262" s="63" t="s">
        <v>135</v>
      </c>
      <c r="AD262" s="63" t="s">
        <v>74</v>
      </c>
      <c r="AE262" s="63" t="s">
        <v>105</v>
      </c>
      <c r="AF262" s="63" t="s">
        <v>42</v>
      </c>
      <c r="AG262" s="63" t="s">
        <v>54</v>
      </c>
      <c r="AH262" s="63" t="s">
        <v>88</v>
      </c>
      <c r="AI262" s="63" t="s">
        <v>147</v>
      </c>
      <c r="AJ262" s="63" t="s">
        <v>183</v>
      </c>
      <c r="AK262" s="83">
        <v>4</v>
      </c>
      <c r="AL262" s="63" t="s">
        <v>115</v>
      </c>
      <c r="AM262" s="63" t="s">
        <v>77</v>
      </c>
      <c r="AN262"/>
    </row>
    <row r="263" spans="1:40" ht="18" customHeight="1">
      <c r="A263" s="1" t="s">
        <v>953</v>
      </c>
      <c r="B263" s="1" t="s">
        <v>954</v>
      </c>
      <c r="C263" s="4">
        <v>46113</v>
      </c>
      <c r="D263" s="4">
        <v>46121</v>
      </c>
      <c r="E263" s="4">
        <v>46127</v>
      </c>
      <c r="F263" s="63" t="s">
        <v>215</v>
      </c>
      <c r="G263" s="63" t="s">
        <v>3846</v>
      </c>
      <c r="H263" s="63" t="s">
        <v>152</v>
      </c>
      <c r="I263" s="63" t="s">
        <v>178</v>
      </c>
      <c r="J263" s="63" t="s">
        <v>35</v>
      </c>
      <c r="K263" s="63" t="s">
        <v>955</v>
      </c>
      <c r="L263" s="63" t="s">
        <v>180</v>
      </c>
      <c r="M263" s="69">
        <v>551.54999999999995</v>
      </c>
      <c r="N263" s="63" t="s">
        <v>53</v>
      </c>
      <c r="O263" s="73">
        <f>_xlfn.XLOOKUP(Supplier_Perf_Table[[#This Row],[Currency]],'Comments 2'!$C$4:$C$16,'Comments 2'!$D$4:$D$16)</f>
        <v>6.0999999999999999E-2</v>
      </c>
      <c r="P263" s="69">
        <f>IFERROR(Supplier_Perf_Table[[#This Row],[Unit_Cost]]*Supplier_Perf_Table[[#This Row],[Dollar Equivalent]],"")</f>
        <v>33.644549999999995</v>
      </c>
      <c r="Q263" s="75">
        <v>200</v>
      </c>
      <c r="R263" s="1">
        <v>110310</v>
      </c>
      <c r="S263" s="75">
        <f>Supplier_Perf_Table[[#This Row],[Unit_Cost]]*Supplier_Perf_Table[[#This Row],[Order_Quantity]]</f>
        <v>110309.99999999999</v>
      </c>
      <c r="T263" s="75">
        <f>IFERROR(Supplier_Perf_Table[[#This Row],[Dollar Equivalent]]*Supplier_Perf_Table[[#This Row],[Ordered_Value]],"")</f>
        <v>6728.91</v>
      </c>
      <c r="U263" s="75">
        <v>0</v>
      </c>
      <c r="V263" s="7">
        <v>0</v>
      </c>
      <c r="W263" s="75">
        <v>14</v>
      </c>
      <c r="X263" s="55">
        <f>IFERROR(Supplier_Perf_Table[[#This Row],[Actual_Delivery_Date]]-Supplier_Perf_Table[[#This Row],[Order Date]],"")</f>
        <v>14</v>
      </c>
      <c r="Y263" s="75">
        <v>8</v>
      </c>
      <c r="Z263" s="56">
        <f>IFERROR(Supplier_Perf_Table[[#This Row],[Expected Delivery_Date]]-Supplier_Perf_Table[[#This Row],[Order Date]],"")</f>
        <v>8</v>
      </c>
      <c r="AA263" s="56">
        <f>Supplier_Perf_Table[[#This Row],[Calculated_Lead_Time2]]-Supplier_Perf_Table[[#This Row],[Calculated_Expected_Lead_Time]]</f>
        <v>6</v>
      </c>
      <c r="AB263" s="75">
        <v>6</v>
      </c>
      <c r="AC263" s="63" t="s">
        <v>205</v>
      </c>
      <c r="AD263" s="63" t="s">
        <v>40</v>
      </c>
      <c r="AE263" s="63" t="s">
        <v>41</v>
      </c>
      <c r="AF263" s="63" t="s">
        <v>106</v>
      </c>
      <c r="AG263" s="63" t="s">
        <v>128</v>
      </c>
      <c r="AH263" s="63" t="s">
        <v>136</v>
      </c>
      <c r="AI263" s="63" t="s">
        <v>95</v>
      </c>
      <c r="AJ263" s="63" t="s">
        <v>138</v>
      </c>
      <c r="AK263" s="83">
        <v>2.5</v>
      </c>
      <c r="AL263" s="63" t="s">
        <v>115</v>
      </c>
      <c r="AM263" s="63" t="s">
        <v>46</v>
      </c>
      <c r="AN263"/>
    </row>
    <row r="264" spans="1:40" ht="18" customHeight="1">
      <c r="A264" s="1" t="s">
        <v>956</v>
      </c>
      <c r="B264" s="1" t="s">
        <v>957</v>
      </c>
      <c r="C264" s="4">
        <v>46048</v>
      </c>
      <c r="D264" s="4">
        <v>46064</v>
      </c>
      <c r="E264" s="4">
        <v>46069</v>
      </c>
      <c r="F264" s="63" t="s">
        <v>48</v>
      </c>
      <c r="G264" s="63" t="s">
        <v>3836</v>
      </c>
      <c r="H264" s="63" t="s">
        <v>102</v>
      </c>
      <c r="I264" s="63" t="s">
        <v>92</v>
      </c>
      <c r="J264" s="63" t="s">
        <v>50</v>
      </c>
      <c r="K264" s="63" t="s">
        <v>958</v>
      </c>
      <c r="L264" s="63" t="s">
        <v>145</v>
      </c>
      <c r="M264" s="69">
        <v>3782.1</v>
      </c>
      <c r="N264" s="63" t="s">
        <v>65</v>
      </c>
      <c r="O264" s="73">
        <f>_xlfn.XLOOKUP(Supplier_Perf_Table[[#This Row],[Currency]],'Comments 2'!$C$4:$C$16,'Comments 2'!$D$4:$D$16)</f>
        <v>1</v>
      </c>
      <c r="P264" s="69">
        <f>IFERROR(Supplier_Perf_Table[[#This Row],[Unit_Cost]]*Supplier_Perf_Table[[#This Row],[Dollar Equivalent]],"")</f>
        <v>3782.1</v>
      </c>
      <c r="Q264" s="75">
        <v>50</v>
      </c>
      <c r="R264" s="1">
        <v>189105</v>
      </c>
      <c r="S264" s="75">
        <f>Supplier_Perf_Table[[#This Row],[Unit_Cost]]*Supplier_Perf_Table[[#This Row],[Order_Quantity]]</f>
        <v>189105</v>
      </c>
      <c r="T264" s="75">
        <f>IFERROR(Supplier_Perf_Table[[#This Row],[Dollar Equivalent]]*Supplier_Perf_Table[[#This Row],[Ordered_Value]],"")</f>
        <v>189105</v>
      </c>
      <c r="U264" s="75">
        <v>2</v>
      </c>
      <c r="V264" s="7">
        <v>0.04</v>
      </c>
      <c r="W264" s="75">
        <v>21</v>
      </c>
      <c r="X264" s="55">
        <f>IFERROR(Supplier_Perf_Table[[#This Row],[Actual_Delivery_Date]]-Supplier_Perf_Table[[#This Row],[Order Date]],"")</f>
        <v>21</v>
      </c>
      <c r="Y264" s="75">
        <v>16</v>
      </c>
      <c r="Z264" s="56">
        <f>IFERROR(Supplier_Perf_Table[[#This Row],[Expected Delivery_Date]]-Supplier_Perf_Table[[#This Row],[Order Date]],"")</f>
        <v>16</v>
      </c>
      <c r="AA264" s="56">
        <f>Supplier_Perf_Table[[#This Row],[Calculated_Lead_Time2]]-Supplier_Perf_Table[[#This Row],[Calculated_Expected_Lead_Time]]</f>
        <v>5</v>
      </c>
      <c r="AB264" s="75">
        <v>5</v>
      </c>
      <c r="AC264" s="63" t="s">
        <v>39</v>
      </c>
      <c r="AD264" s="63" t="s">
        <v>40</v>
      </c>
      <c r="AE264" s="63" t="s">
        <v>105</v>
      </c>
      <c r="AF264" s="63" t="s">
        <v>106</v>
      </c>
      <c r="AG264" s="63" t="s">
        <v>3088</v>
      </c>
      <c r="AH264" s="63" t="s">
        <v>88</v>
      </c>
      <c r="AI264" s="63" t="s">
        <v>56</v>
      </c>
      <c r="AJ264" s="63" t="s">
        <v>138</v>
      </c>
      <c r="AK264" s="83">
        <v>3.4</v>
      </c>
      <c r="AL264" s="63" t="s">
        <v>184</v>
      </c>
      <c r="AM264" s="63" t="s">
        <v>46</v>
      </c>
      <c r="AN264"/>
    </row>
    <row r="265" spans="1:40" ht="18" customHeight="1">
      <c r="A265" s="1" t="s">
        <v>959</v>
      </c>
      <c r="B265" s="1" t="s">
        <v>960</v>
      </c>
      <c r="C265" s="4">
        <v>46084</v>
      </c>
      <c r="D265" s="4">
        <v>46099</v>
      </c>
      <c r="E265" s="4">
        <v>46104</v>
      </c>
      <c r="F265" s="63" t="s">
        <v>235</v>
      </c>
      <c r="G265" s="63" t="s">
        <v>3848</v>
      </c>
      <c r="H265" s="63" t="s">
        <v>479</v>
      </c>
      <c r="I265" s="63" t="s">
        <v>49</v>
      </c>
      <c r="J265" s="63" t="s">
        <v>71</v>
      </c>
      <c r="K265" s="63" t="s">
        <v>961</v>
      </c>
      <c r="L265" s="63" t="s">
        <v>553</v>
      </c>
      <c r="M265" s="69">
        <v>329.62</v>
      </c>
      <c r="N265" s="63" t="s">
        <v>86</v>
      </c>
      <c r="O265" s="73">
        <f>_xlfn.XLOOKUP(Supplier_Perf_Table[[#This Row],[Currency]],'Comments 2'!$C$4:$C$16,'Comments 2'!$D$4:$D$16)</f>
        <v>8.8999999999999996E-2</v>
      </c>
      <c r="P265" s="69">
        <f>IFERROR(Supplier_Perf_Table[[#This Row],[Unit_Cost]]*Supplier_Perf_Table[[#This Row],[Dollar Equivalent]],"")</f>
        <v>29.336179999999999</v>
      </c>
      <c r="Q265" s="75">
        <v>75</v>
      </c>
      <c r="R265" s="1">
        <v>24721.5</v>
      </c>
      <c r="S265" s="75">
        <f>Supplier_Perf_Table[[#This Row],[Unit_Cost]]*Supplier_Perf_Table[[#This Row],[Order_Quantity]]</f>
        <v>24721.5</v>
      </c>
      <c r="T265" s="75">
        <f>IFERROR(Supplier_Perf_Table[[#This Row],[Dollar Equivalent]]*Supplier_Perf_Table[[#This Row],[Ordered_Value]],"")</f>
        <v>2200.2134999999998</v>
      </c>
      <c r="U265" s="75">
        <v>1</v>
      </c>
      <c r="V265" s="7">
        <v>1.3299999999999999E-2</v>
      </c>
      <c r="W265" s="75">
        <v>20</v>
      </c>
      <c r="X265" s="55">
        <f>IFERROR(Supplier_Perf_Table[[#This Row],[Actual_Delivery_Date]]-Supplier_Perf_Table[[#This Row],[Order Date]],"")</f>
        <v>20</v>
      </c>
      <c r="Y265" s="75">
        <v>15</v>
      </c>
      <c r="Z265" s="56">
        <f>IFERROR(Supplier_Perf_Table[[#This Row],[Expected Delivery_Date]]-Supplier_Perf_Table[[#This Row],[Order Date]],"")</f>
        <v>15</v>
      </c>
      <c r="AA265" s="56">
        <f>Supplier_Perf_Table[[#This Row],[Calculated_Lead_Time2]]-Supplier_Perf_Table[[#This Row],[Calculated_Expected_Lead_Time]]</f>
        <v>5</v>
      </c>
      <c r="AB265" s="75">
        <v>5</v>
      </c>
      <c r="AC265" s="63" t="s">
        <v>135</v>
      </c>
      <c r="AD265" s="63" t="s">
        <v>40</v>
      </c>
      <c r="AE265" s="63" t="s">
        <v>105</v>
      </c>
      <c r="AF265" s="63" t="s">
        <v>106</v>
      </c>
      <c r="AG265" s="63" t="s">
        <v>128</v>
      </c>
      <c r="AH265" s="63" t="s">
        <v>3112</v>
      </c>
      <c r="AI265" s="63" t="s">
        <v>95</v>
      </c>
      <c r="AJ265" s="63" t="s">
        <v>138</v>
      </c>
      <c r="AK265" s="83">
        <v>3.8</v>
      </c>
      <c r="AL265" s="63" t="s">
        <v>139</v>
      </c>
      <c r="AM265" s="63" t="s">
        <v>46</v>
      </c>
      <c r="AN265"/>
    </row>
    <row r="266" spans="1:40" ht="18" customHeight="1">
      <c r="A266" s="1" t="s">
        <v>962</v>
      </c>
      <c r="B266" s="1" t="s">
        <v>963</v>
      </c>
      <c r="C266" s="4">
        <v>46128</v>
      </c>
      <c r="D266" s="4">
        <v>46133</v>
      </c>
      <c r="E266" s="4">
        <v>46139</v>
      </c>
      <c r="F266" s="63" t="s">
        <v>215</v>
      </c>
      <c r="G266" s="63" t="s">
        <v>3846</v>
      </c>
      <c r="H266" s="63" t="s">
        <v>152</v>
      </c>
      <c r="I266" s="63" t="s">
        <v>49</v>
      </c>
      <c r="J266" s="63" t="s">
        <v>112</v>
      </c>
      <c r="K266" s="63" t="s">
        <v>964</v>
      </c>
      <c r="L266" s="63" t="s">
        <v>246</v>
      </c>
      <c r="M266" s="69">
        <v>517.46</v>
      </c>
      <c r="N266" s="63" t="s">
        <v>104</v>
      </c>
      <c r="O266" s="73">
        <f>_xlfn.XLOOKUP(Supplier_Perf_Table[[#This Row],[Currency]],'Comments 2'!$C$4:$C$16,'Comments 2'!$D$4:$D$16)</f>
        <v>1.9E-2</v>
      </c>
      <c r="P266" s="69">
        <f>IFERROR(Supplier_Perf_Table[[#This Row],[Unit_Cost]]*Supplier_Perf_Table[[#This Row],[Dollar Equivalent]],"")</f>
        <v>9.8317399999999999</v>
      </c>
      <c r="Q266" s="75">
        <v>75</v>
      </c>
      <c r="R266" s="1">
        <v>38809.5</v>
      </c>
      <c r="S266" s="75">
        <f>Supplier_Perf_Table[[#This Row],[Unit_Cost]]*Supplier_Perf_Table[[#This Row],[Order_Quantity]]</f>
        <v>38809.5</v>
      </c>
      <c r="T266" s="75">
        <f>IFERROR(Supplier_Perf_Table[[#This Row],[Dollar Equivalent]]*Supplier_Perf_Table[[#This Row],[Ordered_Value]],"")</f>
        <v>737.38049999999998</v>
      </c>
      <c r="U266" s="75">
        <v>0</v>
      </c>
      <c r="V266" s="7">
        <v>0</v>
      </c>
      <c r="W266" s="75">
        <v>11</v>
      </c>
      <c r="X266" s="55">
        <f>IFERROR(Supplier_Perf_Table[[#This Row],[Actual_Delivery_Date]]-Supplier_Perf_Table[[#This Row],[Order Date]],"")</f>
        <v>11</v>
      </c>
      <c r="Y266" s="75">
        <v>5</v>
      </c>
      <c r="Z266" s="56">
        <f>IFERROR(Supplier_Perf_Table[[#This Row],[Expected Delivery_Date]]-Supplier_Perf_Table[[#This Row],[Order Date]],"")</f>
        <v>5</v>
      </c>
      <c r="AA266" s="56">
        <f>Supplier_Perf_Table[[#This Row],[Calculated_Lead_Time2]]-Supplier_Perf_Table[[#This Row],[Calculated_Expected_Lead_Time]]</f>
        <v>6</v>
      </c>
      <c r="AB266" s="75">
        <v>6</v>
      </c>
      <c r="AC266" s="63" t="s">
        <v>135</v>
      </c>
      <c r="AD266" s="63" t="s">
        <v>40</v>
      </c>
      <c r="AE266" s="63" t="s">
        <v>105</v>
      </c>
      <c r="AF266" s="63" t="s">
        <v>190</v>
      </c>
      <c r="AG266" s="63" t="s">
        <v>107</v>
      </c>
      <c r="AH266" s="63" t="s">
        <v>136</v>
      </c>
      <c r="AI266" s="63" t="s">
        <v>56</v>
      </c>
      <c r="AJ266" s="63" t="s">
        <v>138</v>
      </c>
      <c r="AK266" s="83">
        <v>2.5</v>
      </c>
      <c r="AL266" s="63" t="s">
        <v>45</v>
      </c>
      <c r="AM266" s="63" t="s">
        <v>46</v>
      </c>
      <c r="AN266"/>
    </row>
    <row r="267" spans="1:40" ht="18" customHeight="1">
      <c r="A267" s="1" t="s">
        <v>965</v>
      </c>
      <c r="B267" s="1" t="s">
        <v>966</v>
      </c>
      <c r="C267" s="4">
        <v>46201</v>
      </c>
      <c r="D267" s="4">
        <v>46215</v>
      </c>
      <c r="E267" s="4">
        <v>46221</v>
      </c>
      <c r="F267" s="63" t="s">
        <v>100</v>
      </c>
      <c r="G267" s="63" t="s">
        <v>3841</v>
      </c>
      <c r="H267" s="63" t="s">
        <v>102</v>
      </c>
      <c r="I267" s="63" t="s">
        <v>70</v>
      </c>
      <c r="J267" s="63" t="s">
        <v>50</v>
      </c>
      <c r="K267" s="63" t="s">
        <v>967</v>
      </c>
      <c r="L267" s="63" t="s">
        <v>145</v>
      </c>
      <c r="M267" s="69">
        <v>939.88</v>
      </c>
      <c r="N267" s="63" t="s">
        <v>86</v>
      </c>
      <c r="O267" s="73">
        <f>_xlfn.XLOOKUP(Supplier_Perf_Table[[#This Row],[Currency]],'Comments 2'!$C$4:$C$16,'Comments 2'!$D$4:$D$16)</f>
        <v>8.8999999999999996E-2</v>
      </c>
      <c r="P267" s="69">
        <f>IFERROR(Supplier_Perf_Table[[#This Row],[Unit_Cost]]*Supplier_Perf_Table[[#This Row],[Dollar Equivalent]],"")</f>
        <v>83.649319999999989</v>
      </c>
      <c r="Q267" s="75">
        <v>500</v>
      </c>
      <c r="R267" s="1">
        <v>469940</v>
      </c>
      <c r="S267" s="75">
        <f>Supplier_Perf_Table[[#This Row],[Unit_Cost]]*Supplier_Perf_Table[[#This Row],[Order_Quantity]]</f>
        <v>469940</v>
      </c>
      <c r="T267" s="75">
        <f>IFERROR(Supplier_Perf_Table[[#This Row],[Dollar Equivalent]]*Supplier_Perf_Table[[#This Row],[Ordered_Value]],"")</f>
        <v>41824.659999999996</v>
      </c>
      <c r="U267" s="75">
        <v>11</v>
      </c>
      <c r="V267" s="7">
        <v>2.1999999999999999E-2</v>
      </c>
      <c r="W267" s="75">
        <v>20</v>
      </c>
      <c r="X267" s="55">
        <f>IFERROR(Supplier_Perf_Table[[#This Row],[Actual_Delivery_Date]]-Supplier_Perf_Table[[#This Row],[Order Date]],"")</f>
        <v>20</v>
      </c>
      <c r="Y267" s="75">
        <v>14</v>
      </c>
      <c r="Z267" s="56">
        <f>IFERROR(Supplier_Perf_Table[[#This Row],[Expected Delivery_Date]]-Supplier_Perf_Table[[#This Row],[Order Date]],"")</f>
        <v>14</v>
      </c>
      <c r="AA267" s="56">
        <f>Supplier_Perf_Table[[#This Row],[Calculated_Lead_Time2]]-Supplier_Perf_Table[[#This Row],[Calculated_Expected_Lead_Time]]</f>
        <v>6</v>
      </c>
      <c r="AB267" s="75">
        <v>6</v>
      </c>
      <c r="AC267" s="63" t="s">
        <v>39</v>
      </c>
      <c r="AD267" s="63" t="s">
        <v>40</v>
      </c>
      <c r="AE267" s="63" t="s">
        <v>105</v>
      </c>
      <c r="AF267" s="63" t="s">
        <v>42</v>
      </c>
      <c r="AG267" s="63" t="s">
        <v>107</v>
      </c>
      <c r="AH267" s="63" t="s">
        <v>88</v>
      </c>
      <c r="AI267" s="63" t="s">
        <v>137</v>
      </c>
      <c r="AJ267" s="63" t="s">
        <v>138</v>
      </c>
      <c r="AK267" s="83">
        <v>-1</v>
      </c>
      <c r="AL267" s="63" t="s">
        <v>115</v>
      </c>
      <c r="AM267" s="63" t="s">
        <v>46</v>
      </c>
      <c r="AN267"/>
    </row>
    <row r="268" spans="1:40" ht="18" customHeight="1">
      <c r="A268" s="63" t="s">
        <v>968</v>
      </c>
      <c r="B268" s="63" t="s">
        <v>969</v>
      </c>
      <c r="C268" s="4">
        <v>46049</v>
      </c>
      <c r="D268" s="4">
        <v>46062</v>
      </c>
      <c r="E268" s="4">
        <v>46066</v>
      </c>
      <c r="F268" s="63" t="s">
        <v>235</v>
      </c>
      <c r="G268" s="63" t="s">
        <v>3848</v>
      </c>
      <c r="H268" s="63" t="s">
        <v>479</v>
      </c>
      <c r="I268" s="63" t="s">
        <v>178</v>
      </c>
      <c r="J268" s="63" t="s">
        <v>50</v>
      </c>
      <c r="K268" s="63" t="s">
        <v>125</v>
      </c>
      <c r="L268" s="63" t="s">
        <v>145</v>
      </c>
      <c r="M268" s="69">
        <v>1710.65</v>
      </c>
      <c r="N268" s="63" t="s">
        <v>86</v>
      </c>
      <c r="O268" s="73">
        <f>_xlfn.XLOOKUP(Supplier_Perf_Table[[#This Row],[Currency]],'Comments 2'!$C$4:$C$16,'Comments 2'!$D$4:$D$16)</f>
        <v>8.8999999999999996E-2</v>
      </c>
      <c r="P268" s="69">
        <f>IFERROR(Supplier_Perf_Table[[#This Row],[Unit_Cost]]*Supplier_Perf_Table[[#This Row],[Dollar Equivalent]],"")</f>
        <v>152.24785</v>
      </c>
      <c r="Q268" s="75">
        <v>250</v>
      </c>
      <c r="R268" s="1">
        <v>427662.5</v>
      </c>
      <c r="S268" s="75">
        <f>Supplier_Perf_Table[[#This Row],[Unit_Cost]]*Supplier_Perf_Table[[#This Row],[Order_Quantity]]</f>
        <v>427662.5</v>
      </c>
      <c r="T268" s="75">
        <f>IFERROR(Supplier_Perf_Table[[#This Row],[Dollar Equivalent]]*Supplier_Perf_Table[[#This Row],[Ordered_Value]],"")</f>
        <v>38061.962500000001</v>
      </c>
      <c r="U268" s="75">
        <v>4</v>
      </c>
      <c r="V268" s="7">
        <v>1.6E-2</v>
      </c>
      <c r="W268" s="75">
        <v>17</v>
      </c>
      <c r="X268" s="55">
        <f>IFERROR(Supplier_Perf_Table[[#This Row],[Actual_Delivery_Date]]-Supplier_Perf_Table[[#This Row],[Order Date]],"")</f>
        <v>17</v>
      </c>
      <c r="Y268" s="75">
        <v>13</v>
      </c>
      <c r="Z268" s="56">
        <f>IFERROR(Supplier_Perf_Table[[#This Row],[Expected Delivery_Date]]-Supplier_Perf_Table[[#This Row],[Order Date]],"")</f>
        <v>13</v>
      </c>
      <c r="AA268" s="56">
        <f>Supplier_Perf_Table[[#This Row],[Calculated_Lead_Time2]]-Supplier_Perf_Table[[#This Row],[Calculated_Expected_Lead_Time]]</f>
        <v>4</v>
      </c>
      <c r="AB268" s="75">
        <v>4</v>
      </c>
      <c r="AC268" s="63" t="s">
        <v>39</v>
      </c>
      <c r="AD268" s="63" t="s">
        <v>40</v>
      </c>
      <c r="AE268" s="63" t="s">
        <v>105</v>
      </c>
      <c r="AF268" s="63" t="s">
        <v>3088</v>
      </c>
      <c r="AG268" s="63" t="s">
        <v>43</v>
      </c>
      <c r="AH268" s="63" t="s">
        <v>129</v>
      </c>
      <c r="AI268" s="63" t="s">
        <v>137</v>
      </c>
      <c r="AJ268" s="63" t="s">
        <v>138</v>
      </c>
      <c r="AK268" s="83">
        <v>4.3</v>
      </c>
      <c r="AL268" s="63" t="s">
        <v>139</v>
      </c>
      <c r="AM268" s="63" t="s">
        <v>46</v>
      </c>
      <c r="AN268"/>
    </row>
    <row r="269" spans="1:40" ht="18" customHeight="1">
      <c r="A269" s="1" t="s">
        <v>970</v>
      </c>
      <c r="B269" s="1" t="s">
        <v>971</v>
      </c>
      <c r="C269" s="4">
        <v>46123</v>
      </c>
      <c r="D269" s="4">
        <v>46141</v>
      </c>
      <c r="E269" s="4">
        <v>46145</v>
      </c>
      <c r="F269" s="63" t="s">
        <v>256</v>
      </c>
      <c r="G269" s="63" t="s">
        <v>3849</v>
      </c>
      <c r="H269" s="63" t="s">
        <v>258</v>
      </c>
      <c r="I269" s="63" t="s">
        <v>120</v>
      </c>
      <c r="J269" s="63" t="s">
        <v>71</v>
      </c>
      <c r="K269" s="63" t="s">
        <v>972</v>
      </c>
      <c r="L269" s="63" t="s">
        <v>337</v>
      </c>
      <c r="M269" s="69">
        <v>715.37</v>
      </c>
      <c r="N269" s="63" t="s">
        <v>291</v>
      </c>
      <c r="O269" s="73">
        <f>_xlfn.XLOOKUP(Supplier_Perf_Table[[#This Row],[Currency]],'Comments 2'!$C$4:$C$16,'Comments 2'!$D$4:$D$16)</f>
        <v>7.2999999999999996E-4</v>
      </c>
      <c r="P269" s="69">
        <f>IFERROR(Supplier_Perf_Table[[#This Row],[Unit_Cost]]*Supplier_Perf_Table[[#This Row],[Dollar Equivalent]],"")</f>
        <v>0.52222009999999996</v>
      </c>
      <c r="Q269" s="75">
        <v>500</v>
      </c>
      <c r="R269" s="1">
        <v>357685</v>
      </c>
      <c r="S269" s="75">
        <f>Supplier_Perf_Table[[#This Row],[Unit_Cost]]*Supplier_Perf_Table[[#This Row],[Order_Quantity]]</f>
        <v>357685</v>
      </c>
      <c r="T269" s="75">
        <f>IFERROR(Supplier_Perf_Table[[#This Row],[Dollar Equivalent]]*Supplier_Perf_Table[[#This Row],[Ordered_Value]],"")</f>
        <v>261.11005</v>
      </c>
      <c r="U269" s="75">
        <v>7</v>
      </c>
      <c r="V269" s="7">
        <v>1.4E-2</v>
      </c>
      <c r="W269" s="75">
        <v>22</v>
      </c>
      <c r="X269" s="55">
        <f>IFERROR(Supplier_Perf_Table[[#This Row],[Actual_Delivery_Date]]-Supplier_Perf_Table[[#This Row],[Order Date]],"")</f>
        <v>22</v>
      </c>
      <c r="Y269" s="75">
        <v>18</v>
      </c>
      <c r="Z269" s="56">
        <f>IFERROR(Supplier_Perf_Table[[#This Row],[Expected Delivery_Date]]-Supplier_Perf_Table[[#This Row],[Order Date]],"")</f>
        <v>18</v>
      </c>
      <c r="AA269" s="56">
        <f>Supplier_Perf_Table[[#This Row],[Calculated_Lead_Time2]]-Supplier_Perf_Table[[#This Row],[Calculated_Expected_Lead_Time]]</f>
        <v>4</v>
      </c>
      <c r="AB269" s="75">
        <v>4</v>
      </c>
      <c r="AC269" s="63" t="s">
        <v>39</v>
      </c>
      <c r="AD269" s="63" t="s">
        <v>40</v>
      </c>
      <c r="AE269" s="63" t="s">
        <v>41</v>
      </c>
      <c r="AF269" s="63" t="s">
        <v>190</v>
      </c>
      <c r="AG269" s="63" t="s">
        <v>54</v>
      </c>
      <c r="AH269" s="63" t="s">
        <v>3112</v>
      </c>
      <c r="AI269" s="63" t="s">
        <v>137</v>
      </c>
      <c r="AJ269" s="63" t="s">
        <v>138</v>
      </c>
      <c r="AK269" s="83">
        <v>6</v>
      </c>
      <c r="AL269" s="63" t="s">
        <v>45</v>
      </c>
      <c r="AM269" s="63" t="s">
        <v>46</v>
      </c>
      <c r="AN269"/>
    </row>
    <row r="270" spans="1:40" ht="18" customHeight="1">
      <c r="A270" s="1" t="s">
        <v>973</v>
      </c>
      <c r="B270" s="1" t="s">
        <v>974</v>
      </c>
      <c r="C270" s="4">
        <v>46122</v>
      </c>
      <c r="D270" s="4">
        <v>46144</v>
      </c>
      <c r="E270" s="4">
        <v>46149</v>
      </c>
      <c r="F270" s="63" t="s">
        <v>118</v>
      </c>
      <c r="G270" s="63" t="s">
        <v>3842</v>
      </c>
      <c r="H270" s="63" t="s">
        <v>301</v>
      </c>
      <c r="I270" s="63" t="s">
        <v>92</v>
      </c>
      <c r="J270" s="63" t="s">
        <v>62</v>
      </c>
      <c r="K270" s="63" t="s">
        <v>975</v>
      </c>
      <c r="L270" s="63" t="s">
        <v>225</v>
      </c>
      <c r="M270" s="69">
        <v>376.29</v>
      </c>
      <c r="N270" s="63" t="s">
        <v>104</v>
      </c>
      <c r="O270" s="73">
        <f>_xlfn.XLOOKUP(Supplier_Perf_Table[[#This Row],[Currency]],'Comments 2'!$C$4:$C$16,'Comments 2'!$D$4:$D$16)</f>
        <v>1.9E-2</v>
      </c>
      <c r="P270" s="69">
        <f>IFERROR(Supplier_Perf_Table[[#This Row],[Unit_Cost]]*Supplier_Perf_Table[[#This Row],[Dollar Equivalent]],"")</f>
        <v>7.1495100000000003</v>
      </c>
      <c r="Q270" s="75">
        <v>1500</v>
      </c>
      <c r="R270" s="1">
        <v>564435</v>
      </c>
      <c r="S270" s="75">
        <f>Supplier_Perf_Table[[#This Row],[Unit_Cost]]*Supplier_Perf_Table[[#This Row],[Order_Quantity]]</f>
        <v>564435</v>
      </c>
      <c r="T270" s="75">
        <f>IFERROR(Supplier_Perf_Table[[#This Row],[Dollar Equivalent]]*Supplier_Perf_Table[[#This Row],[Ordered_Value]],"")</f>
        <v>10724.264999999999</v>
      </c>
      <c r="U270" s="75">
        <v>32</v>
      </c>
      <c r="V270" s="7">
        <v>2.1299999999999999E-2</v>
      </c>
      <c r="W270" s="75">
        <v>27</v>
      </c>
      <c r="X270" s="55">
        <f>IFERROR(Supplier_Perf_Table[[#This Row],[Actual_Delivery_Date]]-Supplier_Perf_Table[[#This Row],[Order Date]],"")</f>
        <v>27</v>
      </c>
      <c r="Y270" s="75">
        <v>22</v>
      </c>
      <c r="Z270" s="56">
        <f>IFERROR(Supplier_Perf_Table[[#This Row],[Expected Delivery_Date]]-Supplier_Perf_Table[[#This Row],[Order Date]],"")</f>
        <v>22</v>
      </c>
      <c r="AA270" s="56">
        <f>Supplier_Perf_Table[[#This Row],[Calculated_Lead_Time2]]-Supplier_Perf_Table[[#This Row],[Calculated_Expected_Lead_Time]]</f>
        <v>5</v>
      </c>
      <c r="AB270" s="75">
        <v>5</v>
      </c>
      <c r="AC270" s="63" t="s">
        <v>39</v>
      </c>
      <c r="AD270" s="63" t="s">
        <v>40</v>
      </c>
      <c r="AE270" s="63" t="s">
        <v>3088</v>
      </c>
      <c r="AF270" s="63" t="s">
        <v>3088</v>
      </c>
      <c r="AG270" s="63" t="s">
        <v>128</v>
      </c>
      <c r="AH270" s="63" t="s">
        <v>3112</v>
      </c>
      <c r="AI270" s="63" t="s">
        <v>191</v>
      </c>
      <c r="AJ270" s="63" t="s">
        <v>138</v>
      </c>
      <c r="AK270" s="83">
        <v>3.4</v>
      </c>
      <c r="AL270" s="63" t="s">
        <v>184</v>
      </c>
      <c r="AM270" s="63" t="s">
        <v>148</v>
      </c>
      <c r="AN270"/>
    </row>
    <row r="271" spans="1:40" ht="18" customHeight="1">
      <c r="A271" s="1" t="s">
        <v>976</v>
      </c>
      <c r="B271" s="1" t="s">
        <v>977</v>
      </c>
      <c r="C271" s="4">
        <v>46163</v>
      </c>
      <c r="D271" s="4">
        <v>46180</v>
      </c>
      <c r="E271" s="4">
        <v>46196</v>
      </c>
      <c r="F271" s="63" t="s">
        <v>118</v>
      </c>
      <c r="G271" s="63" t="s">
        <v>3842</v>
      </c>
      <c r="H271" s="63" t="s">
        <v>301</v>
      </c>
      <c r="I271" s="63" t="s">
        <v>241</v>
      </c>
      <c r="J271" s="63" t="s">
        <v>62</v>
      </c>
      <c r="K271" s="63" t="s">
        <v>978</v>
      </c>
      <c r="L271" s="63" t="s">
        <v>64</v>
      </c>
      <c r="M271" s="69">
        <v>154.01</v>
      </c>
      <c r="N271" s="63" t="s">
        <v>38</v>
      </c>
      <c r="O271" s="73">
        <f>_xlfn.XLOOKUP(Supplier_Perf_Table[[#This Row],[Currency]],'Comments 2'!$C$4:$C$16,'Comments 2'!$D$4:$D$16)</f>
        <v>7.7000000000000002E-3</v>
      </c>
      <c r="P271" s="69">
        <f>IFERROR(Supplier_Perf_Table[[#This Row],[Unit_Cost]]*Supplier_Perf_Table[[#This Row],[Dollar Equivalent]],"")</f>
        <v>1.1858770000000001</v>
      </c>
      <c r="Q271" s="75">
        <v>250</v>
      </c>
      <c r="R271" s="1">
        <v>38502.5</v>
      </c>
      <c r="S271" s="75">
        <f>Supplier_Perf_Table[[#This Row],[Unit_Cost]]*Supplier_Perf_Table[[#This Row],[Order_Quantity]]</f>
        <v>38502.5</v>
      </c>
      <c r="T271" s="75">
        <f>IFERROR(Supplier_Perf_Table[[#This Row],[Dollar Equivalent]]*Supplier_Perf_Table[[#This Row],[Ordered_Value]],"")</f>
        <v>296.46924999999999</v>
      </c>
      <c r="U271" s="75">
        <v>0</v>
      </c>
      <c r="V271" s="7">
        <v>0</v>
      </c>
      <c r="W271" s="75">
        <v>33</v>
      </c>
      <c r="X271" s="55">
        <f>IFERROR(Supplier_Perf_Table[[#This Row],[Actual_Delivery_Date]]-Supplier_Perf_Table[[#This Row],[Order Date]],"")</f>
        <v>33</v>
      </c>
      <c r="Y271" s="75">
        <v>17</v>
      </c>
      <c r="Z271" s="56">
        <f>IFERROR(Supplier_Perf_Table[[#This Row],[Expected Delivery_Date]]-Supplier_Perf_Table[[#This Row],[Order Date]],"")</f>
        <v>17</v>
      </c>
      <c r="AA271" s="56">
        <f>Supplier_Perf_Table[[#This Row],[Calculated_Lead_Time2]]-Supplier_Perf_Table[[#This Row],[Calculated_Expected_Lead_Time]]</f>
        <v>16</v>
      </c>
      <c r="AB271" s="75">
        <v>16</v>
      </c>
      <c r="AC271" s="63" t="s">
        <v>39</v>
      </c>
      <c r="AD271" s="63" t="s">
        <v>40</v>
      </c>
      <c r="AE271" s="63" t="s">
        <v>127</v>
      </c>
      <c r="AF271" s="63" t="s">
        <v>3088</v>
      </c>
      <c r="AG271" s="63" t="s">
        <v>43</v>
      </c>
      <c r="AH271" s="63" t="s">
        <v>55</v>
      </c>
      <c r="AI271" s="63" t="s">
        <v>191</v>
      </c>
      <c r="AJ271" s="63" t="s">
        <v>138</v>
      </c>
      <c r="AK271" s="83">
        <v>1.5</v>
      </c>
      <c r="AL271" s="63" t="s">
        <v>76</v>
      </c>
      <c r="AM271" s="63" t="s">
        <v>148</v>
      </c>
      <c r="AN271"/>
    </row>
    <row r="272" spans="1:40" ht="18" customHeight="1">
      <c r="A272" s="1" t="s">
        <v>979</v>
      </c>
      <c r="B272" s="1" t="s">
        <v>980</v>
      </c>
      <c r="C272" s="4">
        <v>46030</v>
      </c>
      <c r="D272" s="4">
        <v>46035</v>
      </c>
      <c r="E272" s="4">
        <v>46039</v>
      </c>
      <c r="F272" s="63" t="s">
        <v>215</v>
      </c>
      <c r="G272" s="63" t="s">
        <v>3846</v>
      </c>
      <c r="H272" s="63" t="s">
        <v>152</v>
      </c>
      <c r="I272" s="63" t="s">
        <v>178</v>
      </c>
      <c r="J272" s="63" t="s">
        <v>62</v>
      </c>
      <c r="K272" s="63" t="s">
        <v>981</v>
      </c>
      <c r="L272" s="63" t="s">
        <v>64</v>
      </c>
      <c r="M272" s="69">
        <v>343.65</v>
      </c>
      <c r="N272" s="63" t="s">
        <v>65</v>
      </c>
      <c r="O272" s="73">
        <f>_xlfn.XLOOKUP(Supplier_Perf_Table[[#This Row],[Currency]],'Comments 2'!$C$4:$C$16,'Comments 2'!$D$4:$D$16)</f>
        <v>1</v>
      </c>
      <c r="P272" s="69">
        <f>IFERROR(Supplier_Perf_Table[[#This Row],[Unit_Cost]]*Supplier_Perf_Table[[#This Row],[Dollar Equivalent]],"")</f>
        <v>343.65</v>
      </c>
      <c r="Q272" s="75">
        <v>200</v>
      </c>
      <c r="R272" s="1">
        <v>68730</v>
      </c>
      <c r="S272" s="75">
        <f>Supplier_Perf_Table[[#This Row],[Unit_Cost]]*Supplier_Perf_Table[[#This Row],[Order_Quantity]]</f>
        <v>68730</v>
      </c>
      <c r="T272" s="75">
        <f>IFERROR(Supplier_Perf_Table[[#This Row],[Dollar Equivalent]]*Supplier_Perf_Table[[#This Row],[Ordered_Value]],"")</f>
        <v>68730</v>
      </c>
      <c r="U272" s="75">
        <v>4</v>
      </c>
      <c r="V272" s="7">
        <v>0.02</v>
      </c>
      <c r="W272" s="75">
        <v>9</v>
      </c>
      <c r="X272" s="55">
        <f>IFERROR(Supplier_Perf_Table[[#This Row],[Actual_Delivery_Date]]-Supplier_Perf_Table[[#This Row],[Order Date]],"")</f>
        <v>9</v>
      </c>
      <c r="Y272" s="75">
        <v>5</v>
      </c>
      <c r="Z272" s="56">
        <f>IFERROR(Supplier_Perf_Table[[#This Row],[Expected Delivery_Date]]-Supplier_Perf_Table[[#This Row],[Order Date]],"")</f>
        <v>5</v>
      </c>
      <c r="AA272" s="56">
        <f>Supplier_Perf_Table[[#This Row],[Calculated_Lead_Time2]]-Supplier_Perf_Table[[#This Row],[Calculated_Expected_Lead_Time]]</f>
        <v>4</v>
      </c>
      <c r="AB272" s="75"/>
      <c r="AC272" s="63" t="s">
        <v>39</v>
      </c>
      <c r="AD272" s="63" t="s">
        <v>3088</v>
      </c>
      <c r="AE272" s="63" t="s">
        <v>41</v>
      </c>
      <c r="AF272" s="63" t="s">
        <v>3088</v>
      </c>
      <c r="AG272" s="63" t="s">
        <v>3088</v>
      </c>
      <c r="AH272" s="63" t="s">
        <v>3112</v>
      </c>
      <c r="AI272" s="63" t="s">
        <v>137</v>
      </c>
      <c r="AJ272" s="63" t="s">
        <v>138</v>
      </c>
      <c r="AK272" s="83">
        <v>4.3</v>
      </c>
      <c r="AL272" s="63" t="s">
        <v>45</v>
      </c>
      <c r="AM272" s="63" t="s">
        <v>46</v>
      </c>
      <c r="AN272"/>
    </row>
    <row r="273" spans="1:40" ht="18" customHeight="1">
      <c r="A273" s="1" t="s">
        <v>982</v>
      </c>
      <c r="B273" s="1" t="s">
        <v>983</v>
      </c>
      <c r="C273" s="4">
        <v>46099</v>
      </c>
      <c r="D273" s="4">
        <v>46108</v>
      </c>
      <c r="E273" s="4">
        <v>46113</v>
      </c>
      <c r="F273" s="63" t="s">
        <v>100</v>
      </c>
      <c r="G273" s="63" t="s">
        <v>3841</v>
      </c>
      <c r="H273" s="63" t="s">
        <v>102</v>
      </c>
      <c r="I273" s="63" t="s">
        <v>83</v>
      </c>
      <c r="J273" s="63" t="s">
        <v>35</v>
      </c>
      <c r="K273" s="63" t="s">
        <v>984</v>
      </c>
      <c r="L273" s="63" t="s">
        <v>85</v>
      </c>
      <c r="M273" s="69">
        <v>1600.77</v>
      </c>
      <c r="N273" s="63" t="s">
        <v>159</v>
      </c>
      <c r="O273" s="73">
        <f>_xlfn.XLOOKUP(Supplier_Perf_Table[[#This Row],[Currency]],'Comments 2'!$C$4:$C$16,'Comments 2'!$D$4:$D$16)</f>
        <v>7.2999999999999996E-4</v>
      </c>
      <c r="P273" s="69">
        <f>IFERROR(Supplier_Perf_Table[[#This Row],[Unit_Cost]]*Supplier_Perf_Table[[#This Row],[Dollar Equivalent]],"")</f>
        <v>1.1685620999999999</v>
      </c>
      <c r="Q273" s="75">
        <v>2000</v>
      </c>
      <c r="R273" s="1">
        <v>3201540</v>
      </c>
      <c r="S273" s="75">
        <f>Supplier_Perf_Table[[#This Row],[Unit_Cost]]*Supplier_Perf_Table[[#This Row],[Order_Quantity]]</f>
        <v>3201540</v>
      </c>
      <c r="T273" s="75">
        <f>IFERROR(Supplier_Perf_Table[[#This Row],[Dollar Equivalent]]*Supplier_Perf_Table[[#This Row],[Ordered_Value]],"")</f>
        <v>2337.1241999999997</v>
      </c>
      <c r="U273" s="75">
        <v>6</v>
      </c>
      <c r="V273" s="7">
        <v>3.0000000000000001E-3</v>
      </c>
      <c r="W273" s="75">
        <v>14</v>
      </c>
      <c r="X273" s="55">
        <f>IFERROR(Supplier_Perf_Table[[#This Row],[Actual_Delivery_Date]]-Supplier_Perf_Table[[#This Row],[Order Date]],"")</f>
        <v>14</v>
      </c>
      <c r="Y273" s="75">
        <v>9</v>
      </c>
      <c r="Z273" s="56">
        <f>IFERROR(Supplier_Perf_Table[[#This Row],[Expected Delivery_Date]]-Supplier_Perf_Table[[#This Row],[Order Date]],"")</f>
        <v>9</v>
      </c>
      <c r="AA273" s="56">
        <f>Supplier_Perf_Table[[#This Row],[Calculated_Lead_Time2]]-Supplier_Perf_Table[[#This Row],[Calculated_Expected_Lead_Time]]</f>
        <v>5</v>
      </c>
      <c r="AB273" s="75">
        <v>5</v>
      </c>
      <c r="AC273" s="63" t="s">
        <v>135</v>
      </c>
      <c r="AD273" s="63" t="s">
        <v>40</v>
      </c>
      <c r="AE273" s="63" t="s">
        <v>127</v>
      </c>
      <c r="AF273" s="63" t="s">
        <v>106</v>
      </c>
      <c r="AG273" s="63" t="s">
        <v>43</v>
      </c>
      <c r="AH273" s="63" t="s">
        <v>3112</v>
      </c>
      <c r="AI273" s="63" t="s">
        <v>95</v>
      </c>
      <c r="AJ273" s="63" t="s">
        <v>138</v>
      </c>
      <c r="AK273" s="83">
        <v>4</v>
      </c>
      <c r="AL273" s="63" t="s">
        <v>184</v>
      </c>
      <c r="AM273" s="63" t="s">
        <v>148</v>
      </c>
      <c r="AN273"/>
    </row>
    <row r="274" spans="1:40" ht="18" customHeight="1">
      <c r="A274" s="1" t="s">
        <v>985</v>
      </c>
      <c r="B274" s="1" t="s">
        <v>986</v>
      </c>
      <c r="C274" s="4">
        <v>46124</v>
      </c>
      <c r="D274" s="4">
        <v>46144</v>
      </c>
      <c r="E274" s="4">
        <v>46138</v>
      </c>
      <c r="F274" s="63" t="s">
        <v>118</v>
      </c>
      <c r="G274" s="63" t="s">
        <v>3842</v>
      </c>
      <c r="H274" s="63" t="s">
        <v>301</v>
      </c>
      <c r="I274" s="63" t="s">
        <v>178</v>
      </c>
      <c r="J274" s="63" t="s">
        <v>62</v>
      </c>
      <c r="K274" s="63" t="s">
        <v>987</v>
      </c>
      <c r="L274" s="63" t="s">
        <v>64</v>
      </c>
      <c r="M274" s="69">
        <v>284.68</v>
      </c>
      <c r="N274" s="63" t="s">
        <v>104</v>
      </c>
      <c r="O274" s="73">
        <f>_xlfn.XLOOKUP(Supplier_Perf_Table[[#This Row],[Currency]],'Comments 2'!$C$4:$C$16,'Comments 2'!$D$4:$D$16)</f>
        <v>1.9E-2</v>
      </c>
      <c r="P274" s="69">
        <f>IFERROR(Supplier_Perf_Table[[#This Row],[Unit_Cost]]*Supplier_Perf_Table[[#This Row],[Dollar Equivalent]],"")</f>
        <v>5.4089200000000002</v>
      </c>
      <c r="Q274" s="75">
        <v>100</v>
      </c>
      <c r="R274" s="1" t="s">
        <v>3080</v>
      </c>
      <c r="S274" s="75">
        <f>Supplier_Perf_Table[[#This Row],[Unit_Cost]]*Supplier_Perf_Table[[#This Row],[Order_Quantity]]</f>
        <v>28468</v>
      </c>
      <c r="T274" s="75" t="str">
        <f>IFERROR(Supplier_Perf_Table[[#This Row],[Dollar Equivalent]]*Supplier_Perf_Table[[#This Row],[Ordered_Value]],"")</f>
        <v/>
      </c>
      <c r="U274" s="75">
        <v>1</v>
      </c>
      <c r="V274" s="7">
        <v>0.01</v>
      </c>
      <c r="W274" s="75">
        <v>14</v>
      </c>
      <c r="X274" s="55">
        <f>IFERROR(Supplier_Perf_Table[[#This Row],[Actual_Delivery_Date]]-Supplier_Perf_Table[[#This Row],[Order Date]],"")</f>
        <v>14</v>
      </c>
      <c r="Y274" s="75">
        <v>20</v>
      </c>
      <c r="Z274" s="56">
        <f>IFERROR(Supplier_Perf_Table[[#This Row],[Expected Delivery_Date]]-Supplier_Perf_Table[[#This Row],[Order Date]],"")</f>
        <v>20</v>
      </c>
      <c r="AA274" s="56">
        <f>Supplier_Perf_Table[[#This Row],[Calculated_Lead_Time2]]-Supplier_Perf_Table[[#This Row],[Calculated_Expected_Lead_Time]]</f>
        <v>-6</v>
      </c>
      <c r="AB274" s="75">
        <v>-6</v>
      </c>
      <c r="AC274" s="63" t="s">
        <v>270</v>
      </c>
      <c r="AD274" s="63" t="s">
        <v>40</v>
      </c>
      <c r="AE274" s="63" t="s">
        <v>105</v>
      </c>
      <c r="AF274" s="63" t="s">
        <v>190</v>
      </c>
      <c r="AG274" s="63" t="s">
        <v>173</v>
      </c>
      <c r="AH274" s="63" t="s">
        <v>88</v>
      </c>
      <c r="AI274" s="63" t="s">
        <v>95</v>
      </c>
      <c r="AJ274" s="63" t="s">
        <v>138</v>
      </c>
      <c r="AK274" s="83">
        <v>2.2999999999999998</v>
      </c>
      <c r="AL274" s="63" t="s">
        <v>115</v>
      </c>
      <c r="AM274" s="63" t="s">
        <v>138</v>
      </c>
      <c r="AN274"/>
    </row>
    <row r="275" spans="1:40" ht="18" customHeight="1">
      <c r="A275" s="1" t="s">
        <v>988</v>
      </c>
      <c r="B275" s="1" t="s">
        <v>989</v>
      </c>
      <c r="C275" s="4">
        <v>46066</v>
      </c>
      <c r="D275" s="4">
        <v>46085</v>
      </c>
      <c r="E275" s="4">
        <v>46085</v>
      </c>
      <c r="F275" s="63" t="s">
        <v>32</v>
      </c>
      <c r="G275" s="63" t="s">
        <v>3835</v>
      </c>
      <c r="H275" s="63" t="s">
        <v>177</v>
      </c>
      <c r="I275" s="63" t="s">
        <v>49</v>
      </c>
      <c r="J275" s="63" t="s">
        <v>35</v>
      </c>
      <c r="K275" s="63" t="s">
        <v>990</v>
      </c>
      <c r="L275" s="63" t="s">
        <v>37</v>
      </c>
      <c r="M275" s="69">
        <v>3649.15</v>
      </c>
      <c r="N275" s="63" t="s">
        <v>159</v>
      </c>
      <c r="O275" s="73">
        <f>_xlfn.XLOOKUP(Supplier_Perf_Table[[#This Row],[Currency]],'Comments 2'!$C$4:$C$16,'Comments 2'!$D$4:$D$16)</f>
        <v>7.2999999999999996E-4</v>
      </c>
      <c r="P275" s="69">
        <f>IFERROR(Supplier_Perf_Table[[#This Row],[Unit_Cost]]*Supplier_Perf_Table[[#This Row],[Dollar Equivalent]],"")</f>
        <v>2.6638794999999997</v>
      </c>
      <c r="Q275" s="75">
        <v>250</v>
      </c>
      <c r="R275" s="1">
        <v>912287.5</v>
      </c>
      <c r="S275" s="75">
        <f>Supplier_Perf_Table[[#This Row],[Unit_Cost]]*Supplier_Perf_Table[[#This Row],[Order_Quantity]]</f>
        <v>912287.5</v>
      </c>
      <c r="T275" s="75">
        <f>IFERROR(Supplier_Perf_Table[[#This Row],[Dollar Equivalent]]*Supplier_Perf_Table[[#This Row],[Ordered_Value]],"")</f>
        <v>665.969875</v>
      </c>
      <c r="U275" s="75">
        <v>15</v>
      </c>
      <c r="V275" s="7">
        <v>0.06</v>
      </c>
      <c r="W275" s="75" t="s">
        <v>3080</v>
      </c>
      <c r="X275" s="55">
        <f>IFERROR(Supplier_Perf_Table[[#This Row],[Actual_Delivery_Date]]-Supplier_Perf_Table[[#This Row],[Order Date]],"")</f>
        <v>19</v>
      </c>
      <c r="Y275" s="75">
        <v>19</v>
      </c>
      <c r="Z275" s="56">
        <f>IFERROR(Supplier_Perf_Table[[#This Row],[Expected Delivery_Date]]-Supplier_Perf_Table[[#This Row],[Order Date]],"")</f>
        <v>19</v>
      </c>
      <c r="AA275" s="56">
        <f>Supplier_Perf_Table[[#This Row],[Calculated_Lead_Time2]]-Supplier_Perf_Table[[#This Row],[Calculated_Expected_Lead_Time]]</f>
        <v>0</v>
      </c>
      <c r="AB275" s="75">
        <v>0</v>
      </c>
      <c r="AC275" s="63" t="s">
        <v>270</v>
      </c>
      <c r="AD275" s="63" t="s">
        <v>420</v>
      </c>
      <c r="AE275" s="63" t="s">
        <v>3088</v>
      </c>
      <c r="AF275" s="63" t="s">
        <v>212</v>
      </c>
      <c r="AG275" s="63" t="s">
        <v>173</v>
      </c>
      <c r="AH275" s="63" t="s">
        <v>3112</v>
      </c>
      <c r="AI275" s="63" t="s">
        <v>191</v>
      </c>
      <c r="AJ275" s="63" t="s">
        <v>75</v>
      </c>
      <c r="AK275" s="83">
        <v>3.4</v>
      </c>
      <c r="AL275" s="63" t="s">
        <v>139</v>
      </c>
      <c r="AM275" s="63" t="s">
        <v>284</v>
      </c>
      <c r="AN275"/>
    </row>
    <row r="276" spans="1:40" ht="18" customHeight="1">
      <c r="A276" s="1" t="s">
        <v>991</v>
      </c>
      <c r="B276" s="1" t="s">
        <v>992</v>
      </c>
      <c r="C276" s="4">
        <v>46057</v>
      </c>
      <c r="D276" s="4">
        <v>46059</v>
      </c>
      <c r="E276" s="4">
        <v>46066</v>
      </c>
      <c r="F276" s="63" t="s">
        <v>162</v>
      </c>
      <c r="G276" s="63" t="s">
        <v>3847</v>
      </c>
      <c r="H276" s="63" t="s">
        <v>152</v>
      </c>
      <c r="I276" s="63" t="s">
        <v>92</v>
      </c>
      <c r="J276" s="63" t="s">
        <v>163</v>
      </c>
      <c r="K276" s="63" t="s">
        <v>993</v>
      </c>
      <c r="L276" s="63" t="s">
        <v>269</v>
      </c>
      <c r="M276" s="69">
        <v>2058.6</v>
      </c>
      <c r="N276" s="63" t="s">
        <v>65</v>
      </c>
      <c r="O276" s="73">
        <f>_xlfn.XLOOKUP(Supplier_Perf_Table[[#This Row],[Currency]],'Comments 2'!$C$4:$C$16,'Comments 2'!$D$4:$D$16)</f>
        <v>1</v>
      </c>
      <c r="P276" s="69">
        <f>IFERROR(Supplier_Perf_Table[[#This Row],[Unit_Cost]]*Supplier_Perf_Table[[#This Row],[Dollar Equivalent]],"")</f>
        <v>2058.6</v>
      </c>
      <c r="Q276" s="75">
        <v>1500</v>
      </c>
      <c r="R276" s="1">
        <v>3087900</v>
      </c>
      <c r="S276" s="75">
        <f>Supplier_Perf_Table[[#This Row],[Unit_Cost]]*Supplier_Perf_Table[[#This Row],[Order_Quantity]]</f>
        <v>3087900</v>
      </c>
      <c r="T276" s="75">
        <f>IFERROR(Supplier_Perf_Table[[#This Row],[Dollar Equivalent]]*Supplier_Perf_Table[[#This Row],[Ordered_Value]],"")</f>
        <v>3087900</v>
      </c>
      <c r="U276" s="75">
        <v>41</v>
      </c>
      <c r="V276" s="7">
        <v>2.7300000000000001E-2</v>
      </c>
      <c r="W276" s="75">
        <v>9</v>
      </c>
      <c r="X276" s="55">
        <f>IFERROR(Supplier_Perf_Table[[#This Row],[Actual_Delivery_Date]]-Supplier_Perf_Table[[#This Row],[Order Date]],"")</f>
        <v>9</v>
      </c>
      <c r="Y276" s="75" t="s">
        <v>3080</v>
      </c>
      <c r="Z276" s="56">
        <f>IFERROR(Supplier_Perf_Table[[#This Row],[Expected Delivery_Date]]-Supplier_Perf_Table[[#This Row],[Order Date]],"")</f>
        <v>2</v>
      </c>
      <c r="AA276" s="56">
        <f>Supplier_Perf_Table[[#This Row],[Calculated_Lead_Time2]]-Supplier_Perf_Table[[#This Row],[Calculated_Expected_Lead_Time]]</f>
        <v>7</v>
      </c>
      <c r="AB276" s="75">
        <v>7</v>
      </c>
      <c r="AC276" s="63" t="s">
        <v>205</v>
      </c>
      <c r="AD276" s="63" t="s">
        <v>40</v>
      </c>
      <c r="AE276" s="63" t="s">
        <v>3088</v>
      </c>
      <c r="AF276" s="63" t="s">
        <v>106</v>
      </c>
      <c r="AG276" s="63" t="s">
        <v>43</v>
      </c>
      <c r="AH276" s="63" t="s">
        <v>136</v>
      </c>
      <c r="AI276" s="63" t="s">
        <v>147</v>
      </c>
      <c r="AJ276" s="63" t="s">
        <v>138</v>
      </c>
      <c r="AK276" s="83">
        <v>3</v>
      </c>
      <c r="AL276" s="63" t="s">
        <v>115</v>
      </c>
      <c r="AM276" s="63" t="s">
        <v>148</v>
      </c>
      <c r="AN276"/>
    </row>
    <row r="277" spans="1:40" ht="18" customHeight="1">
      <c r="A277" s="1" t="s">
        <v>994</v>
      </c>
      <c r="B277" s="1" t="s">
        <v>995</v>
      </c>
      <c r="C277" s="4">
        <v>46096</v>
      </c>
      <c r="D277" s="4">
        <v>46107</v>
      </c>
      <c r="E277" s="4">
        <v>46102</v>
      </c>
      <c r="F277" s="63" t="s">
        <v>69</v>
      </c>
      <c r="G277" s="63" t="s">
        <v>3838</v>
      </c>
      <c r="H277" s="63" t="s">
        <v>194</v>
      </c>
      <c r="I277" s="63" t="s">
        <v>241</v>
      </c>
      <c r="J277" s="63" t="s">
        <v>153</v>
      </c>
      <c r="K277" s="63" t="s">
        <v>996</v>
      </c>
      <c r="L277" s="63" t="s">
        <v>155</v>
      </c>
      <c r="M277" s="69">
        <v>392.74</v>
      </c>
      <c r="N277" s="63" t="s">
        <v>86</v>
      </c>
      <c r="O277" s="73">
        <f>_xlfn.XLOOKUP(Supplier_Perf_Table[[#This Row],[Currency]],'Comments 2'!$C$4:$C$16,'Comments 2'!$D$4:$D$16)</f>
        <v>8.8999999999999996E-2</v>
      </c>
      <c r="P277" s="69">
        <f>IFERROR(Supplier_Perf_Table[[#This Row],[Unit_Cost]]*Supplier_Perf_Table[[#This Row],[Dollar Equivalent]],"")</f>
        <v>34.953859999999999</v>
      </c>
      <c r="Q277" s="75">
        <v>250</v>
      </c>
      <c r="R277" s="1">
        <v>98185</v>
      </c>
      <c r="S277" s="75">
        <f>Supplier_Perf_Table[[#This Row],[Unit_Cost]]*Supplier_Perf_Table[[#This Row],[Order_Quantity]]</f>
        <v>98185</v>
      </c>
      <c r="T277" s="75">
        <f>IFERROR(Supplier_Perf_Table[[#This Row],[Dollar Equivalent]]*Supplier_Perf_Table[[#This Row],[Ordered_Value]],"")</f>
        <v>8738.4650000000001</v>
      </c>
      <c r="U277" s="75">
        <v>5</v>
      </c>
      <c r="V277" s="7">
        <v>0.02</v>
      </c>
      <c r="W277" s="75" t="s">
        <v>3080</v>
      </c>
      <c r="X277" s="55">
        <f>IFERROR(Supplier_Perf_Table[[#This Row],[Actual_Delivery_Date]]-Supplier_Perf_Table[[#This Row],[Order Date]],"")</f>
        <v>6</v>
      </c>
      <c r="Y277" s="75">
        <v>11</v>
      </c>
      <c r="Z277" s="56">
        <f>IFERROR(Supplier_Perf_Table[[#This Row],[Expected Delivery_Date]]-Supplier_Perf_Table[[#This Row],[Order Date]],"")</f>
        <v>11</v>
      </c>
      <c r="AA277" s="56">
        <f>Supplier_Perf_Table[[#This Row],[Calculated_Lead_Time2]]-Supplier_Perf_Table[[#This Row],[Calculated_Expected_Lead_Time]]</f>
        <v>-5</v>
      </c>
      <c r="AB277" s="75">
        <v>-5</v>
      </c>
      <c r="AC277" s="63" t="s">
        <v>270</v>
      </c>
      <c r="AD277" s="63" t="s">
        <v>40</v>
      </c>
      <c r="AE277" s="63" t="s">
        <v>41</v>
      </c>
      <c r="AF277" s="63" t="s">
        <v>3088</v>
      </c>
      <c r="AG277" s="63" t="s">
        <v>43</v>
      </c>
      <c r="AH277" s="63" t="s">
        <v>3112</v>
      </c>
      <c r="AI277" s="63" t="s">
        <v>56</v>
      </c>
      <c r="AJ277" s="63" t="s">
        <v>138</v>
      </c>
      <c r="AK277" s="83">
        <v>3.9</v>
      </c>
      <c r="AL277" s="63" t="s">
        <v>115</v>
      </c>
      <c r="AM277" s="63" t="s">
        <v>138</v>
      </c>
      <c r="AN277"/>
    </row>
    <row r="278" spans="1:40" ht="18" customHeight="1">
      <c r="A278" s="1" t="s">
        <v>997</v>
      </c>
      <c r="B278" s="1" t="s">
        <v>998</v>
      </c>
      <c r="C278" s="4">
        <v>46118</v>
      </c>
      <c r="D278" s="4">
        <v>46131</v>
      </c>
      <c r="E278" s="4">
        <v>46129</v>
      </c>
      <c r="F278" s="63" t="s">
        <v>209</v>
      </c>
      <c r="G278" s="63" t="s">
        <v>3845</v>
      </c>
      <c r="H278" s="63" t="s">
        <v>316</v>
      </c>
      <c r="I278" s="63" t="s">
        <v>178</v>
      </c>
      <c r="J278" s="63" t="s">
        <v>153</v>
      </c>
      <c r="K278" s="63" t="s">
        <v>999</v>
      </c>
      <c r="L278" s="63" t="s">
        <v>204</v>
      </c>
      <c r="M278" s="69">
        <v>243.8</v>
      </c>
      <c r="N278" s="63" t="s">
        <v>53</v>
      </c>
      <c r="O278" s="73">
        <f>_xlfn.XLOOKUP(Supplier_Perf_Table[[#This Row],[Currency]],'Comments 2'!$C$4:$C$16,'Comments 2'!$D$4:$D$16)</f>
        <v>6.0999999999999999E-2</v>
      </c>
      <c r="P278" s="69">
        <f>IFERROR(Supplier_Perf_Table[[#This Row],[Unit_Cost]]*Supplier_Perf_Table[[#This Row],[Dollar Equivalent]],"")</f>
        <v>14.8718</v>
      </c>
      <c r="Q278" s="75">
        <v>750</v>
      </c>
      <c r="R278" s="1">
        <v>182850</v>
      </c>
      <c r="S278" s="75">
        <f>Supplier_Perf_Table[[#This Row],[Unit_Cost]]*Supplier_Perf_Table[[#This Row],[Order_Quantity]]</f>
        <v>182850</v>
      </c>
      <c r="T278" s="75">
        <f>IFERROR(Supplier_Perf_Table[[#This Row],[Dollar Equivalent]]*Supplier_Perf_Table[[#This Row],[Ordered_Value]],"")</f>
        <v>11153.85</v>
      </c>
      <c r="U278" s="75">
        <v>16</v>
      </c>
      <c r="V278" s="7">
        <v>2.1299999999999999E-2</v>
      </c>
      <c r="W278" s="75">
        <v>11</v>
      </c>
      <c r="X278" s="55">
        <f>IFERROR(Supplier_Perf_Table[[#This Row],[Actual_Delivery_Date]]-Supplier_Perf_Table[[#This Row],[Order Date]],"")</f>
        <v>11</v>
      </c>
      <c r="Y278" s="75">
        <v>13</v>
      </c>
      <c r="Z278" s="56">
        <f>IFERROR(Supplier_Perf_Table[[#This Row],[Expected Delivery_Date]]-Supplier_Perf_Table[[#This Row],[Order Date]],"")</f>
        <v>13</v>
      </c>
      <c r="AA278" s="56">
        <f>Supplier_Perf_Table[[#This Row],[Calculated_Lead_Time2]]-Supplier_Perf_Table[[#This Row],[Calculated_Expected_Lead_Time]]</f>
        <v>-2</v>
      </c>
      <c r="AB278" s="75">
        <v>-2</v>
      </c>
      <c r="AC278" s="63" t="s">
        <v>87</v>
      </c>
      <c r="AD278" s="63" t="s">
        <v>40</v>
      </c>
      <c r="AE278" s="63" t="s">
        <v>105</v>
      </c>
      <c r="AF278" s="63" t="s">
        <v>3088</v>
      </c>
      <c r="AG278" s="63" t="s">
        <v>54</v>
      </c>
      <c r="AH278" s="63" t="s">
        <v>136</v>
      </c>
      <c r="AI278" s="63" t="s">
        <v>138</v>
      </c>
      <c r="AJ278" s="63" t="s">
        <v>138</v>
      </c>
      <c r="AK278" s="83">
        <v>3.1</v>
      </c>
      <c r="AL278" s="63" t="s">
        <v>184</v>
      </c>
      <c r="AM278" s="63" t="s">
        <v>138</v>
      </c>
      <c r="AN278"/>
    </row>
    <row r="279" spans="1:40" ht="18" customHeight="1">
      <c r="A279" s="1" t="s">
        <v>1000</v>
      </c>
      <c r="B279" s="1" t="s">
        <v>1001</v>
      </c>
      <c r="C279" s="4">
        <v>46149</v>
      </c>
      <c r="D279" s="4">
        <v>46156</v>
      </c>
      <c r="E279" s="4">
        <v>46166</v>
      </c>
      <c r="F279" s="63" t="s">
        <v>60</v>
      </c>
      <c r="G279" s="63" t="s">
        <v>3837</v>
      </c>
      <c r="H279" s="63" t="s">
        <v>152</v>
      </c>
      <c r="I279" s="63" t="s">
        <v>61</v>
      </c>
      <c r="J279" s="63" t="s">
        <v>62</v>
      </c>
      <c r="K279" s="63" t="s">
        <v>1002</v>
      </c>
      <c r="L279" s="63" t="s">
        <v>122</v>
      </c>
      <c r="M279" s="69">
        <v>748.93</v>
      </c>
      <c r="N279" s="63" t="s">
        <v>65</v>
      </c>
      <c r="O279" s="73">
        <f>_xlfn.XLOOKUP(Supplier_Perf_Table[[#This Row],[Currency]],'Comments 2'!$C$4:$C$16,'Comments 2'!$D$4:$D$16)</f>
        <v>1</v>
      </c>
      <c r="P279" s="69">
        <f>IFERROR(Supplier_Perf_Table[[#This Row],[Unit_Cost]]*Supplier_Perf_Table[[#This Row],[Dollar Equivalent]],"")</f>
        <v>748.93</v>
      </c>
      <c r="Q279" s="75">
        <v>150</v>
      </c>
      <c r="R279" s="1">
        <v>112339.5</v>
      </c>
      <c r="S279" s="75">
        <f>Supplier_Perf_Table[[#This Row],[Unit_Cost]]*Supplier_Perf_Table[[#This Row],[Order_Quantity]]</f>
        <v>112339.49999999999</v>
      </c>
      <c r="T279" s="75">
        <f>IFERROR(Supplier_Perf_Table[[#This Row],[Dollar Equivalent]]*Supplier_Perf_Table[[#This Row],[Ordered_Value]],"")</f>
        <v>112339.5</v>
      </c>
      <c r="U279" s="75">
        <v>5</v>
      </c>
      <c r="V279" s="7">
        <v>3.3300000000000003E-2</v>
      </c>
      <c r="W279" s="75">
        <v>17</v>
      </c>
      <c r="X279" s="55">
        <f>IFERROR(Supplier_Perf_Table[[#This Row],[Actual_Delivery_Date]]-Supplier_Perf_Table[[#This Row],[Order Date]],"")</f>
        <v>17</v>
      </c>
      <c r="Y279" s="75">
        <v>7</v>
      </c>
      <c r="Z279" s="56">
        <f>IFERROR(Supplier_Perf_Table[[#This Row],[Expected Delivery_Date]]-Supplier_Perf_Table[[#This Row],[Order Date]],"")</f>
        <v>7</v>
      </c>
      <c r="AA279" s="56">
        <f>Supplier_Perf_Table[[#This Row],[Calculated_Lead_Time2]]-Supplier_Perf_Table[[#This Row],[Calculated_Expected_Lead_Time]]</f>
        <v>10</v>
      </c>
      <c r="AB279" s="75">
        <v>10</v>
      </c>
      <c r="AC279" s="63" t="s">
        <v>39</v>
      </c>
      <c r="AD279" s="63" t="s">
        <v>40</v>
      </c>
      <c r="AE279" s="63" t="s">
        <v>146</v>
      </c>
      <c r="AF279" s="63" t="s">
        <v>42</v>
      </c>
      <c r="AG279" s="63" t="s">
        <v>128</v>
      </c>
      <c r="AH279" s="63" t="s">
        <v>206</v>
      </c>
      <c r="AI279" s="63" t="s">
        <v>138</v>
      </c>
      <c r="AJ279" s="63" t="s">
        <v>138</v>
      </c>
      <c r="AK279" s="83">
        <v>3.1</v>
      </c>
      <c r="AL279" s="63" t="s">
        <v>139</v>
      </c>
      <c r="AM279" s="63" t="s">
        <v>148</v>
      </c>
      <c r="AN279"/>
    </row>
    <row r="280" spans="1:40" ht="18" customHeight="1">
      <c r="A280" s="1" t="s">
        <v>1003</v>
      </c>
      <c r="B280" s="1" t="s">
        <v>1004</v>
      </c>
      <c r="C280" s="4">
        <v>46071</v>
      </c>
      <c r="D280" s="4">
        <v>46076</v>
      </c>
      <c r="E280" s="4">
        <v>46075</v>
      </c>
      <c r="F280" s="63" t="s">
        <v>151</v>
      </c>
      <c r="G280" s="63" t="s">
        <v>3844</v>
      </c>
      <c r="H280" s="63" t="s">
        <v>152</v>
      </c>
      <c r="I280" s="63" t="s">
        <v>178</v>
      </c>
      <c r="J280" s="63" t="s">
        <v>112</v>
      </c>
      <c r="K280" s="63" t="s">
        <v>1005</v>
      </c>
      <c r="L280" s="63" t="s">
        <v>218</v>
      </c>
      <c r="M280" s="69">
        <v>620.35</v>
      </c>
      <c r="N280" s="63" t="s">
        <v>53</v>
      </c>
      <c r="O280" s="73">
        <f>_xlfn.XLOOKUP(Supplier_Perf_Table[[#This Row],[Currency]],'Comments 2'!$C$4:$C$16,'Comments 2'!$D$4:$D$16)</f>
        <v>6.0999999999999999E-2</v>
      </c>
      <c r="P280" s="69">
        <f>IFERROR(Supplier_Perf_Table[[#This Row],[Unit_Cost]]*Supplier_Perf_Table[[#This Row],[Dollar Equivalent]],"")</f>
        <v>37.841349999999998</v>
      </c>
      <c r="Q280" s="75">
        <v>250</v>
      </c>
      <c r="R280" s="1">
        <v>155087.5</v>
      </c>
      <c r="S280" s="75">
        <f>Supplier_Perf_Table[[#This Row],[Unit_Cost]]*Supplier_Perf_Table[[#This Row],[Order_Quantity]]</f>
        <v>155087.5</v>
      </c>
      <c r="T280" s="75">
        <f>IFERROR(Supplier_Perf_Table[[#This Row],[Dollar Equivalent]]*Supplier_Perf_Table[[#This Row],[Ordered_Value]],"")</f>
        <v>9460.3374999999996</v>
      </c>
      <c r="U280" s="75">
        <v>2</v>
      </c>
      <c r="V280" s="7">
        <v>8.0000000000000002E-3</v>
      </c>
      <c r="W280" s="75">
        <v>4</v>
      </c>
      <c r="X280" s="55">
        <f>IFERROR(Supplier_Perf_Table[[#This Row],[Actual_Delivery_Date]]-Supplier_Perf_Table[[#This Row],[Order Date]],"")</f>
        <v>4</v>
      </c>
      <c r="Y280" s="75">
        <v>5</v>
      </c>
      <c r="Z280" s="56">
        <f>IFERROR(Supplier_Perf_Table[[#This Row],[Expected Delivery_Date]]-Supplier_Perf_Table[[#This Row],[Order Date]],"")</f>
        <v>5</v>
      </c>
      <c r="AA280" s="56">
        <f>Supplier_Perf_Table[[#This Row],[Calculated_Lead_Time2]]-Supplier_Perf_Table[[#This Row],[Calculated_Expected_Lead_Time]]</f>
        <v>-1</v>
      </c>
      <c r="AB280" s="75">
        <v>-1</v>
      </c>
      <c r="AC280" s="63" t="s">
        <v>87</v>
      </c>
      <c r="AD280" s="63" t="s">
        <v>40</v>
      </c>
      <c r="AE280" s="63" t="s">
        <v>127</v>
      </c>
      <c r="AF280" s="63" t="s">
        <v>42</v>
      </c>
      <c r="AG280" s="63" t="s">
        <v>54</v>
      </c>
      <c r="AH280" s="63" t="s">
        <v>129</v>
      </c>
      <c r="AI280" s="63" t="s">
        <v>138</v>
      </c>
      <c r="AJ280" s="63" t="s">
        <v>138</v>
      </c>
      <c r="AK280" s="83">
        <v>3.7</v>
      </c>
      <c r="AL280" s="63" t="s">
        <v>184</v>
      </c>
      <c r="AM280" s="63" t="s">
        <v>130</v>
      </c>
      <c r="AN280"/>
    </row>
    <row r="281" spans="1:40" ht="18" customHeight="1">
      <c r="A281" s="1" t="s">
        <v>1006</v>
      </c>
      <c r="B281" s="1" t="s">
        <v>1007</v>
      </c>
      <c r="C281" s="4">
        <v>46128</v>
      </c>
      <c r="D281" s="4">
        <v>46154</v>
      </c>
      <c r="E281" s="4">
        <v>46153</v>
      </c>
      <c r="F281" s="63" t="s">
        <v>32</v>
      </c>
      <c r="G281" s="63" t="s">
        <v>3835</v>
      </c>
      <c r="H281" s="63" t="s">
        <v>177</v>
      </c>
      <c r="I281" s="63" t="s">
        <v>83</v>
      </c>
      <c r="J281" s="63" t="s">
        <v>35</v>
      </c>
      <c r="K281" s="63" t="s">
        <v>1008</v>
      </c>
      <c r="L281" s="63" t="s">
        <v>37</v>
      </c>
      <c r="M281" s="69">
        <v>2890.21</v>
      </c>
      <c r="N281" s="63" t="s">
        <v>65</v>
      </c>
      <c r="O281" s="73">
        <f>_xlfn.XLOOKUP(Supplier_Perf_Table[[#This Row],[Currency]],'Comments 2'!$C$4:$C$16,'Comments 2'!$D$4:$D$16)</f>
        <v>1</v>
      </c>
      <c r="P281" s="69">
        <f>IFERROR(Supplier_Perf_Table[[#This Row],[Unit_Cost]]*Supplier_Perf_Table[[#This Row],[Dollar Equivalent]],"")</f>
        <v>2890.21</v>
      </c>
      <c r="Q281" s="75">
        <v>300</v>
      </c>
      <c r="R281" s="1">
        <v>867063</v>
      </c>
      <c r="S281" s="75">
        <f>Supplier_Perf_Table[[#This Row],[Unit_Cost]]*Supplier_Perf_Table[[#This Row],[Order_Quantity]]</f>
        <v>867063</v>
      </c>
      <c r="T281" s="75">
        <f>IFERROR(Supplier_Perf_Table[[#This Row],[Dollar Equivalent]]*Supplier_Perf_Table[[#This Row],[Ordered_Value]],"")</f>
        <v>867063</v>
      </c>
      <c r="U281" s="75">
        <v>-1</v>
      </c>
      <c r="V281" s="7">
        <v>9.6699999999999994E-2</v>
      </c>
      <c r="W281" s="75">
        <v>25</v>
      </c>
      <c r="X281" s="55">
        <f>IFERROR(Supplier_Perf_Table[[#This Row],[Actual_Delivery_Date]]-Supplier_Perf_Table[[#This Row],[Order Date]],"")</f>
        <v>25</v>
      </c>
      <c r="Y281" s="75">
        <v>26</v>
      </c>
      <c r="Z281" s="56">
        <f>IFERROR(Supplier_Perf_Table[[#This Row],[Expected Delivery_Date]]-Supplier_Perf_Table[[#This Row],[Order Date]],"")</f>
        <v>26</v>
      </c>
      <c r="AA281" s="56">
        <f>Supplier_Perf_Table[[#This Row],[Calculated_Lead_Time2]]-Supplier_Perf_Table[[#This Row],[Calculated_Expected_Lead_Time]]</f>
        <v>-1</v>
      </c>
      <c r="AB281" s="75">
        <v>-1</v>
      </c>
      <c r="AC281" s="63" t="s">
        <v>87</v>
      </c>
      <c r="AD281" s="63" t="s">
        <v>74</v>
      </c>
      <c r="AE281" s="63" t="s">
        <v>41</v>
      </c>
      <c r="AF281" s="63" t="s">
        <v>66</v>
      </c>
      <c r="AG281" s="63" t="s">
        <v>43</v>
      </c>
      <c r="AH281" s="63" t="s">
        <v>129</v>
      </c>
      <c r="AI281" s="63" t="s">
        <v>147</v>
      </c>
      <c r="AJ281" s="63" t="s">
        <v>75</v>
      </c>
      <c r="AK281" s="83">
        <v>2.2000000000000002</v>
      </c>
      <c r="AL281" s="63" t="s">
        <v>57</v>
      </c>
      <c r="AM281" s="63" t="s">
        <v>97</v>
      </c>
      <c r="AN281"/>
    </row>
    <row r="282" spans="1:40" ht="18" customHeight="1">
      <c r="A282" s="1" t="s">
        <v>1009</v>
      </c>
      <c r="B282" s="1" t="s">
        <v>1010</v>
      </c>
      <c r="C282" s="4">
        <v>46117</v>
      </c>
      <c r="D282" s="4">
        <v>46120</v>
      </c>
      <c r="E282" s="4">
        <v>46126</v>
      </c>
      <c r="F282" s="63" t="s">
        <v>151</v>
      </c>
      <c r="G282" s="63" t="s">
        <v>3844</v>
      </c>
      <c r="H282" s="63" t="s">
        <v>152</v>
      </c>
      <c r="I282" s="63" t="s">
        <v>92</v>
      </c>
      <c r="J282" s="63" t="s">
        <v>112</v>
      </c>
      <c r="K282" s="63" t="s">
        <v>1011</v>
      </c>
      <c r="L282" s="63" t="s">
        <v>218</v>
      </c>
      <c r="M282" s="69">
        <v>736.39</v>
      </c>
      <c r="N282" s="63" t="s">
        <v>53</v>
      </c>
      <c r="O282" s="73">
        <f>_xlfn.XLOOKUP(Supplier_Perf_Table[[#This Row],[Currency]],'Comments 2'!$C$4:$C$16,'Comments 2'!$D$4:$D$16)</f>
        <v>6.0999999999999999E-2</v>
      </c>
      <c r="P282" s="69">
        <f>IFERROR(Supplier_Perf_Table[[#This Row],[Unit_Cost]]*Supplier_Perf_Table[[#This Row],[Dollar Equivalent]],"")</f>
        <v>44.919789999999999</v>
      </c>
      <c r="Q282" s="75">
        <v>150</v>
      </c>
      <c r="R282" s="1">
        <v>110458.5</v>
      </c>
      <c r="S282" s="75">
        <f>Supplier_Perf_Table[[#This Row],[Unit_Cost]]*Supplier_Perf_Table[[#This Row],[Order_Quantity]]</f>
        <v>110458.5</v>
      </c>
      <c r="T282" s="75">
        <f>IFERROR(Supplier_Perf_Table[[#This Row],[Dollar Equivalent]]*Supplier_Perf_Table[[#This Row],[Ordered_Value]],"")</f>
        <v>6737.9684999999999</v>
      </c>
      <c r="U282" s="75">
        <v>3</v>
      </c>
      <c r="V282" s="7">
        <v>0.02</v>
      </c>
      <c r="W282" s="75">
        <v>9</v>
      </c>
      <c r="X282" s="55">
        <f>IFERROR(Supplier_Perf_Table[[#This Row],[Actual_Delivery_Date]]-Supplier_Perf_Table[[#This Row],[Order Date]],"")</f>
        <v>9</v>
      </c>
      <c r="Y282" s="75">
        <v>3</v>
      </c>
      <c r="Z282" s="56">
        <f>IFERROR(Supplier_Perf_Table[[#This Row],[Expected Delivery_Date]]-Supplier_Perf_Table[[#This Row],[Order Date]],"")</f>
        <v>3</v>
      </c>
      <c r="AA282" s="56">
        <f>Supplier_Perf_Table[[#This Row],[Calculated_Lead_Time2]]-Supplier_Perf_Table[[#This Row],[Calculated_Expected_Lead_Time]]</f>
        <v>6</v>
      </c>
      <c r="AB282" s="75">
        <v>6</v>
      </c>
      <c r="AC282" s="63" t="s">
        <v>135</v>
      </c>
      <c r="AD282" s="63" t="s">
        <v>40</v>
      </c>
      <c r="AE282" s="63" t="s">
        <v>127</v>
      </c>
      <c r="AF282" s="63" t="s">
        <v>106</v>
      </c>
      <c r="AG282" s="63" t="s">
        <v>128</v>
      </c>
      <c r="AH282" s="63" t="s">
        <v>136</v>
      </c>
      <c r="AI282" s="63" t="s">
        <v>137</v>
      </c>
      <c r="AJ282" s="63" t="s">
        <v>138</v>
      </c>
      <c r="AK282" s="83">
        <v>3.1</v>
      </c>
      <c r="AL282" s="63" t="s">
        <v>139</v>
      </c>
      <c r="AM282" s="63" t="s">
        <v>148</v>
      </c>
      <c r="AN282"/>
    </row>
    <row r="283" spans="1:40" ht="18" customHeight="1">
      <c r="A283" s="1" t="s">
        <v>149</v>
      </c>
      <c r="B283" s="1" t="s">
        <v>1012</v>
      </c>
      <c r="C283" s="4">
        <v>46118</v>
      </c>
      <c r="D283" s="4">
        <v>46135</v>
      </c>
      <c r="E283" s="4">
        <v>46137</v>
      </c>
      <c r="F283" s="63" t="s">
        <v>235</v>
      </c>
      <c r="G283" s="63" t="s">
        <v>3848</v>
      </c>
      <c r="H283" s="63" t="s">
        <v>479</v>
      </c>
      <c r="I283" s="63" t="s">
        <v>49</v>
      </c>
      <c r="J283" s="63" t="s">
        <v>71</v>
      </c>
      <c r="K283" s="63" t="s">
        <v>1013</v>
      </c>
      <c r="L283" s="63" t="s">
        <v>337</v>
      </c>
      <c r="M283" s="69">
        <v>688.68</v>
      </c>
      <c r="N283" s="63" t="s">
        <v>86</v>
      </c>
      <c r="O283" s="73">
        <f>_xlfn.XLOOKUP(Supplier_Perf_Table[[#This Row],[Currency]],'Comments 2'!$C$4:$C$16,'Comments 2'!$D$4:$D$16)</f>
        <v>8.8999999999999996E-2</v>
      </c>
      <c r="P283" s="69">
        <f>IFERROR(Supplier_Perf_Table[[#This Row],[Unit_Cost]]*Supplier_Perf_Table[[#This Row],[Dollar Equivalent]],"")</f>
        <v>61.292519999999996</v>
      </c>
      <c r="Q283" s="75">
        <v>150</v>
      </c>
      <c r="R283" s="1">
        <v>103302</v>
      </c>
      <c r="S283" s="75">
        <f>Supplier_Perf_Table[[#This Row],[Unit_Cost]]*Supplier_Perf_Table[[#This Row],[Order_Quantity]]</f>
        <v>103301.99999999999</v>
      </c>
      <c r="T283" s="75">
        <f>IFERROR(Supplier_Perf_Table[[#This Row],[Dollar Equivalent]]*Supplier_Perf_Table[[#This Row],[Ordered_Value]],"")</f>
        <v>9193.8779999999988</v>
      </c>
      <c r="U283" s="75">
        <v>7</v>
      </c>
      <c r="V283" s="7">
        <v>4.6699999999999998E-2</v>
      </c>
      <c r="W283" s="75">
        <v>19</v>
      </c>
      <c r="X283" s="55">
        <f>IFERROR(Supplier_Perf_Table[[#This Row],[Actual_Delivery_Date]]-Supplier_Perf_Table[[#This Row],[Order Date]],"")</f>
        <v>19</v>
      </c>
      <c r="Y283" s="75">
        <v>17</v>
      </c>
      <c r="Z283" s="56">
        <f>IFERROR(Supplier_Perf_Table[[#This Row],[Expected Delivery_Date]]-Supplier_Perf_Table[[#This Row],[Order Date]],"")</f>
        <v>17</v>
      </c>
      <c r="AA283" s="56">
        <f>Supplier_Perf_Table[[#This Row],[Calculated_Lead_Time2]]-Supplier_Perf_Table[[#This Row],[Calculated_Expected_Lead_Time]]</f>
        <v>2</v>
      </c>
      <c r="AB283" s="75">
        <v>2</v>
      </c>
      <c r="AC283" s="63" t="s">
        <v>135</v>
      </c>
      <c r="AD283" s="63" t="s">
        <v>74</v>
      </c>
      <c r="AE283" s="63" t="s">
        <v>3088</v>
      </c>
      <c r="AF283" s="63" t="s">
        <v>190</v>
      </c>
      <c r="AG283" s="63" t="s">
        <v>3088</v>
      </c>
      <c r="AH283" s="63" t="s">
        <v>136</v>
      </c>
      <c r="AI283" s="63" t="s">
        <v>95</v>
      </c>
      <c r="AJ283" s="63" t="s">
        <v>183</v>
      </c>
      <c r="AK283" s="83">
        <v>1.3</v>
      </c>
      <c r="AL283" s="63" t="s">
        <v>108</v>
      </c>
      <c r="AM283" s="63" t="s">
        <v>185</v>
      </c>
      <c r="AN283"/>
    </row>
    <row r="284" spans="1:40" ht="18" customHeight="1">
      <c r="A284" s="1" t="s">
        <v>1014</v>
      </c>
      <c r="B284" s="1" t="s">
        <v>1015</v>
      </c>
      <c r="C284" s="4">
        <v>46184</v>
      </c>
      <c r="D284" s="4">
        <v>46191</v>
      </c>
      <c r="E284" s="4">
        <v>46200</v>
      </c>
      <c r="F284" s="63" t="s">
        <v>80</v>
      </c>
      <c r="G284" s="63" t="s">
        <v>3839</v>
      </c>
      <c r="H284" s="63" t="s">
        <v>102</v>
      </c>
      <c r="I284" s="63" t="s">
        <v>61</v>
      </c>
      <c r="J284" s="63" t="s">
        <v>35</v>
      </c>
      <c r="K284" s="63" t="s">
        <v>1016</v>
      </c>
      <c r="L284" s="63" t="s">
        <v>180</v>
      </c>
      <c r="M284" s="69">
        <v>4318.28</v>
      </c>
      <c r="N284" s="63" t="s">
        <v>38</v>
      </c>
      <c r="O284" s="73">
        <f>_xlfn.XLOOKUP(Supplier_Perf_Table[[#This Row],[Currency]],'Comments 2'!$C$4:$C$16,'Comments 2'!$D$4:$D$16)</f>
        <v>7.7000000000000002E-3</v>
      </c>
      <c r="P284" s="69">
        <f>IFERROR(Supplier_Perf_Table[[#This Row],[Unit_Cost]]*Supplier_Perf_Table[[#This Row],[Dollar Equivalent]],"")</f>
        <v>33.250756000000003</v>
      </c>
      <c r="Q284" s="75" t="s">
        <v>3080</v>
      </c>
      <c r="R284" s="1">
        <v>1079570</v>
      </c>
      <c r="S284" s="75" t="e">
        <f>Supplier_Perf_Table[[#This Row],[Unit_Cost]]*Supplier_Perf_Table[[#This Row],[Order_Quantity]]</f>
        <v>#VALUE!</v>
      </c>
      <c r="T284" s="75">
        <f>IFERROR(Supplier_Perf_Table[[#This Row],[Dollar Equivalent]]*Supplier_Perf_Table[[#This Row],[Ordered_Value]],"")</f>
        <v>8312.6890000000003</v>
      </c>
      <c r="U284" s="75">
        <v>2</v>
      </c>
      <c r="V284" s="7">
        <v>8.0000000000000002E-3</v>
      </c>
      <c r="W284" s="75">
        <v>16</v>
      </c>
      <c r="X284" s="55">
        <f>IFERROR(Supplier_Perf_Table[[#This Row],[Actual_Delivery_Date]]-Supplier_Perf_Table[[#This Row],[Order Date]],"")</f>
        <v>16</v>
      </c>
      <c r="Y284" s="75">
        <v>7</v>
      </c>
      <c r="Z284" s="56">
        <f>IFERROR(Supplier_Perf_Table[[#This Row],[Expected Delivery_Date]]-Supplier_Perf_Table[[#This Row],[Order Date]],"")</f>
        <v>7</v>
      </c>
      <c r="AA284" s="56">
        <f>Supplier_Perf_Table[[#This Row],[Calculated_Lead_Time2]]-Supplier_Perf_Table[[#This Row],[Calculated_Expected_Lead_Time]]</f>
        <v>9</v>
      </c>
      <c r="AB284" s="75">
        <v>9</v>
      </c>
      <c r="AC284" s="63" t="s">
        <v>135</v>
      </c>
      <c r="AD284" s="63" t="s">
        <v>40</v>
      </c>
      <c r="AE284" s="63" t="s">
        <v>105</v>
      </c>
      <c r="AF284" s="63" t="s">
        <v>106</v>
      </c>
      <c r="AG284" s="63" t="s">
        <v>173</v>
      </c>
      <c r="AH284" s="63" t="s">
        <v>136</v>
      </c>
      <c r="AI284" s="63" t="s">
        <v>138</v>
      </c>
      <c r="AJ284" s="63" t="s">
        <v>138</v>
      </c>
      <c r="AK284" s="83">
        <v>1.9</v>
      </c>
      <c r="AL284" s="63" t="s">
        <v>45</v>
      </c>
      <c r="AM284" s="63" t="s">
        <v>46</v>
      </c>
      <c r="AN284"/>
    </row>
    <row r="285" spans="1:40" ht="18" customHeight="1">
      <c r="A285" s="1" t="s">
        <v>1017</v>
      </c>
      <c r="B285" s="1" t="s">
        <v>1018</v>
      </c>
      <c r="C285" s="4">
        <v>46045</v>
      </c>
      <c r="D285" s="4">
        <v>46051</v>
      </c>
      <c r="E285" s="4">
        <v>46048</v>
      </c>
      <c r="F285" s="63" t="s">
        <v>162</v>
      </c>
      <c r="G285" s="63" t="s">
        <v>3847</v>
      </c>
      <c r="H285" s="63" t="s">
        <v>152</v>
      </c>
      <c r="I285" s="63" t="s">
        <v>70</v>
      </c>
      <c r="J285" s="63" t="s">
        <v>163</v>
      </c>
      <c r="K285" s="63" t="s">
        <v>1019</v>
      </c>
      <c r="L285" s="63" t="s">
        <v>269</v>
      </c>
      <c r="M285" s="69">
        <v>1683.52</v>
      </c>
      <c r="N285" s="63" t="s">
        <v>38</v>
      </c>
      <c r="O285" s="73">
        <f>_xlfn.XLOOKUP(Supplier_Perf_Table[[#This Row],[Currency]],'Comments 2'!$C$4:$C$16,'Comments 2'!$D$4:$D$16)</f>
        <v>7.7000000000000002E-3</v>
      </c>
      <c r="P285" s="69">
        <f>IFERROR(Supplier_Perf_Table[[#This Row],[Unit_Cost]]*Supplier_Perf_Table[[#This Row],[Dollar Equivalent]],"")</f>
        <v>12.963104</v>
      </c>
      <c r="Q285" s="75">
        <v>1500</v>
      </c>
      <c r="R285" s="1">
        <v>2525280</v>
      </c>
      <c r="S285" s="75">
        <f>Supplier_Perf_Table[[#This Row],[Unit_Cost]]*Supplier_Perf_Table[[#This Row],[Order_Quantity]]</f>
        <v>2525280</v>
      </c>
      <c r="T285" s="75">
        <f>IFERROR(Supplier_Perf_Table[[#This Row],[Dollar Equivalent]]*Supplier_Perf_Table[[#This Row],[Ordered_Value]],"")</f>
        <v>19444.655999999999</v>
      </c>
      <c r="U285" s="75">
        <v>38</v>
      </c>
      <c r="V285" s="7">
        <v>2.53E-2</v>
      </c>
      <c r="W285" s="75">
        <v>3</v>
      </c>
      <c r="X285" s="55">
        <f>IFERROR(Supplier_Perf_Table[[#This Row],[Actual_Delivery_Date]]-Supplier_Perf_Table[[#This Row],[Order Date]],"")</f>
        <v>3</v>
      </c>
      <c r="Y285" s="75">
        <v>6</v>
      </c>
      <c r="Z285" s="56">
        <f>IFERROR(Supplier_Perf_Table[[#This Row],[Expected Delivery_Date]]-Supplier_Perf_Table[[#This Row],[Order Date]],"")</f>
        <v>6</v>
      </c>
      <c r="AA285" s="56">
        <f>Supplier_Perf_Table[[#This Row],[Calculated_Lead_Time2]]-Supplier_Perf_Table[[#This Row],[Calculated_Expected_Lead_Time]]</f>
        <v>-3</v>
      </c>
      <c r="AB285" s="75">
        <v>-3</v>
      </c>
      <c r="AC285" s="63" t="s">
        <v>270</v>
      </c>
      <c r="AD285" s="63" t="s">
        <v>40</v>
      </c>
      <c r="AE285" s="63" t="s">
        <v>3088</v>
      </c>
      <c r="AF285" s="63" t="s">
        <v>106</v>
      </c>
      <c r="AG285" s="63" t="s">
        <v>3088</v>
      </c>
      <c r="AH285" s="63" t="s">
        <v>3112</v>
      </c>
      <c r="AI285" s="63" t="s">
        <v>138</v>
      </c>
      <c r="AJ285" s="63" t="s">
        <v>138</v>
      </c>
      <c r="AK285" s="83">
        <v>2.5</v>
      </c>
      <c r="AL285" s="63" t="s">
        <v>45</v>
      </c>
      <c r="AM285" s="63" t="s">
        <v>130</v>
      </c>
      <c r="AN285"/>
    </row>
    <row r="286" spans="1:40" ht="18" customHeight="1">
      <c r="A286" s="1" t="s">
        <v>1020</v>
      </c>
      <c r="B286" s="1" t="s">
        <v>1021</v>
      </c>
      <c r="C286" s="4">
        <v>46123</v>
      </c>
      <c r="D286" s="4">
        <v>46141</v>
      </c>
      <c r="E286" s="4">
        <v>46138</v>
      </c>
      <c r="F286" s="63" t="s">
        <v>256</v>
      </c>
      <c r="G286" s="63" t="s">
        <v>3849</v>
      </c>
      <c r="H286" s="63" t="s">
        <v>258</v>
      </c>
      <c r="I286" s="63" t="s">
        <v>49</v>
      </c>
      <c r="J286" s="63" t="s">
        <v>153</v>
      </c>
      <c r="K286" s="63" t="s">
        <v>1022</v>
      </c>
      <c r="L286" s="63" t="s">
        <v>318</v>
      </c>
      <c r="M286" s="69">
        <v>85.6</v>
      </c>
      <c r="N286" s="63" t="s">
        <v>104</v>
      </c>
      <c r="O286" s="73">
        <f>_xlfn.XLOOKUP(Supplier_Perf_Table[[#This Row],[Currency]],'Comments 2'!$C$4:$C$16,'Comments 2'!$D$4:$D$16)</f>
        <v>1.9E-2</v>
      </c>
      <c r="P286" s="69">
        <f>IFERROR(Supplier_Perf_Table[[#This Row],[Unit_Cost]]*Supplier_Perf_Table[[#This Row],[Dollar Equivalent]],"")</f>
        <v>1.6263999999999998</v>
      </c>
      <c r="Q286" s="75">
        <v>150</v>
      </c>
      <c r="R286" s="1">
        <v>12840</v>
      </c>
      <c r="S286" s="75">
        <f>Supplier_Perf_Table[[#This Row],[Unit_Cost]]*Supplier_Perf_Table[[#This Row],[Order_Quantity]]</f>
        <v>12840</v>
      </c>
      <c r="T286" s="75">
        <f>IFERROR(Supplier_Perf_Table[[#This Row],[Dollar Equivalent]]*Supplier_Perf_Table[[#This Row],[Ordered_Value]],"")</f>
        <v>243.96</v>
      </c>
      <c r="U286" s="75">
        <v>1</v>
      </c>
      <c r="V286" s="7">
        <v>6.7000000000000002E-3</v>
      </c>
      <c r="W286" s="75">
        <v>15</v>
      </c>
      <c r="X286" s="55">
        <f>IFERROR(Supplier_Perf_Table[[#This Row],[Actual_Delivery_Date]]-Supplier_Perf_Table[[#This Row],[Order Date]],"")</f>
        <v>15</v>
      </c>
      <c r="Y286" s="75">
        <v>18</v>
      </c>
      <c r="Z286" s="56">
        <f>IFERROR(Supplier_Perf_Table[[#This Row],[Expected Delivery_Date]]-Supplier_Perf_Table[[#This Row],[Order Date]],"")</f>
        <v>18</v>
      </c>
      <c r="AA286" s="56">
        <f>Supplier_Perf_Table[[#This Row],[Calculated_Lead_Time2]]-Supplier_Perf_Table[[#This Row],[Calculated_Expected_Lead_Time]]</f>
        <v>-3</v>
      </c>
      <c r="AB286" s="75"/>
      <c r="AC286" s="63" t="s">
        <v>87</v>
      </c>
      <c r="AD286" s="63" t="s">
        <v>40</v>
      </c>
      <c r="AE286" s="63" t="s">
        <v>105</v>
      </c>
      <c r="AF286" s="63" t="s">
        <v>42</v>
      </c>
      <c r="AG286" s="63" t="s">
        <v>54</v>
      </c>
      <c r="AH286" s="63" t="s">
        <v>3112</v>
      </c>
      <c r="AI286" s="63" t="s">
        <v>138</v>
      </c>
      <c r="AJ286" s="63" t="s">
        <v>138</v>
      </c>
      <c r="AK286" s="83">
        <v>3.3</v>
      </c>
      <c r="AL286" s="63" t="s">
        <v>115</v>
      </c>
      <c r="AM286" s="63" t="s">
        <v>619</v>
      </c>
      <c r="AN286"/>
    </row>
    <row r="287" spans="1:40" ht="18" customHeight="1">
      <c r="A287" s="1" t="s">
        <v>1023</v>
      </c>
      <c r="B287" s="1" t="s">
        <v>1024</v>
      </c>
      <c r="C287" s="4">
        <v>46175</v>
      </c>
      <c r="D287" s="4">
        <v>46196</v>
      </c>
      <c r="E287" s="4">
        <v>46200</v>
      </c>
      <c r="F287" s="63" t="s">
        <v>90</v>
      </c>
      <c r="G287" s="63" t="s">
        <v>3840</v>
      </c>
      <c r="H287" s="63" t="s">
        <v>133</v>
      </c>
      <c r="I287" s="63" t="s">
        <v>241</v>
      </c>
      <c r="J287" s="63" t="s">
        <v>71</v>
      </c>
      <c r="K287" s="63" t="s">
        <v>1025</v>
      </c>
      <c r="L287" s="63" t="s">
        <v>337</v>
      </c>
      <c r="M287" s="69">
        <v>653.33000000000004</v>
      </c>
      <c r="N287" s="63" t="s">
        <v>65</v>
      </c>
      <c r="O287" s="73">
        <f>_xlfn.XLOOKUP(Supplier_Perf_Table[[#This Row],[Currency]],'Comments 2'!$C$4:$C$16,'Comments 2'!$D$4:$D$16)</f>
        <v>1</v>
      </c>
      <c r="P287" s="69">
        <f>IFERROR(Supplier_Perf_Table[[#This Row],[Unit_Cost]]*Supplier_Perf_Table[[#This Row],[Dollar Equivalent]],"")</f>
        <v>653.33000000000004</v>
      </c>
      <c r="Q287" s="75">
        <v>500</v>
      </c>
      <c r="R287" s="1">
        <v>326665</v>
      </c>
      <c r="S287" s="75">
        <f>Supplier_Perf_Table[[#This Row],[Unit_Cost]]*Supplier_Perf_Table[[#This Row],[Order_Quantity]]</f>
        <v>326665</v>
      </c>
      <c r="T287" s="75">
        <f>IFERROR(Supplier_Perf_Table[[#This Row],[Dollar Equivalent]]*Supplier_Perf_Table[[#This Row],[Ordered_Value]],"")</f>
        <v>326665</v>
      </c>
      <c r="U287" s="75">
        <v>6</v>
      </c>
      <c r="V287" s="7">
        <v>1.2E-2</v>
      </c>
      <c r="W287" s="75">
        <v>25</v>
      </c>
      <c r="X287" s="55">
        <f>IFERROR(Supplier_Perf_Table[[#This Row],[Actual_Delivery_Date]]-Supplier_Perf_Table[[#This Row],[Order Date]],"")</f>
        <v>25</v>
      </c>
      <c r="Y287" s="75">
        <v>21</v>
      </c>
      <c r="Z287" s="56">
        <f>IFERROR(Supplier_Perf_Table[[#This Row],[Expected Delivery_Date]]-Supplier_Perf_Table[[#This Row],[Order Date]],"")</f>
        <v>21</v>
      </c>
      <c r="AA287" s="56">
        <f>Supplier_Perf_Table[[#This Row],[Calculated_Lead_Time2]]-Supplier_Perf_Table[[#This Row],[Calculated_Expected_Lead_Time]]</f>
        <v>4</v>
      </c>
      <c r="AB287" s="75">
        <v>4</v>
      </c>
      <c r="AC287" s="63" t="s">
        <v>135</v>
      </c>
      <c r="AD287" s="63" t="s">
        <v>40</v>
      </c>
      <c r="AE287" s="63" t="s">
        <v>41</v>
      </c>
      <c r="AF287" s="63" t="s">
        <v>190</v>
      </c>
      <c r="AG287" s="63" t="s">
        <v>128</v>
      </c>
      <c r="AH287" s="63" t="s">
        <v>206</v>
      </c>
      <c r="AI287" s="63" t="s">
        <v>56</v>
      </c>
      <c r="AJ287" s="63" t="s">
        <v>138</v>
      </c>
      <c r="AK287" s="83">
        <v>2.2999999999999998</v>
      </c>
      <c r="AL287" s="63" t="s">
        <v>139</v>
      </c>
      <c r="AM287" s="63" t="s">
        <v>46</v>
      </c>
      <c r="AN287"/>
    </row>
    <row r="288" spans="1:40" ht="18" customHeight="1">
      <c r="A288" s="63" t="s">
        <v>1026</v>
      </c>
      <c r="B288" s="63" t="s">
        <v>1027</v>
      </c>
      <c r="C288" s="4">
        <v>46200</v>
      </c>
      <c r="D288" s="4">
        <v>46208</v>
      </c>
      <c r="E288" s="4">
        <v>46210</v>
      </c>
      <c r="F288" s="63" t="s">
        <v>215</v>
      </c>
      <c r="G288" s="63" t="s">
        <v>3846</v>
      </c>
      <c r="H288" s="63" t="s">
        <v>152</v>
      </c>
      <c r="I288" s="63" t="s">
        <v>120</v>
      </c>
      <c r="J288" s="63" t="s">
        <v>112</v>
      </c>
      <c r="K288" s="63" t="s">
        <v>1028</v>
      </c>
      <c r="L288" s="63" t="s">
        <v>246</v>
      </c>
      <c r="M288" s="69">
        <v>733.63</v>
      </c>
      <c r="N288" s="63" t="s">
        <v>159</v>
      </c>
      <c r="O288" s="73">
        <f>_xlfn.XLOOKUP(Supplier_Perf_Table[[#This Row],[Currency]],'Comments 2'!$C$4:$C$16,'Comments 2'!$D$4:$D$16)</f>
        <v>7.2999999999999996E-4</v>
      </c>
      <c r="P288" s="69">
        <f>IFERROR(Supplier_Perf_Table[[#This Row],[Unit_Cost]]*Supplier_Perf_Table[[#This Row],[Dollar Equivalent]],"")</f>
        <v>0.53554990000000002</v>
      </c>
      <c r="Q288" s="75">
        <v>300</v>
      </c>
      <c r="R288" s="1">
        <v>220089</v>
      </c>
      <c r="S288" s="75">
        <f>Supplier_Perf_Table[[#This Row],[Unit_Cost]]*Supplier_Perf_Table[[#This Row],[Order_Quantity]]</f>
        <v>220089</v>
      </c>
      <c r="T288" s="75">
        <f>IFERROR(Supplier_Perf_Table[[#This Row],[Dollar Equivalent]]*Supplier_Perf_Table[[#This Row],[Ordered_Value]],"")</f>
        <v>160.66496999999998</v>
      </c>
      <c r="U288" s="75"/>
      <c r="V288" s="7">
        <v>2.3300000000000001E-2</v>
      </c>
      <c r="W288" s="75">
        <v>10</v>
      </c>
      <c r="X288" s="55">
        <f>IFERROR(Supplier_Perf_Table[[#This Row],[Actual_Delivery_Date]]-Supplier_Perf_Table[[#This Row],[Order Date]],"")</f>
        <v>10</v>
      </c>
      <c r="Y288" s="75">
        <v>8</v>
      </c>
      <c r="Z288" s="56">
        <f>IFERROR(Supplier_Perf_Table[[#This Row],[Expected Delivery_Date]]-Supplier_Perf_Table[[#This Row],[Order Date]],"")</f>
        <v>8</v>
      </c>
      <c r="AA288" s="56">
        <f>Supplier_Perf_Table[[#This Row],[Calculated_Lead_Time2]]-Supplier_Perf_Table[[#This Row],[Calculated_Expected_Lead_Time]]</f>
        <v>2</v>
      </c>
      <c r="AB288" s="75">
        <v>2</v>
      </c>
      <c r="AC288" s="63" t="s">
        <v>166</v>
      </c>
      <c r="AD288" s="63" t="s">
        <v>40</v>
      </c>
      <c r="AE288" s="63" t="s">
        <v>127</v>
      </c>
      <c r="AF288" s="63" t="s">
        <v>190</v>
      </c>
      <c r="AG288" s="63" t="s">
        <v>107</v>
      </c>
      <c r="AH288" s="63" t="s">
        <v>136</v>
      </c>
      <c r="AI288" s="63" t="s">
        <v>44</v>
      </c>
      <c r="AJ288" s="63" t="s">
        <v>138</v>
      </c>
      <c r="AK288" s="83">
        <v>-1</v>
      </c>
      <c r="AL288" s="63" t="s">
        <v>45</v>
      </c>
      <c r="AM288" s="63" t="s">
        <v>148</v>
      </c>
      <c r="AN288"/>
    </row>
    <row r="289" spans="1:40" ht="18" customHeight="1">
      <c r="A289" s="1" t="s">
        <v>1029</v>
      </c>
      <c r="B289" s="1" t="s">
        <v>1030</v>
      </c>
      <c r="C289" s="4">
        <v>46191</v>
      </c>
      <c r="D289" s="4">
        <v>46198</v>
      </c>
      <c r="E289" s="4">
        <v>46211</v>
      </c>
      <c r="F289" s="63" t="s">
        <v>151</v>
      </c>
      <c r="G289" s="63" t="s">
        <v>3844</v>
      </c>
      <c r="H289" s="63" t="s">
        <v>152</v>
      </c>
      <c r="I289" s="63" t="s">
        <v>49</v>
      </c>
      <c r="J289" s="63" t="s">
        <v>112</v>
      </c>
      <c r="K289" s="63" t="s">
        <v>1031</v>
      </c>
      <c r="L289" s="63" t="s">
        <v>114</v>
      </c>
      <c r="M289" s="69">
        <v>547.79</v>
      </c>
      <c r="N289" s="63" t="s">
        <v>86</v>
      </c>
      <c r="O289" s="73">
        <f>_xlfn.XLOOKUP(Supplier_Perf_Table[[#This Row],[Currency]],'Comments 2'!$C$4:$C$16,'Comments 2'!$D$4:$D$16)</f>
        <v>8.8999999999999996E-2</v>
      </c>
      <c r="P289" s="69">
        <f>IFERROR(Supplier_Perf_Table[[#This Row],[Unit_Cost]]*Supplier_Perf_Table[[#This Row],[Dollar Equivalent]],"")</f>
        <v>48.753309999999992</v>
      </c>
      <c r="Q289" s="75">
        <v>250</v>
      </c>
      <c r="R289" s="1">
        <v>136947.5</v>
      </c>
      <c r="S289" s="75">
        <f>Supplier_Perf_Table[[#This Row],[Unit_Cost]]*Supplier_Perf_Table[[#This Row],[Order_Quantity]]</f>
        <v>136947.5</v>
      </c>
      <c r="T289" s="75">
        <f>IFERROR(Supplier_Perf_Table[[#This Row],[Dollar Equivalent]]*Supplier_Perf_Table[[#This Row],[Ordered_Value]],"")</f>
        <v>12188.327499999999</v>
      </c>
      <c r="U289" s="75">
        <v>1</v>
      </c>
      <c r="V289" s="7">
        <v>4.0000000000000001E-3</v>
      </c>
      <c r="W289" s="75">
        <v>20</v>
      </c>
      <c r="X289" s="55">
        <f>IFERROR(Supplier_Perf_Table[[#This Row],[Actual_Delivery_Date]]-Supplier_Perf_Table[[#This Row],[Order Date]],"")</f>
        <v>20</v>
      </c>
      <c r="Y289" s="75">
        <v>7</v>
      </c>
      <c r="Z289" s="56">
        <f>IFERROR(Supplier_Perf_Table[[#This Row],[Expected Delivery_Date]]-Supplier_Perf_Table[[#This Row],[Order Date]],"")</f>
        <v>7</v>
      </c>
      <c r="AA289" s="56">
        <f>Supplier_Perf_Table[[#This Row],[Calculated_Lead_Time2]]-Supplier_Perf_Table[[#This Row],[Calculated_Expected_Lead_Time]]</f>
        <v>13</v>
      </c>
      <c r="AB289" s="75">
        <v>13</v>
      </c>
      <c r="AC289" s="63" t="s">
        <v>205</v>
      </c>
      <c r="AD289" s="63" t="s">
        <v>40</v>
      </c>
      <c r="AE289" s="63" t="s">
        <v>105</v>
      </c>
      <c r="AF289" s="63" t="s">
        <v>3088</v>
      </c>
      <c r="AG289" s="63" t="s">
        <v>107</v>
      </c>
      <c r="AH289" s="63" t="s">
        <v>174</v>
      </c>
      <c r="AI289" s="63" t="s">
        <v>147</v>
      </c>
      <c r="AJ289" s="63" t="s">
        <v>138</v>
      </c>
      <c r="AK289" s="83">
        <v>2.4</v>
      </c>
      <c r="AL289" s="63" t="s">
        <v>108</v>
      </c>
      <c r="AM289" s="63" t="s">
        <v>46</v>
      </c>
      <c r="AN289"/>
    </row>
    <row r="290" spans="1:40" ht="18" customHeight="1">
      <c r="A290" s="1" t="s">
        <v>1032</v>
      </c>
      <c r="B290" s="1" t="s">
        <v>1033</v>
      </c>
      <c r="C290" s="4">
        <v>46064</v>
      </c>
      <c r="D290" s="4">
        <v>46073</v>
      </c>
      <c r="E290" s="4">
        <v>46077</v>
      </c>
      <c r="F290" s="63" t="s">
        <v>80</v>
      </c>
      <c r="G290" s="63" t="s">
        <v>3839</v>
      </c>
      <c r="H290" s="63" t="s">
        <v>82</v>
      </c>
      <c r="I290" s="63" t="s">
        <v>49</v>
      </c>
      <c r="J290" s="63" t="s">
        <v>112</v>
      </c>
      <c r="K290" s="63" t="s">
        <v>1034</v>
      </c>
      <c r="L290" s="63" t="s">
        <v>246</v>
      </c>
      <c r="M290" s="69">
        <v>34.130000000000003</v>
      </c>
      <c r="N290" s="63" t="s">
        <v>65</v>
      </c>
      <c r="O290" s="73">
        <f>_xlfn.XLOOKUP(Supplier_Perf_Table[[#This Row],[Currency]],'Comments 2'!$C$4:$C$16,'Comments 2'!$D$4:$D$16)</f>
        <v>1</v>
      </c>
      <c r="P290" s="69">
        <f>IFERROR(Supplier_Perf_Table[[#This Row],[Unit_Cost]]*Supplier_Perf_Table[[#This Row],[Dollar Equivalent]],"")</f>
        <v>34.130000000000003</v>
      </c>
      <c r="Q290" s="75">
        <v>150</v>
      </c>
      <c r="R290" s="1">
        <v>5119.5</v>
      </c>
      <c r="S290" s="75">
        <f>Supplier_Perf_Table[[#This Row],[Unit_Cost]]*Supplier_Perf_Table[[#This Row],[Order_Quantity]]</f>
        <v>5119.5</v>
      </c>
      <c r="T290" s="75">
        <f>IFERROR(Supplier_Perf_Table[[#This Row],[Dollar Equivalent]]*Supplier_Perf_Table[[#This Row],[Ordered_Value]],"")</f>
        <v>5119.5</v>
      </c>
      <c r="U290" s="75">
        <v>2</v>
      </c>
      <c r="V290" s="7">
        <v>1.3299999999999999E-2</v>
      </c>
      <c r="W290" s="75">
        <v>13</v>
      </c>
      <c r="X290" s="55">
        <f>IFERROR(Supplier_Perf_Table[[#This Row],[Actual_Delivery_Date]]-Supplier_Perf_Table[[#This Row],[Order Date]],"")</f>
        <v>13</v>
      </c>
      <c r="Y290" s="75">
        <v>9</v>
      </c>
      <c r="Z290" s="56">
        <f>IFERROR(Supplier_Perf_Table[[#This Row],[Expected Delivery_Date]]-Supplier_Perf_Table[[#This Row],[Order Date]],"")</f>
        <v>9</v>
      </c>
      <c r="AA290" s="56">
        <f>Supplier_Perf_Table[[#This Row],[Calculated_Lead_Time2]]-Supplier_Perf_Table[[#This Row],[Calculated_Expected_Lead_Time]]</f>
        <v>4</v>
      </c>
      <c r="AB290" s="75">
        <v>4</v>
      </c>
      <c r="AC290" s="63" t="s">
        <v>39</v>
      </c>
      <c r="AD290" s="63" t="s">
        <v>40</v>
      </c>
      <c r="AE290" s="63" t="s">
        <v>105</v>
      </c>
      <c r="AF290" s="63" t="s">
        <v>66</v>
      </c>
      <c r="AG290" s="63" t="s">
        <v>107</v>
      </c>
      <c r="AH290" s="63" t="s">
        <v>206</v>
      </c>
      <c r="AI290" s="63" t="s">
        <v>44</v>
      </c>
      <c r="AJ290" s="63" t="s">
        <v>138</v>
      </c>
      <c r="AK290" s="83">
        <v>2.6</v>
      </c>
      <c r="AL290" s="63" t="s">
        <v>115</v>
      </c>
      <c r="AM290" s="63" t="s">
        <v>46</v>
      </c>
      <c r="AN290"/>
    </row>
    <row r="291" spans="1:40" ht="18" customHeight="1">
      <c r="A291" s="1" t="s">
        <v>1035</v>
      </c>
      <c r="B291" s="1" t="s">
        <v>1036</v>
      </c>
      <c r="C291" s="4">
        <v>46055</v>
      </c>
      <c r="D291" s="4">
        <v>46075</v>
      </c>
      <c r="E291" s="4">
        <v>46068</v>
      </c>
      <c r="F291" s="63" t="s">
        <v>142</v>
      </c>
      <c r="G291" s="63" t="s">
        <v>3843</v>
      </c>
      <c r="H291" s="63" t="s">
        <v>169</v>
      </c>
      <c r="I291" s="63" t="s">
        <v>61</v>
      </c>
      <c r="J291" s="63" t="s">
        <v>50</v>
      </c>
      <c r="K291" s="63" t="s">
        <v>1037</v>
      </c>
      <c r="L291" s="63" t="s">
        <v>126</v>
      </c>
      <c r="M291" s="69">
        <v>4437.2299999999996</v>
      </c>
      <c r="N291" s="63" t="s">
        <v>159</v>
      </c>
      <c r="O291" s="73">
        <f>_xlfn.XLOOKUP(Supplier_Perf_Table[[#This Row],[Currency]],'Comments 2'!$C$4:$C$16,'Comments 2'!$D$4:$D$16)</f>
        <v>7.2999999999999996E-4</v>
      </c>
      <c r="P291" s="69">
        <f>IFERROR(Supplier_Perf_Table[[#This Row],[Unit_Cost]]*Supplier_Perf_Table[[#This Row],[Dollar Equivalent]],"")</f>
        <v>3.2391778999999996</v>
      </c>
      <c r="Q291" s="75">
        <v>250</v>
      </c>
      <c r="R291" s="1">
        <v>1109307.5</v>
      </c>
      <c r="S291" s="75">
        <f>Supplier_Perf_Table[[#This Row],[Unit_Cost]]*Supplier_Perf_Table[[#This Row],[Order_Quantity]]</f>
        <v>1109307.5</v>
      </c>
      <c r="T291" s="75">
        <f>IFERROR(Supplier_Perf_Table[[#This Row],[Dollar Equivalent]]*Supplier_Perf_Table[[#This Row],[Ordered_Value]],"")</f>
        <v>809.79447499999992</v>
      </c>
      <c r="U291" s="75">
        <v>9</v>
      </c>
      <c r="V291" s="7">
        <v>3.5999999999999997E-2</v>
      </c>
      <c r="W291" s="75">
        <v>13</v>
      </c>
      <c r="X291" s="55">
        <f>IFERROR(Supplier_Perf_Table[[#This Row],[Actual_Delivery_Date]]-Supplier_Perf_Table[[#This Row],[Order Date]],"")</f>
        <v>13</v>
      </c>
      <c r="Y291" s="75">
        <v>20</v>
      </c>
      <c r="Z291" s="56">
        <f>IFERROR(Supplier_Perf_Table[[#This Row],[Expected Delivery_Date]]-Supplier_Perf_Table[[#This Row],[Order Date]],"")</f>
        <v>20</v>
      </c>
      <c r="AA291" s="56">
        <f>Supplier_Perf_Table[[#This Row],[Calculated_Lead_Time2]]-Supplier_Perf_Table[[#This Row],[Calculated_Expected_Lead_Time]]</f>
        <v>-7</v>
      </c>
      <c r="AB291" s="75">
        <v>-7</v>
      </c>
      <c r="AC291" s="63" t="s">
        <v>87</v>
      </c>
      <c r="AD291" s="63" t="s">
        <v>40</v>
      </c>
      <c r="AE291" s="63" t="s">
        <v>3088</v>
      </c>
      <c r="AF291" s="63" t="s">
        <v>3088</v>
      </c>
      <c r="AG291" s="63" t="s">
        <v>107</v>
      </c>
      <c r="AH291" s="63" t="s">
        <v>174</v>
      </c>
      <c r="AI291" s="63" t="s">
        <v>191</v>
      </c>
      <c r="AJ291" s="63" t="s">
        <v>138</v>
      </c>
      <c r="AK291" s="83">
        <v>4.2</v>
      </c>
      <c r="AL291" s="63" t="s">
        <v>76</v>
      </c>
      <c r="AM291" s="63" t="s">
        <v>130</v>
      </c>
      <c r="AN291"/>
    </row>
    <row r="292" spans="1:40" ht="18" customHeight="1">
      <c r="A292" s="1" t="s">
        <v>1038</v>
      </c>
      <c r="B292" s="1" t="s">
        <v>1039</v>
      </c>
      <c r="C292" s="4">
        <v>46105</v>
      </c>
      <c r="D292" s="4">
        <v>46124</v>
      </c>
      <c r="E292" s="4">
        <v>46131</v>
      </c>
      <c r="F292" s="63" t="s">
        <v>32</v>
      </c>
      <c r="G292" s="63" t="s">
        <v>3835</v>
      </c>
      <c r="H292" s="63" t="s">
        <v>177</v>
      </c>
      <c r="I292" s="63" t="s">
        <v>70</v>
      </c>
      <c r="J292" s="63" t="s">
        <v>35</v>
      </c>
      <c r="K292" s="63" t="s">
        <v>1040</v>
      </c>
      <c r="L292" s="63" t="s">
        <v>180</v>
      </c>
      <c r="M292" s="69">
        <v>1182.99</v>
      </c>
      <c r="N292" s="63" t="s">
        <v>104</v>
      </c>
      <c r="O292" s="73">
        <f>_xlfn.XLOOKUP(Supplier_Perf_Table[[#This Row],[Currency]],'Comments 2'!$C$4:$C$16,'Comments 2'!$D$4:$D$16)</f>
        <v>1.9E-2</v>
      </c>
      <c r="P292" s="69">
        <f>IFERROR(Supplier_Perf_Table[[#This Row],[Unit_Cost]]*Supplier_Perf_Table[[#This Row],[Dollar Equivalent]],"")</f>
        <v>22.47681</v>
      </c>
      <c r="Q292" s="75">
        <v>75</v>
      </c>
      <c r="R292" s="1">
        <v>88724.25</v>
      </c>
      <c r="S292" s="75">
        <f>Supplier_Perf_Table[[#This Row],[Unit_Cost]]*Supplier_Perf_Table[[#This Row],[Order_Quantity]]</f>
        <v>88724.25</v>
      </c>
      <c r="T292" s="75">
        <f>IFERROR(Supplier_Perf_Table[[#This Row],[Dollar Equivalent]]*Supplier_Perf_Table[[#This Row],[Ordered_Value]],"")</f>
        <v>1685.7607499999999</v>
      </c>
      <c r="U292" s="75">
        <v>2</v>
      </c>
      <c r="V292" s="7">
        <v>2.6700000000000002E-2</v>
      </c>
      <c r="W292" s="75">
        <v>26</v>
      </c>
      <c r="X292" s="55">
        <f>IFERROR(Supplier_Perf_Table[[#This Row],[Actual_Delivery_Date]]-Supplier_Perf_Table[[#This Row],[Order Date]],"")</f>
        <v>26</v>
      </c>
      <c r="Y292" s="75">
        <v>19</v>
      </c>
      <c r="Z292" s="56">
        <f>IFERROR(Supplier_Perf_Table[[#This Row],[Expected Delivery_Date]]-Supplier_Perf_Table[[#This Row],[Order Date]],"")</f>
        <v>19</v>
      </c>
      <c r="AA292" s="56">
        <f>Supplier_Perf_Table[[#This Row],[Calculated_Lead_Time2]]-Supplier_Perf_Table[[#This Row],[Calculated_Expected_Lead_Time]]</f>
        <v>7</v>
      </c>
      <c r="AB292" s="75">
        <v>7</v>
      </c>
      <c r="AC292" s="63" t="s">
        <v>135</v>
      </c>
      <c r="AD292" s="63" t="s">
        <v>404</v>
      </c>
      <c r="AE292" s="63" t="s">
        <v>127</v>
      </c>
      <c r="AF292" s="63" t="s">
        <v>3088</v>
      </c>
      <c r="AG292" s="63" t="s">
        <v>54</v>
      </c>
      <c r="AH292" s="63" t="s">
        <v>3112</v>
      </c>
      <c r="AI292" s="63" t="s">
        <v>191</v>
      </c>
      <c r="AJ292" s="63" t="s">
        <v>138</v>
      </c>
      <c r="AK292" s="83">
        <v>2.4</v>
      </c>
      <c r="AL292" s="63" t="s">
        <v>57</v>
      </c>
      <c r="AM292" s="63" t="s">
        <v>148</v>
      </c>
      <c r="AN292"/>
    </row>
    <row r="293" spans="1:40" ht="18" customHeight="1">
      <c r="A293" s="1" t="s">
        <v>1041</v>
      </c>
      <c r="B293" s="1" t="s">
        <v>1042</v>
      </c>
      <c r="C293" s="4">
        <v>46033</v>
      </c>
      <c r="D293" s="4">
        <v>46042</v>
      </c>
      <c r="E293" s="4">
        <v>46052</v>
      </c>
      <c r="F293" s="63" t="s">
        <v>100</v>
      </c>
      <c r="G293" s="63" t="s">
        <v>3841</v>
      </c>
      <c r="H293" s="63" t="s">
        <v>102</v>
      </c>
      <c r="I293" s="63" t="s">
        <v>34</v>
      </c>
      <c r="J293" s="63" t="s">
        <v>50</v>
      </c>
      <c r="K293" s="63" t="s">
        <v>1043</v>
      </c>
      <c r="L293" s="63" t="s">
        <v>189</v>
      </c>
      <c r="M293" s="69">
        <v>1023.23</v>
      </c>
      <c r="N293" s="63" t="s">
        <v>86</v>
      </c>
      <c r="O293" s="73">
        <f>_xlfn.XLOOKUP(Supplier_Perf_Table[[#This Row],[Currency]],'Comments 2'!$C$4:$C$16,'Comments 2'!$D$4:$D$16)</f>
        <v>8.8999999999999996E-2</v>
      </c>
      <c r="P293" s="69">
        <f>IFERROR(Supplier_Perf_Table[[#This Row],[Unit_Cost]]*Supplier_Perf_Table[[#This Row],[Dollar Equivalent]],"")</f>
        <v>91.06747</v>
      </c>
      <c r="Q293" s="75">
        <v>100</v>
      </c>
      <c r="R293" s="1">
        <v>102323</v>
      </c>
      <c r="S293" s="75">
        <f>Supplier_Perf_Table[[#This Row],[Unit_Cost]]*Supplier_Perf_Table[[#This Row],[Order_Quantity]]</f>
        <v>102323</v>
      </c>
      <c r="T293" s="75">
        <f>IFERROR(Supplier_Perf_Table[[#This Row],[Dollar Equivalent]]*Supplier_Perf_Table[[#This Row],[Ordered_Value]],"")</f>
        <v>9106.7469999999994</v>
      </c>
      <c r="U293" s="75">
        <v>1</v>
      </c>
      <c r="V293" s="7">
        <v>0.01</v>
      </c>
      <c r="W293" s="75">
        <v>19</v>
      </c>
      <c r="X293" s="55">
        <f>IFERROR(Supplier_Perf_Table[[#This Row],[Actual_Delivery_Date]]-Supplier_Perf_Table[[#This Row],[Order Date]],"")</f>
        <v>19</v>
      </c>
      <c r="Y293" s="75">
        <v>9</v>
      </c>
      <c r="Z293" s="56">
        <f>IFERROR(Supplier_Perf_Table[[#This Row],[Expected Delivery_Date]]-Supplier_Perf_Table[[#This Row],[Order Date]],"")</f>
        <v>9</v>
      </c>
      <c r="AA293" s="56">
        <f>Supplier_Perf_Table[[#This Row],[Calculated_Lead_Time2]]-Supplier_Perf_Table[[#This Row],[Calculated_Expected_Lead_Time]]</f>
        <v>10</v>
      </c>
      <c r="AB293" s="75">
        <v>10</v>
      </c>
      <c r="AC293" s="63" t="s">
        <v>135</v>
      </c>
      <c r="AD293" s="63" t="s">
        <v>40</v>
      </c>
      <c r="AE293" s="63" t="s">
        <v>41</v>
      </c>
      <c r="AF293" s="63" t="s">
        <v>42</v>
      </c>
      <c r="AG293" s="63" t="s">
        <v>173</v>
      </c>
      <c r="AH293" s="63" t="s">
        <v>3112</v>
      </c>
      <c r="AI293" s="63" t="s">
        <v>95</v>
      </c>
      <c r="AJ293" s="63" t="s">
        <v>138</v>
      </c>
      <c r="AK293" s="83">
        <v>1.1000000000000001</v>
      </c>
      <c r="AL293" s="63" t="s">
        <v>108</v>
      </c>
      <c r="AM293" s="63" t="s">
        <v>46</v>
      </c>
      <c r="AN293"/>
    </row>
    <row r="294" spans="1:40" ht="18" customHeight="1">
      <c r="A294" s="1" t="s">
        <v>1044</v>
      </c>
      <c r="B294" s="1" t="s">
        <v>1045</v>
      </c>
      <c r="C294" s="4">
        <v>46198</v>
      </c>
      <c r="D294" s="4">
        <v>46204</v>
      </c>
      <c r="E294" s="4">
        <v>46211</v>
      </c>
      <c r="F294" s="63" t="s">
        <v>215</v>
      </c>
      <c r="G294" s="63" t="s">
        <v>3846</v>
      </c>
      <c r="H294" s="63" t="s">
        <v>152</v>
      </c>
      <c r="I294" s="63" t="s">
        <v>120</v>
      </c>
      <c r="J294" s="63" t="s">
        <v>163</v>
      </c>
      <c r="K294" s="63" t="s">
        <v>1046</v>
      </c>
      <c r="L294" s="63" t="s">
        <v>269</v>
      </c>
      <c r="M294" s="69">
        <v>325.68</v>
      </c>
      <c r="N294" s="63" t="s">
        <v>38</v>
      </c>
      <c r="O294" s="73">
        <f>_xlfn.XLOOKUP(Supplier_Perf_Table[[#This Row],[Currency]],'Comments 2'!$C$4:$C$16,'Comments 2'!$D$4:$D$16)</f>
        <v>7.7000000000000002E-3</v>
      </c>
      <c r="P294" s="69">
        <f>IFERROR(Supplier_Perf_Table[[#This Row],[Unit_Cost]]*Supplier_Perf_Table[[#This Row],[Dollar Equivalent]],"")</f>
        <v>2.507736</v>
      </c>
      <c r="Q294" s="75">
        <v>1500</v>
      </c>
      <c r="R294" s="1">
        <v>488520</v>
      </c>
      <c r="S294" s="75">
        <f>Supplier_Perf_Table[[#This Row],[Unit_Cost]]*Supplier_Perf_Table[[#This Row],[Order_Quantity]]</f>
        <v>488520</v>
      </c>
      <c r="T294" s="75">
        <f>IFERROR(Supplier_Perf_Table[[#This Row],[Dollar Equivalent]]*Supplier_Perf_Table[[#This Row],[Ordered_Value]],"")</f>
        <v>3761.6040000000003</v>
      </c>
      <c r="U294" s="75">
        <v>12</v>
      </c>
      <c r="V294" s="7">
        <v>8.0000000000000002E-3</v>
      </c>
      <c r="W294" s="75">
        <v>13</v>
      </c>
      <c r="X294" s="55">
        <f>IFERROR(Supplier_Perf_Table[[#This Row],[Actual_Delivery_Date]]-Supplier_Perf_Table[[#This Row],[Order Date]],"")</f>
        <v>13</v>
      </c>
      <c r="Y294" s="75">
        <v>6</v>
      </c>
      <c r="Z294" s="56">
        <f>IFERROR(Supplier_Perf_Table[[#This Row],[Expected Delivery_Date]]-Supplier_Perf_Table[[#This Row],[Order Date]],"")</f>
        <v>6</v>
      </c>
      <c r="AA294" s="56">
        <f>Supplier_Perf_Table[[#This Row],[Calculated_Lead_Time2]]-Supplier_Perf_Table[[#This Row],[Calculated_Expected_Lead_Time]]</f>
        <v>7</v>
      </c>
      <c r="AB294" s="75">
        <v>7</v>
      </c>
      <c r="AC294" s="63" t="s">
        <v>39</v>
      </c>
      <c r="AD294" s="63" t="s">
        <v>40</v>
      </c>
      <c r="AE294" s="63" t="s">
        <v>146</v>
      </c>
      <c r="AF294" s="63" t="s">
        <v>190</v>
      </c>
      <c r="AG294" s="63" t="s">
        <v>173</v>
      </c>
      <c r="AH294" s="63" t="s">
        <v>55</v>
      </c>
      <c r="AI294" s="63" t="s">
        <v>137</v>
      </c>
      <c r="AJ294" s="63" t="s">
        <v>138</v>
      </c>
      <c r="AK294" s="83">
        <v>2.2999999999999998</v>
      </c>
      <c r="AL294" s="63" t="s">
        <v>139</v>
      </c>
      <c r="AM294" s="63" t="s">
        <v>148</v>
      </c>
      <c r="AN294"/>
    </row>
    <row r="295" spans="1:40" ht="18" customHeight="1">
      <c r="A295" s="1" t="s">
        <v>1047</v>
      </c>
      <c r="B295" s="1" t="s">
        <v>1048</v>
      </c>
      <c r="C295" s="4">
        <v>46095</v>
      </c>
      <c r="D295" s="4">
        <v>46116</v>
      </c>
      <c r="E295" s="4">
        <v>46116</v>
      </c>
      <c r="F295" s="63" t="s">
        <v>32</v>
      </c>
      <c r="G295" s="63" t="s">
        <v>3835</v>
      </c>
      <c r="H295" s="63" t="s">
        <v>177</v>
      </c>
      <c r="I295" s="63" t="s">
        <v>34</v>
      </c>
      <c r="J295" s="63" t="s">
        <v>153</v>
      </c>
      <c r="K295" s="63" t="s">
        <v>1049</v>
      </c>
      <c r="L295" s="63" t="s">
        <v>318</v>
      </c>
      <c r="M295" s="69">
        <v>19.670000000000002</v>
      </c>
      <c r="N295" s="63" t="s">
        <v>104</v>
      </c>
      <c r="O295" s="73">
        <f>_xlfn.XLOOKUP(Supplier_Perf_Table[[#This Row],[Currency]],'Comments 2'!$C$4:$C$16,'Comments 2'!$D$4:$D$16)</f>
        <v>1.9E-2</v>
      </c>
      <c r="P295" s="69">
        <f>IFERROR(Supplier_Perf_Table[[#This Row],[Unit_Cost]]*Supplier_Perf_Table[[#This Row],[Dollar Equivalent]],"")</f>
        <v>0.37373000000000001</v>
      </c>
      <c r="Q295" s="75">
        <v>75</v>
      </c>
      <c r="R295" s="1">
        <v>1475.25</v>
      </c>
      <c r="S295" s="75">
        <f>Supplier_Perf_Table[[#This Row],[Unit_Cost]]*Supplier_Perf_Table[[#This Row],[Order_Quantity]]</f>
        <v>1475.2500000000002</v>
      </c>
      <c r="T295" s="75">
        <f>IFERROR(Supplier_Perf_Table[[#This Row],[Dollar Equivalent]]*Supplier_Perf_Table[[#This Row],[Ordered_Value]],"")</f>
        <v>28.02975</v>
      </c>
      <c r="U295" s="75">
        <v>0</v>
      </c>
      <c r="V295" s="7">
        <v>0</v>
      </c>
      <c r="W295" s="75">
        <v>21</v>
      </c>
      <c r="X295" s="55">
        <f>IFERROR(Supplier_Perf_Table[[#This Row],[Actual_Delivery_Date]]-Supplier_Perf_Table[[#This Row],[Order Date]],"")</f>
        <v>21</v>
      </c>
      <c r="Y295" s="75">
        <v>21</v>
      </c>
      <c r="Z295" s="56">
        <f>IFERROR(Supplier_Perf_Table[[#This Row],[Expected Delivery_Date]]-Supplier_Perf_Table[[#This Row],[Order Date]],"")</f>
        <v>21</v>
      </c>
      <c r="AA295" s="56">
        <f>Supplier_Perf_Table[[#This Row],[Calculated_Lead_Time2]]-Supplier_Perf_Table[[#This Row],[Calculated_Expected_Lead_Time]]</f>
        <v>0</v>
      </c>
      <c r="AB295" s="75">
        <v>0</v>
      </c>
      <c r="AC295" s="63" t="s">
        <v>87</v>
      </c>
      <c r="AD295" s="63" t="s">
        <v>40</v>
      </c>
      <c r="AE295" s="63" t="s">
        <v>105</v>
      </c>
      <c r="AF295" s="63" t="s">
        <v>42</v>
      </c>
      <c r="AG295" s="63" t="s">
        <v>3088</v>
      </c>
      <c r="AH295" s="63" t="s">
        <v>3112</v>
      </c>
      <c r="AI295" s="63" t="s">
        <v>191</v>
      </c>
      <c r="AJ295" s="63" t="s">
        <v>138</v>
      </c>
      <c r="AK295" s="83">
        <v>4.4000000000000004</v>
      </c>
      <c r="AL295" s="63" t="s">
        <v>108</v>
      </c>
      <c r="AM295" s="63" t="s">
        <v>138</v>
      </c>
      <c r="AN295"/>
    </row>
    <row r="296" spans="1:40" ht="18" customHeight="1">
      <c r="A296" s="1" t="s">
        <v>1050</v>
      </c>
      <c r="B296" s="1" t="s">
        <v>1051</v>
      </c>
      <c r="C296" s="4">
        <v>46050</v>
      </c>
      <c r="D296" s="4">
        <v>46073</v>
      </c>
      <c r="E296" s="4">
        <v>46071</v>
      </c>
      <c r="F296" s="63" t="s">
        <v>235</v>
      </c>
      <c r="G296" s="63" t="s">
        <v>3848</v>
      </c>
      <c r="H296" s="63" t="s">
        <v>479</v>
      </c>
      <c r="I296" s="63" t="s">
        <v>70</v>
      </c>
      <c r="J296" s="63" t="s">
        <v>50</v>
      </c>
      <c r="K296" s="63" t="s">
        <v>1052</v>
      </c>
      <c r="L296" s="63" t="s">
        <v>145</v>
      </c>
      <c r="M296" s="69">
        <v>2683.36</v>
      </c>
      <c r="N296" s="63" t="s">
        <v>3075</v>
      </c>
      <c r="O296" s="73">
        <f>_xlfn.XLOOKUP(Supplier_Perf_Table[[#This Row],[Currency]],'Comments 2'!$C$4:$C$16,'Comments 2'!$D$4:$D$16)</f>
        <v>6.4000000000000003E-3</v>
      </c>
      <c r="P296" s="69">
        <f>IFERROR(Supplier_Perf_Table[[#This Row],[Unit_Cost]]*Supplier_Perf_Table[[#This Row],[Dollar Equivalent]],"")</f>
        <v>17.173504000000001</v>
      </c>
      <c r="Q296" s="75">
        <v>750</v>
      </c>
      <c r="R296" s="1">
        <v>2012520</v>
      </c>
      <c r="S296" s="75">
        <f>Supplier_Perf_Table[[#This Row],[Unit_Cost]]*Supplier_Perf_Table[[#This Row],[Order_Quantity]]</f>
        <v>2012520</v>
      </c>
      <c r="T296" s="75">
        <f>IFERROR(Supplier_Perf_Table[[#This Row],[Dollar Equivalent]]*Supplier_Perf_Table[[#This Row],[Ordered_Value]],"")</f>
        <v>12880.128000000001</v>
      </c>
      <c r="U296" s="75">
        <v>3</v>
      </c>
      <c r="V296" s="7">
        <v>4.0000000000000001E-3</v>
      </c>
      <c r="W296" s="75">
        <v>21</v>
      </c>
      <c r="X296" s="55">
        <f>IFERROR(Supplier_Perf_Table[[#This Row],[Actual_Delivery_Date]]-Supplier_Perf_Table[[#This Row],[Order Date]],"")</f>
        <v>21</v>
      </c>
      <c r="Y296" s="75">
        <v>23</v>
      </c>
      <c r="Z296" s="56">
        <f>IFERROR(Supplier_Perf_Table[[#This Row],[Expected Delivery_Date]]-Supplier_Perf_Table[[#This Row],[Order Date]],"")</f>
        <v>23</v>
      </c>
      <c r="AA296" s="56">
        <f>Supplier_Perf_Table[[#This Row],[Calculated_Lead_Time2]]-Supplier_Perf_Table[[#This Row],[Calculated_Expected_Lead_Time]]</f>
        <v>-2</v>
      </c>
      <c r="AB296" s="75">
        <v>-2</v>
      </c>
      <c r="AC296" s="63" t="s">
        <v>270</v>
      </c>
      <c r="AD296" s="63" t="s">
        <v>40</v>
      </c>
      <c r="AE296" s="63" t="s">
        <v>105</v>
      </c>
      <c r="AF296" s="63" t="s">
        <v>190</v>
      </c>
      <c r="AG296" s="63" t="s">
        <v>43</v>
      </c>
      <c r="AH296" s="63" t="s">
        <v>3112</v>
      </c>
      <c r="AI296" s="63" t="s">
        <v>95</v>
      </c>
      <c r="AJ296" s="63" t="s">
        <v>138</v>
      </c>
      <c r="AK296" s="83">
        <v>4.5999999999999996</v>
      </c>
      <c r="AL296" s="63" t="s">
        <v>139</v>
      </c>
      <c r="AM296" s="63" t="s">
        <v>138</v>
      </c>
      <c r="AN296"/>
    </row>
    <row r="297" spans="1:40" ht="18" customHeight="1">
      <c r="A297" s="1" t="s">
        <v>1053</v>
      </c>
      <c r="B297" s="1" t="s">
        <v>1054</v>
      </c>
      <c r="C297" s="4">
        <v>46201</v>
      </c>
      <c r="D297" s="4">
        <v>46209</v>
      </c>
      <c r="E297" s="4">
        <v>46211</v>
      </c>
      <c r="F297" s="63" t="s">
        <v>60</v>
      </c>
      <c r="G297" s="63" t="s">
        <v>3837</v>
      </c>
      <c r="H297" s="63" t="s">
        <v>152</v>
      </c>
      <c r="I297" s="63" t="s">
        <v>70</v>
      </c>
      <c r="J297" s="63" t="s">
        <v>62</v>
      </c>
      <c r="K297" s="63" t="s">
        <v>1055</v>
      </c>
      <c r="L297" s="63" t="s">
        <v>225</v>
      </c>
      <c r="M297" s="69">
        <v>606.79999999999995</v>
      </c>
      <c r="N297" s="63" t="s">
        <v>104</v>
      </c>
      <c r="O297" s="73">
        <f>_xlfn.XLOOKUP(Supplier_Perf_Table[[#This Row],[Currency]],'Comments 2'!$C$4:$C$16,'Comments 2'!$D$4:$D$16)</f>
        <v>1.9E-2</v>
      </c>
      <c r="P297" s="69">
        <f>IFERROR(Supplier_Perf_Table[[#This Row],[Unit_Cost]]*Supplier_Perf_Table[[#This Row],[Dollar Equivalent]],"")</f>
        <v>11.529199999999999</v>
      </c>
      <c r="Q297" s="75">
        <v>2000</v>
      </c>
      <c r="R297" s="1">
        <v>1213600</v>
      </c>
      <c r="S297" s="75">
        <f>Supplier_Perf_Table[[#This Row],[Unit_Cost]]*Supplier_Perf_Table[[#This Row],[Order_Quantity]]</f>
        <v>1213600</v>
      </c>
      <c r="T297" s="75">
        <f>IFERROR(Supplier_Perf_Table[[#This Row],[Dollar Equivalent]]*Supplier_Perf_Table[[#This Row],[Ordered_Value]],"")</f>
        <v>23058.399999999998</v>
      </c>
      <c r="U297" s="75">
        <v>0</v>
      </c>
      <c r="V297" s="7">
        <v>0</v>
      </c>
      <c r="W297" s="75">
        <v>10</v>
      </c>
      <c r="X297" s="55">
        <f>IFERROR(Supplier_Perf_Table[[#This Row],[Actual_Delivery_Date]]-Supplier_Perf_Table[[#This Row],[Order Date]],"")</f>
        <v>10</v>
      </c>
      <c r="Y297" s="75">
        <v>8</v>
      </c>
      <c r="Z297" s="56">
        <f>IFERROR(Supplier_Perf_Table[[#This Row],[Expected Delivery_Date]]-Supplier_Perf_Table[[#This Row],[Order Date]],"")</f>
        <v>8</v>
      </c>
      <c r="AA297" s="56">
        <f>Supplier_Perf_Table[[#This Row],[Calculated_Lead_Time2]]-Supplier_Perf_Table[[#This Row],[Calculated_Expected_Lead_Time]]</f>
        <v>2</v>
      </c>
      <c r="AB297" s="75">
        <v>2</v>
      </c>
      <c r="AC297" s="63" t="s">
        <v>135</v>
      </c>
      <c r="AD297" s="63" t="s">
        <v>40</v>
      </c>
      <c r="AE297" s="63" t="s">
        <v>146</v>
      </c>
      <c r="AF297" s="63" t="s">
        <v>66</v>
      </c>
      <c r="AG297" s="63" t="s">
        <v>128</v>
      </c>
      <c r="AH297" s="63" t="s">
        <v>206</v>
      </c>
      <c r="AI297" s="63" t="s">
        <v>138</v>
      </c>
      <c r="AJ297" s="63" t="s">
        <v>138</v>
      </c>
      <c r="AK297" s="83">
        <v>2.7</v>
      </c>
      <c r="AL297" s="63" t="s">
        <v>57</v>
      </c>
      <c r="AM297" s="63" t="s">
        <v>148</v>
      </c>
      <c r="AN297"/>
    </row>
    <row r="298" spans="1:40" ht="18" customHeight="1">
      <c r="A298" s="1" t="s">
        <v>704</v>
      </c>
      <c r="B298" s="1" t="s">
        <v>1056</v>
      </c>
      <c r="C298" s="4">
        <v>46049</v>
      </c>
      <c r="D298" s="4">
        <v>46064</v>
      </c>
      <c r="E298" s="4">
        <v>46073</v>
      </c>
      <c r="F298" s="63" t="s">
        <v>80</v>
      </c>
      <c r="G298" s="63" t="s">
        <v>3839</v>
      </c>
      <c r="H298" s="63" t="s">
        <v>82</v>
      </c>
      <c r="I298" s="63" t="s">
        <v>120</v>
      </c>
      <c r="J298" s="63" t="s">
        <v>35</v>
      </c>
      <c r="K298" s="63" t="s">
        <v>1057</v>
      </c>
      <c r="L298" s="63" t="s">
        <v>200</v>
      </c>
      <c r="M298" s="69">
        <v>870.05</v>
      </c>
      <c r="N298" s="63" t="s">
        <v>38</v>
      </c>
      <c r="O298" s="73">
        <f>_xlfn.XLOOKUP(Supplier_Perf_Table[[#This Row],[Currency]],'Comments 2'!$C$4:$C$16,'Comments 2'!$D$4:$D$16)</f>
        <v>7.7000000000000002E-3</v>
      </c>
      <c r="P298" s="69">
        <f>IFERROR(Supplier_Perf_Table[[#This Row],[Unit_Cost]]*Supplier_Perf_Table[[#This Row],[Dollar Equivalent]],"")</f>
        <v>6.6993849999999995</v>
      </c>
      <c r="Q298" s="75">
        <v>300</v>
      </c>
      <c r="R298" s="1">
        <v>261015</v>
      </c>
      <c r="S298" s="75">
        <f>Supplier_Perf_Table[[#This Row],[Unit_Cost]]*Supplier_Perf_Table[[#This Row],[Order_Quantity]]</f>
        <v>261015</v>
      </c>
      <c r="T298" s="75">
        <f>IFERROR(Supplier_Perf_Table[[#This Row],[Dollar Equivalent]]*Supplier_Perf_Table[[#This Row],[Ordered_Value]],"")</f>
        <v>2009.8155000000002</v>
      </c>
      <c r="U298" s="75">
        <v>2</v>
      </c>
      <c r="V298" s="7">
        <v>6.7000000000000002E-3</v>
      </c>
      <c r="W298" s="75">
        <v>24</v>
      </c>
      <c r="X298" s="55">
        <f>IFERROR(Supplier_Perf_Table[[#This Row],[Actual_Delivery_Date]]-Supplier_Perf_Table[[#This Row],[Order Date]],"")</f>
        <v>24</v>
      </c>
      <c r="Y298" s="75">
        <v>15</v>
      </c>
      <c r="Z298" s="56">
        <f>IFERROR(Supplier_Perf_Table[[#This Row],[Expected Delivery_Date]]-Supplier_Perf_Table[[#This Row],[Order Date]],"")</f>
        <v>15</v>
      </c>
      <c r="AA298" s="56">
        <f>Supplier_Perf_Table[[#This Row],[Calculated_Lead_Time2]]-Supplier_Perf_Table[[#This Row],[Calculated_Expected_Lead_Time]]</f>
        <v>9</v>
      </c>
      <c r="AB298" s="75">
        <v>9</v>
      </c>
      <c r="AC298" s="63" t="s">
        <v>135</v>
      </c>
      <c r="AD298" s="63" t="s">
        <v>3088</v>
      </c>
      <c r="AE298" s="63" t="s">
        <v>105</v>
      </c>
      <c r="AF298" s="63" t="s">
        <v>66</v>
      </c>
      <c r="AG298" s="63" t="s">
        <v>54</v>
      </c>
      <c r="AH298" s="63" t="s">
        <v>3112</v>
      </c>
      <c r="AI298" s="63" t="s">
        <v>147</v>
      </c>
      <c r="AJ298" s="63" t="s">
        <v>138</v>
      </c>
      <c r="AK298" s="83">
        <v>1.4</v>
      </c>
      <c r="AL298" s="63" t="s">
        <v>45</v>
      </c>
      <c r="AM298" s="63" t="s">
        <v>46</v>
      </c>
      <c r="AN298"/>
    </row>
    <row r="299" spans="1:40" ht="18" customHeight="1">
      <c r="A299" s="1" t="s">
        <v>1058</v>
      </c>
      <c r="B299" s="1" t="s">
        <v>1059</v>
      </c>
      <c r="C299" s="4">
        <v>46063</v>
      </c>
      <c r="D299" s="4">
        <v>46066</v>
      </c>
      <c r="E299" s="4">
        <v>46072</v>
      </c>
      <c r="F299" s="63" t="s">
        <v>151</v>
      </c>
      <c r="G299" s="63" t="s">
        <v>3844</v>
      </c>
      <c r="H299" s="63" t="s">
        <v>152</v>
      </c>
      <c r="I299" s="63" t="s">
        <v>83</v>
      </c>
      <c r="J299" s="63" t="s">
        <v>112</v>
      </c>
      <c r="K299" s="63" t="s">
        <v>561</v>
      </c>
      <c r="L299" s="63" t="s">
        <v>246</v>
      </c>
      <c r="M299" s="69">
        <v>628.46</v>
      </c>
      <c r="N299" s="63" t="s">
        <v>38</v>
      </c>
      <c r="O299" s="73">
        <f>_xlfn.XLOOKUP(Supplier_Perf_Table[[#This Row],[Currency]],'Comments 2'!$C$4:$C$16,'Comments 2'!$D$4:$D$16)</f>
        <v>7.7000000000000002E-3</v>
      </c>
      <c r="P299" s="69">
        <f>IFERROR(Supplier_Perf_Table[[#This Row],[Unit_Cost]]*Supplier_Perf_Table[[#This Row],[Dollar Equivalent]],"")</f>
        <v>4.8391420000000007</v>
      </c>
      <c r="Q299" s="75">
        <v>75</v>
      </c>
      <c r="R299" s="1">
        <v>47134.5</v>
      </c>
      <c r="S299" s="75">
        <f>Supplier_Perf_Table[[#This Row],[Unit_Cost]]*Supplier_Perf_Table[[#This Row],[Order_Quantity]]</f>
        <v>47134.5</v>
      </c>
      <c r="T299" s="75">
        <f>IFERROR(Supplier_Perf_Table[[#This Row],[Dollar Equivalent]]*Supplier_Perf_Table[[#This Row],[Ordered_Value]],"")</f>
        <v>362.93565000000001</v>
      </c>
      <c r="U299" s="75">
        <v>1</v>
      </c>
      <c r="V299" s="7">
        <v>1.3299999999999999E-2</v>
      </c>
      <c r="W299" s="75">
        <v>9</v>
      </c>
      <c r="X299" s="55">
        <f>IFERROR(Supplier_Perf_Table[[#This Row],[Actual_Delivery_Date]]-Supplier_Perf_Table[[#This Row],[Order Date]],"")</f>
        <v>9</v>
      </c>
      <c r="Y299" s="75">
        <v>3</v>
      </c>
      <c r="Z299" s="56">
        <f>IFERROR(Supplier_Perf_Table[[#This Row],[Expected Delivery_Date]]-Supplier_Perf_Table[[#This Row],[Order Date]],"")</f>
        <v>3</v>
      </c>
      <c r="AA299" s="56">
        <f>Supplier_Perf_Table[[#This Row],[Calculated_Lead_Time2]]-Supplier_Perf_Table[[#This Row],[Calculated_Expected_Lead_Time]]</f>
        <v>6</v>
      </c>
      <c r="AB299" s="75">
        <v>6</v>
      </c>
      <c r="AC299" s="63" t="s">
        <v>39</v>
      </c>
      <c r="AD299" s="63" t="s">
        <v>40</v>
      </c>
      <c r="AE299" s="63" t="s">
        <v>41</v>
      </c>
      <c r="AF299" s="63" t="s">
        <v>106</v>
      </c>
      <c r="AG299" s="63" t="s">
        <v>107</v>
      </c>
      <c r="AH299" s="63" t="s">
        <v>129</v>
      </c>
      <c r="AI299" s="63" t="s">
        <v>191</v>
      </c>
      <c r="AJ299" s="63" t="s">
        <v>138</v>
      </c>
      <c r="AK299" s="83">
        <v>2.5</v>
      </c>
      <c r="AL299" s="63" t="s">
        <v>139</v>
      </c>
      <c r="AM299" s="63" t="s">
        <v>46</v>
      </c>
      <c r="AN299"/>
    </row>
    <row r="300" spans="1:40" ht="18" customHeight="1">
      <c r="A300" s="1" t="s">
        <v>1060</v>
      </c>
      <c r="B300" s="1" t="s">
        <v>1061</v>
      </c>
      <c r="C300" s="4">
        <v>46126</v>
      </c>
      <c r="D300" s="4">
        <v>46135</v>
      </c>
      <c r="E300" s="4">
        <v>46145</v>
      </c>
      <c r="F300" s="63" t="s">
        <v>215</v>
      </c>
      <c r="G300" s="63" t="s">
        <v>3846</v>
      </c>
      <c r="H300" s="63" t="s">
        <v>152</v>
      </c>
      <c r="I300" s="63" t="s">
        <v>61</v>
      </c>
      <c r="J300" s="63" t="s">
        <v>35</v>
      </c>
      <c r="K300" s="63" t="s">
        <v>1062</v>
      </c>
      <c r="L300" s="63" t="s">
        <v>200</v>
      </c>
      <c r="M300" s="69">
        <v>1091.25</v>
      </c>
      <c r="N300" s="63" t="s">
        <v>159</v>
      </c>
      <c r="O300" s="73">
        <f>_xlfn.XLOOKUP(Supplier_Perf_Table[[#This Row],[Currency]],'Comments 2'!$C$4:$C$16,'Comments 2'!$D$4:$D$16)</f>
        <v>7.2999999999999996E-4</v>
      </c>
      <c r="P300" s="69">
        <f>IFERROR(Supplier_Perf_Table[[#This Row],[Unit_Cost]]*Supplier_Perf_Table[[#This Row],[Dollar Equivalent]],"")</f>
        <v>0.79661249999999995</v>
      </c>
      <c r="Q300" s="75">
        <v>50</v>
      </c>
      <c r="R300" s="1">
        <v>54562.5</v>
      </c>
      <c r="S300" s="75">
        <f>Supplier_Perf_Table[[#This Row],[Unit_Cost]]*Supplier_Perf_Table[[#This Row],[Order_Quantity]]</f>
        <v>54562.5</v>
      </c>
      <c r="T300" s="75">
        <f>IFERROR(Supplier_Perf_Table[[#This Row],[Dollar Equivalent]]*Supplier_Perf_Table[[#This Row],[Ordered_Value]],"")</f>
        <v>39.830624999999998</v>
      </c>
      <c r="U300" s="75">
        <v>0</v>
      </c>
      <c r="V300" s="7">
        <v>0</v>
      </c>
      <c r="W300" s="75">
        <v>19</v>
      </c>
      <c r="X300" s="55">
        <f>IFERROR(Supplier_Perf_Table[[#This Row],[Actual_Delivery_Date]]-Supplier_Perf_Table[[#This Row],[Order Date]],"")</f>
        <v>19</v>
      </c>
      <c r="Y300" s="75">
        <v>9</v>
      </c>
      <c r="Z300" s="56">
        <f>IFERROR(Supplier_Perf_Table[[#This Row],[Expected Delivery_Date]]-Supplier_Perf_Table[[#This Row],[Order Date]],"")</f>
        <v>9</v>
      </c>
      <c r="AA300" s="56">
        <f>Supplier_Perf_Table[[#This Row],[Calculated_Lead_Time2]]-Supplier_Perf_Table[[#This Row],[Calculated_Expected_Lead_Time]]</f>
        <v>10</v>
      </c>
      <c r="AB300" s="75">
        <v>10</v>
      </c>
      <c r="AC300" s="63" t="s">
        <v>39</v>
      </c>
      <c r="AD300" s="63" t="s">
        <v>40</v>
      </c>
      <c r="AE300" s="63" t="s">
        <v>127</v>
      </c>
      <c r="AF300" s="63" t="s">
        <v>106</v>
      </c>
      <c r="AG300" s="63" t="s">
        <v>54</v>
      </c>
      <c r="AH300" s="63" t="s">
        <v>174</v>
      </c>
      <c r="AI300" s="63" t="s">
        <v>191</v>
      </c>
      <c r="AJ300" s="63" t="s">
        <v>138</v>
      </c>
      <c r="AK300" s="83">
        <v>1.6</v>
      </c>
      <c r="AL300" s="63" t="s">
        <v>184</v>
      </c>
      <c r="AM300" s="63" t="s">
        <v>148</v>
      </c>
      <c r="AN300"/>
    </row>
    <row r="301" spans="1:40" ht="18" customHeight="1">
      <c r="A301" s="1" t="s">
        <v>1063</v>
      </c>
      <c r="B301" s="1" t="s">
        <v>1064</v>
      </c>
      <c r="C301" s="4">
        <v>46029</v>
      </c>
      <c r="D301" s="4">
        <v>46034</v>
      </c>
      <c r="E301" s="4">
        <v>46029</v>
      </c>
      <c r="F301" s="63" t="s">
        <v>215</v>
      </c>
      <c r="G301" s="63" t="s">
        <v>3846</v>
      </c>
      <c r="H301" s="63" t="s">
        <v>152</v>
      </c>
      <c r="I301" s="63" t="s">
        <v>49</v>
      </c>
      <c r="J301" s="63" t="s">
        <v>112</v>
      </c>
      <c r="K301" s="63" t="s">
        <v>1065</v>
      </c>
      <c r="L301" s="63" t="s">
        <v>114</v>
      </c>
      <c r="M301" s="69">
        <v>704.65</v>
      </c>
      <c r="N301" s="63" t="s">
        <v>159</v>
      </c>
      <c r="O301" s="73">
        <f>_xlfn.XLOOKUP(Supplier_Perf_Table[[#This Row],[Currency]],'Comments 2'!$C$4:$C$16,'Comments 2'!$D$4:$D$16)</f>
        <v>7.2999999999999996E-4</v>
      </c>
      <c r="P301" s="69">
        <f>IFERROR(Supplier_Perf_Table[[#This Row],[Unit_Cost]]*Supplier_Perf_Table[[#This Row],[Dollar Equivalent]],"")</f>
        <v>0.51439449999999998</v>
      </c>
      <c r="Q301" s="75">
        <v>1500</v>
      </c>
      <c r="R301" s="1">
        <v>1056975</v>
      </c>
      <c r="S301" s="75">
        <f>Supplier_Perf_Table[[#This Row],[Unit_Cost]]*Supplier_Perf_Table[[#This Row],[Order_Quantity]]</f>
        <v>1056975</v>
      </c>
      <c r="T301" s="75">
        <f>IFERROR(Supplier_Perf_Table[[#This Row],[Dollar Equivalent]]*Supplier_Perf_Table[[#This Row],[Ordered_Value]],"")</f>
        <v>771.59174999999993</v>
      </c>
      <c r="U301" s="75">
        <v>14</v>
      </c>
      <c r="V301" s="7">
        <v>9.2999999999999992E-3</v>
      </c>
      <c r="W301" s="75">
        <v>0</v>
      </c>
      <c r="X301" s="55">
        <f>IFERROR(Supplier_Perf_Table[[#This Row],[Actual_Delivery_Date]]-Supplier_Perf_Table[[#This Row],[Order Date]],"")</f>
        <v>0</v>
      </c>
      <c r="Y301" s="75">
        <v>5</v>
      </c>
      <c r="Z301" s="56">
        <f>IFERROR(Supplier_Perf_Table[[#This Row],[Expected Delivery_Date]]-Supplier_Perf_Table[[#This Row],[Order Date]],"")</f>
        <v>5</v>
      </c>
      <c r="AA301" s="56">
        <f>Supplier_Perf_Table[[#This Row],[Calculated_Lead_Time2]]-Supplier_Perf_Table[[#This Row],[Calculated_Expected_Lead_Time]]</f>
        <v>-5</v>
      </c>
      <c r="AB301" s="75">
        <v>-5</v>
      </c>
      <c r="AC301" s="63" t="s">
        <v>87</v>
      </c>
      <c r="AD301" s="63" t="s">
        <v>40</v>
      </c>
      <c r="AE301" s="63" t="s">
        <v>3088</v>
      </c>
      <c r="AF301" s="63" t="s">
        <v>106</v>
      </c>
      <c r="AG301" s="63" t="s">
        <v>54</v>
      </c>
      <c r="AH301" s="63" t="s">
        <v>3112</v>
      </c>
      <c r="AI301" s="63" t="s">
        <v>56</v>
      </c>
      <c r="AJ301" s="63" t="s">
        <v>138</v>
      </c>
      <c r="AK301" s="83">
        <v>4.8</v>
      </c>
      <c r="AL301" s="63" t="s">
        <v>57</v>
      </c>
      <c r="AM301" s="63" t="s">
        <v>130</v>
      </c>
      <c r="AN301"/>
    </row>
    <row r="302" spans="1:40" ht="18" customHeight="1">
      <c r="A302" s="1" t="s">
        <v>1066</v>
      </c>
      <c r="B302" s="1" t="s">
        <v>1067</v>
      </c>
      <c r="C302" s="4">
        <v>46120</v>
      </c>
      <c r="D302" s="4">
        <v>46135</v>
      </c>
      <c r="E302" s="4">
        <v>46127</v>
      </c>
      <c r="F302" s="63" t="s">
        <v>100</v>
      </c>
      <c r="G302" s="63" t="s">
        <v>3841</v>
      </c>
      <c r="H302" s="63" t="s">
        <v>102</v>
      </c>
      <c r="I302" s="63" t="s">
        <v>34</v>
      </c>
      <c r="J302" s="63" t="s">
        <v>50</v>
      </c>
      <c r="K302" s="63" t="s">
        <v>1068</v>
      </c>
      <c r="L302" s="63" t="s">
        <v>52</v>
      </c>
      <c r="M302" s="69">
        <v>435.04</v>
      </c>
      <c r="N302" s="63" t="s">
        <v>86</v>
      </c>
      <c r="O302" s="73">
        <f>_xlfn.XLOOKUP(Supplier_Perf_Table[[#This Row],[Currency]],'Comments 2'!$C$4:$C$16,'Comments 2'!$D$4:$D$16)</f>
        <v>8.8999999999999996E-2</v>
      </c>
      <c r="P302" s="69">
        <f>IFERROR(Supplier_Perf_Table[[#This Row],[Unit_Cost]]*Supplier_Perf_Table[[#This Row],[Dollar Equivalent]],"")</f>
        <v>38.718559999999997</v>
      </c>
      <c r="Q302" s="75">
        <v>500</v>
      </c>
      <c r="R302" s="1">
        <v>217520</v>
      </c>
      <c r="S302" s="75">
        <f>Supplier_Perf_Table[[#This Row],[Unit_Cost]]*Supplier_Perf_Table[[#This Row],[Order_Quantity]]</f>
        <v>217520</v>
      </c>
      <c r="T302" s="75">
        <f>IFERROR(Supplier_Perf_Table[[#This Row],[Dollar Equivalent]]*Supplier_Perf_Table[[#This Row],[Ordered_Value]],"")</f>
        <v>19359.28</v>
      </c>
      <c r="U302" s="75">
        <v>14</v>
      </c>
      <c r="V302" s="7">
        <v>2.8000000000000001E-2</v>
      </c>
      <c r="W302" s="75">
        <v>7</v>
      </c>
      <c r="X302" s="55">
        <f>IFERROR(Supplier_Perf_Table[[#This Row],[Actual_Delivery_Date]]-Supplier_Perf_Table[[#This Row],[Order Date]],"")</f>
        <v>7</v>
      </c>
      <c r="Y302" s="75">
        <v>15</v>
      </c>
      <c r="Z302" s="56">
        <f>IFERROR(Supplier_Perf_Table[[#This Row],[Expected Delivery_Date]]-Supplier_Perf_Table[[#This Row],[Order Date]],"")</f>
        <v>15</v>
      </c>
      <c r="AA302" s="56">
        <f>Supplier_Perf_Table[[#This Row],[Calculated_Lead_Time2]]-Supplier_Perf_Table[[#This Row],[Calculated_Expected_Lead_Time]]</f>
        <v>-8</v>
      </c>
      <c r="AB302" s="75">
        <v>-8</v>
      </c>
      <c r="AC302" s="63" t="s">
        <v>87</v>
      </c>
      <c r="AD302" s="63" t="s">
        <v>40</v>
      </c>
      <c r="AE302" s="63" t="s">
        <v>105</v>
      </c>
      <c r="AF302" s="63" t="s">
        <v>42</v>
      </c>
      <c r="AG302" s="63" t="s">
        <v>173</v>
      </c>
      <c r="AH302" s="63" t="s">
        <v>55</v>
      </c>
      <c r="AI302" s="63" t="s">
        <v>191</v>
      </c>
      <c r="AJ302" s="63" t="s">
        <v>138</v>
      </c>
      <c r="AK302" s="83">
        <v>4.3</v>
      </c>
      <c r="AL302" s="63" t="s">
        <v>108</v>
      </c>
      <c r="AM302" s="63" t="s">
        <v>138</v>
      </c>
      <c r="AN302"/>
    </row>
    <row r="303" spans="1:40" ht="18" customHeight="1">
      <c r="A303" s="1" t="s">
        <v>1069</v>
      </c>
      <c r="B303" s="1" t="s">
        <v>1070</v>
      </c>
      <c r="C303" s="4">
        <v>46195</v>
      </c>
      <c r="D303" s="4">
        <v>46210</v>
      </c>
      <c r="E303" s="4">
        <v>46212</v>
      </c>
      <c r="F303" s="63" t="s">
        <v>256</v>
      </c>
      <c r="G303" s="63" t="s">
        <v>3849</v>
      </c>
      <c r="H303" s="63" t="s">
        <v>258</v>
      </c>
      <c r="I303" s="63" t="s">
        <v>178</v>
      </c>
      <c r="J303" s="63" t="s">
        <v>153</v>
      </c>
      <c r="K303" s="63" t="s">
        <v>1071</v>
      </c>
      <c r="L303" s="63" t="s">
        <v>204</v>
      </c>
      <c r="M303" s="69">
        <v>533.51</v>
      </c>
      <c r="N303" s="63" t="s">
        <v>65</v>
      </c>
      <c r="O303" s="73">
        <f>_xlfn.XLOOKUP(Supplier_Perf_Table[[#This Row],[Currency]],'Comments 2'!$C$4:$C$16,'Comments 2'!$D$4:$D$16)</f>
        <v>1</v>
      </c>
      <c r="P303" s="69">
        <f>IFERROR(Supplier_Perf_Table[[#This Row],[Unit_Cost]]*Supplier_Perf_Table[[#This Row],[Dollar Equivalent]],"")</f>
        <v>533.51</v>
      </c>
      <c r="Q303" s="75">
        <v>2000</v>
      </c>
      <c r="R303" s="1">
        <v>1067020</v>
      </c>
      <c r="S303" s="75">
        <f>Supplier_Perf_Table[[#This Row],[Unit_Cost]]*Supplier_Perf_Table[[#This Row],[Order_Quantity]]</f>
        <v>1067020</v>
      </c>
      <c r="T303" s="75">
        <f>IFERROR(Supplier_Perf_Table[[#This Row],[Dollar Equivalent]]*Supplier_Perf_Table[[#This Row],[Ordered_Value]],"")</f>
        <v>1067020</v>
      </c>
      <c r="U303" s="75">
        <v>74</v>
      </c>
      <c r="V303" s="7">
        <v>3.6999999999999998E-2</v>
      </c>
      <c r="W303" s="75">
        <v>17</v>
      </c>
      <c r="X303" s="55">
        <f>IFERROR(Supplier_Perf_Table[[#This Row],[Actual_Delivery_Date]]-Supplier_Perf_Table[[#This Row],[Order Date]],"")</f>
        <v>17</v>
      </c>
      <c r="Y303" s="75">
        <v>15</v>
      </c>
      <c r="Z303" s="56">
        <f>IFERROR(Supplier_Perf_Table[[#This Row],[Expected Delivery_Date]]-Supplier_Perf_Table[[#This Row],[Order Date]],"")</f>
        <v>15</v>
      </c>
      <c r="AA303" s="56">
        <f>Supplier_Perf_Table[[#This Row],[Calculated_Lead_Time2]]-Supplier_Perf_Table[[#This Row],[Calculated_Expected_Lead_Time]]</f>
        <v>2</v>
      </c>
      <c r="AB303" s="75"/>
      <c r="AC303" s="63" t="s">
        <v>166</v>
      </c>
      <c r="AD303" s="63" t="s">
        <v>404</v>
      </c>
      <c r="AE303" s="63" t="s">
        <v>127</v>
      </c>
      <c r="AF303" s="63" t="s">
        <v>106</v>
      </c>
      <c r="AG303" s="63" t="s">
        <v>173</v>
      </c>
      <c r="AH303" s="63" t="s">
        <v>129</v>
      </c>
      <c r="AI303" s="63" t="s">
        <v>95</v>
      </c>
      <c r="AJ303" s="63" t="s">
        <v>138</v>
      </c>
      <c r="AK303" s="83">
        <v>2.7</v>
      </c>
      <c r="AL303" s="63" t="s">
        <v>115</v>
      </c>
      <c r="AM303" s="63" t="s">
        <v>148</v>
      </c>
      <c r="AN303"/>
    </row>
    <row r="304" spans="1:40" ht="18" customHeight="1">
      <c r="A304" s="1" t="s">
        <v>1072</v>
      </c>
      <c r="B304" s="1" t="s">
        <v>1073</v>
      </c>
      <c r="C304" s="4">
        <v>46075</v>
      </c>
      <c r="D304" s="4">
        <v>46087</v>
      </c>
      <c r="E304" s="4">
        <v>46089</v>
      </c>
      <c r="F304" s="63" t="s">
        <v>100</v>
      </c>
      <c r="G304" s="63" t="s">
        <v>3841</v>
      </c>
      <c r="H304" s="63" t="s">
        <v>102</v>
      </c>
      <c r="I304" s="63" t="s">
        <v>120</v>
      </c>
      <c r="J304" s="63" t="s">
        <v>153</v>
      </c>
      <c r="K304" s="63" t="s">
        <v>1074</v>
      </c>
      <c r="L304" s="63" t="s">
        <v>204</v>
      </c>
      <c r="M304" s="69">
        <v>557.45000000000005</v>
      </c>
      <c r="N304" s="63" t="s">
        <v>65</v>
      </c>
      <c r="O304" s="73">
        <f>_xlfn.XLOOKUP(Supplier_Perf_Table[[#This Row],[Currency]],'Comments 2'!$C$4:$C$16,'Comments 2'!$D$4:$D$16)</f>
        <v>1</v>
      </c>
      <c r="P304" s="69">
        <f>IFERROR(Supplier_Perf_Table[[#This Row],[Unit_Cost]]*Supplier_Perf_Table[[#This Row],[Dollar Equivalent]],"")</f>
        <v>557.45000000000005</v>
      </c>
      <c r="Q304" s="75">
        <v>1000</v>
      </c>
      <c r="R304" s="1">
        <v>557450</v>
      </c>
      <c r="S304" s="75">
        <f>Supplier_Perf_Table[[#This Row],[Unit_Cost]]*Supplier_Perf_Table[[#This Row],[Order_Quantity]]</f>
        <v>557450</v>
      </c>
      <c r="T304" s="75">
        <f>IFERROR(Supplier_Perf_Table[[#This Row],[Dollar Equivalent]]*Supplier_Perf_Table[[#This Row],[Ordered_Value]],"")</f>
        <v>557450</v>
      </c>
      <c r="U304" s="75">
        <v>74</v>
      </c>
      <c r="V304" s="7">
        <v>7.3999999999999996E-2</v>
      </c>
      <c r="W304" s="75">
        <v>14</v>
      </c>
      <c r="X304" s="55">
        <f>IFERROR(Supplier_Perf_Table[[#This Row],[Actual_Delivery_Date]]-Supplier_Perf_Table[[#This Row],[Order Date]],"")</f>
        <v>14</v>
      </c>
      <c r="Y304" s="75">
        <v>12</v>
      </c>
      <c r="Z304" s="56">
        <f>IFERROR(Supplier_Perf_Table[[#This Row],[Expected Delivery_Date]]-Supplier_Perf_Table[[#This Row],[Order Date]],"")</f>
        <v>12</v>
      </c>
      <c r="AA304" s="56">
        <f>Supplier_Perf_Table[[#This Row],[Calculated_Lead_Time2]]-Supplier_Perf_Table[[#This Row],[Calculated_Expected_Lead_Time]]</f>
        <v>2</v>
      </c>
      <c r="AB304" s="75">
        <v>2</v>
      </c>
      <c r="AC304" s="63" t="s">
        <v>166</v>
      </c>
      <c r="AD304" s="63" t="s">
        <v>420</v>
      </c>
      <c r="AE304" s="63" t="s">
        <v>146</v>
      </c>
      <c r="AF304" s="63" t="s">
        <v>66</v>
      </c>
      <c r="AG304" s="63" t="s">
        <v>54</v>
      </c>
      <c r="AH304" s="63" t="s">
        <v>3112</v>
      </c>
      <c r="AI304" s="63" t="s">
        <v>147</v>
      </c>
      <c r="AJ304" s="63" t="s">
        <v>183</v>
      </c>
      <c r="AK304" s="83">
        <v>2.4</v>
      </c>
      <c r="AL304" s="63" t="s">
        <v>76</v>
      </c>
      <c r="AM304" s="63" t="s">
        <v>185</v>
      </c>
      <c r="AN304"/>
    </row>
    <row r="305" spans="1:40" ht="18" customHeight="1">
      <c r="A305" s="1" t="s">
        <v>1075</v>
      </c>
      <c r="B305" s="1" t="s">
        <v>1076</v>
      </c>
      <c r="C305" s="4">
        <v>46150</v>
      </c>
      <c r="D305" s="4">
        <v>46161</v>
      </c>
      <c r="E305" s="4">
        <v>46158</v>
      </c>
      <c r="F305" s="63" t="s">
        <v>209</v>
      </c>
      <c r="G305" s="63" t="s">
        <v>3845</v>
      </c>
      <c r="H305" s="63" t="s">
        <v>316</v>
      </c>
      <c r="I305" s="63" t="s">
        <v>70</v>
      </c>
      <c r="J305" s="63" t="s">
        <v>153</v>
      </c>
      <c r="K305" s="63" t="s">
        <v>996</v>
      </c>
      <c r="L305" s="63" t="s">
        <v>204</v>
      </c>
      <c r="M305" s="69">
        <v>82.56</v>
      </c>
      <c r="N305" s="63" t="s">
        <v>291</v>
      </c>
      <c r="O305" s="73">
        <f>_xlfn.XLOOKUP(Supplier_Perf_Table[[#This Row],[Currency]],'Comments 2'!$C$4:$C$16,'Comments 2'!$D$4:$D$16)</f>
        <v>7.2999999999999996E-4</v>
      </c>
      <c r="P305" s="69">
        <f>IFERROR(Supplier_Perf_Table[[#This Row],[Unit_Cost]]*Supplier_Perf_Table[[#This Row],[Dollar Equivalent]],"")</f>
        <v>6.0268799999999997E-2</v>
      </c>
      <c r="Q305" s="75">
        <v>250</v>
      </c>
      <c r="R305" s="1">
        <v>20640</v>
      </c>
      <c r="S305" s="75">
        <f>Supplier_Perf_Table[[#This Row],[Unit_Cost]]*Supplier_Perf_Table[[#This Row],[Order_Quantity]]</f>
        <v>20640</v>
      </c>
      <c r="T305" s="75">
        <f>IFERROR(Supplier_Perf_Table[[#This Row],[Dollar Equivalent]]*Supplier_Perf_Table[[#This Row],[Ordered_Value]],"")</f>
        <v>15.0672</v>
      </c>
      <c r="U305" s="75">
        <v>0</v>
      </c>
      <c r="V305" s="7">
        <v>0</v>
      </c>
      <c r="W305" s="75">
        <v>8</v>
      </c>
      <c r="X305" s="55">
        <f>IFERROR(Supplier_Perf_Table[[#This Row],[Actual_Delivery_Date]]-Supplier_Perf_Table[[#This Row],[Order Date]],"")</f>
        <v>8</v>
      </c>
      <c r="Y305" s="75">
        <v>11</v>
      </c>
      <c r="Z305" s="56">
        <f>IFERROR(Supplier_Perf_Table[[#This Row],[Expected Delivery_Date]]-Supplier_Perf_Table[[#This Row],[Order Date]],"")</f>
        <v>11</v>
      </c>
      <c r="AA305" s="56">
        <f>Supplier_Perf_Table[[#This Row],[Calculated_Lead_Time2]]-Supplier_Perf_Table[[#This Row],[Calculated_Expected_Lead_Time]]</f>
        <v>-3</v>
      </c>
      <c r="AB305" s="75">
        <v>-3</v>
      </c>
      <c r="AC305" s="63" t="s">
        <v>270</v>
      </c>
      <c r="AD305" s="63" t="s">
        <v>3088</v>
      </c>
      <c r="AE305" s="63" t="s">
        <v>146</v>
      </c>
      <c r="AF305" s="63" t="s">
        <v>212</v>
      </c>
      <c r="AG305" s="63" t="s">
        <v>173</v>
      </c>
      <c r="AH305" s="63" t="s">
        <v>206</v>
      </c>
      <c r="AI305" s="63" t="s">
        <v>147</v>
      </c>
      <c r="AJ305" s="63" t="s">
        <v>138</v>
      </c>
      <c r="AK305" s="83">
        <v>2.2000000000000002</v>
      </c>
      <c r="AL305" s="63" t="s">
        <v>139</v>
      </c>
      <c r="AM305" s="63" t="s">
        <v>130</v>
      </c>
      <c r="AN305"/>
    </row>
    <row r="306" spans="1:40" ht="18" customHeight="1">
      <c r="A306" s="1" t="s">
        <v>1077</v>
      </c>
      <c r="B306" s="1" t="s">
        <v>1078</v>
      </c>
      <c r="C306" s="4">
        <v>46030</v>
      </c>
      <c r="D306" s="4">
        <v>46042</v>
      </c>
      <c r="E306" s="4">
        <v>46039</v>
      </c>
      <c r="F306" s="63" t="s">
        <v>80</v>
      </c>
      <c r="G306" s="63" t="s">
        <v>3839</v>
      </c>
      <c r="H306" s="63" t="s">
        <v>82</v>
      </c>
      <c r="I306" s="63" t="s">
        <v>70</v>
      </c>
      <c r="J306" s="63" t="s">
        <v>35</v>
      </c>
      <c r="K306" s="63" t="s">
        <v>1079</v>
      </c>
      <c r="L306" s="63" t="s">
        <v>37</v>
      </c>
      <c r="M306" s="69">
        <v>707.8</v>
      </c>
      <c r="N306" s="63" t="s">
        <v>86</v>
      </c>
      <c r="O306" s="73">
        <f>_xlfn.XLOOKUP(Supplier_Perf_Table[[#This Row],[Currency]],'Comments 2'!$C$4:$C$16,'Comments 2'!$D$4:$D$16)</f>
        <v>8.8999999999999996E-2</v>
      </c>
      <c r="P306" s="69">
        <f>IFERROR(Supplier_Perf_Table[[#This Row],[Unit_Cost]]*Supplier_Perf_Table[[#This Row],[Dollar Equivalent]],"")</f>
        <v>62.994199999999992</v>
      </c>
      <c r="Q306" s="75">
        <v>75</v>
      </c>
      <c r="R306" s="1">
        <v>53085</v>
      </c>
      <c r="S306" s="75">
        <f>Supplier_Perf_Table[[#This Row],[Unit_Cost]]*Supplier_Perf_Table[[#This Row],[Order_Quantity]]</f>
        <v>53085</v>
      </c>
      <c r="T306" s="75">
        <f>IFERROR(Supplier_Perf_Table[[#This Row],[Dollar Equivalent]]*Supplier_Perf_Table[[#This Row],[Ordered_Value]],"")</f>
        <v>4724.5649999999996</v>
      </c>
      <c r="U306" s="75">
        <v>0</v>
      </c>
      <c r="V306" s="7">
        <v>0</v>
      </c>
      <c r="W306" s="75">
        <v>9</v>
      </c>
      <c r="X306" s="55">
        <f>IFERROR(Supplier_Perf_Table[[#This Row],[Actual_Delivery_Date]]-Supplier_Perf_Table[[#This Row],[Order Date]],"")</f>
        <v>9</v>
      </c>
      <c r="Y306" s="75">
        <v>12</v>
      </c>
      <c r="Z306" s="56">
        <f>IFERROR(Supplier_Perf_Table[[#This Row],[Expected Delivery_Date]]-Supplier_Perf_Table[[#This Row],[Order Date]],"")</f>
        <v>12</v>
      </c>
      <c r="AA306" s="56">
        <f>Supplier_Perf_Table[[#This Row],[Calculated_Lead_Time2]]-Supplier_Perf_Table[[#This Row],[Calculated_Expected_Lead_Time]]</f>
        <v>-3</v>
      </c>
      <c r="AB306" s="75">
        <v>-3</v>
      </c>
      <c r="AC306" s="63" t="s">
        <v>270</v>
      </c>
      <c r="AD306" s="63" t="s">
        <v>40</v>
      </c>
      <c r="AE306" s="63" t="s">
        <v>105</v>
      </c>
      <c r="AF306" s="63" t="s">
        <v>212</v>
      </c>
      <c r="AG306" s="63" t="s">
        <v>54</v>
      </c>
      <c r="AH306" s="63" t="s">
        <v>88</v>
      </c>
      <c r="AI306" s="63" t="s">
        <v>138</v>
      </c>
      <c r="AJ306" s="63" t="s">
        <v>138</v>
      </c>
      <c r="AK306" s="83">
        <v>4.0999999999999996</v>
      </c>
      <c r="AL306" s="63" t="s">
        <v>184</v>
      </c>
      <c r="AM306" s="63" t="s">
        <v>138</v>
      </c>
      <c r="AN306"/>
    </row>
    <row r="307" spans="1:40" ht="18" customHeight="1">
      <c r="A307" s="63" t="s">
        <v>1080</v>
      </c>
      <c r="B307" s="63" t="s">
        <v>1081</v>
      </c>
      <c r="C307" s="4">
        <v>46045</v>
      </c>
      <c r="D307" s="4">
        <v>46057</v>
      </c>
      <c r="E307" s="4">
        <v>46056</v>
      </c>
      <c r="F307" s="63" t="s">
        <v>80</v>
      </c>
      <c r="G307" s="63" t="s">
        <v>3839</v>
      </c>
      <c r="H307" s="63" t="s">
        <v>82</v>
      </c>
      <c r="I307" s="63" t="s">
        <v>70</v>
      </c>
      <c r="J307" s="63" t="s">
        <v>35</v>
      </c>
      <c r="K307" s="63" t="s">
        <v>1082</v>
      </c>
      <c r="L307" s="63" t="s">
        <v>85</v>
      </c>
      <c r="M307" s="69">
        <v>1612.89</v>
      </c>
      <c r="N307" s="63" t="s">
        <v>159</v>
      </c>
      <c r="O307" s="73">
        <f>_xlfn.XLOOKUP(Supplier_Perf_Table[[#This Row],[Currency]],'Comments 2'!$C$4:$C$16,'Comments 2'!$D$4:$D$16)</f>
        <v>7.2999999999999996E-4</v>
      </c>
      <c r="P307" s="69">
        <f>IFERROR(Supplier_Perf_Table[[#This Row],[Unit_Cost]]*Supplier_Perf_Table[[#This Row],[Dollar Equivalent]],"")</f>
        <v>1.1774097000000001</v>
      </c>
      <c r="Q307" s="75">
        <v>1500</v>
      </c>
      <c r="R307" s="1">
        <v>2419335</v>
      </c>
      <c r="S307" s="75">
        <f>Supplier_Perf_Table[[#This Row],[Unit_Cost]]*Supplier_Perf_Table[[#This Row],[Order_Quantity]]</f>
        <v>2419335</v>
      </c>
      <c r="T307" s="75">
        <f>IFERROR(Supplier_Perf_Table[[#This Row],[Dollar Equivalent]]*Supplier_Perf_Table[[#This Row],[Ordered_Value]],"")</f>
        <v>1766.11455</v>
      </c>
      <c r="U307" s="75">
        <v>53</v>
      </c>
      <c r="V307" s="7">
        <v>3.5299999999999998E-2</v>
      </c>
      <c r="W307" s="75">
        <v>11</v>
      </c>
      <c r="X307" s="55">
        <f>IFERROR(Supplier_Perf_Table[[#This Row],[Actual_Delivery_Date]]-Supplier_Perf_Table[[#This Row],[Order Date]],"")</f>
        <v>11</v>
      </c>
      <c r="Y307" s="75">
        <v>12</v>
      </c>
      <c r="Z307" s="56">
        <f>IFERROR(Supplier_Perf_Table[[#This Row],[Expected Delivery_Date]]-Supplier_Perf_Table[[#This Row],[Order Date]],"")</f>
        <v>12</v>
      </c>
      <c r="AA307" s="56">
        <f>Supplier_Perf_Table[[#This Row],[Calculated_Lead_Time2]]-Supplier_Perf_Table[[#This Row],[Calculated_Expected_Lead_Time]]</f>
        <v>-1</v>
      </c>
      <c r="AB307" s="75">
        <v>-1</v>
      </c>
      <c r="AC307" s="63" t="s">
        <v>87</v>
      </c>
      <c r="AD307" s="63" t="s">
        <v>40</v>
      </c>
      <c r="AE307" s="63" t="s">
        <v>105</v>
      </c>
      <c r="AF307" s="63" t="s">
        <v>190</v>
      </c>
      <c r="AG307" s="63" t="s">
        <v>54</v>
      </c>
      <c r="AH307" s="63" t="s">
        <v>88</v>
      </c>
      <c r="AI307" s="63" t="s">
        <v>138</v>
      </c>
      <c r="AJ307" s="63" t="s">
        <v>138</v>
      </c>
      <c r="AK307" s="83">
        <v>2.7</v>
      </c>
      <c r="AL307" s="63" t="s">
        <v>57</v>
      </c>
      <c r="AM307" s="63" t="s">
        <v>138</v>
      </c>
      <c r="AN307"/>
    </row>
    <row r="308" spans="1:40" ht="18" customHeight="1">
      <c r="A308" s="1" t="s">
        <v>1083</v>
      </c>
      <c r="B308" s="1" t="s">
        <v>1084</v>
      </c>
      <c r="C308" s="4">
        <v>46046</v>
      </c>
      <c r="D308" s="4">
        <v>46056</v>
      </c>
      <c r="E308" s="4">
        <v>46057</v>
      </c>
      <c r="F308" s="63" t="s">
        <v>209</v>
      </c>
      <c r="G308" s="63" t="s">
        <v>3845</v>
      </c>
      <c r="H308" s="63" t="s">
        <v>316</v>
      </c>
      <c r="I308" s="63" t="s">
        <v>83</v>
      </c>
      <c r="J308" s="63" t="s">
        <v>35</v>
      </c>
      <c r="K308" s="63" t="s">
        <v>1085</v>
      </c>
      <c r="L308" s="63" t="s">
        <v>200</v>
      </c>
      <c r="M308" s="69">
        <v>2589.08</v>
      </c>
      <c r="N308" s="63" t="s">
        <v>38</v>
      </c>
      <c r="O308" s="73">
        <f>_xlfn.XLOOKUP(Supplier_Perf_Table[[#This Row],[Currency]],'Comments 2'!$C$4:$C$16,'Comments 2'!$D$4:$D$16)</f>
        <v>7.7000000000000002E-3</v>
      </c>
      <c r="P308" s="69">
        <f>IFERROR(Supplier_Perf_Table[[#This Row],[Unit_Cost]]*Supplier_Perf_Table[[#This Row],[Dollar Equivalent]],"")</f>
        <v>19.935915999999999</v>
      </c>
      <c r="Q308" s="75">
        <v>75</v>
      </c>
      <c r="R308" s="1">
        <v>194181</v>
      </c>
      <c r="S308" s="75">
        <f>Supplier_Perf_Table[[#This Row],[Unit_Cost]]*Supplier_Perf_Table[[#This Row],[Order_Quantity]]</f>
        <v>194181</v>
      </c>
      <c r="T308" s="75">
        <f>IFERROR(Supplier_Perf_Table[[#This Row],[Dollar Equivalent]]*Supplier_Perf_Table[[#This Row],[Ordered_Value]],"")</f>
        <v>1495.1937</v>
      </c>
      <c r="U308" s="75">
        <v>4</v>
      </c>
      <c r="V308" s="7">
        <v>5.33E-2</v>
      </c>
      <c r="W308" s="75">
        <v>11</v>
      </c>
      <c r="X308" s="55">
        <f>IFERROR(Supplier_Perf_Table[[#This Row],[Actual_Delivery_Date]]-Supplier_Perf_Table[[#This Row],[Order Date]],"")</f>
        <v>11</v>
      </c>
      <c r="Y308" s="75">
        <v>10</v>
      </c>
      <c r="Z308" s="56">
        <f>IFERROR(Supplier_Perf_Table[[#This Row],[Expected Delivery_Date]]-Supplier_Perf_Table[[#This Row],[Order Date]],"")</f>
        <v>10</v>
      </c>
      <c r="AA308" s="56">
        <f>Supplier_Perf_Table[[#This Row],[Calculated_Lead_Time2]]-Supplier_Perf_Table[[#This Row],[Calculated_Expected_Lead_Time]]</f>
        <v>1</v>
      </c>
      <c r="AB308" s="75"/>
      <c r="AC308" s="63" t="s">
        <v>135</v>
      </c>
      <c r="AD308" s="63" t="s">
        <v>74</v>
      </c>
      <c r="AE308" s="63" t="s">
        <v>41</v>
      </c>
      <c r="AF308" s="63" t="s">
        <v>66</v>
      </c>
      <c r="AG308" s="63" t="s">
        <v>173</v>
      </c>
      <c r="AH308" s="63" t="s">
        <v>206</v>
      </c>
      <c r="AI308" s="63" t="s">
        <v>95</v>
      </c>
      <c r="AJ308" s="63" t="s">
        <v>283</v>
      </c>
      <c r="AK308" s="83">
        <v>1.6</v>
      </c>
      <c r="AL308" s="63" t="s">
        <v>108</v>
      </c>
      <c r="AM308" s="63" t="s">
        <v>77</v>
      </c>
      <c r="AN308"/>
    </row>
    <row r="309" spans="1:40" ht="18" customHeight="1">
      <c r="A309" s="1" t="s">
        <v>1086</v>
      </c>
      <c r="B309" s="1" t="s">
        <v>1087</v>
      </c>
      <c r="C309" s="4">
        <v>46043</v>
      </c>
      <c r="D309" s="4">
        <v>46056</v>
      </c>
      <c r="E309" s="4">
        <v>46041</v>
      </c>
      <c r="F309" s="63" t="s">
        <v>69</v>
      </c>
      <c r="G309" s="63" t="s">
        <v>3838</v>
      </c>
      <c r="H309" s="63" t="s">
        <v>194</v>
      </c>
      <c r="I309" s="63" t="s">
        <v>241</v>
      </c>
      <c r="J309" s="63" t="s">
        <v>50</v>
      </c>
      <c r="K309" s="63" t="s">
        <v>1088</v>
      </c>
      <c r="L309" s="63" t="s">
        <v>145</v>
      </c>
      <c r="M309" s="69">
        <v>1221.79</v>
      </c>
      <c r="N309" s="63" t="s">
        <v>104</v>
      </c>
      <c r="O309" s="73">
        <f>_xlfn.XLOOKUP(Supplier_Perf_Table[[#This Row],[Currency]],'Comments 2'!$C$4:$C$16,'Comments 2'!$D$4:$D$16)</f>
        <v>1.9E-2</v>
      </c>
      <c r="P309" s="69">
        <f>IFERROR(Supplier_Perf_Table[[#This Row],[Unit_Cost]]*Supplier_Perf_Table[[#This Row],[Dollar Equivalent]],"")</f>
        <v>23.214009999999998</v>
      </c>
      <c r="Q309" s="75">
        <v>75</v>
      </c>
      <c r="R309" s="1">
        <v>91634.25</v>
      </c>
      <c r="S309" s="75">
        <f>Supplier_Perf_Table[[#This Row],[Unit_Cost]]*Supplier_Perf_Table[[#This Row],[Order_Quantity]]</f>
        <v>91634.25</v>
      </c>
      <c r="T309" s="75">
        <f>IFERROR(Supplier_Perf_Table[[#This Row],[Dollar Equivalent]]*Supplier_Perf_Table[[#This Row],[Ordered_Value]],"")</f>
        <v>1741.0507499999999</v>
      </c>
      <c r="U309" s="75">
        <v>0</v>
      </c>
      <c r="V309" s="7">
        <v>0</v>
      </c>
      <c r="W309" s="75">
        <v>-2</v>
      </c>
      <c r="X309" s="55">
        <f>IFERROR(Supplier_Perf_Table[[#This Row],[Actual_Delivery_Date]]-Supplier_Perf_Table[[#This Row],[Order Date]],"")</f>
        <v>-2</v>
      </c>
      <c r="Y309" s="75">
        <v>13</v>
      </c>
      <c r="Z309" s="56">
        <f>IFERROR(Supplier_Perf_Table[[#This Row],[Expected Delivery_Date]]-Supplier_Perf_Table[[#This Row],[Order Date]],"")</f>
        <v>13</v>
      </c>
      <c r="AA309" s="56">
        <f>Supplier_Perf_Table[[#This Row],[Calculated_Lead_Time2]]-Supplier_Perf_Table[[#This Row],[Calculated_Expected_Lead_Time]]</f>
        <v>-15</v>
      </c>
      <c r="AB309" s="75">
        <v>-15</v>
      </c>
      <c r="AC309" s="63" t="s">
        <v>362</v>
      </c>
      <c r="AD309" s="63" t="s">
        <v>40</v>
      </c>
      <c r="AE309" s="63" t="s">
        <v>105</v>
      </c>
      <c r="AF309" s="63" t="s">
        <v>212</v>
      </c>
      <c r="AG309" s="63" t="s">
        <v>128</v>
      </c>
      <c r="AH309" s="63" t="s">
        <v>174</v>
      </c>
      <c r="AI309" s="63" t="s">
        <v>138</v>
      </c>
      <c r="AJ309" s="63" t="s">
        <v>138</v>
      </c>
      <c r="AK309" s="83">
        <v>4.2</v>
      </c>
      <c r="AL309" s="63" t="s">
        <v>76</v>
      </c>
      <c r="AM309" s="63" t="s">
        <v>138</v>
      </c>
      <c r="AN309"/>
    </row>
    <row r="310" spans="1:40" ht="18" customHeight="1">
      <c r="A310" s="1" t="s">
        <v>1089</v>
      </c>
      <c r="B310" s="1" t="s">
        <v>1090</v>
      </c>
      <c r="C310" s="4">
        <v>46106</v>
      </c>
      <c r="D310" s="4">
        <v>46109</v>
      </c>
      <c r="E310" s="4">
        <v>46117</v>
      </c>
      <c r="F310" s="63" t="s">
        <v>162</v>
      </c>
      <c r="G310" s="63" t="s">
        <v>3847</v>
      </c>
      <c r="H310" s="63" t="s">
        <v>152</v>
      </c>
      <c r="I310" s="63" t="s">
        <v>70</v>
      </c>
      <c r="J310" s="63" t="s">
        <v>163</v>
      </c>
      <c r="K310" s="63" t="s">
        <v>1091</v>
      </c>
      <c r="L310" s="63" t="s">
        <v>171</v>
      </c>
      <c r="M310" s="69">
        <v>506.94</v>
      </c>
      <c r="N310" s="63" t="s">
        <v>38</v>
      </c>
      <c r="O310" s="73">
        <f>_xlfn.XLOOKUP(Supplier_Perf_Table[[#This Row],[Currency]],'Comments 2'!$C$4:$C$16,'Comments 2'!$D$4:$D$16)</f>
        <v>7.7000000000000002E-3</v>
      </c>
      <c r="P310" s="69">
        <f>IFERROR(Supplier_Perf_Table[[#This Row],[Unit_Cost]]*Supplier_Perf_Table[[#This Row],[Dollar Equivalent]],"")</f>
        <v>3.903438</v>
      </c>
      <c r="Q310" s="75" t="s">
        <v>3080</v>
      </c>
      <c r="R310" s="1">
        <v>1013880</v>
      </c>
      <c r="S310" s="75" t="e">
        <f>Supplier_Perf_Table[[#This Row],[Unit_Cost]]*Supplier_Perf_Table[[#This Row],[Order_Quantity]]</f>
        <v>#VALUE!</v>
      </c>
      <c r="T310" s="75">
        <f>IFERROR(Supplier_Perf_Table[[#This Row],[Dollar Equivalent]]*Supplier_Perf_Table[[#This Row],[Ordered_Value]],"")</f>
        <v>7806.8760000000002</v>
      </c>
      <c r="U310" s="75"/>
      <c r="V310" s="7">
        <v>1.2500000000000001E-2</v>
      </c>
      <c r="W310" s="75">
        <v>-5</v>
      </c>
      <c r="X310" s="55">
        <f>IFERROR(Supplier_Perf_Table[[#This Row],[Actual_Delivery_Date]]-Supplier_Perf_Table[[#This Row],[Order Date]],"")</f>
        <v>11</v>
      </c>
      <c r="Y310" s="75">
        <v>3</v>
      </c>
      <c r="Z310" s="56">
        <f>IFERROR(Supplier_Perf_Table[[#This Row],[Expected Delivery_Date]]-Supplier_Perf_Table[[#This Row],[Order Date]],"")</f>
        <v>3</v>
      </c>
      <c r="AA310" s="56">
        <f>Supplier_Perf_Table[[#This Row],[Calculated_Lead_Time2]]-Supplier_Perf_Table[[#This Row],[Calculated_Expected_Lead_Time]]</f>
        <v>8</v>
      </c>
      <c r="AB310" s="75">
        <v>8</v>
      </c>
      <c r="AC310" s="63" t="s">
        <v>135</v>
      </c>
      <c r="AD310" s="63" t="s">
        <v>40</v>
      </c>
      <c r="AE310" s="63" t="s">
        <v>105</v>
      </c>
      <c r="AF310" s="63" t="s">
        <v>212</v>
      </c>
      <c r="AG310" s="63" t="s">
        <v>173</v>
      </c>
      <c r="AH310" s="63" t="s">
        <v>3112</v>
      </c>
      <c r="AI310" s="63" t="s">
        <v>56</v>
      </c>
      <c r="AJ310" s="63" t="s">
        <v>138</v>
      </c>
      <c r="AK310" s="83">
        <v>-1</v>
      </c>
      <c r="AL310" s="63" t="s">
        <v>108</v>
      </c>
      <c r="AM310" s="63" t="s">
        <v>46</v>
      </c>
      <c r="AN310"/>
    </row>
    <row r="311" spans="1:40" ht="18" customHeight="1">
      <c r="A311" s="1" t="s">
        <v>1092</v>
      </c>
      <c r="B311" s="1" t="s">
        <v>1093</v>
      </c>
      <c r="C311" s="4">
        <v>46065</v>
      </c>
      <c r="D311" s="4">
        <v>46073</v>
      </c>
      <c r="E311" s="4">
        <v>46083</v>
      </c>
      <c r="F311" s="63" t="s">
        <v>209</v>
      </c>
      <c r="G311" s="63" t="s">
        <v>3845</v>
      </c>
      <c r="H311" s="63" t="s">
        <v>316</v>
      </c>
      <c r="I311" s="63" t="s">
        <v>70</v>
      </c>
      <c r="J311" s="63" t="s">
        <v>153</v>
      </c>
      <c r="K311" s="63" t="s">
        <v>1094</v>
      </c>
      <c r="L311" s="63" t="s">
        <v>155</v>
      </c>
      <c r="M311" s="69">
        <v>106.04</v>
      </c>
      <c r="N311" s="63" t="s">
        <v>38</v>
      </c>
      <c r="O311" s="73">
        <f>_xlfn.XLOOKUP(Supplier_Perf_Table[[#This Row],[Currency]],'Comments 2'!$C$4:$C$16,'Comments 2'!$D$4:$D$16)</f>
        <v>7.7000000000000002E-3</v>
      </c>
      <c r="P311" s="69">
        <f>IFERROR(Supplier_Perf_Table[[#This Row],[Unit_Cost]]*Supplier_Perf_Table[[#This Row],[Dollar Equivalent]],"")</f>
        <v>0.81650800000000012</v>
      </c>
      <c r="Q311" s="75">
        <v>500</v>
      </c>
      <c r="R311" s="1">
        <v>53020</v>
      </c>
      <c r="S311" s="75">
        <f>Supplier_Perf_Table[[#This Row],[Unit_Cost]]*Supplier_Perf_Table[[#This Row],[Order_Quantity]]</f>
        <v>53020</v>
      </c>
      <c r="T311" s="75">
        <f>IFERROR(Supplier_Perf_Table[[#This Row],[Dollar Equivalent]]*Supplier_Perf_Table[[#This Row],[Ordered_Value]],"")</f>
        <v>408.25400000000002</v>
      </c>
      <c r="U311" s="75">
        <v>15</v>
      </c>
      <c r="V311" s="7">
        <v>0.03</v>
      </c>
      <c r="W311" s="75">
        <v>18</v>
      </c>
      <c r="X311" s="55">
        <f>IFERROR(Supplier_Perf_Table[[#This Row],[Actual_Delivery_Date]]-Supplier_Perf_Table[[#This Row],[Order Date]],"")</f>
        <v>18</v>
      </c>
      <c r="Y311" s="75">
        <v>8</v>
      </c>
      <c r="Z311" s="56">
        <f>IFERROR(Supplier_Perf_Table[[#This Row],[Expected Delivery_Date]]-Supplier_Perf_Table[[#This Row],[Order Date]],"")</f>
        <v>8</v>
      </c>
      <c r="AA311" s="56">
        <f>Supplier_Perf_Table[[#This Row],[Calculated_Lead_Time2]]-Supplier_Perf_Table[[#This Row],[Calculated_Expected_Lead_Time]]</f>
        <v>10</v>
      </c>
      <c r="AB311" s="75">
        <v>10</v>
      </c>
      <c r="AC311" s="63" t="s">
        <v>39</v>
      </c>
      <c r="AD311" s="63" t="s">
        <v>40</v>
      </c>
      <c r="AE311" s="63" t="s">
        <v>41</v>
      </c>
      <c r="AF311" s="63" t="s">
        <v>42</v>
      </c>
      <c r="AG311" s="63" t="s">
        <v>107</v>
      </c>
      <c r="AH311" s="63" t="s">
        <v>55</v>
      </c>
      <c r="AI311" s="63" t="s">
        <v>138</v>
      </c>
      <c r="AJ311" s="63" t="s">
        <v>138</v>
      </c>
      <c r="AK311" s="83">
        <v>1.6</v>
      </c>
      <c r="AL311" s="63" t="s">
        <v>45</v>
      </c>
      <c r="AM311" s="63" t="s">
        <v>46</v>
      </c>
      <c r="AN311"/>
    </row>
    <row r="312" spans="1:40" ht="18" customHeight="1">
      <c r="A312" s="1" t="s">
        <v>1095</v>
      </c>
      <c r="B312" s="1" t="s">
        <v>1096</v>
      </c>
      <c r="C312" s="4">
        <v>46103</v>
      </c>
      <c r="D312" s="4">
        <v>46122</v>
      </c>
      <c r="E312" s="4">
        <v>46127</v>
      </c>
      <c r="F312" s="63" t="s">
        <v>118</v>
      </c>
      <c r="G312" s="63" t="s">
        <v>3842</v>
      </c>
      <c r="H312" s="63" t="s">
        <v>301</v>
      </c>
      <c r="I312" s="63" t="s">
        <v>61</v>
      </c>
      <c r="J312" s="63" t="s">
        <v>62</v>
      </c>
      <c r="K312" s="63" t="s">
        <v>1097</v>
      </c>
      <c r="L312" s="63" t="s">
        <v>64</v>
      </c>
      <c r="M312" s="69">
        <v>847.63</v>
      </c>
      <c r="N312" s="63" t="s">
        <v>65</v>
      </c>
      <c r="O312" s="73">
        <f>_xlfn.XLOOKUP(Supplier_Perf_Table[[#This Row],[Currency]],'Comments 2'!$C$4:$C$16,'Comments 2'!$D$4:$D$16)</f>
        <v>1</v>
      </c>
      <c r="P312" s="69">
        <f>IFERROR(Supplier_Perf_Table[[#This Row],[Unit_Cost]]*Supplier_Perf_Table[[#This Row],[Dollar Equivalent]],"")</f>
        <v>847.63</v>
      </c>
      <c r="Q312" s="75">
        <v>2000</v>
      </c>
      <c r="R312" s="1">
        <v>1695260</v>
      </c>
      <c r="S312" s="75">
        <f>Supplier_Perf_Table[[#This Row],[Unit_Cost]]*Supplier_Perf_Table[[#This Row],[Order_Quantity]]</f>
        <v>1695260</v>
      </c>
      <c r="T312" s="75">
        <f>IFERROR(Supplier_Perf_Table[[#This Row],[Dollar Equivalent]]*Supplier_Perf_Table[[#This Row],[Ordered_Value]],"")</f>
        <v>1695260</v>
      </c>
      <c r="U312" s="75">
        <v>48</v>
      </c>
      <c r="V312" s="7">
        <v>2.4E-2</v>
      </c>
      <c r="W312" s="75">
        <v>24</v>
      </c>
      <c r="X312" s="55">
        <f>IFERROR(Supplier_Perf_Table[[#This Row],[Actual_Delivery_Date]]-Supplier_Perf_Table[[#This Row],[Order Date]],"")</f>
        <v>24</v>
      </c>
      <c r="Y312" s="75">
        <v>19</v>
      </c>
      <c r="Z312" s="56">
        <f>IFERROR(Supplier_Perf_Table[[#This Row],[Expected Delivery_Date]]-Supplier_Perf_Table[[#This Row],[Order Date]],"")</f>
        <v>19</v>
      </c>
      <c r="AA312" s="56">
        <f>Supplier_Perf_Table[[#This Row],[Calculated_Lead_Time2]]-Supplier_Perf_Table[[#This Row],[Calculated_Expected_Lead_Time]]</f>
        <v>5</v>
      </c>
      <c r="AB312" s="75">
        <v>5</v>
      </c>
      <c r="AC312" s="63" t="s">
        <v>205</v>
      </c>
      <c r="AD312" s="63" t="s">
        <v>40</v>
      </c>
      <c r="AE312" s="63" t="s">
        <v>105</v>
      </c>
      <c r="AF312" s="63" t="s">
        <v>42</v>
      </c>
      <c r="AG312" s="63" t="s">
        <v>173</v>
      </c>
      <c r="AH312" s="63" t="s">
        <v>136</v>
      </c>
      <c r="AI312" s="63" t="s">
        <v>147</v>
      </c>
      <c r="AJ312" s="63" t="s">
        <v>138</v>
      </c>
      <c r="AK312" s="83">
        <v>4.5</v>
      </c>
      <c r="AL312" s="63" t="s">
        <v>184</v>
      </c>
      <c r="AM312" s="63" t="s">
        <v>46</v>
      </c>
      <c r="AN312"/>
    </row>
    <row r="313" spans="1:40" ht="18" customHeight="1">
      <c r="A313" s="1" t="s">
        <v>1098</v>
      </c>
      <c r="B313" s="1" t="s">
        <v>1099</v>
      </c>
      <c r="C313" s="4">
        <v>46041</v>
      </c>
      <c r="D313" s="4">
        <v>46061</v>
      </c>
      <c r="E313" s="4">
        <f>Supplier_Perf_Table[[#This Row],[Expected Delivery_Date]]+Supplier_Perf_Table[[#This Row],[Lead_Time_Variance_Days]]</f>
        <v>46064</v>
      </c>
      <c r="F313" s="63" t="s">
        <v>118</v>
      </c>
      <c r="G313" s="63" t="s">
        <v>3842</v>
      </c>
      <c r="H313" s="63" t="s">
        <v>301</v>
      </c>
      <c r="I313" s="63" t="s">
        <v>83</v>
      </c>
      <c r="J313" s="63" t="s">
        <v>62</v>
      </c>
      <c r="K313" s="63" t="s">
        <v>1100</v>
      </c>
      <c r="L313" s="63" t="s">
        <v>225</v>
      </c>
      <c r="M313" s="69">
        <v>435.84</v>
      </c>
      <c r="N313" s="63" t="s">
        <v>104</v>
      </c>
      <c r="O313" s="73">
        <f>_xlfn.XLOOKUP(Supplier_Perf_Table[[#This Row],[Currency]],'Comments 2'!$C$4:$C$16,'Comments 2'!$D$4:$D$16)</f>
        <v>1.9E-2</v>
      </c>
      <c r="P313" s="69">
        <f>IFERROR(Supplier_Perf_Table[[#This Row],[Unit_Cost]]*Supplier_Perf_Table[[#This Row],[Dollar Equivalent]],"")</f>
        <v>8.2809599999999985</v>
      </c>
      <c r="Q313" s="75">
        <v>150</v>
      </c>
      <c r="R313" s="1">
        <v>65376</v>
      </c>
      <c r="S313" s="75">
        <f>Supplier_Perf_Table[[#This Row],[Unit_Cost]]*Supplier_Perf_Table[[#This Row],[Order_Quantity]]</f>
        <v>65375.999999999993</v>
      </c>
      <c r="T313" s="75">
        <f>IFERROR(Supplier_Perf_Table[[#This Row],[Dollar Equivalent]]*Supplier_Perf_Table[[#This Row],[Ordered_Value]],"")</f>
        <v>1242.144</v>
      </c>
      <c r="U313" s="75">
        <v>6</v>
      </c>
      <c r="V313" s="7">
        <v>0.04</v>
      </c>
      <c r="W313" s="75">
        <v>23</v>
      </c>
      <c r="X313" s="55">
        <f>IFERROR(Supplier_Perf_Table[[#This Row],[Actual_Delivery_Date]]-Supplier_Perf_Table[[#This Row],[Order Date]],"")</f>
        <v>23</v>
      </c>
      <c r="Y313" s="75">
        <v>20</v>
      </c>
      <c r="Z313" s="56">
        <f>IFERROR(Supplier_Perf_Table[[#This Row],[Expected Delivery_Date]]-Supplier_Perf_Table[[#This Row],[Order Date]],"")</f>
        <v>20</v>
      </c>
      <c r="AA313" s="56">
        <f>Supplier_Perf_Table[[#This Row],[Calculated_Lead_Time2]]-Supplier_Perf_Table[[#This Row],[Calculated_Expected_Lead_Time]]</f>
        <v>3</v>
      </c>
      <c r="AB313" s="75">
        <v>3</v>
      </c>
      <c r="AC313" s="63" t="s">
        <v>166</v>
      </c>
      <c r="AD313" s="63" t="s">
        <v>40</v>
      </c>
      <c r="AE313" s="63" t="s">
        <v>105</v>
      </c>
      <c r="AF313" s="63" t="s">
        <v>42</v>
      </c>
      <c r="AG313" s="63" t="s">
        <v>173</v>
      </c>
      <c r="AH313" s="63" t="s">
        <v>3112</v>
      </c>
      <c r="AI313" s="63" t="s">
        <v>44</v>
      </c>
      <c r="AJ313" s="63" t="s">
        <v>138</v>
      </c>
      <c r="AK313" s="83">
        <v>4</v>
      </c>
      <c r="AL313" s="63" t="s">
        <v>45</v>
      </c>
      <c r="AM313" s="63" t="s">
        <v>46</v>
      </c>
      <c r="AN313"/>
    </row>
    <row r="314" spans="1:40" ht="18" customHeight="1">
      <c r="A314" s="1" t="s">
        <v>1101</v>
      </c>
      <c r="B314" s="1" t="s">
        <v>1102</v>
      </c>
      <c r="C314" s="4">
        <v>46098</v>
      </c>
      <c r="D314" s="4">
        <v>46109</v>
      </c>
      <c r="E314" s="4">
        <v>46112</v>
      </c>
      <c r="F314" s="63" t="s">
        <v>69</v>
      </c>
      <c r="G314" s="63" t="s">
        <v>3838</v>
      </c>
      <c r="H314" s="63" t="s">
        <v>194</v>
      </c>
      <c r="I314" s="63" t="s">
        <v>83</v>
      </c>
      <c r="J314" s="63" t="s">
        <v>112</v>
      </c>
      <c r="K314" s="63" t="s">
        <v>1103</v>
      </c>
      <c r="L314" s="63" t="s">
        <v>246</v>
      </c>
      <c r="M314" s="69">
        <v>651.86</v>
      </c>
      <c r="N314" s="63" t="s">
        <v>104</v>
      </c>
      <c r="O314" s="73">
        <f>_xlfn.XLOOKUP(Supplier_Perf_Table[[#This Row],[Currency]],'Comments 2'!$C$4:$C$16,'Comments 2'!$D$4:$D$16)</f>
        <v>1.9E-2</v>
      </c>
      <c r="P314" s="69">
        <f>IFERROR(Supplier_Perf_Table[[#This Row],[Unit_Cost]]*Supplier_Perf_Table[[#This Row],[Dollar Equivalent]],"")</f>
        <v>12.385339999999999</v>
      </c>
      <c r="Q314" s="75">
        <v>250</v>
      </c>
      <c r="R314" s="1">
        <v>162965</v>
      </c>
      <c r="S314" s="75">
        <f>Supplier_Perf_Table[[#This Row],[Unit_Cost]]*Supplier_Perf_Table[[#This Row],[Order_Quantity]]</f>
        <v>162965</v>
      </c>
      <c r="T314" s="75">
        <f>IFERROR(Supplier_Perf_Table[[#This Row],[Dollar Equivalent]]*Supplier_Perf_Table[[#This Row],[Ordered_Value]],"")</f>
        <v>3096.335</v>
      </c>
      <c r="U314" s="75">
        <v>7</v>
      </c>
      <c r="V314" s="7">
        <v>2.8000000000000001E-2</v>
      </c>
      <c r="W314" s="75">
        <v>14</v>
      </c>
      <c r="X314" s="55">
        <f>IFERROR(Supplier_Perf_Table[[#This Row],[Actual_Delivery_Date]]-Supplier_Perf_Table[[#This Row],[Order Date]],"")</f>
        <v>14</v>
      </c>
      <c r="Y314" s="75">
        <v>11</v>
      </c>
      <c r="Z314" s="56">
        <f>IFERROR(Supplier_Perf_Table[[#This Row],[Expected Delivery_Date]]-Supplier_Perf_Table[[#This Row],[Order Date]],"")</f>
        <v>11</v>
      </c>
      <c r="AA314" s="56">
        <f>Supplier_Perf_Table[[#This Row],[Calculated_Lead_Time2]]-Supplier_Perf_Table[[#This Row],[Calculated_Expected_Lead_Time]]</f>
        <v>3</v>
      </c>
      <c r="AB314" s="75">
        <v>3</v>
      </c>
      <c r="AC314" s="63" t="s">
        <v>135</v>
      </c>
      <c r="AD314" s="63" t="s">
        <v>40</v>
      </c>
      <c r="AE314" s="63" t="s">
        <v>3088</v>
      </c>
      <c r="AF314" s="63" t="s">
        <v>66</v>
      </c>
      <c r="AG314" s="63" t="s">
        <v>43</v>
      </c>
      <c r="AH314" s="63" t="s">
        <v>174</v>
      </c>
      <c r="AI314" s="63" t="s">
        <v>137</v>
      </c>
      <c r="AJ314" s="63" t="s">
        <v>138</v>
      </c>
      <c r="AK314" s="83">
        <v>3.7</v>
      </c>
      <c r="AL314" s="63" t="s">
        <v>45</v>
      </c>
      <c r="AM314" s="63" t="s">
        <v>148</v>
      </c>
      <c r="AN314"/>
    </row>
    <row r="315" spans="1:40" ht="18" customHeight="1">
      <c r="A315" s="1" t="s">
        <v>1104</v>
      </c>
      <c r="B315" s="1" t="s">
        <v>1105</v>
      </c>
      <c r="C315" s="4">
        <v>46151</v>
      </c>
      <c r="D315" s="4">
        <v>46163</v>
      </c>
      <c r="E315" s="4">
        <v>46160</v>
      </c>
      <c r="F315" s="63" t="s">
        <v>69</v>
      </c>
      <c r="G315" s="63" t="s">
        <v>3838</v>
      </c>
      <c r="H315" s="63" t="s">
        <v>194</v>
      </c>
      <c r="I315" s="63" t="s">
        <v>83</v>
      </c>
      <c r="J315" s="63" t="s">
        <v>153</v>
      </c>
      <c r="K315" s="63" t="s">
        <v>1106</v>
      </c>
      <c r="L315" s="63" t="s">
        <v>204</v>
      </c>
      <c r="M315" s="69">
        <v>674.77</v>
      </c>
      <c r="N315" s="63" t="s">
        <v>159</v>
      </c>
      <c r="O315" s="73">
        <f>_xlfn.XLOOKUP(Supplier_Perf_Table[[#This Row],[Currency]],'Comments 2'!$C$4:$C$16,'Comments 2'!$D$4:$D$16)</f>
        <v>7.2999999999999996E-4</v>
      </c>
      <c r="P315" s="69">
        <f>IFERROR(Supplier_Perf_Table[[#This Row],[Unit_Cost]]*Supplier_Perf_Table[[#This Row],[Dollar Equivalent]],"")</f>
        <v>0.49258209999999997</v>
      </c>
      <c r="Q315" s="75">
        <v>300</v>
      </c>
      <c r="R315" s="1">
        <v>202431</v>
      </c>
      <c r="S315" s="75">
        <f>Supplier_Perf_Table[[#This Row],[Unit_Cost]]*Supplier_Perf_Table[[#This Row],[Order_Quantity]]</f>
        <v>202431</v>
      </c>
      <c r="T315" s="75">
        <f>IFERROR(Supplier_Perf_Table[[#This Row],[Dollar Equivalent]]*Supplier_Perf_Table[[#This Row],[Ordered_Value]],"")</f>
        <v>147.77463</v>
      </c>
      <c r="U315" s="75">
        <v>16</v>
      </c>
      <c r="V315" s="7">
        <v>5.33E-2</v>
      </c>
      <c r="W315" s="75">
        <v>9</v>
      </c>
      <c r="X315" s="55">
        <f>IFERROR(Supplier_Perf_Table[[#This Row],[Actual_Delivery_Date]]-Supplier_Perf_Table[[#This Row],[Order Date]],"")</f>
        <v>9</v>
      </c>
      <c r="Y315" s="75">
        <v>12</v>
      </c>
      <c r="Z315" s="56">
        <f>IFERROR(Supplier_Perf_Table[[#This Row],[Expected Delivery_Date]]-Supplier_Perf_Table[[#This Row],[Order Date]],"")</f>
        <v>12</v>
      </c>
      <c r="AA315" s="56">
        <f>Supplier_Perf_Table[[#This Row],[Calculated_Lead_Time2]]-Supplier_Perf_Table[[#This Row],[Calculated_Expected_Lead_Time]]</f>
        <v>-3</v>
      </c>
      <c r="AB315" s="75">
        <v>-3</v>
      </c>
      <c r="AC315" s="63" t="s">
        <v>270</v>
      </c>
      <c r="AD315" s="63" t="s">
        <v>420</v>
      </c>
      <c r="AE315" s="63" t="s">
        <v>105</v>
      </c>
      <c r="AF315" s="63" t="s">
        <v>42</v>
      </c>
      <c r="AG315" s="63" t="s">
        <v>107</v>
      </c>
      <c r="AH315" s="63" t="s">
        <v>206</v>
      </c>
      <c r="AI315" s="63" t="s">
        <v>191</v>
      </c>
      <c r="AJ315" s="63" t="s">
        <v>75</v>
      </c>
      <c r="AK315" s="83">
        <v>1.2</v>
      </c>
      <c r="AL315" s="63" t="s">
        <v>115</v>
      </c>
      <c r="AM315" s="63" t="s">
        <v>97</v>
      </c>
      <c r="AN315"/>
    </row>
    <row r="316" spans="1:40" ht="18" customHeight="1">
      <c r="A316" s="1" t="s">
        <v>1107</v>
      </c>
      <c r="B316" s="1" t="s">
        <v>1108</v>
      </c>
      <c r="C316" s="4">
        <v>46099</v>
      </c>
      <c r="D316" s="4">
        <v>46111</v>
      </c>
      <c r="E316" s="4">
        <v>46113</v>
      </c>
      <c r="F316" s="63" t="s">
        <v>60</v>
      </c>
      <c r="G316" s="63" t="s">
        <v>3837</v>
      </c>
      <c r="H316" s="63" t="s">
        <v>152</v>
      </c>
      <c r="I316" s="63" t="s">
        <v>92</v>
      </c>
      <c r="J316" s="63" t="s">
        <v>153</v>
      </c>
      <c r="K316" s="63" t="s">
        <v>1109</v>
      </c>
      <c r="L316" s="63" t="s">
        <v>204</v>
      </c>
      <c r="M316" s="69">
        <v>257.19</v>
      </c>
      <c r="N316" s="63" t="s">
        <v>159</v>
      </c>
      <c r="O316" s="73">
        <f>_xlfn.XLOOKUP(Supplier_Perf_Table[[#This Row],[Currency]],'Comments 2'!$C$4:$C$16,'Comments 2'!$D$4:$D$16)</f>
        <v>7.2999999999999996E-4</v>
      </c>
      <c r="P316" s="69">
        <f>IFERROR(Supplier_Perf_Table[[#This Row],[Unit_Cost]]*Supplier_Perf_Table[[#This Row],[Dollar Equivalent]],"")</f>
        <v>0.18774869999999999</v>
      </c>
      <c r="Q316" s="75">
        <v>150</v>
      </c>
      <c r="R316" s="1">
        <v>38578.5</v>
      </c>
      <c r="S316" s="75">
        <f>Supplier_Perf_Table[[#This Row],[Unit_Cost]]*Supplier_Perf_Table[[#This Row],[Order_Quantity]]</f>
        <v>38578.5</v>
      </c>
      <c r="T316" s="75">
        <f>IFERROR(Supplier_Perf_Table[[#This Row],[Dollar Equivalent]]*Supplier_Perf_Table[[#This Row],[Ordered_Value]],"")</f>
        <v>28.162305</v>
      </c>
      <c r="U316" s="75">
        <v>5</v>
      </c>
      <c r="V316" s="7">
        <v>3.3300000000000003E-2</v>
      </c>
      <c r="W316" s="75">
        <v>14</v>
      </c>
      <c r="X316" s="55">
        <f>IFERROR(Supplier_Perf_Table[[#This Row],[Actual_Delivery_Date]]-Supplier_Perf_Table[[#This Row],[Order Date]],"")</f>
        <v>14</v>
      </c>
      <c r="Y316" s="75">
        <v>12</v>
      </c>
      <c r="Z316" s="56">
        <f>IFERROR(Supplier_Perf_Table[[#This Row],[Expected Delivery_Date]]-Supplier_Perf_Table[[#This Row],[Order Date]],"")</f>
        <v>12</v>
      </c>
      <c r="AA316" s="56">
        <f>Supplier_Perf_Table[[#This Row],[Calculated_Lead_Time2]]-Supplier_Perf_Table[[#This Row],[Calculated_Expected_Lead_Time]]</f>
        <v>2</v>
      </c>
      <c r="AB316" s="75">
        <v>2</v>
      </c>
      <c r="AC316" s="63" t="s">
        <v>135</v>
      </c>
      <c r="AD316" s="63" t="s">
        <v>40</v>
      </c>
      <c r="AE316" s="63" t="s">
        <v>105</v>
      </c>
      <c r="AF316" s="63" t="s">
        <v>3088</v>
      </c>
      <c r="AG316" s="63" t="s">
        <v>43</v>
      </c>
      <c r="AH316" s="63" t="s">
        <v>129</v>
      </c>
      <c r="AI316" s="63" t="s">
        <v>191</v>
      </c>
      <c r="AJ316" s="63" t="s">
        <v>138</v>
      </c>
      <c r="AK316" s="83">
        <v>2.1</v>
      </c>
      <c r="AL316" s="63" t="s">
        <v>115</v>
      </c>
      <c r="AM316" s="63" t="s">
        <v>46</v>
      </c>
      <c r="AN316"/>
    </row>
    <row r="317" spans="1:40" ht="18" customHeight="1">
      <c r="A317" s="1" t="s">
        <v>1110</v>
      </c>
      <c r="B317" s="1" t="s">
        <v>1111</v>
      </c>
      <c r="C317" s="4">
        <v>46180</v>
      </c>
      <c r="D317" s="4">
        <v>46203</v>
      </c>
      <c r="E317" s="4">
        <v>46201</v>
      </c>
      <c r="F317" s="63" t="s">
        <v>118</v>
      </c>
      <c r="G317" s="63" t="s">
        <v>3842</v>
      </c>
      <c r="H317" s="63" t="s">
        <v>301</v>
      </c>
      <c r="I317" s="63" t="s">
        <v>92</v>
      </c>
      <c r="J317" s="63" t="s">
        <v>62</v>
      </c>
      <c r="K317" s="63" t="s">
        <v>1112</v>
      </c>
      <c r="L317" s="63" t="s">
        <v>64</v>
      </c>
      <c r="M317" s="69">
        <v>335.59</v>
      </c>
      <c r="N317" s="63" t="s">
        <v>38</v>
      </c>
      <c r="O317" s="73">
        <f>_xlfn.XLOOKUP(Supplier_Perf_Table[[#This Row],[Currency]],'Comments 2'!$C$4:$C$16,'Comments 2'!$D$4:$D$16)</f>
        <v>7.7000000000000002E-3</v>
      </c>
      <c r="P317" s="69">
        <f>IFERROR(Supplier_Perf_Table[[#This Row],[Unit_Cost]]*Supplier_Perf_Table[[#This Row],[Dollar Equivalent]],"")</f>
        <v>2.5840429999999999</v>
      </c>
      <c r="Q317" s="75">
        <v>2000</v>
      </c>
      <c r="R317" s="1">
        <v>671180</v>
      </c>
      <c r="S317" s="75">
        <f>Supplier_Perf_Table[[#This Row],[Unit_Cost]]*Supplier_Perf_Table[[#This Row],[Order_Quantity]]</f>
        <v>671180</v>
      </c>
      <c r="T317" s="75">
        <f>IFERROR(Supplier_Perf_Table[[#This Row],[Dollar Equivalent]]*Supplier_Perf_Table[[#This Row],[Ordered_Value]],"")</f>
        <v>5168.0860000000002</v>
      </c>
      <c r="U317" s="75">
        <v>46</v>
      </c>
      <c r="V317" s="7">
        <v>2.3E-2</v>
      </c>
      <c r="W317" s="75">
        <v>21</v>
      </c>
      <c r="X317" s="55">
        <f>IFERROR(Supplier_Perf_Table[[#This Row],[Actual_Delivery_Date]]-Supplier_Perf_Table[[#This Row],[Order Date]],"")</f>
        <v>21</v>
      </c>
      <c r="Y317" s="75">
        <v>23</v>
      </c>
      <c r="Z317" s="56">
        <f>IFERROR(Supplier_Perf_Table[[#This Row],[Expected Delivery_Date]]-Supplier_Perf_Table[[#This Row],[Order Date]],"")</f>
        <v>23</v>
      </c>
      <c r="AA317" s="56">
        <f>Supplier_Perf_Table[[#This Row],[Calculated_Lead_Time2]]-Supplier_Perf_Table[[#This Row],[Calculated_Expected_Lead_Time]]</f>
        <v>-2</v>
      </c>
      <c r="AB317" s="75">
        <v>-2</v>
      </c>
      <c r="AC317" s="63" t="s">
        <v>87</v>
      </c>
      <c r="AD317" s="63" t="s">
        <v>40</v>
      </c>
      <c r="AE317" s="63" t="s">
        <v>3088</v>
      </c>
      <c r="AF317" s="63" t="s">
        <v>190</v>
      </c>
      <c r="AG317" s="63" t="s">
        <v>43</v>
      </c>
      <c r="AH317" s="63" t="s">
        <v>3112</v>
      </c>
      <c r="AI317" s="63" t="s">
        <v>137</v>
      </c>
      <c r="AJ317" s="63" t="s">
        <v>138</v>
      </c>
      <c r="AK317" s="83">
        <v>4.7</v>
      </c>
      <c r="AL317" s="63" t="s">
        <v>45</v>
      </c>
      <c r="AM317" s="63" t="s">
        <v>130</v>
      </c>
      <c r="AN317"/>
    </row>
    <row r="318" spans="1:40" ht="18" customHeight="1">
      <c r="A318" s="1" t="s">
        <v>1113</v>
      </c>
      <c r="B318" s="1" t="s">
        <v>1114</v>
      </c>
      <c r="C318" s="4">
        <v>46187</v>
      </c>
      <c r="D318" s="4">
        <v>46200</v>
      </c>
      <c r="E318" s="4">
        <v>46204</v>
      </c>
      <c r="F318" s="63" t="s">
        <v>90</v>
      </c>
      <c r="G318" s="63" t="s">
        <v>3840</v>
      </c>
      <c r="H318" s="63" t="s">
        <v>133</v>
      </c>
      <c r="I318" s="63" t="s">
        <v>70</v>
      </c>
      <c r="J318" s="63" t="s">
        <v>71</v>
      </c>
      <c r="K318" s="63" t="s">
        <v>1115</v>
      </c>
      <c r="L318" s="63" t="s">
        <v>238</v>
      </c>
      <c r="M318" s="69">
        <v>497.21</v>
      </c>
      <c r="N318" s="63" t="s">
        <v>53</v>
      </c>
      <c r="O318" s="73">
        <f>_xlfn.XLOOKUP(Supplier_Perf_Table[[#This Row],[Currency]],'Comments 2'!$C$4:$C$16,'Comments 2'!$D$4:$D$16)</f>
        <v>6.0999999999999999E-2</v>
      </c>
      <c r="P318" s="69">
        <f>IFERROR(Supplier_Perf_Table[[#This Row],[Unit_Cost]]*Supplier_Perf_Table[[#This Row],[Dollar Equivalent]],"")</f>
        <v>30.329809999999998</v>
      </c>
      <c r="Q318" s="75">
        <v>75</v>
      </c>
      <c r="R318" s="1">
        <v>37290.75</v>
      </c>
      <c r="S318" s="75">
        <f>Supplier_Perf_Table[[#This Row],[Unit_Cost]]*Supplier_Perf_Table[[#This Row],[Order_Quantity]]</f>
        <v>37290.75</v>
      </c>
      <c r="T318" s="75">
        <f>IFERROR(Supplier_Perf_Table[[#This Row],[Dollar Equivalent]]*Supplier_Perf_Table[[#This Row],[Ordered_Value]],"")</f>
        <v>2274.7357499999998</v>
      </c>
      <c r="U318" s="75">
        <v>0</v>
      </c>
      <c r="V318" s="7">
        <v>0</v>
      </c>
      <c r="W318" s="75">
        <v>17</v>
      </c>
      <c r="X318" s="55">
        <f>IFERROR(Supplier_Perf_Table[[#This Row],[Actual_Delivery_Date]]-Supplier_Perf_Table[[#This Row],[Order Date]],"")</f>
        <v>17</v>
      </c>
      <c r="Y318" s="75">
        <v>13</v>
      </c>
      <c r="Z318" s="56">
        <f>IFERROR(Supplier_Perf_Table[[#This Row],[Expected Delivery_Date]]-Supplier_Perf_Table[[#This Row],[Order Date]],"")</f>
        <v>13</v>
      </c>
      <c r="AA318" s="56">
        <f>Supplier_Perf_Table[[#This Row],[Calculated_Lead_Time2]]-Supplier_Perf_Table[[#This Row],[Calculated_Expected_Lead_Time]]</f>
        <v>4</v>
      </c>
      <c r="AB318" s="75">
        <v>4</v>
      </c>
      <c r="AC318" s="63" t="s">
        <v>135</v>
      </c>
      <c r="AD318" s="63" t="s">
        <v>40</v>
      </c>
      <c r="AE318" s="63" t="s">
        <v>127</v>
      </c>
      <c r="AF318" s="63" t="s">
        <v>3088</v>
      </c>
      <c r="AG318" s="63" t="s">
        <v>54</v>
      </c>
      <c r="AH318" s="63" t="s">
        <v>3112</v>
      </c>
      <c r="AI318" s="63" t="s">
        <v>56</v>
      </c>
      <c r="AJ318" s="63" t="s">
        <v>138</v>
      </c>
      <c r="AK318" s="83">
        <v>2.2000000000000002</v>
      </c>
      <c r="AL318" s="63" t="s">
        <v>115</v>
      </c>
      <c r="AM318" s="63" t="s">
        <v>148</v>
      </c>
      <c r="AN318"/>
    </row>
    <row r="319" spans="1:40" ht="18" customHeight="1">
      <c r="A319" s="1" t="s">
        <v>1116</v>
      </c>
      <c r="B319" s="1" t="s">
        <v>1117</v>
      </c>
      <c r="C319" s="4">
        <v>46143</v>
      </c>
      <c r="D319" s="4">
        <v>46168</v>
      </c>
      <c r="E319" s="4">
        <v>46159</v>
      </c>
      <c r="F319" s="63" t="s">
        <v>142</v>
      </c>
      <c r="G319" s="63" t="s">
        <v>3843</v>
      </c>
      <c r="H319" s="63" t="s">
        <v>169</v>
      </c>
      <c r="I319" s="63" t="s">
        <v>120</v>
      </c>
      <c r="J319" s="63" t="s">
        <v>50</v>
      </c>
      <c r="K319" s="63" t="s">
        <v>1118</v>
      </c>
      <c r="L319" s="63" t="s">
        <v>189</v>
      </c>
      <c r="M319" s="69">
        <v>342.07</v>
      </c>
      <c r="N319" s="63" t="s">
        <v>104</v>
      </c>
      <c r="O319" s="73">
        <f>_xlfn.XLOOKUP(Supplier_Perf_Table[[#This Row],[Currency]],'Comments 2'!$C$4:$C$16,'Comments 2'!$D$4:$D$16)</f>
        <v>1.9E-2</v>
      </c>
      <c r="P319" s="69">
        <f>IFERROR(Supplier_Perf_Table[[#This Row],[Unit_Cost]]*Supplier_Perf_Table[[#This Row],[Dollar Equivalent]],"")</f>
        <v>6.4993299999999996</v>
      </c>
      <c r="Q319" s="75">
        <v>2000</v>
      </c>
      <c r="R319" s="1">
        <v>684140</v>
      </c>
      <c r="S319" s="75">
        <f>Supplier_Perf_Table[[#This Row],[Unit_Cost]]*Supplier_Perf_Table[[#This Row],[Order_Quantity]]</f>
        <v>684140</v>
      </c>
      <c r="T319" s="75">
        <f>IFERROR(Supplier_Perf_Table[[#This Row],[Dollar Equivalent]]*Supplier_Perf_Table[[#This Row],[Ordered_Value]],"")</f>
        <v>12998.66</v>
      </c>
      <c r="U319" s="75">
        <v>53</v>
      </c>
      <c r="V319" s="7">
        <v>2.6499999999999999E-2</v>
      </c>
      <c r="W319" s="75">
        <v>16</v>
      </c>
      <c r="X319" s="55">
        <f>IFERROR(Supplier_Perf_Table[[#This Row],[Actual_Delivery_Date]]-Supplier_Perf_Table[[#This Row],[Order Date]],"")</f>
        <v>16</v>
      </c>
      <c r="Y319" s="75">
        <v>25</v>
      </c>
      <c r="Z319" s="56">
        <f>IFERROR(Supplier_Perf_Table[[#This Row],[Expected Delivery_Date]]-Supplier_Perf_Table[[#This Row],[Order Date]],"")</f>
        <v>25</v>
      </c>
      <c r="AA319" s="56">
        <f>Supplier_Perf_Table[[#This Row],[Calculated_Lead_Time2]]-Supplier_Perf_Table[[#This Row],[Calculated_Expected_Lead_Time]]</f>
        <v>-9</v>
      </c>
      <c r="AB319" s="75">
        <v>-9</v>
      </c>
      <c r="AC319" s="63" t="s">
        <v>270</v>
      </c>
      <c r="AD319" s="63" t="s">
        <v>40</v>
      </c>
      <c r="AE319" s="63" t="s">
        <v>105</v>
      </c>
      <c r="AF319" s="63" t="s">
        <v>212</v>
      </c>
      <c r="AG319" s="63" t="s">
        <v>107</v>
      </c>
      <c r="AH319" s="63" t="s">
        <v>129</v>
      </c>
      <c r="AI319" s="63" t="s">
        <v>44</v>
      </c>
      <c r="AJ319" s="63" t="s">
        <v>138</v>
      </c>
      <c r="AK319" s="83">
        <v>3.3</v>
      </c>
      <c r="AL319" s="63" t="s">
        <v>139</v>
      </c>
      <c r="AM319" s="63" t="s">
        <v>138</v>
      </c>
      <c r="AN319"/>
    </row>
    <row r="320" spans="1:40" ht="18" customHeight="1">
      <c r="A320" s="1" t="s">
        <v>1119</v>
      </c>
      <c r="B320" s="1" t="s">
        <v>1120</v>
      </c>
      <c r="C320" s="4">
        <v>46100</v>
      </c>
      <c r="D320" s="4">
        <v>46110</v>
      </c>
      <c r="E320" s="4">
        <v>46114</v>
      </c>
      <c r="F320" s="63" t="s">
        <v>100</v>
      </c>
      <c r="G320" s="63" t="s">
        <v>3841</v>
      </c>
      <c r="H320" s="63" t="s">
        <v>102</v>
      </c>
      <c r="I320" s="63" t="s">
        <v>61</v>
      </c>
      <c r="J320" s="63" t="s">
        <v>112</v>
      </c>
      <c r="K320" s="63" t="s">
        <v>1121</v>
      </c>
      <c r="L320" s="63" t="s">
        <v>229</v>
      </c>
      <c r="M320" s="69">
        <v>17.77</v>
      </c>
      <c r="N320" s="63" t="s">
        <v>104</v>
      </c>
      <c r="O320" s="73">
        <f>_xlfn.XLOOKUP(Supplier_Perf_Table[[#This Row],[Currency]],'Comments 2'!$C$4:$C$16,'Comments 2'!$D$4:$D$16)</f>
        <v>1.9E-2</v>
      </c>
      <c r="P320" s="69">
        <f>IFERROR(Supplier_Perf_Table[[#This Row],[Unit_Cost]]*Supplier_Perf_Table[[#This Row],[Dollar Equivalent]],"")</f>
        <v>0.33762999999999999</v>
      </c>
      <c r="Q320" s="75">
        <v>1500</v>
      </c>
      <c r="R320" s="1" t="s">
        <v>3080</v>
      </c>
      <c r="S320" s="75">
        <f>Supplier_Perf_Table[[#This Row],[Unit_Cost]]*Supplier_Perf_Table[[#This Row],[Order_Quantity]]</f>
        <v>26655</v>
      </c>
      <c r="T320" s="75" t="str">
        <f>IFERROR(Supplier_Perf_Table[[#This Row],[Dollar Equivalent]]*Supplier_Perf_Table[[#This Row],[Ordered_Value]],"")</f>
        <v/>
      </c>
      <c r="U320" s="75">
        <v>40</v>
      </c>
      <c r="V320" s="7">
        <v>2.6700000000000002E-2</v>
      </c>
      <c r="W320" s="75">
        <v>14</v>
      </c>
      <c r="X320" s="55">
        <f>IFERROR(Supplier_Perf_Table[[#This Row],[Actual_Delivery_Date]]-Supplier_Perf_Table[[#This Row],[Order Date]],"")</f>
        <v>14</v>
      </c>
      <c r="Y320" s="75">
        <v>10</v>
      </c>
      <c r="Z320" s="56">
        <f>IFERROR(Supplier_Perf_Table[[#This Row],[Expected Delivery_Date]]-Supplier_Perf_Table[[#This Row],[Order Date]],"")</f>
        <v>10</v>
      </c>
      <c r="AA320" s="56">
        <f>Supplier_Perf_Table[[#This Row],[Calculated_Lead_Time2]]-Supplier_Perf_Table[[#This Row],[Calculated_Expected_Lead_Time]]</f>
        <v>4</v>
      </c>
      <c r="AB320" s="75">
        <v>4</v>
      </c>
      <c r="AC320" s="63" t="s">
        <v>135</v>
      </c>
      <c r="AD320" s="63" t="s">
        <v>40</v>
      </c>
      <c r="AE320" s="63" t="s">
        <v>105</v>
      </c>
      <c r="AF320" s="63" t="s">
        <v>106</v>
      </c>
      <c r="AG320" s="63" t="s">
        <v>128</v>
      </c>
      <c r="AH320" s="63" t="s">
        <v>174</v>
      </c>
      <c r="AI320" s="63" t="s">
        <v>138</v>
      </c>
      <c r="AJ320" s="63" t="s">
        <v>138</v>
      </c>
      <c r="AK320" s="83">
        <v>3.7</v>
      </c>
      <c r="AL320" s="63" t="s">
        <v>115</v>
      </c>
      <c r="AM320" s="63" t="s">
        <v>46</v>
      </c>
      <c r="AN320"/>
    </row>
    <row r="321" spans="1:40" ht="18" customHeight="1">
      <c r="A321" s="1" t="s">
        <v>1122</v>
      </c>
      <c r="B321" s="1" t="s">
        <v>1123</v>
      </c>
      <c r="C321" s="4">
        <v>46098</v>
      </c>
      <c r="D321" s="4">
        <v>46110</v>
      </c>
      <c r="E321" s="4">
        <v>46107</v>
      </c>
      <c r="F321" s="63" t="s">
        <v>215</v>
      </c>
      <c r="G321" s="63" t="s">
        <v>3846</v>
      </c>
      <c r="H321" s="63" t="s">
        <v>152</v>
      </c>
      <c r="I321" s="63" t="s">
        <v>61</v>
      </c>
      <c r="J321" s="63" t="s">
        <v>112</v>
      </c>
      <c r="K321" s="63" t="s">
        <v>1124</v>
      </c>
      <c r="L321" s="63" t="s">
        <v>218</v>
      </c>
      <c r="M321" s="69">
        <v>318.11</v>
      </c>
      <c r="N321" s="63" t="s">
        <v>104</v>
      </c>
      <c r="O321" s="73">
        <f>_xlfn.XLOOKUP(Supplier_Perf_Table[[#This Row],[Currency]],'Comments 2'!$C$4:$C$16,'Comments 2'!$D$4:$D$16)</f>
        <v>1.9E-2</v>
      </c>
      <c r="P321" s="69">
        <f>IFERROR(Supplier_Perf_Table[[#This Row],[Unit_Cost]]*Supplier_Perf_Table[[#This Row],[Dollar Equivalent]],"")</f>
        <v>6.0440899999999997</v>
      </c>
      <c r="Q321" s="75">
        <v>500</v>
      </c>
      <c r="R321" s="1">
        <v>159055</v>
      </c>
      <c r="S321" s="75">
        <f>Supplier_Perf_Table[[#This Row],[Unit_Cost]]*Supplier_Perf_Table[[#This Row],[Order_Quantity]]</f>
        <v>159055</v>
      </c>
      <c r="T321" s="75">
        <f>IFERROR(Supplier_Perf_Table[[#This Row],[Dollar Equivalent]]*Supplier_Perf_Table[[#This Row],[Ordered_Value]],"")</f>
        <v>3022.0450000000001</v>
      </c>
      <c r="U321" s="75">
        <v>23</v>
      </c>
      <c r="V321" s="7">
        <v>4.5999999999999999E-2</v>
      </c>
      <c r="W321" s="75">
        <v>-5</v>
      </c>
      <c r="X321" s="55">
        <f>IFERROR(Supplier_Perf_Table[[#This Row],[Actual_Delivery_Date]]-Supplier_Perf_Table[[#This Row],[Order Date]],"")</f>
        <v>9</v>
      </c>
      <c r="Y321" s="75">
        <v>12</v>
      </c>
      <c r="Z321" s="56">
        <f>IFERROR(Supplier_Perf_Table[[#This Row],[Expected Delivery_Date]]-Supplier_Perf_Table[[#This Row],[Order Date]],"")</f>
        <v>12</v>
      </c>
      <c r="AA321" s="56">
        <f>Supplier_Perf_Table[[#This Row],[Calculated_Lead_Time2]]-Supplier_Perf_Table[[#This Row],[Calculated_Expected_Lead_Time]]</f>
        <v>-3</v>
      </c>
      <c r="AB321" s="75">
        <v>-3</v>
      </c>
      <c r="AC321" s="63" t="s">
        <v>270</v>
      </c>
      <c r="AD321" s="63" t="s">
        <v>366</v>
      </c>
      <c r="AE321" s="63" t="s">
        <v>146</v>
      </c>
      <c r="AF321" s="63" t="s">
        <v>42</v>
      </c>
      <c r="AG321" s="63" t="s">
        <v>43</v>
      </c>
      <c r="AH321" s="63" t="s">
        <v>55</v>
      </c>
      <c r="AI321" s="63" t="s">
        <v>44</v>
      </c>
      <c r="AJ321" s="63" t="s">
        <v>283</v>
      </c>
      <c r="AK321" s="83">
        <v>2.9</v>
      </c>
      <c r="AL321" s="63" t="s">
        <v>76</v>
      </c>
      <c r="AM321" s="63" t="s">
        <v>284</v>
      </c>
      <c r="AN321"/>
    </row>
    <row r="322" spans="1:40" ht="18" customHeight="1">
      <c r="A322" s="63" t="s">
        <v>1125</v>
      </c>
      <c r="B322" s="63" t="s">
        <v>1126</v>
      </c>
      <c r="C322" s="4">
        <v>46132</v>
      </c>
      <c r="D322" s="4">
        <v>46148</v>
      </c>
      <c r="E322" s="4">
        <v>46142</v>
      </c>
      <c r="F322" s="63" t="s">
        <v>48</v>
      </c>
      <c r="G322" s="63" t="s">
        <v>3836</v>
      </c>
      <c r="H322" s="63" t="s">
        <v>102</v>
      </c>
      <c r="I322" s="63" t="s">
        <v>49</v>
      </c>
      <c r="J322" s="63" t="s">
        <v>50</v>
      </c>
      <c r="K322" s="63" t="s">
        <v>1127</v>
      </c>
      <c r="L322" s="63" t="s">
        <v>52</v>
      </c>
      <c r="M322" s="69">
        <v>2397.5700000000002</v>
      </c>
      <c r="N322" s="63" t="s">
        <v>65</v>
      </c>
      <c r="O322" s="73">
        <f>_xlfn.XLOOKUP(Supplier_Perf_Table[[#This Row],[Currency]],'Comments 2'!$C$4:$C$16,'Comments 2'!$D$4:$D$16)</f>
        <v>1</v>
      </c>
      <c r="P322" s="69">
        <f>IFERROR(Supplier_Perf_Table[[#This Row],[Unit_Cost]]*Supplier_Perf_Table[[#This Row],[Dollar Equivalent]],"")</f>
        <v>2397.5700000000002</v>
      </c>
      <c r="Q322" s="75">
        <v>200</v>
      </c>
      <c r="R322" s="1">
        <v>479514</v>
      </c>
      <c r="S322" s="75">
        <f>Supplier_Perf_Table[[#This Row],[Unit_Cost]]*Supplier_Perf_Table[[#This Row],[Order_Quantity]]</f>
        <v>479514.00000000006</v>
      </c>
      <c r="T322" s="75">
        <f>IFERROR(Supplier_Perf_Table[[#This Row],[Dollar Equivalent]]*Supplier_Perf_Table[[#This Row],[Ordered_Value]],"")</f>
        <v>479514</v>
      </c>
      <c r="U322" s="75">
        <v>6</v>
      </c>
      <c r="V322" s="7">
        <v>0.03</v>
      </c>
      <c r="W322" s="75">
        <v>10</v>
      </c>
      <c r="X322" s="55">
        <f>IFERROR(Supplier_Perf_Table[[#This Row],[Actual_Delivery_Date]]-Supplier_Perf_Table[[#This Row],[Order Date]],"")</f>
        <v>10</v>
      </c>
      <c r="Y322" s="75">
        <v>16</v>
      </c>
      <c r="Z322" s="56">
        <f>IFERROR(Supplier_Perf_Table[[#This Row],[Expected Delivery_Date]]-Supplier_Perf_Table[[#This Row],[Order Date]],"")</f>
        <v>16</v>
      </c>
      <c r="AA322" s="56">
        <f>Supplier_Perf_Table[[#This Row],[Calculated_Lead_Time2]]-Supplier_Perf_Table[[#This Row],[Calculated_Expected_Lead_Time]]</f>
        <v>-6</v>
      </c>
      <c r="AB322" s="75">
        <v>-6</v>
      </c>
      <c r="AC322" s="63" t="s">
        <v>270</v>
      </c>
      <c r="AD322" s="63" t="s">
        <v>40</v>
      </c>
      <c r="AE322" s="63" t="s">
        <v>105</v>
      </c>
      <c r="AF322" s="63" t="s">
        <v>106</v>
      </c>
      <c r="AG322" s="63" t="s">
        <v>107</v>
      </c>
      <c r="AH322" s="63" t="s">
        <v>88</v>
      </c>
      <c r="AI322" s="63" t="s">
        <v>44</v>
      </c>
      <c r="AJ322" s="63" t="s">
        <v>138</v>
      </c>
      <c r="AK322" s="83">
        <v>2.1</v>
      </c>
      <c r="AL322" s="63" t="s">
        <v>115</v>
      </c>
      <c r="AM322" s="63" t="s">
        <v>138</v>
      </c>
      <c r="AN322"/>
    </row>
    <row r="323" spans="1:40" ht="18" customHeight="1">
      <c r="A323" s="1" t="s">
        <v>1128</v>
      </c>
      <c r="B323" s="1" t="s">
        <v>1129</v>
      </c>
      <c r="C323" s="4">
        <v>46103</v>
      </c>
      <c r="D323" s="4">
        <v>46122</v>
      </c>
      <c r="E323" s="4">
        <v>46125</v>
      </c>
      <c r="F323" s="63" t="s">
        <v>118</v>
      </c>
      <c r="G323" s="63" t="s">
        <v>3842</v>
      </c>
      <c r="H323" s="63" t="s">
        <v>301</v>
      </c>
      <c r="I323" s="63" t="s">
        <v>70</v>
      </c>
      <c r="J323" s="63" t="s">
        <v>62</v>
      </c>
      <c r="K323" s="63" t="s">
        <v>1130</v>
      </c>
      <c r="L323" s="63" t="s">
        <v>94</v>
      </c>
      <c r="M323" s="69">
        <v>140.72</v>
      </c>
      <c r="N323" s="63" t="s">
        <v>53</v>
      </c>
      <c r="O323" s="73">
        <f>_xlfn.XLOOKUP(Supplier_Perf_Table[[#This Row],[Currency]],'Comments 2'!$C$4:$C$16,'Comments 2'!$D$4:$D$16)</f>
        <v>6.0999999999999999E-2</v>
      </c>
      <c r="P323" s="69">
        <f>IFERROR(Supplier_Perf_Table[[#This Row],[Unit_Cost]]*Supplier_Perf_Table[[#This Row],[Dollar Equivalent]],"")</f>
        <v>8.5839199999999991</v>
      </c>
      <c r="Q323" s="75">
        <v>100</v>
      </c>
      <c r="R323" s="1">
        <v>14072</v>
      </c>
      <c r="S323" s="75">
        <f>Supplier_Perf_Table[[#This Row],[Unit_Cost]]*Supplier_Perf_Table[[#This Row],[Order_Quantity]]</f>
        <v>14072</v>
      </c>
      <c r="T323" s="75">
        <f>IFERROR(Supplier_Perf_Table[[#This Row],[Dollar Equivalent]]*Supplier_Perf_Table[[#This Row],[Ordered_Value]],"")</f>
        <v>858.39199999999994</v>
      </c>
      <c r="U323" s="75">
        <v>3</v>
      </c>
      <c r="V323" s="7">
        <v>0.03</v>
      </c>
      <c r="W323" s="75">
        <v>22</v>
      </c>
      <c r="X323" s="55">
        <f>IFERROR(Supplier_Perf_Table[[#This Row],[Actual_Delivery_Date]]-Supplier_Perf_Table[[#This Row],[Order Date]],"")</f>
        <v>22</v>
      </c>
      <c r="Y323" s="75">
        <v>19</v>
      </c>
      <c r="Z323" s="56">
        <f>IFERROR(Supplier_Perf_Table[[#This Row],[Expected Delivery_Date]]-Supplier_Perf_Table[[#This Row],[Order Date]],"")</f>
        <v>19</v>
      </c>
      <c r="AA323" s="56">
        <f>Supplier_Perf_Table[[#This Row],[Calculated_Lead_Time2]]-Supplier_Perf_Table[[#This Row],[Calculated_Expected_Lead_Time]]</f>
        <v>3</v>
      </c>
      <c r="AB323" s="75">
        <v>3</v>
      </c>
      <c r="AC323" s="63" t="s">
        <v>135</v>
      </c>
      <c r="AD323" s="63" t="s">
        <v>40</v>
      </c>
      <c r="AE323" s="63" t="s">
        <v>41</v>
      </c>
      <c r="AF323" s="63" t="s">
        <v>106</v>
      </c>
      <c r="AG323" s="63" t="s">
        <v>173</v>
      </c>
      <c r="AH323" s="63" t="s">
        <v>3112</v>
      </c>
      <c r="AI323" s="63" t="s">
        <v>138</v>
      </c>
      <c r="AJ323" s="63" t="s">
        <v>138</v>
      </c>
      <c r="AK323" s="83">
        <v>4.2</v>
      </c>
      <c r="AL323" s="63" t="s">
        <v>115</v>
      </c>
      <c r="AM323" s="63" t="s">
        <v>46</v>
      </c>
      <c r="AN323"/>
    </row>
    <row r="324" spans="1:40" ht="18" customHeight="1">
      <c r="A324" s="1" t="s">
        <v>1131</v>
      </c>
      <c r="B324" s="1" t="s">
        <v>1132</v>
      </c>
      <c r="C324" s="4">
        <v>46172</v>
      </c>
      <c r="D324" s="4">
        <v>46190</v>
      </c>
      <c r="E324" s="4">
        <v>46191</v>
      </c>
      <c r="F324" s="63" t="s">
        <v>48</v>
      </c>
      <c r="G324" s="63" t="s">
        <v>3836</v>
      </c>
      <c r="H324" s="63" t="s">
        <v>102</v>
      </c>
      <c r="I324" s="63" t="s">
        <v>241</v>
      </c>
      <c r="J324" s="63" t="s">
        <v>50</v>
      </c>
      <c r="K324" s="63" t="s">
        <v>1133</v>
      </c>
      <c r="L324" s="63" t="s">
        <v>145</v>
      </c>
      <c r="M324" s="69">
        <v>2159.0300000000002</v>
      </c>
      <c r="N324" s="63" t="s">
        <v>86</v>
      </c>
      <c r="O324" s="73">
        <f>_xlfn.XLOOKUP(Supplier_Perf_Table[[#This Row],[Currency]],'Comments 2'!$C$4:$C$16,'Comments 2'!$D$4:$D$16)</f>
        <v>8.8999999999999996E-2</v>
      </c>
      <c r="P324" s="69">
        <f>IFERROR(Supplier_Perf_Table[[#This Row],[Unit_Cost]]*Supplier_Perf_Table[[#This Row],[Dollar Equivalent]],"")</f>
        <v>192.15367000000001</v>
      </c>
      <c r="Q324" s="75">
        <v>750</v>
      </c>
      <c r="R324" s="1">
        <v>1619272.5</v>
      </c>
      <c r="S324" s="75">
        <f>Supplier_Perf_Table[[#This Row],[Unit_Cost]]*Supplier_Perf_Table[[#This Row],[Order_Quantity]]</f>
        <v>1619272.5000000002</v>
      </c>
      <c r="T324" s="75">
        <f>IFERROR(Supplier_Perf_Table[[#This Row],[Dollar Equivalent]]*Supplier_Perf_Table[[#This Row],[Ordered_Value]],"")</f>
        <v>144115.2525</v>
      </c>
      <c r="U324" s="75">
        <v>32</v>
      </c>
      <c r="V324" s="7">
        <v>4.2700000000000002E-2</v>
      </c>
      <c r="W324" s="75">
        <v>19</v>
      </c>
      <c r="X324" s="55">
        <f>IFERROR(Supplier_Perf_Table[[#This Row],[Actual_Delivery_Date]]-Supplier_Perf_Table[[#This Row],[Order Date]],"")</f>
        <v>19</v>
      </c>
      <c r="Y324" s="75">
        <v>18</v>
      </c>
      <c r="Z324" s="56">
        <f>IFERROR(Supplier_Perf_Table[[#This Row],[Expected Delivery_Date]]-Supplier_Perf_Table[[#This Row],[Order Date]],"")</f>
        <v>18</v>
      </c>
      <c r="AA324" s="56">
        <f>Supplier_Perf_Table[[#This Row],[Calculated_Lead_Time2]]-Supplier_Perf_Table[[#This Row],[Calculated_Expected_Lead_Time]]</f>
        <v>1</v>
      </c>
      <c r="AB324" s="75">
        <v>1</v>
      </c>
      <c r="AC324" s="63" t="s">
        <v>166</v>
      </c>
      <c r="AD324" s="63" t="s">
        <v>74</v>
      </c>
      <c r="AE324" s="63" t="s">
        <v>41</v>
      </c>
      <c r="AF324" s="63" t="s">
        <v>3088</v>
      </c>
      <c r="AG324" s="63" t="s">
        <v>43</v>
      </c>
      <c r="AH324" s="63" t="s">
        <v>88</v>
      </c>
      <c r="AI324" s="63" t="s">
        <v>56</v>
      </c>
      <c r="AJ324" s="63" t="s">
        <v>373</v>
      </c>
      <c r="AK324" s="83">
        <v>6</v>
      </c>
      <c r="AL324" s="63" t="s">
        <v>57</v>
      </c>
      <c r="AM324" s="63" t="s">
        <v>77</v>
      </c>
      <c r="AN324"/>
    </row>
    <row r="325" spans="1:40" ht="18" customHeight="1">
      <c r="A325" s="1" t="s">
        <v>1134</v>
      </c>
      <c r="B325" s="1" t="s">
        <v>1135</v>
      </c>
      <c r="C325" s="4">
        <v>46183</v>
      </c>
      <c r="D325" s="4">
        <v>46195</v>
      </c>
      <c r="E325" s="4">
        <v>46205</v>
      </c>
      <c r="F325" s="63" t="s">
        <v>162</v>
      </c>
      <c r="G325" s="63" t="s">
        <v>3847</v>
      </c>
      <c r="H325" s="63" t="s">
        <v>152</v>
      </c>
      <c r="I325" s="63" t="s">
        <v>70</v>
      </c>
      <c r="J325" s="63" t="s">
        <v>163</v>
      </c>
      <c r="K325" s="63" t="s">
        <v>1136</v>
      </c>
      <c r="L325" s="63" t="s">
        <v>269</v>
      </c>
      <c r="M325" s="69">
        <v>540.4</v>
      </c>
      <c r="N325" s="63" t="s">
        <v>159</v>
      </c>
      <c r="O325" s="73">
        <f>_xlfn.XLOOKUP(Supplier_Perf_Table[[#This Row],[Currency]],'Comments 2'!$C$4:$C$16,'Comments 2'!$D$4:$D$16)</f>
        <v>7.2999999999999996E-4</v>
      </c>
      <c r="P325" s="69">
        <f>IFERROR(Supplier_Perf_Table[[#This Row],[Unit_Cost]]*Supplier_Perf_Table[[#This Row],[Dollar Equivalent]],"")</f>
        <v>0.39449199999999995</v>
      </c>
      <c r="Q325" s="75">
        <v>100</v>
      </c>
      <c r="R325" s="1">
        <v>54040</v>
      </c>
      <c r="S325" s="75">
        <f>Supplier_Perf_Table[[#This Row],[Unit_Cost]]*Supplier_Perf_Table[[#This Row],[Order_Quantity]]</f>
        <v>54040</v>
      </c>
      <c r="T325" s="75">
        <f>IFERROR(Supplier_Perf_Table[[#This Row],[Dollar Equivalent]]*Supplier_Perf_Table[[#This Row],[Ordered_Value]],"")</f>
        <v>39.449199999999998</v>
      </c>
      <c r="U325" s="75">
        <v>0</v>
      </c>
      <c r="V325" s="7">
        <v>0</v>
      </c>
      <c r="W325" s="75">
        <v>22</v>
      </c>
      <c r="X325" s="55">
        <f>IFERROR(Supplier_Perf_Table[[#This Row],[Actual_Delivery_Date]]-Supplier_Perf_Table[[#This Row],[Order Date]],"")</f>
        <v>22</v>
      </c>
      <c r="Y325" s="75">
        <v>12</v>
      </c>
      <c r="Z325" s="56">
        <f>IFERROR(Supplier_Perf_Table[[#This Row],[Expected Delivery_Date]]-Supplier_Perf_Table[[#This Row],[Order Date]],"")</f>
        <v>12</v>
      </c>
      <c r="AA325" s="56">
        <f>Supplier_Perf_Table[[#This Row],[Calculated_Lead_Time2]]-Supplier_Perf_Table[[#This Row],[Calculated_Expected_Lead_Time]]</f>
        <v>10</v>
      </c>
      <c r="AB325" s="75">
        <v>10</v>
      </c>
      <c r="AC325" s="63" t="s">
        <v>39</v>
      </c>
      <c r="AD325" s="63" t="s">
        <v>40</v>
      </c>
      <c r="AE325" s="63" t="s">
        <v>105</v>
      </c>
      <c r="AF325" s="63" t="s">
        <v>190</v>
      </c>
      <c r="AG325" s="63" t="s">
        <v>43</v>
      </c>
      <c r="AH325" s="63" t="s">
        <v>129</v>
      </c>
      <c r="AI325" s="63" t="s">
        <v>56</v>
      </c>
      <c r="AJ325" s="63" t="s">
        <v>138</v>
      </c>
      <c r="AK325" s="83">
        <v>2.1</v>
      </c>
      <c r="AL325" s="63" t="s">
        <v>115</v>
      </c>
      <c r="AM325" s="63" t="s">
        <v>46</v>
      </c>
      <c r="AN325"/>
    </row>
    <row r="326" spans="1:40" ht="18" customHeight="1">
      <c r="A326" s="1" t="s">
        <v>1137</v>
      </c>
      <c r="B326" s="1" t="s">
        <v>1138</v>
      </c>
      <c r="C326" s="4">
        <v>46123</v>
      </c>
      <c r="D326" s="4">
        <v>46131</v>
      </c>
      <c r="E326" s="4">
        <v>46136</v>
      </c>
      <c r="F326" s="63" t="s">
        <v>69</v>
      </c>
      <c r="G326" s="63" t="s">
        <v>3838</v>
      </c>
      <c r="H326" s="63" t="s">
        <v>194</v>
      </c>
      <c r="I326" s="63" t="s">
        <v>120</v>
      </c>
      <c r="J326" s="63" t="s">
        <v>112</v>
      </c>
      <c r="K326" s="63" t="s">
        <v>1139</v>
      </c>
      <c r="L326" s="63" t="s">
        <v>229</v>
      </c>
      <c r="M326" s="69">
        <v>758.89</v>
      </c>
      <c r="N326" s="63" t="s">
        <v>159</v>
      </c>
      <c r="O326" s="73">
        <f>_xlfn.XLOOKUP(Supplier_Perf_Table[[#This Row],[Currency]],'Comments 2'!$C$4:$C$16,'Comments 2'!$D$4:$D$16)</f>
        <v>7.2999999999999996E-4</v>
      </c>
      <c r="P326" s="69">
        <f>IFERROR(Supplier_Perf_Table[[#This Row],[Unit_Cost]]*Supplier_Perf_Table[[#This Row],[Dollar Equivalent]],"")</f>
        <v>0.55398969999999992</v>
      </c>
      <c r="Q326" s="75">
        <v>150</v>
      </c>
      <c r="R326" s="1">
        <v>113833.5</v>
      </c>
      <c r="S326" s="75">
        <f>Supplier_Perf_Table[[#This Row],[Unit_Cost]]*Supplier_Perf_Table[[#This Row],[Order_Quantity]]</f>
        <v>113833.5</v>
      </c>
      <c r="T326" s="75">
        <f>IFERROR(Supplier_Perf_Table[[#This Row],[Dollar Equivalent]]*Supplier_Perf_Table[[#This Row],[Ordered_Value]],"")</f>
        <v>83.098455000000001</v>
      </c>
      <c r="U326" s="75">
        <v>4</v>
      </c>
      <c r="V326" s="7">
        <v>2.6700000000000002E-2</v>
      </c>
      <c r="W326" s="75">
        <v>13</v>
      </c>
      <c r="X326" s="55">
        <f>IFERROR(Supplier_Perf_Table[[#This Row],[Actual_Delivery_Date]]-Supplier_Perf_Table[[#This Row],[Order Date]],"")</f>
        <v>13</v>
      </c>
      <c r="Y326" s="75">
        <v>8</v>
      </c>
      <c r="Z326" s="56">
        <f>IFERROR(Supplier_Perf_Table[[#This Row],[Expected Delivery_Date]]-Supplier_Perf_Table[[#This Row],[Order Date]],"")</f>
        <v>8</v>
      </c>
      <c r="AA326" s="56">
        <f>Supplier_Perf_Table[[#This Row],[Calculated_Lead_Time2]]-Supplier_Perf_Table[[#This Row],[Calculated_Expected_Lead_Time]]</f>
        <v>5</v>
      </c>
      <c r="AB326" s="75">
        <v>5</v>
      </c>
      <c r="AC326" s="63" t="s">
        <v>39</v>
      </c>
      <c r="AD326" s="63" t="s">
        <v>3088</v>
      </c>
      <c r="AE326" s="63" t="s">
        <v>105</v>
      </c>
      <c r="AF326" s="63" t="s">
        <v>106</v>
      </c>
      <c r="AG326" s="63" t="s">
        <v>173</v>
      </c>
      <c r="AH326" s="63" t="s">
        <v>88</v>
      </c>
      <c r="AI326" s="63" t="s">
        <v>191</v>
      </c>
      <c r="AJ326" s="63" t="s">
        <v>138</v>
      </c>
      <c r="AK326" s="83">
        <v>4</v>
      </c>
      <c r="AL326" s="63" t="s">
        <v>115</v>
      </c>
      <c r="AM326" s="63" t="s">
        <v>46</v>
      </c>
      <c r="AN326"/>
    </row>
    <row r="327" spans="1:40" ht="18" customHeight="1">
      <c r="A327" s="1" t="s">
        <v>1140</v>
      </c>
      <c r="B327" s="1" t="s">
        <v>1141</v>
      </c>
      <c r="C327" s="4">
        <v>46164</v>
      </c>
      <c r="D327" s="4">
        <v>46175</v>
      </c>
      <c r="E327" s="4">
        <v>46178</v>
      </c>
      <c r="F327" s="63" t="s">
        <v>209</v>
      </c>
      <c r="G327" s="63" t="s">
        <v>3845</v>
      </c>
      <c r="H327" s="63" t="s">
        <v>316</v>
      </c>
      <c r="I327" s="63" t="s">
        <v>83</v>
      </c>
      <c r="J327" s="63" t="s">
        <v>153</v>
      </c>
      <c r="K327" s="63" t="s">
        <v>1142</v>
      </c>
      <c r="L327" s="63" t="s">
        <v>155</v>
      </c>
      <c r="M327" s="69">
        <v>697.31</v>
      </c>
      <c r="N327" s="63" t="s">
        <v>104</v>
      </c>
      <c r="O327" s="73">
        <f>_xlfn.XLOOKUP(Supplier_Perf_Table[[#This Row],[Currency]],'Comments 2'!$C$4:$C$16,'Comments 2'!$D$4:$D$16)</f>
        <v>1.9E-2</v>
      </c>
      <c r="P327" s="69">
        <f>IFERROR(Supplier_Perf_Table[[#This Row],[Unit_Cost]]*Supplier_Perf_Table[[#This Row],[Dollar Equivalent]],"")</f>
        <v>13.248889999999999</v>
      </c>
      <c r="Q327" s="75">
        <v>150</v>
      </c>
      <c r="R327" s="1">
        <v>104596.5</v>
      </c>
      <c r="S327" s="75">
        <f>Supplier_Perf_Table[[#This Row],[Unit_Cost]]*Supplier_Perf_Table[[#This Row],[Order_Quantity]]</f>
        <v>104596.49999999999</v>
      </c>
      <c r="T327" s="75">
        <f>IFERROR(Supplier_Perf_Table[[#This Row],[Dollar Equivalent]]*Supplier_Perf_Table[[#This Row],[Ordered_Value]],"")</f>
        <v>1987.3335</v>
      </c>
      <c r="U327" s="75">
        <v>7</v>
      </c>
      <c r="V327" s="7">
        <v>4.6699999999999998E-2</v>
      </c>
      <c r="W327" s="75">
        <v>14</v>
      </c>
      <c r="X327" s="55">
        <f>IFERROR(Supplier_Perf_Table[[#This Row],[Actual_Delivery_Date]]-Supplier_Perf_Table[[#This Row],[Order Date]],"")</f>
        <v>14</v>
      </c>
      <c r="Y327" s="75">
        <v>11</v>
      </c>
      <c r="Z327" s="56">
        <f>IFERROR(Supplier_Perf_Table[[#This Row],[Expected Delivery_Date]]-Supplier_Perf_Table[[#This Row],[Order Date]],"")</f>
        <v>11</v>
      </c>
      <c r="AA327" s="56">
        <f>Supplier_Perf_Table[[#This Row],[Calculated_Lead_Time2]]-Supplier_Perf_Table[[#This Row],[Calculated_Expected_Lead_Time]]</f>
        <v>3</v>
      </c>
      <c r="AB327" s="75">
        <v>3</v>
      </c>
      <c r="AC327" s="63" t="s">
        <v>166</v>
      </c>
      <c r="AD327" s="63" t="s">
        <v>74</v>
      </c>
      <c r="AE327" s="63" t="s">
        <v>105</v>
      </c>
      <c r="AF327" s="63" t="s">
        <v>106</v>
      </c>
      <c r="AG327" s="63" t="s">
        <v>173</v>
      </c>
      <c r="AH327" s="63" t="s">
        <v>129</v>
      </c>
      <c r="AI327" s="63" t="s">
        <v>137</v>
      </c>
      <c r="AJ327" s="63" t="s">
        <v>75</v>
      </c>
      <c r="AK327" s="83">
        <v>1.4</v>
      </c>
      <c r="AL327" s="63" t="s">
        <v>184</v>
      </c>
      <c r="AM327" s="63" t="s">
        <v>77</v>
      </c>
      <c r="AN327"/>
    </row>
    <row r="328" spans="1:40" ht="18" customHeight="1">
      <c r="A328" s="1" t="s">
        <v>1143</v>
      </c>
      <c r="B328" s="1" t="s">
        <v>1144</v>
      </c>
      <c r="C328" s="4">
        <v>46026</v>
      </c>
      <c r="D328" s="4">
        <v>46044</v>
      </c>
      <c r="E328" s="4">
        <v>46049</v>
      </c>
      <c r="F328" s="63" t="s">
        <v>142</v>
      </c>
      <c r="G328" s="63" t="s">
        <v>3843</v>
      </c>
      <c r="H328" s="63" t="s">
        <v>169</v>
      </c>
      <c r="I328" s="63" t="s">
        <v>241</v>
      </c>
      <c r="J328" s="63" t="s">
        <v>163</v>
      </c>
      <c r="K328" s="63" t="s">
        <v>1145</v>
      </c>
      <c r="L328" s="63" t="s">
        <v>165</v>
      </c>
      <c r="M328" s="69">
        <v>2245.85</v>
      </c>
      <c r="N328" s="63" t="s">
        <v>53</v>
      </c>
      <c r="O328" s="73">
        <f>_xlfn.XLOOKUP(Supplier_Perf_Table[[#This Row],[Currency]],'Comments 2'!$C$4:$C$16,'Comments 2'!$D$4:$D$16)</f>
        <v>6.0999999999999999E-2</v>
      </c>
      <c r="P328" s="69">
        <f>IFERROR(Supplier_Perf_Table[[#This Row],[Unit_Cost]]*Supplier_Perf_Table[[#This Row],[Dollar Equivalent]],"")</f>
        <v>136.99684999999999</v>
      </c>
      <c r="Q328" s="75">
        <v>200</v>
      </c>
      <c r="R328" s="1">
        <v>449170</v>
      </c>
      <c r="S328" s="75">
        <f>Supplier_Perf_Table[[#This Row],[Unit_Cost]]*Supplier_Perf_Table[[#This Row],[Order_Quantity]]</f>
        <v>449170</v>
      </c>
      <c r="T328" s="75">
        <f>IFERROR(Supplier_Perf_Table[[#This Row],[Dollar Equivalent]]*Supplier_Perf_Table[[#This Row],[Ordered_Value]],"")</f>
        <v>27399.37</v>
      </c>
      <c r="U328" s="75">
        <v>3</v>
      </c>
      <c r="V328" s="7">
        <v>1.4999999999999999E-2</v>
      </c>
      <c r="W328" s="75">
        <v>23</v>
      </c>
      <c r="X328" s="55">
        <f>IFERROR(Supplier_Perf_Table[[#This Row],[Actual_Delivery_Date]]-Supplier_Perf_Table[[#This Row],[Order Date]],"")</f>
        <v>23</v>
      </c>
      <c r="Y328" s="75">
        <v>18</v>
      </c>
      <c r="Z328" s="56">
        <f>IFERROR(Supplier_Perf_Table[[#This Row],[Expected Delivery_Date]]-Supplier_Perf_Table[[#This Row],[Order Date]],"")</f>
        <v>18</v>
      </c>
      <c r="AA328" s="56">
        <f>Supplier_Perf_Table[[#This Row],[Calculated_Lead_Time2]]-Supplier_Perf_Table[[#This Row],[Calculated_Expected_Lead_Time]]</f>
        <v>5</v>
      </c>
      <c r="AB328" s="75"/>
      <c r="AC328" s="63" t="s">
        <v>205</v>
      </c>
      <c r="AD328" s="63" t="s">
        <v>40</v>
      </c>
      <c r="AE328" s="63" t="s">
        <v>3088</v>
      </c>
      <c r="AF328" s="63" t="s">
        <v>190</v>
      </c>
      <c r="AG328" s="63" t="s">
        <v>43</v>
      </c>
      <c r="AH328" s="63" t="s">
        <v>136</v>
      </c>
      <c r="AI328" s="63" t="s">
        <v>137</v>
      </c>
      <c r="AJ328" s="63" t="s">
        <v>138</v>
      </c>
      <c r="AK328" s="83">
        <v>3.7</v>
      </c>
      <c r="AL328" s="63" t="s">
        <v>108</v>
      </c>
      <c r="AM328" s="63" t="s">
        <v>148</v>
      </c>
      <c r="AN328"/>
    </row>
    <row r="329" spans="1:40" ht="18" customHeight="1">
      <c r="A329" s="1" t="s">
        <v>1146</v>
      </c>
      <c r="B329" s="1" t="s">
        <v>1147</v>
      </c>
      <c r="C329" s="4">
        <v>46182</v>
      </c>
      <c r="D329" s="4">
        <v>46192</v>
      </c>
      <c r="E329" s="4">
        <v>46201</v>
      </c>
      <c r="F329" s="63" t="s">
        <v>209</v>
      </c>
      <c r="G329" s="63" t="s">
        <v>3845</v>
      </c>
      <c r="H329" s="63" t="s">
        <v>316</v>
      </c>
      <c r="I329" s="63" t="s">
        <v>83</v>
      </c>
      <c r="J329" s="63" t="s">
        <v>153</v>
      </c>
      <c r="K329" s="63" t="s">
        <v>1148</v>
      </c>
      <c r="L329" s="63" t="s">
        <v>295</v>
      </c>
      <c r="M329" s="69">
        <v>179.44</v>
      </c>
      <c r="N329" s="63" t="s">
        <v>159</v>
      </c>
      <c r="O329" s="73">
        <f>_xlfn.XLOOKUP(Supplier_Perf_Table[[#This Row],[Currency]],'Comments 2'!$C$4:$C$16,'Comments 2'!$D$4:$D$16)</f>
        <v>7.2999999999999996E-4</v>
      </c>
      <c r="P329" s="69">
        <f>IFERROR(Supplier_Perf_Table[[#This Row],[Unit_Cost]]*Supplier_Perf_Table[[#This Row],[Dollar Equivalent]],"")</f>
        <v>0.1309912</v>
      </c>
      <c r="Q329" s="75">
        <v>50</v>
      </c>
      <c r="R329" s="1">
        <v>8972</v>
      </c>
      <c r="S329" s="75">
        <f>Supplier_Perf_Table[[#This Row],[Unit_Cost]]*Supplier_Perf_Table[[#This Row],[Order_Quantity]]</f>
        <v>8972</v>
      </c>
      <c r="T329" s="75">
        <f>IFERROR(Supplier_Perf_Table[[#This Row],[Dollar Equivalent]]*Supplier_Perf_Table[[#This Row],[Ordered_Value]],"")</f>
        <v>6.5495599999999996</v>
      </c>
      <c r="U329" s="75">
        <v>2</v>
      </c>
      <c r="V329" s="7">
        <v>0.04</v>
      </c>
      <c r="W329" s="75">
        <v>19</v>
      </c>
      <c r="X329" s="55">
        <f>IFERROR(Supplier_Perf_Table[[#This Row],[Actual_Delivery_Date]]-Supplier_Perf_Table[[#This Row],[Order Date]],"")</f>
        <v>19</v>
      </c>
      <c r="Y329" s="75">
        <v>10</v>
      </c>
      <c r="Z329" s="56">
        <f>IFERROR(Supplier_Perf_Table[[#This Row],[Expected Delivery_Date]]-Supplier_Perf_Table[[#This Row],[Order Date]],"")</f>
        <v>10</v>
      </c>
      <c r="AA329" s="56">
        <f>Supplier_Perf_Table[[#This Row],[Calculated_Lead_Time2]]-Supplier_Perf_Table[[#This Row],[Calculated_Expected_Lead_Time]]</f>
        <v>9</v>
      </c>
      <c r="AB329" s="75">
        <v>9</v>
      </c>
      <c r="AC329" s="63" t="s">
        <v>135</v>
      </c>
      <c r="AD329" s="63" t="s">
        <v>40</v>
      </c>
      <c r="AE329" s="63" t="s">
        <v>105</v>
      </c>
      <c r="AF329" s="63" t="s">
        <v>212</v>
      </c>
      <c r="AG329" s="63" t="s">
        <v>54</v>
      </c>
      <c r="AH329" s="63" t="s">
        <v>3112</v>
      </c>
      <c r="AI329" s="63" t="s">
        <v>137</v>
      </c>
      <c r="AJ329" s="63" t="s">
        <v>138</v>
      </c>
      <c r="AK329" s="83">
        <v>2.4</v>
      </c>
      <c r="AL329" s="63" t="s">
        <v>115</v>
      </c>
      <c r="AM329" s="63" t="s">
        <v>46</v>
      </c>
      <c r="AN329"/>
    </row>
    <row r="330" spans="1:40" ht="18" customHeight="1">
      <c r="A330" s="1" t="s">
        <v>1149</v>
      </c>
      <c r="B330" s="1" t="s">
        <v>1150</v>
      </c>
      <c r="C330" s="4">
        <v>46161</v>
      </c>
      <c r="D330" s="4">
        <v>46173</v>
      </c>
      <c r="E330" s="4">
        <v>46187</v>
      </c>
      <c r="F330" s="63" t="s">
        <v>209</v>
      </c>
      <c r="G330" s="63" t="s">
        <v>3845</v>
      </c>
      <c r="H330" s="63" t="s">
        <v>316</v>
      </c>
      <c r="I330" s="63" t="s">
        <v>92</v>
      </c>
      <c r="J330" s="63" t="s">
        <v>153</v>
      </c>
      <c r="K330" s="63" t="s">
        <v>1151</v>
      </c>
      <c r="L330" s="63" t="s">
        <v>155</v>
      </c>
      <c r="M330" s="69">
        <v>737.77</v>
      </c>
      <c r="N330" s="63" t="s">
        <v>104</v>
      </c>
      <c r="O330" s="73">
        <f>_xlfn.XLOOKUP(Supplier_Perf_Table[[#This Row],[Currency]],'Comments 2'!$C$4:$C$16,'Comments 2'!$D$4:$D$16)</f>
        <v>1.9E-2</v>
      </c>
      <c r="P330" s="69">
        <f>IFERROR(Supplier_Perf_Table[[#This Row],[Unit_Cost]]*Supplier_Perf_Table[[#This Row],[Dollar Equivalent]],"")</f>
        <v>14.017629999999999</v>
      </c>
      <c r="Q330" s="75">
        <v>50</v>
      </c>
      <c r="R330" s="1">
        <v>36888.5</v>
      </c>
      <c r="S330" s="75">
        <f>Supplier_Perf_Table[[#This Row],[Unit_Cost]]*Supplier_Perf_Table[[#This Row],[Order_Quantity]]</f>
        <v>36888.5</v>
      </c>
      <c r="T330" s="75">
        <f>IFERROR(Supplier_Perf_Table[[#This Row],[Dollar Equivalent]]*Supplier_Perf_Table[[#This Row],[Ordered_Value]],"")</f>
        <v>700.88149999999996</v>
      </c>
      <c r="U330" s="75">
        <v>1</v>
      </c>
      <c r="V330" s="7">
        <v>0.02</v>
      </c>
      <c r="W330" s="75">
        <v>26</v>
      </c>
      <c r="X330" s="55">
        <f>IFERROR(Supplier_Perf_Table[[#This Row],[Actual_Delivery_Date]]-Supplier_Perf_Table[[#This Row],[Order Date]],"")</f>
        <v>26</v>
      </c>
      <c r="Y330" s="75">
        <v>12</v>
      </c>
      <c r="Z330" s="56">
        <f>IFERROR(Supplier_Perf_Table[[#This Row],[Expected Delivery_Date]]-Supplier_Perf_Table[[#This Row],[Order Date]],"")</f>
        <v>12</v>
      </c>
      <c r="AA330" s="56">
        <f>Supplier_Perf_Table[[#This Row],[Calculated_Lead_Time2]]-Supplier_Perf_Table[[#This Row],[Calculated_Expected_Lead_Time]]</f>
        <v>14</v>
      </c>
      <c r="AB330" s="75">
        <v>14</v>
      </c>
      <c r="AC330" s="63" t="s">
        <v>135</v>
      </c>
      <c r="AD330" s="63" t="s">
        <v>40</v>
      </c>
      <c r="AE330" s="63" t="s">
        <v>105</v>
      </c>
      <c r="AF330" s="63" t="s">
        <v>106</v>
      </c>
      <c r="AG330" s="63" t="s">
        <v>128</v>
      </c>
      <c r="AH330" s="63" t="s">
        <v>174</v>
      </c>
      <c r="AI330" s="63" t="s">
        <v>56</v>
      </c>
      <c r="AJ330" s="63" t="s">
        <v>138</v>
      </c>
      <c r="AK330" s="83">
        <v>2.5</v>
      </c>
      <c r="AL330" s="63" t="s">
        <v>184</v>
      </c>
      <c r="AM330" s="63" t="s">
        <v>46</v>
      </c>
      <c r="AN330"/>
    </row>
    <row r="331" spans="1:40" ht="18" customHeight="1">
      <c r="A331" s="1" t="s">
        <v>1152</v>
      </c>
      <c r="B331" s="1" t="s">
        <v>1153</v>
      </c>
      <c r="C331" s="4">
        <v>46153</v>
      </c>
      <c r="D331" s="4">
        <v>46156</v>
      </c>
      <c r="E331" s="4">
        <v>46162</v>
      </c>
      <c r="F331" s="63" t="s">
        <v>151</v>
      </c>
      <c r="G331" s="63" t="s">
        <v>3844</v>
      </c>
      <c r="H331" s="63" t="s">
        <v>152</v>
      </c>
      <c r="I331" s="63" t="s">
        <v>61</v>
      </c>
      <c r="J331" s="63" t="s">
        <v>62</v>
      </c>
      <c r="K331" s="63" t="s">
        <v>1154</v>
      </c>
      <c r="L331" s="63" t="s">
        <v>122</v>
      </c>
      <c r="M331" s="69">
        <v>736.94</v>
      </c>
      <c r="N331" s="63" t="s">
        <v>65</v>
      </c>
      <c r="O331" s="73">
        <f>_xlfn.XLOOKUP(Supplier_Perf_Table[[#This Row],[Currency]],'Comments 2'!$C$4:$C$16,'Comments 2'!$D$4:$D$16)</f>
        <v>1</v>
      </c>
      <c r="P331" s="69">
        <f>IFERROR(Supplier_Perf_Table[[#This Row],[Unit_Cost]]*Supplier_Perf_Table[[#This Row],[Dollar Equivalent]],"")</f>
        <v>736.94</v>
      </c>
      <c r="Q331" s="75">
        <v>1000</v>
      </c>
      <c r="R331" s="1">
        <v>736940</v>
      </c>
      <c r="S331" s="75">
        <f>Supplier_Perf_Table[[#This Row],[Unit_Cost]]*Supplier_Perf_Table[[#This Row],[Order_Quantity]]</f>
        <v>736940</v>
      </c>
      <c r="T331" s="75">
        <f>IFERROR(Supplier_Perf_Table[[#This Row],[Dollar Equivalent]]*Supplier_Perf_Table[[#This Row],[Ordered_Value]],"")</f>
        <v>736940</v>
      </c>
      <c r="U331" s="75">
        <v>0</v>
      </c>
      <c r="V331" s="7">
        <v>0</v>
      </c>
      <c r="W331" s="75">
        <v>9</v>
      </c>
      <c r="X331" s="55">
        <f>IFERROR(Supplier_Perf_Table[[#This Row],[Actual_Delivery_Date]]-Supplier_Perf_Table[[#This Row],[Order Date]],"")</f>
        <v>9</v>
      </c>
      <c r="Y331" s="75">
        <v>3</v>
      </c>
      <c r="Z331" s="56">
        <f>IFERROR(Supplier_Perf_Table[[#This Row],[Expected Delivery_Date]]-Supplier_Perf_Table[[#This Row],[Order Date]],"")</f>
        <v>3</v>
      </c>
      <c r="AA331" s="56">
        <f>Supplier_Perf_Table[[#This Row],[Calculated_Lead_Time2]]-Supplier_Perf_Table[[#This Row],[Calculated_Expected_Lead_Time]]</f>
        <v>6</v>
      </c>
      <c r="AB331" s="75">
        <v>6</v>
      </c>
      <c r="AC331" s="63" t="s">
        <v>39</v>
      </c>
      <c r="AD331" s="63" t="s">
        <v>40</v>
      </c>
      <c r="AE331" s="63" t="s">
        <v>41</v>
      </c>
      <c r="AF331" s="63" t="s">
        <v>66</v>
      </c>
      <c r="AG331" s="63" t="s">
        <v>43</v>
      </c>
      <c r="AH331" s="63" t="s">
        <v>129</v>
      </c>
      <c r="AI331" s="63" t="s">
        <v>56</v>
      </c>
      <c r="AJ331" s="63" t="s">
        <v>138</v>
      </c>
      <c r="AK331" s="83">
        <v>4</v>
      </c>
      <c r="AL331" s="63" t="s">
        <v>76</v>
      </c>
      <c r="AM331" s="63" t="s">
        <v>46</v>
      </c>
      <c r="AN331"/>
    </row>
    <row r="332" spans="1:40" ht="18" customHeight="1">
      <c r="A332" s="1" t="s">
        <v>1155</v>
      </c>
      <c r="B332" s="1" t="s">
        <v>1156</v>
      </c>
      <c r="C332" s="4">
        <v>46193</v>
      </c>
      <c r="D332" s="4">
        <v>46203</v>
      </c>
      <c r="E332" s="4">
        <v>46192</v>
      </c>
      <c r="F332" s="63" t="s">
        <v>69</v>
      </c>
      <c r="G332" s="63" t="s">
        <v>3838</v>
      </c>
      <c r="H332" s="63" t="s">
        <v>194</v>
      </c>
      <c r="I332" s="63" t="s">
        <v>34</v>
      </c>
      <c r="J332" s="63" t="s">
        <v>112</v>
      </c>
      <c r="K332" s="63" t="s">
        <v>1157</v>
      </c>
      <c r="L332" s="63" t="s">
        <v>246</v>
      </c>
      <c r="M332" s="69">
        <v>371.04</v>
      </c>
      <c r="N332" s="63" t="s">
        <v>65</v>
      </c>
      <c r="O332" s="73">
        <f>_xlfn.XLOOKUP(Supplier_Perf_Table[[#This Row],[Currency]],'Comments 2'!$C$4:$C$16,'Comments 2'!$D$4:$D$16)</f>
        <v>1</v>
      </c>
      <c r="P332" s="69">
        <f>IFERROR(Supplier_Perf_Table[[#This Row],[Unit_Cost]]*Supplier_Perf_Table[[#This Row],[Dollar Equivalent]],"")</f>
        <v>371.04</v>
      </c>
      <c r="Q332" s="75">
        <v>1000</v>
      </c>
      <c r="R332" s="1">
        <v>371040</v>
      </c>
      <c r="S332" s="75">
        <f>Supplier_Perf_Table[[#This Row],[Unit_Cost]]*Supplier_Perf_Table[[#This Row],[Order_Quantity]]</f>
        <v>371040</v>
      </c>
      <c r="T332" s="75">
        <f>IFERROR(Supplier_Perf_Table[[#This Row],[Dollar Equivalent]]*Supplier_Perf_Table[[#This Row],[Ordered_Value]],"")</f>
        <v>371040</v>
      </c>
      <c r="U332" s="75">
        <v>48</v>
      </c>
      <c r="V332" s="7">
        <v>4.8000000000000001E-2</v>
      </c>
      <c r="W332" s="75">
        <v>-1</v>
      </c>
      <c r="X332" s="55">
        <f>IFERROR(Supplier_Perf_Table[[#This Row],[Actual_Delivery_Date]]-Supplier_Perf_Table[[#This Row],[Order Date]],"")</f>
        <v>-1</v>
      </c>
      <c r="Y332" s="75">
        <v>10</v>
      </c>
      <c r="Z332" s="56">
        <f>IFERROR(Supplier_Perf_Table[[#This Row],[Expected Delivery_Date]]-Supplier_Perf_Table[[#This Row],[Order Date]],"")</f>
        <v>10</v>
      </c>
      <c r="AA332" s="56">
        <f>Supplier_Perf_Table[[#This Row],[Calculated_Lead_Time2]]-Supplier_Perf_Table[[#This Row],[Calculated_Expected_Lead_Time]]</f>
        <v>-11</v>
      </c>
      <c r="AB332" s="75">
        <v>-11</v>
      </c>
      <c r="AC332" s="63" t="s">
        <v>362</v>
      </c>
      <c r="AD332" s="63" t="s">
        <v>420</v>
      </c>
      <c r="AE332" s="63" t="s">
        <v>105</v>
      </c>
      <c r="AF332" s="63" t="s">
        <v>42</v>
      </c>
      <c r="AG332" s="63" t="s">
        <v>107</v>
      </c>
      <c r="AH332" s="63" t="s">
        <v>88</v>
      </c>
      <c r="AI332" s="63" t="s">
        <v>138</v>
      </c>
      <c r="AJ332" s="63" t="s">
        <v>75</v>
      </c>
      <c r="AK332" s="83">
        <v>3</v>
      </c>
      <c r="AL332" s="63" t="s">
        <v>57</v>
      </c>
      <c r="AM332" s="63" t="s">
        <v>97</v>
      </c>
      <c r="AN332"/>
    </row>
    <row r="333" spans="1:40" ht="18" customHeight="1">
      <c r="A333" s="1" t="s">
        <v>1158</v>
      </c>
      <c r="B333" s="1" t="s">
        <v>1159</v>
      </c>
      <c r="C333" s="4">
        <v>46185</v>
      </c>
      <c r="D333" s="4">
        <v>46202</v>
      </c>
      <c r="E333" s="4">
        <v>46196</v>
      </c>
      <c r="F333" s="63" t="s">
        <v>235</v>
      </c>
      <c r="G333" s="63" t="s">
        <v>3848</v>
      </c>
      <c r="H333" s="63" t="s">
        <v>102</v>
      </c>
      <c r="I333" s="63" t="s">
        <v>70</v>
      </c>
      <c r="J333" s="63" t="s">
        <v>71</v>
      </c>
      <c r="K333" s="63" t="s">
        <v>1160</v>
      </c>
      <c r="L333" s="63" t="s">
        <v>553</v>
      </c>
      <c r="M333" s="69">
        <v>687.55</v>
      </c>
      <c r="N333" s="63" t="s">
        <v>38</v>
      </c>
      <c r="O333" s="73">
        <f>_xlfn.XLOOKUP(Supplier_Perf_Table[[#This Row],[Currency]],'Comments 2'!$C$4:$C$16,'Comments 2'!$D$4:$D$16)</f>
        <v>7.7000000000000002E-3</v>
      </c>
      <c r="P333" s="69">
        <f>IFERROR(Supplier_Perf_Table[[#This Row],[Unit_Cost]]*Supplier_Perf_Table[[#This Row],[Dollar Equivalent]],"")</f>
        <v>5.2941349999999998</v>
      </c>
      <c r="Q333" s="75">
        <v>300</v>
      </c>
      <c r="R333" s="1">
        <v>206265</v>
      </c>
      <c r="S333" s="75">
        <f>Supplier_Perf_Table[[#This Row],[Unit_Cost]]*Supplier_Perf_Table[[#This Row],[Order_Quantity]]</f>
        <v>206265</v>
      </c>
      <c r="T333" s="75">
        <f>IFERROR(Supplier_Perf_Table[[#This Row],[Dollar Equivalent]]*Supplier_Perf_Table[[#This Row],[Ordered_Value]],"")</f>
        <v>1588.2405000000001</v>
      </c>
      <c r="U333" s="75">
        <v>9</v>
      </c>
      <c r="V333" s="7">
        <v>0.03</v>
      </c>
      <c r="W333" s="75">
        <v>11</v>
      </c>
      <c r="X333" s="55">
        <f>IFERROR(Supplier_Perf_Table[[#This Row],[Actual_Delivery_Date]]-Supplier_Perf_Table[[#This Row],[Order Date]],"")</f>
        <v>11</v>
      </c>
      <c r="Y333" s="75">
        <v>17</v>
      </c>
      <c r="Z333" s="56">
        <f>IFERROR(Supplier_Perf_Table[[#This Row],[Expected Delivery_Date]]-Supplier_Perf_Table[[#This Row],[Order Date]],"")</f>
        <v>17</v>
      </c>
      <c r="AA333" s="56">
        <f>Supplier_Perf_Table[[#This Row],[Calculated_Lead_Time2]]-Supplier_Perf_Table[[#This Row],[Calculated_Expected_Lead_Time]]</f>
        <v>-6</v>
      </c>
      <c r="AB333" s="75">
        <v>-6</v>
      </c>
      <c r="AC333" s="63" t="s">
        <v>270</v>
      </c>
      <c r="AD333" s="63" t="s">
        <v>40</v>
      </c>
      <c r="AE333" s="63" t="s">
        <v>105</v>
      </c>
      <c r="AF333" s="63" t="s">
        <v>212</v>
      </c>
      <c r="AG333" s="63" t="s">
        <v>43</v>
      </c>
      <c r="AH333" s="63" t="s">
        <v>129</v>
      </c>
      <c r="AI333" s="63" t="s">
        <v>147</v>
      </c>
      <c r="AJ333" s="63" t="s">
        <v>138</v>
      </c>
      <c r="AK333" s="83">
        <v>3.2</v>
      </c>
      <c r="AL333" s="63" t="s">
        <v>115</v>
      </c>
      <c r="AM333" s="63" t="s">
        <v>138</v>
      </c>
      <c r="AN333"/>
    </row>
    <row r="334" spans="1:40" ht="18" customHeight="1">
      <c r="A334" s="1" t="s">
        <v>1161</v>
      </c>
      <c r="B334" s="1" t="s">
        <v>1162</v>
      </c>
      <c r="C334" s="4">
        <v>46170</v>
      </c>
      <c r="D334" s="4">
        <v>46180</v>
      </c>
      <c r="E334" s="4">
        <v>46184</v>
      </c>
      <c r="F334" s="63" t="s">
        <v>209</v>
      </c>
      <c r="G334" s="63" t="s">
        <v>3845</v>
      </c>
      <c r="H334" s="63" t="s">
        <v>316</v>
      </c>
      <c r="I334" s="63" t="s">
        <v>34</v>
      </c>
      <c r="J334" s="63" t="s">
        <v>153</v>
      </c>
      <c r="K334" s="63" t="s">
        <v>1163</v>
      </c>
      <c r="L334" s="63" t="s">
        <v>204</v>
      </c>
      <c r="M334" s="69" t="s">
        <v>3080</v>
      </c>
      <c r="N334" s="63" t="s">
        <v>53</v>
      </c>
      <c r="O334" s="73">
        <f>_xlfn.XLOOKUP(Supplier_Perf_Table[[#This Row],[Currency]],'Comments 2'!$C$4:$C$16,'Comments 2'!$D$4:$D$16)</f>
        <v>6.0999999999999999E-2</v>
      </c>
      <c r="P334" s="69" t="str">
        <f>IFERROR(Supplier_Perf_Table[[#This Row],[Unit_Cost]]*Supplier_Perf_Table[[#This Row],[Dollar Equivalent]],"")</f>
        <v/>
      </c>
      <c r="Q334" s="75">
        <v>2000</v>
      </c>
      <c r="R334" s="1">
        <v>1195360</v>
      </c>
      <c r="S334" s="75" t="e">
        <f>Supplier_Perf_Table[[#This Row],[Unit_Cost]]*Supplier_Perf_Table[[#This Row],[Order_Quantity]]</f>
        <v>#VALUE!</v>
      </c>
      <c r="T334" s="75">
        <f>IFERROR(Supplier_Perf_Table[[#This Row],[Dollar Equivalent]]*Supplier_Perf_Table[[#This Row],[Ordered_Value]],"")</f>
        <v>72916.959999999992</v>
      </c>
      <c r="U334" s="75">
        <v>110</v>
      </c>
      <c r="V334" s="7">
        <v>5.5E-2</v>
      </c>
      <c r="W334" s="75">
        <v>14</v>
      </c>
      <c r="X334" s="55">
        <f>IFERROR(Supplier_Perf_Table[[#This Row],[Actual_Delivery_Date]]-Supplier_Perf_Table[[#This Row],[Order Date]],"")</f>
        <v>14</v>
      </c>
      <c r="Y334" s="75">
        <v>10</v>
      </c>
      <c r="Z334" s="56">
        <f>IFERROR(Supplier_Perf_Table[[#This Row],[Expected Delivery_Date]]-Supplier_Perf_Table[[#This Row],[Order Date]],"")</f>
        <v>10</v>
      </c>
      <c r="AA334" s="56">
        <f>Supplier_Perf_Table[[#This Row],[Calculated_Lead_Time2]]-Supplier_Perf_Table[[#This Row],[Calculated_Expected_Lead_Time]]</f>
        <v>4</v>
      </c>
      <c r="AB334" s="75">
        <v>4</v>
      </c>
      <c r="AC334" s="63" t="s">
        <v>39</v>
      </c>
      <c r="AD334" s="63" t="s">
        <v>74</v>
      </c>
      <c r="AE334" s="63" t="s">
        <v>105</v>
      </c>
      <c r="AF334" s="63" t="s">
        <v>66</v>
      </c>
      <c r="AG334" s="63" t="s">
        <v>107</v>
      </c>
      <c r="AH334" s="63" t="s">
        <v>129</v>
      </c>
      <c r="AI334" s="63" t="s">
        <v>56</v>
      </c>
      <c r="AJ334" s="63" t="s">
        <v>283</v>
      </c>
      <c r="AK334" s="83">
        <v>2.2999999999999998</v>
      </c>
      <c r="AL334" s="63" t="s">
        <v>108</v>
      </c>
      <c r="AM334" s="63" t="s">
        <v>77</v>
      </c>
      <c r="AN334"/>
    </row>
    <row r="335" spans="1:40" ht="18" customHeight="1">
      <c r="A335" s="1" t="s">
        <v>1164</v>
      </c>
      <c r="B335" s="1" t="s">
        <v>1165</v>
      </c>
      <c r="C335" s="4">
        <v>46099</v>
      </c>
      <c r="D335" s="4">
        <v>46113</v>
      </c>
      <c r="E335" s="4">
        <v>46112</v>
      </c>
      <c r="F335" s="63" t="s">
        <v>69</v>
      </c>
      <c r="G335" s="63" t="s">
        <v>3838</v>
      </c>
      <c r="H335" s="63" t="s">
        <v>194</v>
      </c>
      <c r="I335" s="63" t="s">
        <v>70</v>
      </c>
      <c r="J335" s="63" t="s">
        <v>112</v>
      </c>
      <c r="K335" s="63" t="s">
        <v>1166</v>
      </c>
      <c r="L335" s="63" t="s">
        <v>114</v>
      </c>
      <c r="M335" s="69">
        <v>589.66</v>
      </c>
      <c r="N335" s="63" t="s">
        <v>65</v>
      </c>
      <c r="O335" s="73">
        <f>_xlfn.XLOOKUP(Supplier_Perf_Table[[#This Row],[Currency]],'Comments 2'!$C$4:$C$16,'Comments 2'!$D$4:$D$16)</f>
        <v>1</v>
      </c>
      <c r="P335" s="69">
        <f>IFERROR(Supplier_Perf_Table[[#This Row],[Unit_Cost]]*Supplier_Perf_Table[[#This Row],[Dollar Equivalent]],"")</f>
        <v>589.66</v>
      </c>
      <c r="Q335" s="75">
        <v>250</v>
      </c>
      <c r="R335" s="1">
        <v>147415</v>
      </c>
      <c r="S335" s="75">
        <f>Supplier_Perf_Table[[#This Row],[Unit_Cost]]*Supplier_Perf_Table[[#This Row],[Order_Quantity]]</f>
        <v>147415</v>
      </c>
      <c r="T335" s="75">
        <f>IFERROR(Supplier_Perf_Table[[#This Row],[Dollar Equivalent]]*Supplier_Perf_Table[[#This Row],[Ordered_Value]],"")</f>
        <v>147415</v>
      </c>
      <c r="U335" s="75">
        <v>5</v>
      </c>
      <c r="V335" s="7">
        <v>0.02</v>
      </c>
      <c r="W335" s="75">
        <v>13</v>
      </c>
      <c r="X335" s="55">
        <f>IFERROR(Supplier_Perf_Table[[#This Row],[Actual_Delivery_Date]]-Supplier_Perf_Table[[#This Row],[Order Date]],"")</f>
        <v>13</v>
      </c>
      <c r="Y335" s="75">
        <v>14</v>
      </c>
      <c r="Z335" s="56">
        <f>IFERROR(Supplier_Perf_Table[[#This Row],[Expected Delivery_Date]]-Supplier_Perf_Table[[#This Row],[Order Date]],"")</f>
        <v>14</v>
      </c>
      <c r="AA335" s="56">
        <f>Supplier_Perf_Table[[#This Row],[Calculated_Lead_Time2]]-Supplier_Perf_Table[[#This Row],[Calculated_Expected_Lead_Time]]</f>
        <v>-1</v>
      </c>
      <c r="AB335" s="75">
        <v>-1</v>
      </c>
      <c r="AC335" s="63" t="s">
        <v>87</v>
      </c>
      <c r="AD335" s="63" t="s">
        <v>40</v>
      </c>
      <c r="AE335" s="63" t="s">
        <v>105</v>
      </c>
      <c r="AF335" s="63" t="s">
        <v>3088</v>
      </c>
      <c r="AG335" s="63" t="s">
        <v>173</v>
      </c>
      <c r="AH335" s="63" t="s">
        <v>55</v>
      </c>
      <c r="AI335" s="63" t="s">
        <v>137</v>
      </c>
      <c r="AJ335" s="63" t="s">
        <v>138</v>
      </c>
      <c r="AK335" s="83">
        <v>4.5999999999999996</v>
      </c>
      <c r="AL335" s="63" t="s">
        <v>45</v>
      </c>
      <c r="AM335" s="63" t="s">
        <v>138</v>
      </c>
      <c r="AN335"/>
    </row>
    <row r="336" spans="1:40" ht="18" customHeight="1">
      <c r="A336" s="1" t="s">
        <v>1167</v>
      </c>
      <c r="B336" s="1" t="s">
        <v>1168</v>
      </c>
      <c r="C336" s="4">
        <v>46024</v>
      </c>
      <c r="D336" s="4">
        <v>46033</v>
      </c>
      <c r="E336" s="4">
        <v>46036</v>
      </c>
      <c r="F336" s="63" t="s">
        <v>60</v>
      </c>
      <c r="G336" s="63" t="s">
        <v>3837</v>
      </c>
      <c r="H336" s="63" t="s">
        <v>152</v>
      </c>
      <c r="I336" s="63" t="s">
        <v>34</v>
      </c>
      <c r="J336" s="63" t="s">
        <v>62</v>
      </c>
      <c r="K336" s="63" t="s">
        <v>1169</v>
      </c>
      <c r="L336" s="63" t="s">
        <v>94</v>
      </c>
      <c r="M336" s="69">
        <v>618.41</v>
      </c>
      <c r="N336" s="63" t="s">
        <v>38</v>
      </c>
      <c r="O336" s="73">
        <f>_xlfn.XLOOKUP(Supplier_Perf_Table[[#This Row],[Currency]],'Comments 2'!$C$4:$C$16,'Comments 2'!$D$4:$D$16)</f>
        <v>7.7000000000000002E-3</v>
      </c>
      <c r="P336" s="69">
        <f>IFERROR(Supplier_Perf_Table[[#This Row],[Unit_Cost]]*Supplier_Perf_Table[[#This Row],[Dollar Equivalent]],"")</f>
        <v>4.7617570000000002</v>
      </c>
      <c r="Q336" s="75">
        <v>1000</v>
      </c>
      <c r="R336" s="1">
        <v>618410</v>
      </c>
      <c r="S336" s="75">
        <f>Supplier_Perf_Table[[#This Row],[Unit_Cost]]*Supplier_Perf_Table[[#This Row],[Order_Quantity]]</f>
        <v>618410</v>
      </c>
      <c r="T336" s="75">
        <f>IFERROR(Supplier_Perf_Table[[#This Row],[Dollar Equivalent]]*Supplier_Perf_Table[[#This Row],[Ordered_Value]],"")</f>
        <v>4761.7570000000005</v>
      </c>
      <c r="U336" s="75">
        <v>27</v>
      </c>
      <c r="V336" s="7">
        <v>2.7E-2</v>
      </c>
      <c r="W336" s="75">
        <v>12</v>
      </c>
      <c r="X336" s="55">
        <f>IFERROR(Supplier_Perf_Table[[#This Row],[Actual_Delivery_Date]]-Supplier_Perf_Table[[#This Row],[Order Date]],"")</f>
        <v>12</v>
      </c>
      <c r="Y336" s="75">
        <v>9</v>
      </c>
      <c r="Z336" s="56">
        <f>IFERROR(Supplier_Perf_Table[[#This Row],[Expected Delivery_Date]]-Supplier_Perf_Table[[#This Row],[Order Date]],"")</f>
        <v>9</v>
      </c>
      <c r="AA336" s="56">
        <f>Supplier_Perf_Table[[#This Row],[Calculated_Lead_Time2]]-Supplier_Perf_Table[[#This Row],[Calculated_Expected_Lead_Time]]</f>
        <v>3</v>
      </c>
      <c r="AB336" s="75">
        <v>3</v>
      </c>
      <c r="AC336" s="63" t="s">
        <v>135</v>
      </c>
      <c r="AD336" s="63" t="s">
        <v>40</v>
      </c>
      <c r="AE336" s="63" t="s">
        <v>41</v>
      </c>
      <c r="AF336" s="63" t="s">
        <v>190</v>
      </c>
      <c r="AG336" s="63" t="s">
        <v>43</v>
      </c>
      <c r="AH336" s="63" t="s">
        <v>174</v>
      </c>
      <c r="AI336" s="63" t="s">
        <v>56</v>
      </c>
      <c r="AJ336" s="63" t="s">
        <v>138</v>
      </c>
      <c r="AK336" s="83">
        <v>4.8</v>
      </c>
      <c r="AL336" s="63" t="s">
        <v>57</v>
      </c>
      <c r="AM336" s="63" t="s">
        <v>46</v>
      </c>
      <c r="AN336"/>
    </row>
    <row r="337" spans="1:40" ht="18" customHeight="1">
      <c r="A337" s="1" t="s">
        <v>1170</v>
      </c>
      <c r="B337" s="1" t="s">
        <v>1171</v>
      </c>
      <c r="C337" s="4">
        <v>46183</v>
      </c>
      <c r="D337" s="4">
        <v>46195</v>
      </c>
      <c r="E337" s="4">
        <v>46193</v>
      </c>
      <c r="F337" s="63" t="s">
        <v>100</v>
      </c>
      <c r="G337" s="63" t="s">
        <v>3841</v>
      </c>
      <c r="H337" s="63" t="s">
        <v>102</v>
      </c>
      <c r="I337" s="63" t="s">
        <v>61</v>
      </c>
      <c r="J337" s="63" t="s">
        <v>50</v>
      </c>
      <c r="K337" s="63" t="s">
        <v>1172</v>
      </c>
      <c r="L337" s="63" t="s">
        <v>52</v>
      </c>
      <c r="M337" s="69">
        <v>922.45</v>
      </c>
      <c r="N337" s="63" t="s">
        <v>86</v>
      </c>
      <c r="O337" s="73">
        <f>_xlfn.XLOOKUP(Supplier_Perf_Table[[#This Row],[Currency]],'Comments 2'!$C$4:$C$16,'Comments 2'!$D$4:$D$16)</f>
        <v>8.8999999999999996E-2</v>
      </c>
      <c r="P337" s="69">
        <f>IFERROR(Supplier_Perf_Table[[#This Row],[Unit_Cost]]*Supplier_Perf_Table[[#This Row],[Dollar Equivalent]],"")</f>
        <v>82.098050000000001</v>
      </c>
      <c r="Q337" s="75">
        <v>1500</v>
      </c>
      <c r="R337" s="1">
        <v>1383675</v>
      </c>
      <c r="S337" s="75">
        <f>Supplier_Perf_Table[[#This Row],[Unit_Cost]]*Supplier_Perf_Table[[#This Row],[Order_Quantity]]</f>
        <v>1383675</v>
      </c>
      <c r="T337" s="75">
        <f>IFERROR(Supplier_Perf_Table[[#This Row],[Dollar Equivalent]]*Supplier_Perf_Table[[#This Row],[Ordered_Value]],"")</f>
        <v>123147.075</v>
      </c>
      <c r="U337" s="75">
        <v>110</v>
      </c>
      <c r="V337" s="7">
        <v>7.3300000000000004E-2</v>
      </c>
      <c r="W337" s="75">
        <v>10</v>
      </c>
      <c r="X337" s="55">
        <f>IFERROR(Supplier_Perf_Table[[#This Row],[Actual_Delivery_Date]]-Supplier_Perf_Table[[#This Row],[Order Date]],"")</f>
        <v>10</v>
      </c>
      <c r="Y337" s="75">
        <v>12</v>
      </c>
      <c r="Z337" s="56">
        <f>IFERROR(Supplier_Perf_Table[[#This Row],[Expected Delivery_Date]]-Supplier_Perf_Table[[#This Row],[Order Date]],"")</f>
        <v>12</v>
      </c>
      <c r="AA337" s="56">
        <f>Supplier_Perf_Table[[#This Row],[Calculated_Lead_Time2]]-Supplier_Perf_Table[[#This Row],[Calculated_Expected_Lead_Time]]</f>
        <v>-2</v>
      </c>
      <c r="AB337" s="75">
        <v>-2</v>
      </c>
      <c r="AC337" s="63" t="s">
        <v>87</v>
      </c>
      <c r="AD337" s="63" t="s">
        <v>420</v>
      </c>
      <c r="AE337" s="63" t="s">
        <v>3088</v>
      </c>
      <c r="AF337" s="63" t="s">
        <v>190</v>
      </c>
      <c r="AG337" s="63" t="s">
        <v>43</v>
      </c>
      <c r="AH337" s="63" t="s">
        <v>206</v>
      </c>
      <c r="AI337" s="63" t="s">
        <v>147</v>
      </c>
      <c r="AJ337" s="63" t="s">
        <v>96</v>
      </c>
      <c r="AK337" s="83">
        <v>1.2</v>
      </c>
      <c r="AL337" s="63" t="s">
        <v>76</v>
      </c>
      <c r="AM337" s="63" t="s">
        <v>284</v>
      </c>
      <c r="AN337"/>
    </row>
    <row r="338" spans="1:40" ht="18" customHeight="1">
      <c r="A338" s="1" t="s">
        <v>1173</v>
      </c>
      <c r="B338" s="1" t="s">
        <v>1174</v>
      </c>
      <c r="C338" s="4">
        <v>46124</v>
      </c>
      <c r="D338" s="4">
        <v>46142</v>
      </c>
      <c r="E338" s="4">
        <v>46142</v>
      </c>
      <c r="F338" s="63" t="s">
        <v>235</v>
      </c>
      <c r="G338" s="63" t="s">
        <v>3848</v>
      </c>
      <c r="H338" s="63" t="s">
        <v>479</v>
      </c>
      <c r="I338" s="63" t="s">
        <v>83</v>
      </c>
      <c r="J338" s="63" t="s">
        <v>71</v>
      </c>
      <c r="K338" s="63" t="s">
        <v>1175</v>
      </c>
      <c r="L338" s="63" t="s">
        <v>238</v>
      </c>
      <c r="M338" s="69">
        <v>475.39</v>
      </c>
      <c r="N338" s="63" t="s">
        <v>104</v>
      </c>
      <c r="O338" s="73">
        <f>_xlfn.XLOOKUP(Supplier_Perf_Table[[#This Row],[Currency]],'Comments 2'!$C$4:$C$16,'Comments 2'!$D$4:$D$16)</f>
        <v>1.9E-2</v>
      </c>
      <c r="P338" s="69">
        <f>IFERROR(Supplier_Perf_Table[[#This Row],[Unit_Cost]]*Supplier_Perf_Table[[#This Row],[Dollar Equivalent]],"")</f>
        <v>9.0324099999999987</v>
      </c>
      <c r="Q338" s="75">
        <v>200</v>
      </c>
      <c r="R338" s="1">
        <v>95078</v>
      </c>
      <c r="S338" s="75">
        <f>Supplier_Perf_Table[[#This Row],[Unit_Cost]]*Supplier_Perf_Table[[#This Row],[Order_Quantity]]</f>
        <v>95078</v>
      </c>
      <c r="T338" s="75">
        <f>IFERROR(Supplier_Perf_Table[[#This Row],[Dollar Equivalent]]*Supplier_Perf_Table[[#This Row],[Ordered_Value]],"")</f>
        <v>1806.482</v>
      </c>
      <c r="U338" s="75">
        <v>9</v>
      </c>
      <c r="V338" s="7">
        <v>4.4999999999999998E-2</v>
      </c>
      <c r="W338" s="75">
        <v>18</v>
      </c>
      <c r="X338" s="55">
        <f>IFERROR(Supplier_Perf_Table[[#This Row],[Actual_Delivery_Date]]-Supplier_Perf_Table[[#This Row],[Order Date]],"")</f>
        <v>18</v>
      </c>
      <c r="Y338" s="75">
        <v>18</v>
      </c>
      <c r="Z338" s="56">
        <f>IFERROR(Supplier_Perf_Table[[#This Row],[Expected Delivery_Date]]-Supplier_Perf_Table[[#This Row],[Order Date]],"")</f>
        <v>18</v>
      </c>
      <c r="AA338" s="56">
        <f>Supplier_Perf_Table[[#This Row],[Calculated_Lead_Time2]]-Supplier_Perf_Table[[#This Row],[Calculated_Expected_Lead_Time]]</f>
        <v>0</v>
      </c>
      <c r="AB338" s="75">
        <v>0</v>
      </c>
      <c r="AC338" s="63" t="s">
        <v>270</v>
      </c>
      <c r="AD338" s="63" t="s">
        <v>74</v>
      </c>
      <c r="AE338" s="63" t="s">
        <v>105</v>
      </c>
      <c r="AF338" s="63" t="s">
        <v>3088</v>
      </c>
      <c r="AG338" s="63" t="s">
        <v>54</v>
      </c>
      <c r="AH338" s="63" t="s">
        <v>129</v>
      </c>
      <c r="AI338" s="63" t="s">
        <v>95</v>
      </c>
      <c r="AJ338" s="63" t="s">
        <v>75</v>
      </c>
      <c r="AK338" s="83">
        <v>2.8</v>
      </c>
      <c r="AL338" s="63" t="s">
        <v>45</v>
      </c>
      <c r="AM338" s="63" t="s">
        <v>97</v>
      </c>
      <c r="AN338"/>
    </row>
    <row r="339" spans="1:40" ht="18" customHeight="1">
      <c r="A339" s="1" t="s">
        <v>1176</v>
      </c>
      <c r="B339" s="1" t="s">
        <v>1177</v>
      </c>
      <c r="C339" s="4">
        <v>46023</v>
      </c>
      <c r="D339" s="4">
        <v>46039</v>
      </c>
      <c r="E339" s="4">
        <v>46042</v>
      </c>
      <c r="F339" s="63" t="s">
        <v>235</v>
      </c>
      <c r="G339" s="63" t="s">
        <v>3848</v>
      </c>
      <c r="H339" s="63" t="s">
        <v>479</v>
      </c>
      <c r="I339" s="63" t="s">
        <v>83</v>
      </c>
      <c r="J339" s="63" t="s">
        <v>71</v>
      </c>
      <c r="K339" s="63" t="s">
        <v>1178</v>
      </c>
      <c r="L339" s="63" t="s">
        <v>553</v>
      </c>
      <c r="M339" s="69">
        <v>602.78</v>
      </c>
      <c r="N339" s="63" t="s">
        <v>159</v>
      </c>
      <c r="O339" s="73">
        <f>_xlfn.XLOOKUP(Supplier_Perf_Table[[#This Row],[Currency]],'Comments 2'!$C$4:$C$16,'Comments 2'!$D$4:$D$16)</f>
        <v>7.2999999999999996E-4</v>
      </c>
      <c r="P339" s="69">
        <f>IFERROR(Supplier_Perf_Table[[#This Row],[Unit_Cost]]*Supplier_Perf_Table[[#This Row],[Dollar Equivalent]],"")</f>
        <v>0.44002939999999996</v>
      </c>
      <c r="Q339" s="75">
        <v>300</v>
      </c>
      <c r="R339" s="1">
        <v>180834</v>
      </c>
      <c r="S339" s="75">
        <f>Supplier_Perf_Table[[#This Row],[Unit_Cost]]*Supplier_Perf_Table[[#This Row],[Order_Quantity]]</f>
        <v>180834</v>
      </c>
      <c r="T339" s="75">
        <f>IFERROR(Supplier_Perf_Table[[#This Row],[Dollar Equivalent]]*Supplier_Perf_Table[[#This Row],[Ordered_Value]],"")</f>
        <v>132.00881999999999</v>
      </c>
      <c r="U339" s="75">
        <v>13</v>
      </c>
      <c r="V339" s="7">
        <v>4.3299999999999998E-2</v>
      </c>
      <c r="W339" s="75">
        <v>19</v>
      </c>
      <c r="X339" s="55">
        <f>IFERROR(Supplier_Perf_Table[[#This Row],[Actual_Delivery_Date]]-Supplier_Perf_Table[[#This Row],[Order Date]],"")</f>
        <v>19</v>
      </c>
      <c r="Y339" s="75">
        <v>16</v>
      </c>
      <c r="Z339" s="56">
        <f>IFERROR(Supplier_Perf_Table[[#This Row],[Expected Delivery_Date]]-Supplier_Perf_Table[[#This Row],[Order Date]],"")</f>
        <v>16</v>
      </c>
      <c r="AA339" s="56">
        <f>Supplier_Perf_Table[[#This Row],[Calculated_Lead_Time2]]-Supplier_Perf_Table[[#This Row],[Calculated_Expected_Lead_Time]]</f>
        <v>3</v>
      </c>
      <c r="AB339" s="75">
        <v>3</v>
      </c>
      <c r="AC339" s="63" t="s">
        <v>166</v>
      </c>
      <c r="AD339" s="63" t="s">
        <v>74</v>
      </c>
      <c r="AE339" s="63" t="s">
        <v>105</v>
      </c>
      <c r="AF339" s="63" t="s">
        <v>3088</v>
      </c>
      <c r="AG339" s="63" t="s">
        <v>107</v>
      </c>
      <c r="AH339" s="63" t="s">
        <v>55</v>
      </c>
      <c r="AI339" s="63" t="s">
        <v>138</v>
      </c>
      <c r="AJ339" s="63" t="s">
        <v>283</v>
      </c>
      <c r="AK339" s="83">
        <v>2.2000000000000002</v>
      </c>
      <c r="AL339" s="63" t="s">
        <v>76</v>
      </c>
      <c r="AM339" s="63" t="s">
        <v>77</v>
      </c>
      <c r="AN339"/>
    </row>
    <row r="340" spans="1:40" ht="18" customHeight="1">
      <c r="A340" s="1" t="s">
        <v>1179</v>
      </c>
      <c r="B340" s="1" t="s">
        <v>1180</v>
      </c>
      <c r="C340" s="4">
        <v>46129</v>
      </c>
      <c r="D340" s="4">
        <v>46135</v>
      </c>
      <c r="E340" s="4">
        <v>46144</v>
      </c>
      <c r="F340" s="63" t="s">
        <v>209</v>
      </c>
      <c r="G340" s="63" t="s">
        <v>3845</v>
      </c>
      <c r="H340" s="63" t="s">
        <v>316</v>
      </c>
      <c r="I340" s="63" t="s">
        <v>92</v>
      </c>
      <c r="J340" s="63" t="s">
        <v>153</v>
      </c>
      <c r="K340" s="63" t="s">
        <v>1181</v>
      </c>
      <c r="L340" s="63" t="s">
        <v>318</v>
      </c>
      <c r="M340" s="69">
        <v>104.74</v>
      </c>
      <c r="N340" s="63" t="s">
        <v>159</v>
      </c>
      <c r="O340" s="73">
        <f>_xlfn.XLOOKUP(Supplier_Perf_Table[[#This Row],[Currency]],'Comments 2'!$C$4:$C$16,'Comments 2'!$D$4:$D$16)</f>
        <v>7.2999999999999996E-4</v>
      </c>
      <c r="P340" s="69">
        <f>IFERROR(Supplier_Perf_Table[[#This Row],[Unit_Cost]]*Supplier_Perf_Table[[#This Row],[Dollar Equivalent]],"")</f>
        <v>7.6460199999999992E-2</v>
      </c>
      <c r="Q340" s="75">
        <v>150</v>
      </c>
      <c r="R340" s="1">
        <v>15711</v>
      </c>
      <c r="S340" s="75">
        <f>Supplier_Perf_Table[[#This Row],[Unit_Cost]]*Supplier_Perf_Table[[#This Row],[Order_Quantity]]</f>
        <v>15711</v>
      </c>
      <c r="T340" s="75">
        <f>IFERROR(Supplier_Perf_Table[[#This Row],[Dollar Equivalent]]*Supplier_Perf_Table[[#This Row],[Ordered_Value]],"")</f>
        <v>11.46903</v>
      </c>
      <c r="U340" s="75">
        <v>6</v>
      </c>
      <c r="V340" s="7">
        <v>0.04</v>
      </c>
      <c r="W340" s="75">
        <v>15</v>
      </c>
      <c r="X340" s="55">
        <f>IFERROR(Supplier_Perf_Table[[#This Row],[Actual_Delivery_Date]]-Supplier_Perf_Table[[#This Row],[Order Date]],"")</f>
        <v>15</v>
      </c>
      <c r="Y340" s="75">
        <v>6</v>
      </c>
      <c r="Z340" s="56">
        <f>IFERROR(Supplier_Perf_Table[[#This Row],[Expected Delivery_Date]]-Supplier_Perf_Table[[#This Row],[Order Date]],"")</f>
        <v>6</v>
      </c>
      <c r="AA340" s="56">
        <f>Supplier_Perf_Table[[#This Row],[Calculated_Lead_Time2]]-Supplier_Perf_Table[[#This Row],[Calculated_Expected_Lead_Time]]</f>
        <v>9</v>
      </c>
      <c r="AB340" s="75">
        <v>9</v>
      </c>
      <c r="AC340" s="63" t="s">
        <v>39</v>
      </c>
      <c r="AD340" s="63" t="s">
        <v>40</v>
      </c>
      <c r="AE340" s="63" t="s">
        <v>105</v>
      </c>
      <c r="AF340" s="63" t="s">
        <v>106</v>
      </c>
      <c r="AG340" s="63" t="s">
        <v>3088</v>
      </c>
      <c r="AH340" s="63" t="s">
        <v>129</v>
      </c>
      <c r="AI340" s="63" t="s">
        <v>95</v>
      </c>
      <c r="AJ340" s="63" t="s">
        <v>138</v>
      </c>
      <c r="AK340" s="83">
        <v>1.9</v>
      </c>
      <c r="AL340" s="63" t="s">
        <v>57</v>
      </c>
      <c r="AM340" s="63" t="s">
        <v>46</v>
      </c>
      <c r="AN340"/>
    </row>
    <row r="341" spans="1:40" ht="18" customHeight="1">
      <c r="A341" s="1" t="s">
        <v>1182</v>
      </c>
      <c r="B341" s="1" t="s">
        <v>1183</v>
      </c>
      <c r="C341" s="4">
        <v>46038</v>
      </c>
      <c r="D341" s="4">
        <v>46053</v>
      </c>
      <c r="E341" s="4">
        <v>46049</v>
      </c>
      <c r="F341" s="63" t="s">
        <v>80</v>
      </c>
      <c r="G341" s="63" t="s">
        <v>3839</v>
      </c>
      <c r="H341" s="63" t="s">
        <v>82</v>
      </c>
      <c r="I341" s="63" t="s">
        <v>92</v>
      </c>
      <c r="J341" s="63" t="s">
        <v>35</v>
      </c>
      <c r="K341" s="63" t="s">
        <v>1184</v>
      </c>
      <c r="L341" s="63" t="s">
        <v>37</v>
      </c>
      <c r="M341" s="69">
        <v>525.99</v>
      </c>
      <c r="N341" s="63" t="s">
        <v>3076</v>
      </c>
      <c r="O341" s="73">
        <f>_xlfn.XLOOKUP(Supplier_Perf_Table[[#This Row],[Currency]],'Comments 2'!$C$4:$C$16,'Comments 2'!$D$4:$D$16)</f>
        <v>6.8000000000000005E-4</v>
      </c>
      <c r="P341" s="69">
        <f>IFERROR(Supplier_Perf_Table[[#This Row],[Unit_Cost]]*Supplier_Perf_Table[[#This Row],[Dollar Equivalent]],"")</f>
        <v>0.35767320000000002</v>
      </c>
      <c r="Q341" s="75">
        <v>300</v>
      </c>
      <c r="R341" s="1">
        <v>157797</v>
      </c>
      <c r="S341" s="75">
        <f>Supplier_Perf_Table[[#This Row],[Unit_Cost]]*Supplier_Perf_Table[[#This Row],[Order_Quantity]]</f>
        <v>157797</v>
      </c>
      <c r="T341" s="75">
        <f>IFERROR(Supplier_Perf_Table[[#This Row],[Dollar Equivalent]]*Supplier_Perf_Table[[#This Row],[Ordered_Value]],"")</f>
        <v>107.30196000000001</v>
      </c>
      <c r="U341" s="75">
        <v>4</v>
      </c>
      <c r="V341" s="7">
        <v>1.3299999999999999E-2</v>
      </c>
      <c r="W341" s="75">
        <v>11</v>
      </c>
      <c r="X341" s="55">
        <f>IFERROR(Supplier_Perf_Table[[#This Row],[Actual_Delivery_Date]]-Supplier_Perf_Table[[#This Row],[Order Date]],"")</f>
        <v>11</v>
      </c>
      <c r="Y341" s="75">
        <v>15</v>
      </c>
      <c r="Z341" s="56">
        <f>IFERROR(Supplier_Perf_Table[[#This Row],[Expected Delivery_Date]]-Supplier_Perf_Table[[#This Row],[Order Date]],"")</f>
        <v>15</v>
      </c>
      <c r="AA341" s="56">
        <f>Supplier_Perf_Table[[#This Row],[Calculated_Lead_Time2]]-Supplier_Perf_Table[[#This Row],[Calculated_Expected_Lead_Time]]</f>
        <v>-4</v>
      </c>
      <c r="AB341" s="75">
        <v>-4</v>
      </c>
      <c r="AC341" s="63" t="s">
        <v>270</v>
      </c>
      <c r="AD341" s="63" t="s">
        <v>40</v>
      </c>
      <c r="AE341" s="63" t="s">
        <v>105</v>
      </c>
      <c r="AF341" s="63" t="s">
        <v>106</v>
      </c>
      <c r="AG341" s="63" t="s">
        <v>173</v>
      </c>
      <c r="AH341" s="63" t="s">
        <v>174</v>
      </c>
      <c r="AI341" s="63" t="s">
        <v>95</v>
      </c>
      <c r="AJ341" s="63" t="s">
        <v>138</v>
      </c>
      <c r="AK341" s="83">
        <v>2.1</v>
      </c>
      <c r="AL341" s="63" t="s">
        <v>115</v>
      </c>
      <c r="AM341" s="63" t="s">
        <v>138</v>
      </c>
      <c r="AN341"/>
    </row>
    <row r="342" spans="1:40" ht="18" customHeight="1">
      <c r="A342" s="1" t="s">
        <v>1185</v>
      </c>
      <c r="B342" s="1" t="s">
        <v>1186</v>
      </c>
      <c r="C342" s="4">
        <v>46061</v>
      </c>
      <c r="D342" s="4">
        <v>46081</v>
      </c>
      <c r="E342" s="4">
        <v>46077</v>
      </c>
      <c r="F342" s="63" t="s">
        <v>90</v>
      </c>
      <c r="G342" s="63" t="s">
        <v>3840</v>
      </c>
      <c r="H342" s="63" t="s">
        <v>133</v>
      </c>
      <c r="I342" s="63" t="s">
        <v>61</v>
      </c>
      <c r="J342" s="63" t="s">
        <v>71</v>
      </c>
      <c r="K342" s="63" t="s">
        <v>1187</v>
      </c>
      <c r="L342" s="63" t="s">
        <v>73</v>
      </c>
      <c r="M342" s="69" t="s">
        <v>3080</v>
      </c>
      <c r="N342" s="63" t="s">
        <v>65</v>
      </c>
      <c r="O342" s="73">
        <f>_xlfn.XLOOKUP(Supplier_Perf_Table[[#This Row],[Currency]],'Comments 2'!$C$4:$C$16,'Comments 2'!$D$4:$D$16)</f>
        <v>1</v>
      </c>
      <c r="P342" s="69" t="str">
        <f>IFERROR(Supplier_Perf_Table[[#This Row],[Unit_Cost]]*Supplier_Perf_Table[[#This Row],[Dollar Equivalent]],"")</f>
        <v/>
      </c>
      <c r="Q342" s="75">
        <v>75</v>
      </c>
      <c r="R342" s="1">
        <v>41789.25</v>
      </c>
      <c r="S342" s="75" t="e">
        <f>Supplier_Perf_Table[[#This Row],[Unit_Cost]]*Supplier_Perf_Table[[#This Row],[Order_Quantity]]</f>
        <v>#VALUE!</v>
      </c>
      <c r="T342" s="75">
        <f>IFERROR(Supplier_Perf_Table[[#This Row],[Dollar Equivalent]]*Supplier_Perf_Table[[#This Row],[Ordered_Value]],"")</f>
        <v>41789.25</v>
      </c>
      <c r="U342" s="75">
        <v>0</v>
      </c>
      <c r="V342" s="7">
        <v>0</v>
      </c>
      <c r="W342" s="75">
        <v>16</v>
      </c>
      <c r="X342" s="55">
        <f>IFERROR(Supplier_Perf_Table[[#This Row],[Actual_Delivery_Date]]-Supplier_Perf_Table[[#This Row],[Order Date]],"")</f>
        <v>16</v>
      </c>
      <c r="Y342" s="75">
        <v>20</v>
      </c>
      <c r="Z342" s="56">
        <f>IFERROR(Supplier_Perf_Table[[#This Row],[Expected Delivery_Date]]-Supplier_Perf_Table[[#This Row],[Order Date]],"")</f>
        <v>20</v>
      </c>
      <c r="AA342" s="56">
        <f>Supplier_Perf_Table[[#This Row],[Calculated_Lead_Time2]]-Supplier_Perf_Table[[#This Row],[Calculated_Expected_Lead_Time]]</f>
        <v>-4</v>
      </c>
      <c r="AB342" s="75">
        <v>-4</v>
      </c>
      <c r="AC342" s="63" t="s">
        <v>270</v>
      </c>
      <c r="AD342" s="63" t="s">
        <v>649</v>
      </c>
      <c r="AE342" s="63" t="s">
        <v>146</v>
      </c>
      <c r="AF342" s="63" t="s">
        <v>42</v>
      </c>
      <c r="AG342" s="63" t="s">
        <v>43</v>
      </c>
      <c r="AH342" s="63" t="s">
        <v>88</v>
      </c>
      <c r="AI342" s="63" t="s">
        <v>137</v>
      </c>
      <c r="AJ342" s="63" t="s">
        <v>138</v>
      </c>
      <c r="AK342" s="83">
        <v>4.2</v>
      </c>
      <c r="AL342" s="63" t="s">
        <v>108</v>
      </c>
      <c r="AM342" s="63" t="s">
        <v>130</v>
      </c>
      <c r="AN342"/>
    </row>
    <row r="343" spans="1:40" ht="18" customHeight="1">
      <c r="A343" s="1" t="s">
        <v>1188</v>
      </c>
      <c r="B343" s="1" t="s">
        <v>1189</v>
      </c>
      <c r="C343" s="4">
        <v>46087</v>
      </c>
      <c r="D343" s="4">
        <v>46094</v>
      </c>
      <c r="E343" s="4">
        <v>46100</v>
      </c>
      <c r="F343" s="63" t="s">
        <v>60</v>
      </c>
      <c r="G343" s="63" t="s">
        <v>3837</v>
      </c>
      <c r="H343" s="63" t="s">
        <v>152</v>
      </c>
      <c r="I343" s="63" t="s">
        <v>49</v>
      </c>
      <c r="J343" s="63" t="s">
        <v>71</v>
      </c>
      <c r="K343" s="63" t="s">
        <v>1190</v>
      </c>
      <c r="L343" s="63" t="s">
        <v>238</v>
      </c>
      <c r="M343" s="69">
        <v>220.34</v>
      </c>
      <c r="N343" s="63" t="s">
        <v>65</v>
      </c>
      <c r="O343" s="73">
        <f>_xlfn.XLOOKUP(Supplier_Perf_Table[[#This Row],[Currency]],'Comments 2'!$C$4:$C$16,'Comments 2'!$D$4:$D$16)</f>
        <v>1</v>
      </c>
      <c r="P343" s="69">
        <f>IFERROR(Supplier_Perf_Table[[#This Row],[Unit_Cost]]*Supplier_Perf_Table[[#This Row],[Dollar Equivalent]],"")</f>
        <v>220.34</v>
      </c>
      <c r="Q343" s="75">
        <v>1500</v>
      </c>
      <c r="R343" s="1">
        <v>330510</v>
      </c>
      <c r="S343" s="75">
        <f>Supplier_Perf_Table[[#This Row],[Unit_Cost]]*Supplier_Perf_Table[[#This Row],[Order_Quantity]]</f>
        <v>330510</v>
      </c>
      <c r="T343" s="75">
        <f>IFERROR(Supplier_Perf_Table[[#This Row],[Dollar Equivalent]]*Supplier_Perf_Table[[#This Row],[Ordered_Value]],"")</f>
        <v>330510</v>
      </c>
      <c r="U343" s="75">
        <v>10</v>
      </c>
      <c r="V343" s="7">
        <v>6.7000000000000002E-3</v>
      </c>
      <c r="W343" s="75">
        <v>13</v>
      </c>
      <c r="X343" s="55">
        <f>IFERROR(Supplier_Perf_Table[[#This Row],[Actual_Delivery_Date]]-Supplier_Perf_Table[[#This Row],[Order Date]],"")</f>
        <v>13</v>
      </c>
      <c r="Y343" s="75">
        <v>7</v>
      </c>
      <c r="Z343" s="56">
        <f>IFERROR(Supplier_Perf_Table[[#This Row],[Expected Delivery_Date]]-Supplier_Perf_Table[[#This Row],[Order Date]],"")</f>
        <v>7</v>
      </c>
      <c r="AA343" s="56">
        <f>Supplier_Perf_Table[[#This Row],[Calculated_Lead_Time2]]-Supplier_Perf_Table[[#This Row],[Calculated_Expected_Lead_Time]]</f>
        <v>6</v>
      </c>
      <c r="AB343" s="75">
        <v>6</v>
      </c>
      <c r="AC343" s="63" t="s">
        <v>135</v>
      </c>
      <c r="AD343" s="63" t="s">
        <v>40</v>
      </c>
      <c r="AE343" s="63" t="s">
        <v>105</v>
      </c>
      <c r="AF343" s="63" t="s">
        <v>190</v>
      </c>
      <c r="AG343" s="63" t="s">
        <v>173</v>
      </c>
      <c r="AH343" s="63" t="s">
        <v>206</v>
      </c>
      <c r="AI343" s="63" t="s">
        <v>137</v>
      </c>
      <c r="AJ343" s="63" t="s">
        <v>138</v>
      </c>
      <c r="AK343" s="83">
        <v>1.9</v>
      </c>
      <c r="AL343" s="63" t="s">
        <v>108</v>
      </c>
      <c r="AM343" s="63" t="s">
        <v>46</v>
      </c>
      <c r="AN343"/>
    </row>
    <row r="344" spans="1:40" ht="18" customHeight="1">
      <c r="A344" s="1" t="s">
        <v>1191</v>
      </c>
      <c r="B344" s="1" t="s">
        <v>1192</v>
      </c>
      <c r="C344" s="4">
        <v>46095</v>
      </c>
      <c r="D344" s="4">
        <v>46105</v>
      </c>
      <c r="E344" s="4">
        <v>46107</v>
      </c>
      <c r="F344" s="63" t="s">
        <v>100</v>
      </c>
      <c r="G344" s="63" t="s">
        <v>3841</v>
      </c>
      <c r="H344" s="63" t="s">
        <v>102</v>
      </c>
      <c r="I344" s="63" t="s">
        <v>178</v>
      </c>
      <c r="J344" s="63" t="s">
        <v>112</v>
      </c>
      <c r="K344" s="63" t="s">
        <v>1193</v>
      </c>
      <c r="L344" s="63" t="s">
        <v>246</v>
      </c>
      <c r="M344" s="69" t="s">
        <v>3080</v>
      </c>
      <c r="N344" s="63" t="s">
        <v>53</v>
      </c>
      <c r="O344" s="73">
        <f>_xlfn.XLOOKUP(Supplier_Perf_Table[[#This Row],[Currency]],'Comments 2'!$C$4:$C$16,'Comments 2'!$D$4:$D$16)</f>
        <v>6.0999999999999999E-2</v>
      </c>
      <c r="P344" s="69" t="str">
        <f>IFERROR(Supplier_Perf_Table[[#This Row],[Unit_Cost]]*Supplier_Perf_Table[[#This Row],[Dollar Equivalent]],"")</f>
        <v/>
      </c>
      <c r="Q344" s="75">
        <v>2000</v>
      </c>
      <c r="R344" s="1">
        <v>29900</v>
      </c>
      <c r="S344" s="75" t="e">
        <f>Supplier_Perf_Table[[#This Row],[Unit_Cost]]*Supplier_Perf_Table[[#This Row],[Order_Quantity]]</f>
        <v>#VALUE!</v>
      </c>
      <c r="T344" s="75">
        <f>IFERROR(Supplier_Perf_Table[[#This Row],[Dollar Equivalent]]*Supplier_Perf_Table[[#This Row],[Ordered_Value]],"")</f>
        <v>1823.8999999999999</v>
      </c>
      <c r="U344" s="75">
        <v>57</v>
      </c>
      <c r="V344" s="7">
        <v>2.8500000000000001E-2</v>
      </c>
      <c r="W344" s="75">
        <v>12</v>
      </c>
      <c r="X344" s="55">
        <f>IFERROR(Supplier_Perf_Table[[#This Row],[Actual_Delivery_Date]]-Supplier_Perf_Table[[#This Row],[Order Date]],"")</f>
        <v>12</v>
      </c>
      <c r="Y344" s="75">
        <v>10</v>
      </c>
      <c r="Z344" s="56">
        <f>IFERROR(Supplier_Perf_Table[[#This Row],[Expected Delivery_Date]]-Supplier_Perf_Table[[#This Row],[Order Date]],"")</f>
        <v>10</v>
      </c>
      <c r="AA344" s="56">
        <f>Supplier_Perf_Table[[#This Row],[Calculated_Lead_Time2]]-Supplier_Perf_Table[[#This Row],[Calculated_Expected_Lead_Time]]</f>
        <v>2</v>
      </c>
      <c r="AB344" s="75">
        <v>2</v>
      </c>
      <c r="AC344" s="63" t="s">
        <v>135</v>
      </c>
      <c r="AD344" s="63" t="s">
        <v>40</v>
      </c>
      <c r="AE344" s="63" t="s">
        <v>127</v>
      </c>
      <c r="AF344" s="63" t="s">
        <v>42</v>
      </c>
      <c r="AG344" s="63" t="s">
        <v>173</v>
      </c>
      <c r="AH344" s="63" t="s">
        <v>3112</v>
      </c>
      <c r="AI344" s="63" t="s">
        <v>147</v>
      </c>
      <c r="AJ344" s="63" t="s">
        <v>138</v>
      </c>
      <c r="AK344" s="83">
        <v>3.8</v>
      </c>
      <c r="AL344" s="63" t="s">
        <v>108</v>
      </c>
      <c r="AM344" s="63" t="s">
        <v>148</v>
      </c>
      <c r="AN344"/>
    </row>
    <row r="345" spans="1:40" ht="18" customHeight="1">
      <c r="A345" s="1" t="s">
        <v>1194</v>
      </c>
      <c r="B345" s="1" t="s">
        <v>1195</v>
      </c>
      <c r="C345" s="4">
        <v>46099</v>
      </c>
      <c r="D345" s="4">
        <v>46118</v>
      </c>
      <c r="E345" s="4">
        <v>46109</v>
      </c>
      <c r="F345" s="63" t="s">
        <v>69</v>
      </c>
      <c r="G345" s="63" t="s">
        <v>3838</v>
      </c>
      <c r="H345" s="63" t="s">
        <v>194</v>
      </c>
      <c r="I345" s="63" t="s">
        <v>83</v>
      </c>
      <c r="J345" s="63" t="s">
        <v>153</v>
      </c>
      <c r="K345" s="63" t="s">
        <v>1196</v>
      </c>
      <c r="L345" s="63" t="s">
        <v>295</v>
      </c>
      <c r="M345" s="69">
        <v>128.88999999999999</v>
      </c>
      <c r="N345" s="63" t="s">
        <v>65</v>
      </c>
      <c r="O345" s="73">
        <f>_xlfn.XLOOKUP(Supplier_Perf_Table[[#This Row],[Currency]],'Comments 2'!$C$4:$C$16,'Comments 2'!$D$4:$D$16)</f>
        <v>1</v>
      </c>
      <c r="P345" s="69">
        <f>IFERROR(Supplier_Perf_Table[[#This Row],[Unit_Cost]]*Supplier_Perf_Table[[#This Row],[Dollar Equivalent]],"")</f>
        <v>128.88999999999999</v>
      </c>
      <c r="Q345" s="75">
        <v>500</v>
      </c>
      <c r="R345" s="1">
        <v>64445</v>
      </c>
      <c r="S345" s="75">
        <f>Supplier_Perf_Table[[#This Row],[Unit_Cost]]*Supplier_Perf_Table[[#This Row],[Order_Quantity]]</f>
        <v>64444.999999999993</v>
      </c>
      <c r="T345" s="75">
        <f>IFERROR(Supplier_Perf_Table[[#This Row],[Dollar Equivalent]]*Supplier_Perf_Table[[#This Row],[Ordered_Value]],"")</f>
        <v>64445</v>
      </c>
      <c r="U345" s="75">
        <v>6</v>
      </c>
      <c r="V345" s="7">
        <v>1.2E-2</v>
      </c>
      <c r="W345" s="75">
        <v>10</v>
      </c>
      <c r="X345" s="55">
        <f>IFERROR(Supplier_Perf_Table[[#This Row],[Actual_Delivery_Date]]-Supplier_Perf_Table[[#This Row],[Order Date]],"")</f>
        <v>10</v>
      </c>
      <c r="Y345" s="75">
        <v>19</v>
      </c>
      <c r="Z345" s="56">
        <f>IFERROR(Supplier_Perf_Table[[#This Row],[Expected Delivery_Date]]-Supplier_Perf_Table[[#This Row],[Order Date]],"")</f>
        <v>19</v>
      </c>
      <c r="AA345" s="56">
        <f>Supplier_Perf_Table[[#This Row],[Calculated_Lead_Time2]]-Supplier_Perf_Table[[#This Row],[Calculated_Expected_Lead_Time]]</f>
        <v>-9</v>
      </c>
      <c r="AB345" s="75">
        <v>-9</v>
      </c>
      <c r="AC345" s="63" t="s">
        <v>87</v>
      </c>
      <c r="AD345" s="63" t="s">
        <v>40</v>
      </c>
      <c r="AE345" s="63" t="s">
        <v>105</v>
      </c>
      <c r="AF345" s="63" t="s">
        <v>212</v>
      </c>
      <c r="AG345" s="63" t="s">
        <v>43</v>
      </c>
      <c r="AH345" s="63" t="s">
        <v>3112</v>
      </c>
      <c r="AI345" s="63" t="s">
        <v>147</v>
      </c>
      <c r="AJ345" s="63" t="s">
        <v>138</v>
      </c>
      <c r="AK345" s="83">
        <v>4.3</v>
      </c>
      <c r="AL345" s="63" t="s">
        <v>115</v>
      </c>
      <c r="AM345" s="63" t="s">
        <v>138</v>
      </c>
      <c r="AN345"/>
    </row>
    <row r="346" spans="1:40" ht="18" customHeight="1">
      <c r="A346" s="1" t="s">
        <v>1197</v>
      </c>
      <c r="B346" s="1" t="s">
        <v>1198</v>
      </c>
      <c r="C346" s="4">
        <v>46124</v>
      </c>
      <c r="D346" s="4">
        <v>46127</v>
      </c>
      <c r="E346" s="4">
        <v>46136</v>
      </c>
      <c r="F346" s="63" t="s">
        <v>215</v>
      </c>
      <c r="G346" s="63" t="s">
        <v>3846</v>
      </c>
      <c r="H346" s="63" t="s">
        <v>152</v>
      </c>
      <c r="I346" s="63" t="s">
        <v>178</v>
      </c>
      <c r="J346" s="63" t="s">
        <v>112</v>
      </c>
      <c r="K346" s="63" t="s">
        <v>1199</v>
      </c>
      <c r="L346" s="63" t="s">
        <v>246</v>
      </c>
      <c r="M346" s="69">
        <v>269.98</v>
      </c>
      <c r="N346" s="63" t="s">
        <v>104</v>
      </c>
      <c r="O346" s="73">
        <f>_xlfn.XLOOKUP(Supplier_Perf_Table[[#This Row],[Currency]],'Comments 2'!$C$4:$C$16,'Comments 2'!$D$4:$D$16)</f>
        <v>1.9E-2</v>
      </c>
      <c r="P346" s="69">
        <f>IFERROR(Supplier_Perf_Table[[#This Row],[Unit_Cost]]*Supplier_Perf_Table[[#This Row],[Dollar Equivalent]],"")</f>
        <v>5.1296200000000001</v>
      </c>
      <c r="Q346" s="75">
        <v>100</v>
      </c>
      <c r="R346" s="1">
        <v>26998</v>
      </c>
      <c r="S346" s="75">
        <f>Supplier_Perf_Table[[#This Row],[Unit_Cost]]*Supplier_Perf_Table[[#This Row],[Order_Quantity]]</f>
        <v>26998</v>
      </c>
      <c r="T346" s="75">
        <f>IFERROR(Supplier_Perf_Table[[#This Row],[Dollar Equivalent]]*Supplier_Perf_Table[[#This Row],[Ordered_Value]],"")</f>
        <v>512.96199999999999</v>
      </c>
      <c r="U346" s="75">
        <v>1</v>
      </c>
      <c r="V346" s="7">
        <v>0.01</v>
      </c>
      <c r="W346" s="75">
        <v>12</v>
      </c>
      <c r="X346" s="55">
        <f>IFERROR(Supplier_Perf_Table[[#This Row],[Actual_Delivery_Date]]-Supplier_Perf_Table[[#This Row],[Order Date]],"")</f>
        <v>12</v>
      </c>
      <c r="Y346" s="75">
        <v>3</v>
      </c>
      <c r="Z346" s="56">
        <f>IFERROR(Supplier_Perf_Table[[#This Row],[Expected Delivery_Date]]-Supplier_Perf_Table[[#This Row],[Order Date]],"")</f>
        <v>3</v>
      </c>
      <c r="AA346" s="56">
        <f>Supplier_Perf_Table[[#This Row],[Calculated_Lead_Time2]]-Supplier_Perf_Table[[#This Row],[Calculated_Expected_Lead_Time]]</f>
        <v>9</v>
      </c>
      <c r="AB346" s="75">
        <v>9</v>
      </c>
      <c r="AC346" s="63" t="s">
        <v>39</v>
      </c>
      <c r="AD346" s="63" t="s">
        <v>40</v>
      </c>
      <c r="AE346" s="63" t="s">
        <v>127</v>
      </c>
      <c r="AF346" s="63" t="s">
        <v>212</v>
      </c>
      <c r="AG346" s="63" t="s">
        <v>43</v>
      </c>
      <c r="AH346" s="63" t="s">
        <v>88</v>
      </c>
      <c r="AI346" s="63" t="s">
        <v>191</v>
      </c>
      <c r="AJ346" s="63" t="s">
        <v>138</v>
      </c>
      <c r="AK346" s="83">
        <v>2.8</v>
      </c>
      <c r="AL346" s="63" t="s">
        <v>76</v>
      </c>
      <c r="AM346" s="63" t="s">
        <v>148</v>
      </c>
      <c r="AN346"/>
    </row>
    <row r="347" spans="1:40" ht="18" customHeight="1">
      <c r="A347" s="1" t="s">
        <v>1200</v>
      </c>
      <c r="B347" s="1" t="s">
        <v>1201</v>
      </c>
      <c r="C347" s="4">
        <v>46173</v>
      </c>
      <c r="D347" s="4">
        <v>46191</v>
      </c>
      <c r="E347" s="4">
        <v>46183</v>
      </c>
      <c r="F347" s="63" t="s">
        <v>90</v>
      </c>
      <c r="G347" s="63" t="s">
        <v>3840</v>
      </c>
      <c r="H347" s="63" t="s">
        <v>133</v>
      </c>
      <c r="I347" s="63" t="s">
        <v>178</v>
      </c>
      <c r="J347" s="63" t="s">
        <v>35</v>
      </c>
      <c r="K347" s="63" t="s">
        <v>1202</v>
      </c>
      <c r="L347" s="63" t="s">
        <v>85</v>
      </c>
      <c r="M347" s="69">
        <v>558.82000000000005</v>
      </c>
      <c r="N347" s="63" t="s">
        <v>86</v>
      </c>
      <c r="O347" s="73">
        <f>_xlfn.XLOOKUP(Supplier_Perf_Table[[#This Row],[Currency]],'Comments 2'!$C$4:$C$16,'Comments 2'!$D$4:$D$16)</f>
        <v>8.8999999999999996E-2</v>
      </c>
      <c r="P347" s="69">
        <f>IFERROR(Supplier_Perf_Table[[#This Row],[Unit_Cost]]*Supplier_Perf_Table[[#This Row],[Dollar Equivalent]],"")</f>
        <v>49.73498</v>
      </c>
      <c r="Q347" s="75">
        <v>500</v>
      </c>
      <c r="R347" s="1">
        <v>279410</v>
      </c>
      <c r="S347" s="75">
        <f>Supplier_Perf_Table[[#This Row],[Unit_Cost]]*Supplier_Perf_Table[[#This Row],[Order_Quantity]]</f>
        <v>279410</v>
      </c>
      <c r="T347" s="75">
        <f>IFERROR(Supplier_Perf_Table[[#This Row],[Dollar Equivalent]]*Supplier_Perf_Table[[#This Row],[Ordered_Value]],"")</f>
        <v>24867.489999999998</v>
      </c>
      <c r="U347" s="75">
        <v>6</v>
      </c>
      <c r="V347" s="7">
        <v>1.2E-2</v>
      </c>
      <c r="W347" s="75">
        <v>10</v>
      </c>
      <c r="X347" s="55">
        <f>IFERROR(Supplier_Perf_Table[[#This Row],[Actual_Delivery_Date]]-Supplier_Perf_Table[[#This Row],[Order Date]],"")</f>
        <v>10</v>
      </c>
      <c r="Y347" s="75">
        <v>18</v>
      </c>
      <c r="Z347" s="56">
        <f>IFERROR(Supplier_Perf_Table[[#This Row],[Expected Delivery_Date]]-Supplier_Perf_Table[[#This Row],[Order Date]],"")</f>
        <v>18</v>
      </c>
      <c r="AA347" s="56">
        <f>Supplier_Perf_Table[[#This Row],[Calculated_Lead_Time2]]-Supplier_Perf_Table[[#This Row],[Calculated_Expected_Lead_Time]]</f>
        <v>-8</v>
      </c>
      <c r="AB347" s="75">
        <v>-8</v>
      </c>
      <c r="AC347" s="63" t="s">
        <v>87</v>
      </c>
      <c r="AD347" s="63" t="s">
        <v>40</v>
      </c>
      <c r="AE347" s="63" t="s">
        <v>105</v>
      </c>
      <c r="AF347" s="63" t="s">
        <v>190</v>
      </c>
      <c r="AG347" s="63" t="s">
        <v>107</v>
      </c>
      <c r="AH347" s="63" t="s">
        <v>206</v>
      </c>
      <c r="AI347" s="63" t="s">
        <v>137</v>
      </c>
      <c r="AJ347" s="63" t="s">
        <v>138</v>
      </c>
      <c r="AK347" s="83">
        <v>3.2</v>
      </c>
      <c r="AL347" s="63" t="s">
        <v>184</v>
      </c>
      <c r="AM347" s="63" t="s">
        <v>138</v>
      </c>
      <c r="AN347"/>
    </row>
    <row r="348" spans="1:40" ht="18" customHeight="1">
      <c r="A348" s="1" t="s">
        <v>1203</v>
      </c>
      <c r="B348" s="1" t="s">
        <v>1204</v>
      </c>
      <c r="C348" s="4">
        <v>46096</v>
      </c>
      <c r="D348" s="4">
        <v>46112</v>
      </c>
      <c r="E348" s="4">
        <v>46113</v>
      </c>
      <c r="F348" s="63" t="s">
        <v>80</v>
      </c>
      <c r="G348" s="63" t="s">
        <v>3839</v>
      </c>
      <c r="H348" s="63" t="s">
        <v>82</v>
      </c>
      <c r="I348" s="63" t="s">
        <v>34</v>
      </c>
      <c r="J348" s="63" t="s">
        <v>35</v>
      </c>
      <c r="K348" s="63" t="s">
        <v>1205</v>
      </c>
      <c r="L348" s="63" t="s">
        <v>85</v>
      </c>
      <c r="M348" s="69">
        <v>3101.01</v>
      </c>
      <c r="N348" s="63" t="s">
        <v>86</v>
      </c>
      <c r="O348" s="73">
        <f>_xlfn.XLOOKUP(Supplier_Perf_Table[[#This Row],[Currency]],'Comments 2'!$C$4:$C$16,'Comments 2'!$D$4:$D$16)</f>
        <v>8.8999999999999996E-2</v>
      </c>
      <c r="P348" s="69">
        <f>IFERROR(Supplier_Perf_Table[[#This Row],[Unit_Cost]]*Supplier_Perf_Table[[#This Row],[Dollar Equivalent]],"")</f>
        <v>275.98989</v>
      </c>
      <c r="Q348" s="75">
        <v>100</v>
      </c>
      <c r="R348" s="1">
        <v>310101</v>
      </c>
      <c r="S348" s="75">
        <f>Supplier_Perf_Table[[#This Row],[Unit_Cost]]*Supplier_Perf_Table[[#This Row],[Order_Quantity]]</f>
        <v>310101</v>
      </c>
      <c r="T348" s="75">
        <f>IFERROR(Supplier_Perf_Table[[#This Row],[Dollar Equivalent]]*Supplier_Perf_Table[[#This Row],[Ordered_Value]],"")</f>
        <v>27598.988999999998</v>
      </c>
      <c r="U348" s="75">
        <v>0</v>
      </c>
      <c r="V348" s="7">
        <v>0</v>
      </c>
      <c r="W348" s="75">
        <v>17</v>
      </c>
      <c r="X348" s="55">
        <f>IFERROR(Supplier_Perf_Table[[#This Row],[Actual_Delivery_Date]]-Supplier_Perf_Table[[#This Row],[Order Date]],"")</f>
        <v>17</v>
      </c>
      <c r="Y348" s="75">
        <v>16</v>
      </c>
      <c r="Z348" s="56">
        <f>IFERROR(Supplier_Perf_Table[[#This Row],[Expected Delivery_Date]]-Supplier_Perf_Table[[#This Row],[Order Date]],"")</f>
        <v>16</v>
      </c>
      <c r="AA348" s="56">
        <f>Supplier_Perf_Table[[#This Row],[Calculated_Lead_Time2]]-Supplier_Perf_Table[[#This Row],[Calculated_Expected_Lead_Time]]</f>
        <v>1</v>
      </c>
      <c r="AB348" s="75">
        <v>1</v>
      </c>
      <c r="AC348" s="63" t="s">
        <v>135</v>
      </c>
      <c r="AD348" s="63" t="s">
        <v>40</v>
      </c>
      <c r="AE348" s="63" t="s">
        <v>105</v>
      </c>
      <c r="AF348" s="63" t="s">
        <v>106</v>
      </c>
      <c r="AG348" s="63" t="s">
        <v>128</v>
      </c>
      <c r="AH348" s="63" t="s">
        <v>206</v>
      </c>
      <c r="AI348" s="63" t="s">
        <v>147</v>
      </c>
      <c r="AJ348" s="63" t="s">
        <v>138</v>
      </c>
      <c r="AK348" s="83">
        <v>4.8</v>
      </c>
      <c r="AL348" s="63" t="s">
        <v>184</v>
      </c>
      <c r="AM348" s="63" t="s">
        <v>46</v>
      </c>
      <c r="AN348"/>
    </row>
    <row r="349" spans="1:40" ht="18" customHeight="1">
      <c r="A349" s="1" t="s">
        <v>1206</v>
      </c>
      <c r="B349" s="1" t="s">
        <v>1207</v>
      </c>
      <c r="C349" s="4">
        <v>46107</v>
      </c>
      <c r="D349" s="4">
        <v>46122</v>
      </c>
      <c r="E349" s="4">
        <v>46122</v>
      </c>
      <c r="F349" s="63" t="s">
        <v>100</v>
      </c>
      <c r="G349" s="63" t="s">
        <v>3841</v>
      </c>
      <c r="H349" s="63" t="s">
        <v>301</v>
      </c>
      <c r="I349" s="63" t="s">
        <v>34</v>
      </c>
      <c r="J349" s="63" t="s">
        <v>50</v>
      </c>
      <c r="K349" s="63" t="s">
        <v>1208</v>
      </c>
      <c r="L349" s="63" t="s">
        <v>189</v>
      </c>
      <c r="M349" s="69">
        <v>545.36</v>
      </c>
      <c r="N349" s="63" t="s">
        <v>53</v>
      </c>
      <c r="O349" s="73">
        <f>_xlfn.XLOOKUP(Supplier_Perf_Table[[#This Row],[Currency]],'Comments 2'!$C$4:$C$16,'Comments 2'!$D$4:$D$16)</f>
        <v>6.0999999999999999E-2</v>
      </c>
      <c r="P349" s="69">
        <f>IFERROR(Supplier_Perf_Table[[#This Row],[Unit_Cost]]*Supplier_Perf_Table[[#This Row],[Dollar Equivalent]],"")</f>
        <v>33.266959999999997</v>
      </c>
      <c r="Q349" s="75">
        <v>500</v>
      </c>
      <c r="R349" s="1">
        <v>272680</v>
      </c>
      <c r="S349" s="75">
        <f>Supplier_Perf_Table[[#This Row],[Unit_Cost]]*Supplier_Perf_Table[[#This Row],[Order_Quantity]]</f>
        <v>272680</v>
      </c>
      <c r="T349" s="75">
        <f>IFERROR(Supplier_Perf_Table[[#This Row],[Dollar Equivalent]]*Supplier_Perf_Table[[#This Row],[Ordered_Value]],"")</f>
        <v>16633.48</v>
      </c>
      <c r="U349" s="75">
        <v>10</v>
      </c>
      <c r="V349" s="7">
        <v>0.02</v>
      </c>
      <c r="W349" s="75">
        <v>15</v>
      </c>
      <c r="X349" s="55">
        <f>IFERROR(Supplier_Perf_Table[[#This Row],[Actual_Delivery_Date]]-Supplier_Perf_Table[[#This Row],[Order Date]],"")</f>
        <v>15</v>
      </c>
      <c r="Y349" s="75">
        <v>15</v>
      </c>
      <c r="Z349" s="56">
        <f>IFERROR(Supplier_Perf_Table[[#This Row],[Expected Delivery_Date]]-Supplier_Perf_Table[[#This Row],[Order Date]],"")</f>
        <v>15</v>
      </c>
      <c r="AA349" s="56">
        <f>Supplier_Perf_Table[[#This Row],[Calculated_Lead_Time2]]-Supplier_Perf_Table[[#This Row],[Calculated_Expected_Lead_Time]]</f>
        <v>0</v>
      </c>
      <c r="AB349" s="75">
        <v>0</v>
      </c>
      <c r="AC349" s="63" t="s">
        <v>87</v>
      </c>
      <c r="AD349" s="63" t="s">
        <v>40</v>
      </c>
      <c r="AE349" s="63" t="s">
        <v>127</v>
      </c>
      <c r="AF349" s="63" t="s">
        <v>190</v>
      </c>
      <c r="AG349" s="63" t="s">
        <v>173</v>
      </c>
      <c r="AH349" s="63" t="s">
        <v>174</v>
      </c>
      <c r="AI349" s="63" t="s">
        <v>138</v>
      </c>
      <c r="AJ349" s="63" t="s">
        <v>138</v>
      </c>
      <c r="AK349" s="83">
        <v>4.2</v>
      </c>
      <c r="AL349" s="63" t="s">
        <v>184</v>
      </c>
      <c r="AM349" s="63" t="s">
        <v>130</v>
      </c>
      <c r="AN349"/>
    </row>
    <row r="350" spans="1:40" ht="18" customHeight="1">
      <c r="A350" s="1" t="s">
        <v>1209</v>
      </c>
      <c r="B350" s="1" t="s">
        <v>1210</v>
      </c>
      <c r="C350" s="4">
        <v>46091</v>
      </c>
      <c r="D350" s="4">
        <v>46104</v>
      </c>
      <c r="E350" s="4">
        <v>46088</v>
      </c>
      <c r="F350" s="63" t="s">
        <v>60</v>
      </c>
      <c r="G350" s="63" t="s">
        <v>3837</v>
      </c>
      <c r="H350" s="63" t="s">
        <v>152</v>
      </c>
      <c r="I350" s="63" t="s">
        <v>92</v>
      </c>
      <c r="J350" s="63" t="s">
        <v>62</v>
      </c>
      <c r="K350" s="63" t="s">
        <v>1211</v>
      </c>
      <c r="L350" s="63" t="s">
        <v>64</v>
      </c>
      <c r="M350" s="69">
        <v>479.22</v>
      </c>
      <c r="N350" s="63" t="s">
        <v>38</v>
      </c>
      <c r="O350" s="73">
        <f>_xlfn.XLOOKUP(Supplier_Perf_Table[[#This Row],[Currency]],'Comments 2'!$C$4:$C$16,'Comments 2'!$D$4:$D$16)</f>
        <v>7.7000000000000002E-3</v>
      </c>
      <c r="P350" s="69">
        <f>IFERROR(Supplier_Perf_Table[[#This Row],[Unit_Cost]]*Supplier_Perf_Table[[#This Row],[Dollar Equivalent]],"")</f>
        <v>3.6899940000000004</v>
      </c>
      <c r="Q350" s="75">
        <v>300</v>
      </c>
      <c r="R350" s="1">
        <v>143766</v>
      </c>
      <c r="S350" s="75">
        <f>Supplier_Perf_Table[[#This Row],[Unit_Cost]]*Supplier_Perf_Table[[#This Row],[Order_Quantity]]</f>
        <v>143766</v>
      </c>
      <c r="T350" s="75">
        <f>IFERROR(Supplier_Perf_Table[[#This Row],[Dollar Equivalent]]*Supplier_Perf_Table[[#This Row],[Ordered_Value]],"")</f>
        <v>1106.9982</v>
      </c>
      <c r="U350" s="75">
        <v>9</v>
      </c>
      <c r="V350" s="7">
        <v>0.03</v>
      </c>
      <c r="W350" s="75">
        <v>-3</v>
      </c>
      <c r="X350" s="55">
        <f>IFERROR(Supplier_Perf_Table[[#This Row],[Actual_Delivery_Date]]-Supplier_Perf_Table[[#This Row],[Order Date]],"")</f>
        <v>-3</v>
      </c>
      <c r="Y350" s="75">
        <v>13</v>
      </c>
      <c r="Z350" s="56">
        <f>IFERROR(Supplier_Perf_Table[[#This Row],[Expected Delivery_Date]]-Supplier_Perf_Table[[#This Row],[Order Date]],"")</f>
        <v>13</v>
      </c>
      <c r="AA350" s="56">
        <f>Supplier_Perf_Table[[#This Row],[Calculated_Lead_Time2]]-Supplier_Perf_Table[[#This Row],[Calculated_Expected_Lead_Time]]</f>
        <v>-16</v>
      </c>
      <c r="AB350" s="75">
        <v>-16</v>
      </c>
      <c r="AC350" s="63" t="s">
        <v>362</v>
      </c>
      <c r="AD350" s="63" t="s">
        <v>649</v>
      </c>
      <c r="AE350" s="63" t="s">
        <v>105</v>
      </c>
      <c r="AF350" s="63" t="s">
        <v>106</v>
      </c>
      <c r="AG350" s="63" t="s">
        <v>3088</v>
      </c>
      <c r="AH350" s="63" t="s">
        <v>129</v>
      </c>
      <c r="AI350" s="63" t="s">
        <v>191</v>
      </c>
      <c r="AJ350" s="63" t="s">
        <v>138</v>
      </c>
      <c r="AK350" s="83">
        <v>3.6</v>
      </c>
      <c r="AL350" s="63" t="s">
        <v>76</v>
      </c>
      <c r="AM350" s="63" t="s">
        <v>138</v>
      </c>
      <c r="AN350"/>
    </row>
    <row r="351" spans="1:40" ht="18" customHeight="1">
      <c r="A351" s="1" t="s">
        <v>1212</v>
      </c>
      <c r="B351" s="1" t="s">
        <v>1213</v>
      </c>
      <c r="C351" s="4">
        <v>46083</v>
      </c>
      <c r="D351" s="4">
        <v>46084</v>
      </c>
      <c r="E351" s="4">
        <v>46083</v>
      </c>
      <c r="F351" s="63" t="s">
        <v>151</v>
      </c>
      <c r="G351" s="63" t="s">
        <v>3844</v>
      </c>
      <c r="H351" s="63" t="s">
        <v>152</v>
      </c>
      <c r="I351" s="63" t="s">
        <v>34</v>
      </c>
      <c r="J351" s="63" t="s">
        <v>112</v>
      </c>
      <c r="K351" s="63" t="s">
        <v>1214</v>
      </c>
      <c r="L351" s="63" t="s">
        <v>246</v>
      </c>
      <c r="M351" s="69">
        <v>821.58</v>
      </c>
      <c r="N351" s="63" t="s">
        <v>38</v>
      </c>
      <c r="O351" s="73">
        <f>_xlfn.XLOOKUP(Supplier_Perf_Table[[#This Row],[Currency]],'Comments 2'!$C$4:$C$16,'Comments 2'!$D$4:$D$16)</f>
        <v>7.7000000000000002E-3</v>
      </c>
      <c r="P351" s="69">
        <f>IFERROR(Supplier_Perf_Table[[#This Row],[Unit_Cost]]*Supplier_Perf_Table[[#This Row],[Dollar Equivalent]],"")</f>
        <v>6.3261660000000006</v>
      </c>
      <c r="Q351" s="75">
        <v>750</v>
      </c>
      <c r="R351" s="1">
        <v>616185</v>
      </c>
      <c r="S351" s="75">
        <f>Supplier_Perf_Table[[#This Row],[Unit_Cost]]*Supplier_Perf_Table[[#This Row],[Order_Quantity]]</f>
        <v>616185</v>
      </c>
      <c r="T351" s="75">
        <f>IFERROR(Supplier_Perf_Table[[#This Row],[Dollar Equivalent]]*Supplier_Perf_Table[[#This Row],[Ordered_Value]],"")</f>
        <v>4744.6244999999999</v>
      </c>
      <c r="U351" s="75">
        <v>0</v>
      </c>
      <c r="V351" s="7">
        <v>0</v>
      </c>
      <c r="W351" s="75">
        <v>0</v>
      </c>
      <c r="X351" s="55">
        <f>IFERROR(Supplier_Perf_Table[[#This Row],[Actual_Delivery_Date]]-Supplier_Perf_Table[[#This Row],[Order Date]],"")</f>
        <v>0</v>
      </c>
      <c r="Y351" s="75">
        <v>1</v>
      </c>
      <c r="Z351" s="56">
        <f>IFERROR(Supplier_Perf_Table[[#This Row],[Expected Delivery_Date]]-Supplier_Perf_Table[[#This Row],[Order Date]],"")</f>
        <v>1</v>
      </c>
      <c r="AA351" s="56">
        <f>Supplier_Perf_Table[[#This Row],[Calculated_Lead_Time2]]-Supplier_Perf_Table[[#This Row],[Calculated_Expected_Lead_Time]]</f>
        <v>-1</v>
      </c>
      <c r="AB351" s="75">
        <v>-1</v>
      </c>
      <c r="AC351" s="63" t="s">
        <v>270</v>
      </c>
      <c r="AD351" s="63" t="s">
        <v>40</v>
      </c>
      <c r="AE351" s="63" t="s">
        <v>3088</v>
      </c>
      <c r="AF351" s="63" t="s">
        <v>106</v>
      </c>
      <c r="AG351" s="63" t="s">
        <v>3088</v>
      </c>
      <c r="AH351" s="63" t="s">
        <v>206</v>
      </c>
      <c r="AI351" s="63" t="s">
        <v>44</v>
      </c>
      <c r="AJ351" s="63" t="s">
        <v>138</v>
      </c>
      <c r="AK351" s="83">
        <v>3.7</v>
      </c>
      <c r="AL351" s="63" t="s">
        <v>76</v>
      </c>
      <c r="AM351" s="63" t="s">
        <v>130</v>
      </c>
      <c r="AN351"/>
    </row>
    <row r="352" spans="1:40" ht="18" customHeight="1">
      <c r="A352" s="1" t="s">
        <v>1215</v>
      </c>
      <c r="B352" s="1" t="s">
        <v>1216</v>
      </c>
      <c r="C352" s="4">
        <v>46166</v>
      </c>
      <c r="D352" s="4">
        <v>46182</v>
      </c>
      <c r="E352" s="4">
        <v>46178</v>
      </c>
      <c r="F352" s="63" t="s">
        <v>100</v>
      </c>
      <c r="G352" s="63" t="s">
        <v>3841</v>
      </c>
      <c r="H352" s="63" t="s">
        <v>102</v>
      </c>
      <c r="I352" s="63" t="s">
        <v>92</v>
      </c>
      <c r="J352" s="63" t="s">
        <v>50</v>
      </c>
      <c r="K352" s="63" t="s">
        <v>1217</v>
      </c>
      <c r="L352" s="63" t="s">
        <v>145</v>
      </c>
      <c r="M352" s="69">
        <v>918.51</v>
      </c>
      <c r="N352" s="63" t="s">
        <v>159</v>
      </c>
      <c r="O352" s="73">
        <f>_xlfn.XLOOKUP(Supplier_Perf_Table[[#This Row],[Currency]],'Comments 2'!$C$4:$C$16,'Comments 2'!$D$4:$D$16)</f>
        <v>7.2999999999999996E-4</v>
      </c>
      <c r="P352" s="69">
        <f>IFERROR(Supplier_Perf_Table[[#This Row],[Unit_Cost]]*Supplier_Perf_Table[[#This Row],[Dollar Equivalent]],"")</f>
        <v>0.67051229999999995</v>
      </c>
      <c r="Q352" s="75">
        <v>50</v>
      </c>
      <c r="R352" s="1">
        <v>45925.5</v>
      </c>
      <c r="S352" s="75">
        <f>Supplier_Perf_Table[[#This Row],[Unit_Cost]]*Supplier_Perf_Table[[#This Row],[Order_Quantity]]</f>
        <v>45925.5</v>
      </c>
      <c r="T352" s="75">
        <f>IFERROR(Supplier_Perf_Table[[#This Row],[Dollar Equivalent]]*Supplier_Perf_Table[[#This Row],[Ordered_Value]],"")</f>
        <v>33.525614999999995</v>
      </c>
      <c r="U352" s="75">
        <v>0</v>
      </c>
      <c r="V352" s="7">
        <v>0</v>
      </c>
      <c r="W352" s="75">
        <v>12</v>
      </c>
      <c r="X352" s="55">
        <f>IFERROR(Supplier_Perf_Table[[#This Row],[Actual_Delivery_Date]]-Supplier_Perf_Table[[#This Row],[Order Date]],"")</f>
        <v>12</v>
      </c>
      <c r="Y352" s="75">
        <v>16</v>
      </c>
      <c r="Z352" s="56">
        <f>IFERROR(Supplier_Perf_Table[[#This Row],[Expected Delivery_Date]]-Supplier_Perf_Table[[#This Row],[Order Date]],"")</f>
        <v>16</v>
      </c>
      <c r="AA352" s="56">
        <f>Supplier_Perf_Table[[#This Row],[Calculated_Lead_Time2]]-Supplier_Perf_Table[[#This Row],[Calculated_Expected_Lead_Time]]</f>
        <v>-4</v>
      </c>
      <c r="AB352" s="75">
        <v>-4</v>
      </c>
      <c r="AC352" s="63" t="s">
        <v>87</v>
      </c>
      <c r="AD352" s="63" t="s">
        <v>40</v>
      </c>
      <c r="AE352" s="63" t="s">
        <v>146</v>
      </c>
      <c r="AF352" s="63" t="s">
        <v>106</v>
      </c>
      <c r="AG352" s="63" t="s">
        <v>54</v>
      </c>
      <c r="AH352" s="63" t="s">
        <v>206</v>
      </c>
      <c r="AI352" s="63" t="s">
        <v>191</v>
      </c>
      <c r="AJ352" s="63" t="s">
        <v>138</v>
      </c>
      <c r="AK352" s="83">
        <v>4.9000000000000004</v>
      </c>
      <c r="AL352" s="63" t="s">
        <v>115</v>
      </c>
      <c r="AM352" s="63" t="s">
        <v>130</v>
      </c>
      <c r="AN352"/>
    </row>
    <row r="353" spans="1:40" ht="18" customHeight="1">
      <c r="A353" s="1" t="s">
        <v>785</v>
      </c>
      <c r="B353" s="1" t="s">
        <v>1218</v>
      </c>
      <c r="C353" s="4">
        <v>46160</v>
      </c>
      <c r="D353" s="4">
        <v>46175</v>
      </c>
      <c r="E353" s="4">
        <v>46176</v>
      </c>
      <c r="F353" s="63" t="s">
        <v>32</v>
      </c>
      <c r="G353" s="63" t="s">
        <v>3835</v>
      </c>
      <c r="H353" s="63" t="s">
        <v>177</v>
      </c>
      <c r="I353" s="63" t="s">
        <v>178</v>
      </c>
      <c r="J353" s="63" t="s">
        <v>35</v>
      </c>
      <c r="K353" s="63" t="s">
        <v>310</v>
      </c>
      <c r="L353" s="63" t="s">
        <v>180</v>
      </c>
      <c r="M353" s="69">
        <v>1570.41</v>
      </c>
      <c r="N353" s="63" t="s">
        <v>38</v>
      </c>
      <c r="O353" s="73">
        <f>_xlfn.XLOOKUP(Supplier_Perf_Table[[#This Row],[Currency]],'Comments 2'!$C$4:$C$16,'Comments 2'!$D$4:$D$16)</f>
        <v>7.7000000000000002E-3</v>
      </c>
      <c r="P353" s="69">
        <f>IFERROR(Supplier_Perf_Table[[#This Row],[Unit_Cost]]*Supplier_Perf_Table[[#This Row],[Dollar Equivalent]],"")</f>
        <v>12.092157</v>
      </c>
      <c r="Q353" s="75">
        <v>75</v>
      </c>
      <c r="R353" s="1" t="s">
        <v>3080</v>
      </c>
      <c r="S353" s="75">
        <f>Supplier_Perf_Table[[#This Row],[Unit_Cost]]*Supplier_Perf_Table[[#This Row],[Order_Quantity]]</f>
        <v>117780.75</v>
      </c>
      <c r="T353" s="75" t="str">
        <f>IFERROR(Supplier_Perf_Table[[#This Row],[Dollar Equivalent]]*Supplier_Perf_Table[[#This Row],[Ordered_Value]],"")</f>
        <v/>
      </c>
      <c r="U353" s="75">
        <v>0</v>
      </c>
      <c r="V353" s="7">
        <v>0</v>
      </c>
      <c r="W353" s="75">
        <v>16</v>
      </c>
      <c r="X353" s="55">
        <f>IFERROR(Supplier_Perf_Table[[#This Row],[Actual_Delivery_Date]]-Supplier_Perf_Table[[#This Row],[Order Date]],"")</f>
        <v>16</v>
      </c>
      <c r="Y353" s="75">
        <v>15</v>
      </c>
      <c r="Z353" s="56">
        <f>IFERROR(Supplier_Perf_Table[[#This Row],[Expected Delivery_Date]]-Supplier_Perf_Table[[#This Row],[Order Date]],"")</f>
        <v>15</v>
      </c>
      <c r="AA353" s="56">
        <f>Supplier_Perf_Table[[#This Row],[Calculated_Lead_Time2]]-Supplier_Perf_Table[[#This Row],[Calculated_Expected_Lead_Time]]</f>
        <v>1</v>
      </c>
      <c r="AB353" s="75">
        <v>1</v>
      </c>
      <c r="AC353" s="63" t="s">
        <v>135</v>
      </c>
      <c r="AD353" s="63" t="s">
        <v>40</v>
      </c>
      <c r="AE353" s="63" t="s">
        <v>127</v>
      </c>
      <c r="AF353" s="63" t="s">
        <v>106</v>
      </c>
      <c r="AG353" s="63" t="s">
        <v>173</v>
      </c>
      <c r="AH353" s="63" t="s">
        <v>174</v>
      </c>
      <c r="AI353" s="63" t="s">
        <v>147</v>
      </c>
      <c r="AJ353" s="63" t="s">
        <v>138</v>
      </c>
      <c r="AK353" s="83">
        <v>4.8</v>
      </c>
      <c r="AL353" s="63" t="s">
        <v>76</v>
      </c>
      <c r="AM353" s="63" t="s">
        <v>148</v>
      </c>
      <c r="AN353"/>
    </row>
    <row r="354" spans="1:40" ht="18" customHeight="1">
      <c r="A354" s="63" t="s">
        <v>1188</v>
      </c>
      <c r="B354" s="63" t="s">
        <v>1219</v>
      </c>
      <c r="C354" s="4">
        <v>46093</v>
      </c>
      <c r="D354" s="4">
        <v>46106</v>
      </c>
      <c r="E354" s="4">
        <v>46113</v>
      </c>
      <c r="F354" s="63" t="s">
        <v>48</v>
      </c>
      <c r="G354" s="63" t="s">
        <v>3836</v>
      </c>
      <c r="H354" s="63" t="s">
        <v>102</v>
      </c>
      <c r="I354" s="63" t="s">
        <v>70</v>
      </c>
      <c r="J354" s="63" t="s">
        <v>50</v>
      </c>
      <c r="K354" s="63" t="s">
        <v>1220</v>
      </c>
      <c r="L354" s="63" t="s">
        <v>189</v>
      </c>
      <c r="M354" s="69">
        <v>974.96</v>
      </c>
      <c r="N354" s="63" t="s">
        <v>159</v>
      </c>
      <c r="O354" s="73">
        <f>_xlfn.XLOOKUP(Supplier_Perf_Table[[#This Row],[Currency]],'Comments 2'!$C$4:$C$16,'Comments 2'!$D$4:$D$16)</f>
        <v>7.2999999999999996E-4</v>
      </c>
      <c r="P354" s="69">
        <f>IFERROR(Supplier_Perf_Table[[#This Row],[Unit_Cost]]*Supplier_Perf_Table[[#This Row],[Dollar Equivalent]],"")</f>
        <v>0.71172080000000004</v>
      </c>
      <c r="Q354" s="75">
        <v>200</v>
      </c>
      <c r="R354" s="1">
        <v>194992</v>
      </c>
      <c r="S354" s="75">
        <f>Supplier_Perf_Table[[#This Row],[Unit_Cost]]*Supplier_Perf_Table[[#This Row],[Order_Quantity]]</f>
        <v>194992</v>
      </c>
      <c r="T354" s="75">
        <f>IFERROR(Supplier_Perf_Table[[#This Row],[Dollar Equivalent]]*Supplier_Perf_Table[[#This Row],[Ordered_Value]],"")</f>
        <v>142.34415999999999</v>
      </c>
      <c r="U354" s="75">
        <v>8</v>
      </c>
      <c r="V354" s="7">
        <v>0.04</v>
      </c>
      <c r="W354" s="75">
        <v>20</v>
      </c>
      <c r="X354" s="55">
        <f>IFERROR(Supplier_Perf_Table[[#This Row],[Actual_Delivery_Date]]-Supplier_Perf_Table[[#This Row],[Order Date]],"")</f>
        <v>20</v>
      </c>
      <c r="Y354" s="75">
        <v>13</v>
      </c>
      <c r="Z354" s="56">
        <f>IFERROR(Supplier_Perf_Table[[#This Row],[Expected Delivery_Date]]-Supplier_Perf_Table[[#This Row],[Order Date]],"")</f>
        <v>13</v>
      </c>
      <c r="AA354" s="56">
        <f>Supplier_Perf_Table[[#This Row],[Calculated_Lead_Time2]]-Supplier_Perf_Table[[#This Row],[Calculated_Expected_Lead_Time]]</f>
        <v>7</v>
      </c>
      <c r="AB354" s="75">
        <v>7</v>
      </c>
      <c r="AC354" s="63" t="s">
        <v>205</v>
      </c>
      <c r="AD354" s="63" t="s">
        <v>40</v>
      </c>
      <c r="AE354" s="63" t="s">
        <v>41</v>
      </c>
      <c r="AF354" s="63" t="s">
        <v>212</v>
      </c>
      <c r="AG354" s="63" t="s">
        <v>43</v>
      </c>
      <c r="AH354" s="63" t="s">
        <v>136</v>
      </c>
      <c r="AI354" s="63" t="s">
        <v>138</v>
      </c>
      <c r="AJ354" s="63" t="s">
        <v>138</v>
      </c>
      <c r="AK354" s="83">
        <v>1.9</v>
      </c>
      <c r="AL354" s="63" t="s">
        <v>45</v>
      </c>
      <c r="AM354" s="63" t="s">
        <v>46</v>
      </c>
      <c r="AN354"/>
    </row>
    <row r="355" spans="1:40" ht="18" customHeight="1">
      <c r="A355" s="1" t="s">
        <v>1221</v>
      </c>
      <c r="B355" s="1" t="s">
        <v>1222</v>
      </c>
      <c r="C355" s="4">
        <v>46174</v>
      </c>
      <c r="D355" s="4">
        <v>46194</v>
      </c>
      <c r="E355" s="4">
        <v>46196</v>
      </c>
      <c r="F355" s="63" t="s">
        <v>142</v>
      </c>
      <c r="G355" s="63" t="s">
        <v>3843</v>
      </c>
      <c r="H355" s="63" t="s">
        <v>169</v>
      </c>
      <c r="I355" s="63" t="s">
        <v>34</v>
      </c>
      <c r="J355" s="63" t="s">
        <v>50</v>
      </c>
      <c r="K355" s="63" t="s">
        <v>1223</v>
      </c>
      <c r="L355" s="63" t="s">
        <v>52</v>
      </c>
      <c r="M355" s="69">
        <v>3321.79</v>
      </c>
      <c r="N355" s="63" t="s">
        <v>38</v>
      </c>
      <c r="O355" s="73">
        <f>_xlfn.XLOOKUP(Supplier_Perf_Table[[#This Row],[Currency]],'Comments 2'!$C$4:$C$16,'Comments 2'!$D$4:$D$16)</f>
        <v>7.7000000000000002E-3</v>
      </c>
      <c r="P355" s="69">
        <f>IFERROR(Supplier_Perf_Table[[#This Row],[Unit_Cost]]*Supplier_Perf_Table[[#This Row],[Dollar Equivalent]],"")</f>
        <v>25.577783</v>
      </c>
      <c r="Q355" s="75">
        <v>500</v>
      </c>
      <c r="R355" s="1">
        <v>1660895</v>
      </c>
      <c r="S355" s="75">
        <f>Supplier_Perf_Table[[#This Row],[Unit_Cost]]*Supplier_Perf_Table[[#This Row],[Order_Quantity]]</f>
        <v>1660895</v>
      </c>
      <c r="T355" s="75">
        <f>IFERROR(Supplier_Perf_Table[[#This Row],[Dollar Equivalent]]*Supplier_Perf_Table[[#This Row],[Ordered_Value]],"")</f>
        <v>12788.8915</v>
      </c>
      <c r="U355" s="75">
        <v>18</v>
      </c>
      <c r="V355" s="7">
        <v>3.5999999999999997E-2</v>
      </c>
      <c r="W355" s="75">
        <v>22</v>
      </c>
      <c r="X355" s="55">
        <f>IFERROR(Supplier_Perf_Table[[#This Row],[Actual_Delivery_Date]]-Supplier_Perf_Table[[#This Row],[Order Date]],"")</f>
        <v>22</v>
      </c>
      <c r="Y355" s="75">
        <v>20</v>
      </c>
      <c r="Z355" s="56">
        <f>IFERROR(Supplier_Perf_Table[[#This Row],[Expected Delivery_Date]]-Supplier_Perf_Table[[#This Row],[Order Date]],"")</f>
        <v>20</v>
      </c>
      <c r="AA355" s="56">
        <f>Supplier_Perf_Table[[#This Row],[Calculated_Lead_Time2]]-Supplier_Perf_Table[[#This Row],[Calculated_Expected_Lead_Time]]</f>
        <v>2</v>
      </c>
      <c r="AB355" s="75">
        <v>2</v>
      </c>
      <c r="AC355" s="63" t="s">
        <v>135</v>
      </c>
      <c r="AD355" s="63" t="s">
        <v>40</v>
      </c>
      <c r="AE355" s="63" t="s">
        <v>41</v>
      </c>
      <c r="AF355" s="63" t="s">
        <v>106</v>
      </c>
      <c r="AG355" s="63" t="s">
        <v>128</v>
      </c>
      <c r="AH355" s="63" t="s">
        <v>129</v>
      </c>
      <c r="AI355" s="63" t="s">
        <v>56</v>
      </c>
      <c r="AJ355" s="63" t="s">
        <v>138</v>
      </c>
      <c r="AK355" s="83">
        <v>2.2999999999999998</v>
      </c>
      <c r="AL355" s="63" t="s">
        <v>184</v>
      </c>
      <c r="AM355" s="63" t="s">
        <v>46</v>
      </c>
      <c r="AN355"/>
    </row>
    <row r="356" spans="1:40" ht="18" customHeight="1">
      <c r="A356" s="1" t="s">
        <v>1224</v>
      </c>
      <c r="B356" s="1" t="s">
        <v>1225</v>
      </c>
      <c r="C356" s="4">
        <v>46146</v>
      </c>
      <c r="D356" s="4">
        <v>46152</v>
      </c>
      <c r="E356" s="4">
        <v>46143</v>
      </c>
      <c r="F356" s="63" t="s">
        <v>151</v>
      </c>
      <c r="G356" s="63" t="s">
        <v>3844</v>
      </c>
      <c r="H356" s="63" t="s">
        <v>152</v>
      </c>
      <c r="I356" s="63" t="s">
        <v>61</v>
      </c>
      <c r="J356" s="63" t="s">
        <v>112</v>
      </c>
      <c r="K356" s="63" t="s">
        <v>1226</v>
      </c>
      <c r="L356" s="63" t="s">
        <v>218</v>
      </c>
      <c r="M356" s="69">
        <v>586.88</v>
      </c>
      <c r="N356" s="63" t="s">
        <v>104</v>
      </c>
      <c r="O356" s="73">
        <f>_xlfn.XLOOKUP(Supplier_Perf_Table[[#This Row],[Currency]],'Comments 2'!$C$4:$C$16,'Comments 2'!$D$4:$D$16)</f>
        <v>1.9E-2</v>
      </c>
      <c r="P356" s="69">
        <f>IFERROR(Supplier_Perf_Table[[#This Row],[Unit_Cost]]*Supplier_Perf_Table[[#This Row],[Dollar Equivalent]],"")</f>
        <v>11.15072</v>
      </c>
      <c r="Q356" s="75">
        <v>250</v>
      </c>
      <c r="R356" s="1">
        <v>146720</v>
      </c>
      <c r="S356" s="75">
        <f>Supplier_Perf_Table[[#This Row],[Unit_Cost]]*Supplier_Perf_Table[[#This Row],[Order_Quantity]]</f>
        <v>146720</v>
      </c>
      <c r="T356" s="75">
        <f>IFERROR(Supplier_Perf_Table[[#This Row],[Dollar Equivalent]]*Supplier_Perf_Table[[#This Row],[Ordered_Value]],"")</f>
        <v>2787.68</v>
      </c>
      <c r="U356" s="75">
        <v>1</v>
      </c>
      <c r="V356" s="7">
        <v>4.0000000000000001E-3</v>
      </c>
      <c r="W356" s="75">
        <v>-3</v>
      </c>
      <c r="X356" s="55">
        <f>IFERROR(Supplier_Perf_Table[[#This Row],[Actual_Delivery_Date]]-Supplier_Perf_Table[[#This Row],[Order Date]],"")</f>
        <v>-3</v>
      </c>
      <c r="Y356" s="75">
        <v>6</v>
      </c>
      <c r="Z356" s="56">
        <f>IFERROR(Supplier_Perf_Table[[#This Row],[Expected Delivery_Date]]-Supplier_Perf_Table[[#This Row],[Order Date]],"")</f>
        <v>6</v>
      </c>
      <c r="AA356" s="56">
        <f>Supplier_Perf_Table[[#This Row],[Calculated_Lead_Time2]]-Supplier_Perf_Table[[#This Row],[Calculated_Expected_Lead_Time]]</f>
        <v>-9</v>
      </c>
      <c r="AB356" s="75">
        <v>-9</v>
      </c>
      <c r="AC356" s="63" t="s">
        <v>362</v>
      </c>
      <c r="AD356" s="63" t="s">
        <v>40</v>
      </c>
      <c r="AE356" s="63" t="s">
        <v>127</v>
      </c>
      <c r="AF356" s="63" t="s">
        <v>3088</v>
      </c>
      <c r="AG356" s="63" t="s">
        <v>107</v>
      </c>
      <c r="AH356" s="63" t="s">
        <v>3112</v>
      </c>
      <c r="AI356" s="63" t="s">
        <v>137</v>
      </c>
      <c r="AJ356" s="63" t="s">
        <v>138</v>
      </c>
      <c r="AK356" s="83">
        <v>5</v>
      </c>
      <c r="AL356" s="63" t="s">
        <v>45</v>
      </c>
      <c r="AM356" s="63" t="s">
        <v>130</v>
      </c>
      <c r="AN356"/>
    </row>
    <row r="357" spans="1:40" ht="18" customHeight="1">
      <c r="A357" s="1" t="s">
        <v>1227</v>
      </c>
      <c r="B357" s="1" t="s">
        <v>1228</v>
      </c>
      <c r="C357" s="4">
        <v>46143</v>
      </c>
      <c r="D357" s="4">
        <v>46153</v>
      </c>
      <c r="E357" s="4">
        <v>46141</v>
      </c>
      <c r="F357" s="63" t="s">
        <v>60</v>
      </c>
      <c r="G357" s="63" t="s">
        <v>3837</v>
      </c>
      <c r="H357" s="63" t="s">
        <v>152</v>
      </c>
      <c r="I357" s="63" t="s">
        <v>83</v>
      </c>
      <c r="J357" s="63" t="s">
        <v>35</v>
      </c>
      <c r="K357" s="63" t="s">
        <v>1229</v>
      </c>
      <c r="L357" s="63" t="s">
        <v>85</v>
      </c>
      <c r="M357" s="69">
        <v>542.9</v>
      </c>
      <c r="N357" s="63" t="s">
        <v>104</v>
      </c>
      <c r="O357" s="73">
        <f>_xlfn.XLOOKUP(Supplier_Perf_Table[[#This Row],[Currency]],'Comments 2'!$C$4:$C$16,'Comments 2'!$D$4:$D$16)</f>
        <v>1.9E-2</v>
      </c>
      <c r="P357" s="69">
        <f>IFERROR(Supplier_Perf_Table[[#This Row],[Unit_Cost]]*Supplier_Perf_Table[[#This Row],[Dollar Equivalent]],"")</f>
        <v>10.315099999999999</v>
      </c>
      <c r="Q357" s="75">
        <v>100</v>
      </c>
      <c r="R357" s="1">
        <v>54290</v>
      </c>
      <c r="S357" s="75">
        <f>Supplier_Perf_Table[[#This Row],[Unit_Cost]]*Supplier_Perf_Table[[#This Row],[Order_Quantity]]</f>
        <v>54290</v>
      </c>
      <c r="T357" s="75">
        <f>IFERROR(Supplier_Perf_Table[[#This Row],[Dollar Equivalent]]*Supplier_Perf_Table[[#This Row],[Ordered_Value]],"")</f>
        <v>1031.51</v>
      </c>
      <c r="U357" s="75">
        <v>0</v>
      </c>
      <c r="V357" s="7">
        <v>0</v>
      </c>
      <c r="W357" s="75">
        <v>-2</v>
      </c>
      <c r="X357" s="55">
        <f>IFERROR(Supplier_Perf_Table[[#This Row],[Actual_Delivery_Date]]-Supplier_Perf_Table[[#This Row],[Order Date]],"")</f>
        <v>-2</v>
      </c>
      <c r="Y357" s="75">
        <v>10</v>
      </c>
      <c r="Z357" s="56">
        <f>IFERROR(Supplier_Perf_Table[[#This Row],[Expected Delivery_Date]]-Supplier_Perf_Table[[#This Row],[Order Date]],"")</f>
        <v>10</v>
      </c>
      <c r="AA357" s="56">
        <f>Supplier_Perf_Table[[#This Row],[Calculated_Lead_Time2]]-Supplier_Perf_Table[[#This Row],[Calculated_Expected_Lead_Time]]</f>
        <v>-12</v>
      </c>
      <c r="AB357" s="75">
        <v>-12</v>
      </c>
      <c r="AC357" s="63" t="s">
        <v>362</v>
      </c>
      <c r="AD357" s="63" t="s">
        <v>40</v>
      </c>
      <c r="AE357" s="63" t="s">
        <v>41</v>
      </c>
      <c r="AF357" s="63" t="s">
        <v>3088</v>
      </c>
      <c r="AG357" s="63" t="s">
        <v>173</v>
      </c>
      <c r="AH357" s="63" t="s">
        <v>3112</v>
      </c>
      <c r="AI357" s="63" t="s">
        <v>137</v>
      </c>
      <c r="AJ357" s="63" t="s">
        <v>138</v>
      </c>
      <c r="AK357" s="83">
        <v>3.2</v>
      </c>
      <c r="AL357" s="63" t="s">
        <v>115</v>
      </c>
      <c r="AM357" s="63" t="s">
        <v>138</v>
      </c>
      <c r="AN357"/>
    </row>
    <row r="358" spans="1:40" ht="18" customHeight="1">
      <c r="A358" s="1" t="s">
        <v>1230</v>
      </c>
      <c r="B358" s="1" t="s">
        <v>1231</v>
      </c>
      <c r="C358" s="4">
        <v>46092</v>
      </c>
      <c r="D358" s="4">
        <v>46107</v>
      </c>
      <c r="E358" s="4">
        <v>46108</v>
      </c>
      <c r="F358" s="63" t="s">
        <v>90</v>
      </c>
      <c r="G358" s="63" t="s">
        <v>3840</v>
      </c>
      <c r="H358" s="63" t="s">
        <v>152</v>
      </c>
      <c r="I358" s="63" t="s">
        <v>92</v>
      </c>
      <c r="J358" s="63" t="s">
        <v>71</v>
      </c>
      <c r="K358" s="63" t="s">
        <v>1232</v>
      </c>
      <c r="L358" s="63" t="s">
        <v>73</v>
      </c>
      <c r="M358" s="69">
        <v>335.46</v>
      </c>
      <c r="N358" s="63" t="s">
        <v>159</v>
      </c>
      <c r="O358" s="73">
        <f>_xlfn.XLOOKUP(Supplier_Perf_Table[[#This Row],[Currency]],'Comments 2'!$C$4:$C$16,'Comments 2'!$D$4:$D$16)</f>
        <v>7.2999999999999996E-4</v>
      </c>
      <c r="P358" s="69">
        <f>IFERROR(Supplier_Perf_Table[[#This Row],[Unit_Cost]]*Supplier_Perf_Table[[#This Row],[Dollar Equivalent]],"")</f>
        <v>0.24488579999999996</v>
      </c>
      <c r="Q358" s="75">
        <v>500</v>
      </c>
      <c r="R358" s="1">
        <v>167730</v>
      </c>
      <c r="S358" s="75">
        <f>Supplier_Perf_Table[[#This Row],[Unit_Cost]]*Supplier_Perf_Table[[#This Row],[Order_Quantity]]</f>
        <v>167730</v>
      </c>
      <c r="T358" s="75">
        <f>IFERROR(Supplier_Perf_Table[[#This Row],[Dollar Equivalent]]*Supplier_Perf_Table[[#This Row],[Ordered_Value]],"")</f>
        <v>122.44289999999999</v>
      </c>
      <c r="U358" s="75">
        <v>21</v>
      </c>
      <c r="V358" s="7">
        <v>4.2000000000000003E-2</v>
      </c>
      <c r="W358" s="75">
        <v>16</v>
      </c>
      <c r="X358" s="55">
        <f>IFERROR(Supplier_Perf_Table[[#This Row],[Actual_Delivery_Date]]-Supplier_Perf_Table[[#This Row],[Order Date]],"")</f>
        <v>16</v>
      </c>
      <c r="Y358" s="75">
        <v>15</v>
      </c>
      <c r="Z358" s="56">
        <f>IFERROR(Supplier_Perf_Table[[#This Row],[Expected Delivery_Date]]-Supplier_Perf_Table[[#This Row],[Order Date]],"")</f>
        <v>15</v>
      </c>
      <c r="AA358" s="56">
        <f>Supplier_Perf_Table[[#This Row],[Calculated_Lead_Time2]]-Supplier_Perf_Table[[#This Row],[Calculated_Expected_Lead_Time]]</f>
        <v>1</v>
      </c>
      <c r="AB358" s="75">
        <v>1</v>
      </c>
      <c r="AC358" s="63" t="s">
        <v>135</v>
      </c>
      <c r="AD358" s="63" t="s">
        <v>74</v>
      </c>
      <c r="AE358" s="63" t="s">
        <v>105</v>
      </c>
      <c r="AF358" s="63" t="s">
        <v>106</v>
      </c>
      <c r="AG358" s="63" t="s">
        <v>54</v>
      </c>
      <c r="AH358" s="63" t="s">
        <v>136</v>
      </c>
      <c r="AI358" s="63" t="s">
        <v>191</v>
      </c>
      <c r="AJ358" s="63" t="s">
        <v>373</v>
      </c>
      <c r="AK358" s="83">
        <v>1.2</v>
      </c>
      <c r="AL358" s="63" t="s">
        <v>115</v>
      </c>
      <c r="AM358" s="63" t="s">
        <v>77</v>
      </c>
      <c r="AN358"/>
    </row>
    <row r="359" spans="1:40" ht="18" customHeight="1">
      <c r="A359" s="1" t="s">
        <v>1233</v>
      </c>
      <c r="B359" s="1" t="s">
        <v>1234</v>
      </c>
      <c r="C359" s="4">
        <v>46150</v>
      </c>
      <c r="D359" s="4">
        <v>46165</v>
      </c>
      <c r="E359" s="4">
        <v>46166</v>
      </c>
      <c r="F359" s="63" t="s">
        <v>142</v>
      </c>
      <c r="G359" s="63" t="s">
        <v>3843</v>
      </c>
      <c r="H359" s="63" t="s">
        <v>169</v>
      </c>
      <c r="I359" s="63" t="s">
        <v>61</v>
      </c>
      <c r="J359" s="63" t="s">
        <v>71</v>
      </c>
      <c r="K359" s="63" t="s">
        <v>1232</v>
      </c>
      <c r="L359" s="63" t="s">
        <v>553</v>
      </c>
      <c r="M359" s="69">
        <v>365.14</v>
      </c>
      <c r="N359" s="63" t="s">
        <v>65</v>
      </c>
      <c r="O359" s="73">
        <f>_xlfn.XLOOKUP(Supplier_Perf_Table[[#This Row],[Currency]],'Comments 2'!$C$4:$C$16,'Comments 2'!$D$4:$D$16)</f>
        <v>1</v>
      </c>
      <c r="P359" s="69">
        <f>IFERROR(Supplier_Perf_Table[[#This Row],[Unit_Cost]]*Supplier_Perf_Table[[#This Row],[Dollar Equivalent]],"")</f>
        <v>365.14</v>
      </c>
      <c r="Q359" s="75">
        <v>300</v>
      </c>
      <c r="R359" s="1">
        <v>109542</v>
      </c>
      <c r="S359" s="75">
        <f>Supplier_Perf_Table[[#This Row],[Unit_Cost]]*Supplier_Perf_Table[[#This Row],[Order_Quantity]]</f>
        <v>109542</v>
      </c>
      <c r="T359" s="75">
        <f>IFERROR(Supplier_Perf_Table[[#This Row],[Dollar Equivalent]]*Supplier_Perf_Table[[#This Row],[Ordered_Value]],"")</f>
        <v>109542</v>
      </c>
      <c r="U359" s="75">
        <v>15</v>
      </c>
      <c r="V359" s="7">
        <v>0.05</v>
      </c>
      <c r="W359" s="75">
        <v>16</v>
      </c>
      <c r="X359" s="55">
        <f>IFERROR(Supplier_Perf_Table[[#This Row],[Actual_Delivery_Date]]-Supplier_Perf_Table[[#This Row],[Order Date]],"")</f>
        <v>16</v>
      </c>
      <c r="Y359" s="75">
        <v>15</v>
      </c>
      <c r="Z359" s="56">
        <f>IFERROR(Supplier_Perf_Table[[#This Row],[Expected Delivery_Date]]-Supplier_Perf_Table[[#This Row],[Order Date]],"")</f>
        <v>15</v>
      </c>
      <c r="AA359" s="56">
        <f>Supplier_Perf_Table[[#This Row],[Calculated_Lead_Time2]]-Supplier_Perf_Table[[#This Row],[Calculated_Expected_Lead_Time]]</f>
        <v>1</v>
      </c>
      <c r="AB359" s="75">
        <v>1</v>
      </c>
      <c r="AC359" s="63" t="s">
        <v>135</v>
      </c>
      <c r="AD359" s="63" t="s">
        <v>420</v>
      </c>
      <c r="AE359" s="63" t="s">
        <v>105</v>
      </c>
      <c r="AF359" s="63" t="s">
        <v>3088</v>
      </c>
      <c r="AG359" s="63" t="s">
        <v>173</v>
      </c>
      <c r="AH359" s="63" t="s">
        <v>174</v>
      </c>
      <c r="AI359" s="63" t="s">
        <v>44</v>
      </c>
      <c r="AJ359" s="63" t="s">
        <v>373</v>
      </c>
      <c r="AK359" s="83">
        <v>3.1</v>
      </c>
      <c r="AL359" s="63" t="s">
        <v>108</v>
      </c>
      <c r="AM359" s="63" t="s">
        <v>77</v>
      </c>
      <c r="AN359"/>
    </row>
    <row r="360" spans="1:40" ht="18" customHeight="1">
      <c r="A360" s="1" t="s">
        <v>1235</v>
      </c>
      <c r="B360" s="1" t="s">
        <v>1236</v>
      </c>
      <c r="C360" s="4">
        <v>46192</v>
      </c>
      <c r="D360" s="4">
        <v>46195</v>
      </c>
      <c r="E360" s="4">
        <v>46198</v>
      </c>
      <c r="F360" s="63" t="s">
        <v>151</v>
      </c>
      <c r="G360" s="63" t="s">
        <v>3844</v>
      </c>
      <c r="H360" s="63" t="s">
        <v>152</v>
      </c>
      <c r="I360" s="63" t="s">
        <v>83</v>
      </c>
      <c r="J360" s="63" t="s">
        <v>112</v>
      </c>
      <c r="K360" s="63" t="s">
        <v>1237</v>
      </c>
      <c r="L360" s="63" t="s">
        <v>218</v>
      </c>
      <c r="M360" s="69">
        <v>332.43</v>
      </c>
      <c r="N360" s="63" t="s">
        <v>65</v>
      </c>
      <c r="O360" s="73">
        <f>_xlfn.XLOOKUP(Supplier_Perf_Table[[#This Row],[Currency]],'Comments 2'!$C$4:$C$16,'Comments 2'!$D$4:$D$16)</f>
        <v>1</v>
      </c>
      <c r="P360" s="69">
        <f>IFERROR(Supplier_Perf_Table[[#This Row],[Unit_Cost]]*Supplier_Perf_Table[[#This Row],[Dollar Equivalent]],"")</f>
        <v>332.43</v>
      </c>
      <c r="Q360" s="75">
        <v>100</v>
      </c>
      <c r="R360" s="1">
        <v>33243</v>
      </c>
      <c r="S360" s="75">
        <f>Supplier_Perf_Table[[#This Row],[Unit_Cost]]*Supplier_Perf_Table[[#This Row],[Order_Quantity]]</f>
        <v>33243</v>
      </c>
      <c r="T360" s="75">
        <f>IFERROR(Supplier_Perf_Table[[#This Row],[Dollar Equivalent]]*Supplier_Perf_Table[[#This Row],[Ordered_Value]],"")</f>
        <v>33243</v>
      </c>
      <c r="U360" s="75">
        <v>4</v>
      </c>
      <c r="V360" s="7">
        <v>0.04</v>
      </c>
      <c r="W360" s="75">
        <v>6</v>
      </c>
      <c r="X360" s="55">
        <f>IFERROR(Supplier_Perf_Table[[#This Row],[Actual_Delivery_Date]]-Supplier_Perf_Table[[#This Row],[Order Date]],"")</f>
        <v>6</v>
      </c>
      <c r="Y360" s="75">
        <v>3</v>
      </c>
      <c r="Z360" s="56">
        <f>IFERROR(Supplier_Perf_Table[[#This Row],[Expected Delivery_Date]]-Supplier_Perf_Table[[#This Row],[Order Date]],"")</f>
        <v>3</v>
      </c>
      <c r="AA360" s="56">
        <f>Supplier_Perf_Table[[#This Row],[Calculated_Lead_Time2]]-Supplier_Perf_Table[[#This Row],[Calculated_Expected_Lead_Time]]</f>
        <v>3</v>
      </c>
      <c r="AB360" s="75">
        <v>3</v>
      </c>
      <c r="AC360" s="63" t="s">
        <v>166</v>
      </c>
      <c r="AD360" s="63" t="s">
        <v>40</v>
      </c>
      <c r="AE360" s="63" t="s">
        <v>105</v>
      </c>
      <c r="AF360" s="63" t="s">
        <v>106</v>
      </c>
      <c r="AG360" s="63" t="s">
        <v>43</v>
      </c>
      <c r="AH360" s="63" t="s">
        <v>88</v>
      </c>
      <c r="AI360" s="63" t="s">
        <v>56</v>
      </c>
      <c r="AJ360" s="63" t="s">
        <v>138</v>
      </c>
      <c r="AK360" s="83">
        <v>3.1</v>
      </c>
      <c r="AL360" s="63" t="s">
        <v>57</v>
      </c>
      <c r="AM360" s="63" t="s">
        <v>46</v>
      </c>
      <c r="AN360"/>
    </row>
    <row r="361" spans="1:40" ht="18" customHeight="1">
      <c r="A361" s="1" t="s">
        <v>1238</v>
      </c>
      <c r="B361" s="1" t="s">
        <v>1239</v>
      </c>
      <c r="C361" s="4">
        <v>46060</v>
      </c>
      <c r="D361" s="4">
        <v>46068</v>
      </c>
      <c r="E361" s="4">
        <v>46075</v>
      </c>
      <c r="F361" s="63" t="s">
        <v>80</v>
      </c>
      <c r="G361" s="63" t="s">
        <v>3839</v>
      </c>
      <c r="H361" s="63" t="s">
        <v>82</v>
      </c>
      <c r="I361" s="63" t="s">
        <v>120</v>
      </c>
      <c r="J361" s="63" t="s">
        <v>35</v>
      </c>
      <c r="K361" s="63" t="s">
        <v>1240</v>
      </c>
      <c r="L361" s="63" t="s">
        <v>180</v>
      </c>
      <c r="M361" s="69">
        <v>2979.42</v>
      </c>
      <c r="N361" s="63" t="s">
        <v>159</v>
      </c>
      <c r="O361" s="73">
        <f>_xlfn.XLOOKUP(Supplier_Perf_Table[[#This Row],[Currency]],'Comments 2'!$C$4:$C$16,'Comments 2'!$D$4:$D$16)</f>
        <v>7.2999999999999996E-4</v>
      </c>
      <c r="P361" s="69">
        <f>IFERROR(Supplier_Perf_Table[[#This Row],[Unit_Cost]]*Supplier_Perf_Table[[#This Row],[Dollar Equivalent]],"")</f>
        <v>2.1749765999999999</v>
      </c>
      <c r="Q361" s="75">
        <v>300</v>
      </c>
      <c r="R361" s="1">
        <v>893826</v>
      </c>
      <c r="S361" s="75">
        <f>Supplier_Perf_Table[[#This Row],[Unit_Cost]]*Supplier_Perf_Table[[#This Row],[Order_Quantity]]</f>
        <v>893826</v>
      </c>
      <c r="T361" s="75">
        <f>IFERROR(Supplier_Perf_Table[[#This Row],[Dollar Equivalent]]*Supplier_Perf_Table[[#This Row],[Ordered_Value]],"")</f>
        <v>652.49297999999999</v>
      </c>
      <c r="U361" s="75">
        <v>0</v>
      </c>
      <c r="V361" s="7">
        <v>0</v>
      </c>
      <c r="W361" s="75">
        <v>15</v>
      </c>
      <c r="X361" s="55">
        <f>IFERROR(Supplier_Perf_Table[[#This Row],[Actual_Delivery_Date]]-Supplier_Perf_Table[[#This Row],[Order Date]],"")</f>
        <v>15</v>
      </c>
      <c r="Y361" s="75">
        <v>8</v>
      </c>
      <c r="Z361" s="56">
        <f>IFERROR(Supplier_Perf_Table[[#This Row],[Expected Delivery_Date]]-Supplier_Perf_Table[[#This Row],[Order Date]],"")</f>
        <v>8</v>
      </c>
      <c r="AA361" s="56">
        <f>Supplier_Perf_Table[[#This Row],[Calculated_Lead_Time2]]-Supplier_Perf_Table[[#This Row],[Calculated_Expected_Lead_Time]]</f>
        <v>7</v>
      </c>
      <c r="AB361" s="75">
        <v>7</v>
      </c>
      <c r="AC361" s="63" t="s">
        <v>39</v>
      </c>
      <c r="AD361" s="63" t="s">
        <v>40</v>
      </c>
      <c r="AE361" s="63" t="s">
        <v>3088</v>
      </c>
      <c r="AF361" s="63" t="s">
        <v>42</v>
      </c>
      <c r="AG361" s="63" t="s">
        <v>173</v>
      </c>
      <c r="AH361" s="63" t="s">
        <v>3112</v>
      </c>
      <c r="AI361" s="63" t="s">
        <v>95</v>
      </c>
      <c r="AJ361" s="63" t="s">
        <v>138</v>
      </c>
      <c r="AK361" s="83">
        <v>2.8</v>
      </c>
      <c r="AL361" s="63" t="s">
        <v>57</v>
      </c>
      <c r="AM361" s="63" t="s">
        <v>148</v>
      </c>
      <c r="AN361"/>
    </row>
    <row r="362" spans="1:40" ht="18" customHeight="1">
      <c r="A362" s="1" t="s">
        <v>1241</v>
      </c>
      <c r="B362" s="1" t="s">
        <v>1242</v>
      </c>
      <c r="C362" s="4">
        <v>46162</v>
      </c>
      <c r="D362" s="4">
        <v>46169</v>
      </c>
      <c r="E362" s="4">
        <v>46174</v>
      </c>
      <c r="F362" s="63" t="s">
        <v>80</v>
      </c>
      <c r="G362" s="63" t="s">
        <v>3839</v>
      </c>
      <c r="H362" s="63" t="s">
        <v>82</v>
      </c>
      <c r="I362" s="63" t="s">
        <v>49</v>
      </c>
      <c r="J362" s="63" t="s">
        <v>35</v>
      </c>
      <c r="K362" s="63" t="s">
        <v>1243</v>
      </c>
      <c r="L362" s="63" t="s">
        <v>200</v>
      </c>
      <c r="M362" s="69">
        <v>201.41</v>
      </c>
      <c r="N362" s="63" t="s">
        <v>104</v>
      </c>
      <c r="O362" s="73">
        <f>_xlfn.XLOOKUP(Supplier_Perf_Table[[#This Row],[Currency]],'Comments 2'!$C$4:$C$16,'Comments 2'!$D$4:$D$16)</f>
        <v>1.9E-2</v>
      </c>
      <c r="P362" s="69">
        <f>IFERROR(Supplier_Perf_Table[[#This Row],[Unit_Cost]]*Supplier_Perf_Table[[#This Row],[Dollar Equivalent]],"")</f>
        <v>3.8267899999999999</v>
      </c>
      <c r="Q362" s="75">
        <v>250</v>
      </c>
      <c r="R362" s="1">
        <v>50352.5</v>
      </c>
      <c r="S362" s="75">
        <f>Supplier_Perf_Table[[#This Row],[Unit_Cost]]*Supplier_Perf_Table[[#This Row],[Order_Quantity]]</f>
        <v>50352.5</v>
      </c>
      <c r="T362" s="75">
        <f>IFERROR(Supplier_Perf_Table[[#This Row],[Dollar Equivalent]]*Supplier_Perf_Table[[#This Row],[Ordered_Value]],"")</f>
        <v>956.69749999999999</v>
      </c>
      <c r="U362" s="75">
        <v>0</v>
      </c>
      <c r="V362" s="7">
        <v>0</v>
      </c>
      <c r="W362" s="75">
        <v>12</v>
      </c>
      <c r="X362" s="55">
        <f>IFERROR(Supplier_Perf_Table[[#This Row],[Actual_Delivery_Date]]-Supplier_Perf_Table[[#This Row],[Order Date]],"")</f>
        <v>12</v>
      </c>
      <c r="Y362" s="75">
        <v>7</v>
      </c>
      <c r="Z362" s="56">
        <f>IFERROR(Supplier_Perf_Table[[#This Row],[Expected Delivery_Date]]-Supplier_Perf_Table[[#This Row],[Order Date]],"")</f>
        <v>7</v>
      </c>
      <c r="AA362" s="56">
        <f>Supplier_Perf_Table[[#This Row],[Calculated_Lead_Time2]]-Supplier_Perf_Table[[#This Row],[Calculated_Expected_Lead_Time]]</f>
        <v>5</v>
      </c>
      <c r="AB362" s="75">
        <v>5</v>
      </c>
      <c r="AC362" s="63" t="s">
        <v>205</v>
      </c>
      <c r="AD362" s="63" t="s">
        <v>40</v>
      </c>
      <c r="AE362" s="63" t="s">
        <v>41</v>
      </c>
      <c r="AF362" s="63" t="s">
        <v>42</v>
      </c>
      <c r="AG362" s="63" t="s">
        <v>128</v>
      </c>
      <c r="AH362" s="63" t="s">
        <v>3112</v>
      </c>
      <c r="AI362" s="63" t="s">
        <v>56</v>
      </c>
      <c r="AJ362" s="63" t="s">
        <v>138</v>
      </c>
      <c r="AK362" s="83">
        <v>4.5999999999999996</v>
      </c>
      <c r="AL362" s="63" t="s">
        <v>45</v>
      </c>
      <c r="AM362" s="63" t="s">
        <v>46</v>
      </c>
      <c r="AN362"/>
    </row>
    <row r="363" spans="1:40" ht="18" customHeight="1">
      <c r="A363" s="1" t="s">
        <v>1244</v>
      </c>
      <c r="B363" s="1" t="s">
        <v>1245</v>
      </c>
      <c r="C363" s="4">
        <v>46065</v>
      </c>
      <c r="D363" s="4">
        <v>46079</v>
      </c>
      <c r="E363" s="4">
        <v>46076</v>
      </c>
      <c r="F363" s="63" t="s">
        <v>235</v>
      </c>
      <c r="G363" s="63" t="s">
        <v>3848</v>
      </c>
      <c r="H363" s="63" t="s">
        <v>479</v>
      </c>
      <c r="I363" s="63" t="s">
        <v>178</v>
      </c>
      <c r="J363" s="63" t="s">
        <v>71</v>
      </c>
      <c r="K363" s="63" t="s">
        <v>1246</v>
      </c>
      <c r="L363" s="63" t="s">
        <v>553</v>
      </c>
      <c r="M363" s="69">
        <v>345.45</v>
      </c>
      <c r="N363" s="63" t="s">
        <v>38</v>
      </c>
      <c r="O363" s="73">
        <f>_xlfn.XLOOKUP(Supplier_Perf_Table[[#This Row],[Currency]],'Comments 2'!$C$4:$C$16,'Comments 2'!$D$4:$D$16)</f>
        <v>7.7000000000000002E-3</v>
      </c>
      <c r="P363" s="69">
        <f>IFERROR(Supplier_Perf_Table[[#This Row],[Unit_Cost]]*Supplier_Perf_Table[[#This Row],[Dollar Equivalent]],"")</f>
        <v>2.6599650000000001</v>
      </c>
      <c r="Q363" s="75">
        <v>100</v>
      </c>
      <c r="R363" s="1">
        <v>34545</v>
      </c>
      <c r="S363" s="75">
        <f>Supplier_Perf_Table[[#This Row],[Unit_Cost]]*Supplier_Perf_Table[[#This Row],[Order_Quantity]]</f>
        <v>34545</v>
      </c>
      <c r="T363" s="75">
        <f>IFERROR(Supplier_Perf_Table[[#This Row],[Dollar Equivalent]]*Supplier_Perf_Table[[#This Row],[Ordered_Value]],"")</f>
        <v>265.99650000000003</v>
      </c>
      <c r="U363" s="75">
        <v>0</v>
      </c>
      <c r="V363" s="7">
        <v>0</v>
      </c>
      <c r="W363" s="75">
        <v>11</v>
      </c>
      <c r="X363" s="55">
        <f>IFERROR(Supplier_Perf_Table[[#This Row],[Actual_Delivery_Date]]-Supplier_Perf_Table[[#This Row],[Order Date]],"")</f>
        <v>11</v>
      </c>
      <c r="Y363" s="75">
        <v>14</v>
      </c>
      <c r="Z363" s="56">
        <f>IFERROR(Supplier_Perf_Table[[#This Row],[Expected Delivery_Date]]-Supplier_Perf_Table[[#This Row],[Order Date]],"")</f>
        <v>14</v>
      </c>
      <c r="AA363" s="56">
        <f>Supplier_Perf_Table[[#This Row],[Calculated_Lead_Time2]]-Supplier_Perf_Table[[#This Row],[Calculated_Expected_Lead_Time]]</f>
        <v>-3</v>
      </c>
      <c r="AB363" s="75">
        <v>-3</v>
      </c>
      <c r="AC363" s="63" t="s">
        <v>87</v>
      </c>
      <c r="AD363" s="63" t="s">
        <v>40</v>
      </c>
      <c r="AE363" s="63" t="s">
        <v>3088</v>
      </c>
      <c r="AF363" s="63" t="s">
        <v>212</v>
      </c>
      <c r="AG363" s="63" t="s">
        <v>107</v>
      </c>
      <c r="AH363" s="63" t="s">
        <v>136</v>
      </c>
      <c r="AI363" s="63" t="s">
        <v>56</v>
      </c>
      <c r="AJ363" s="63" t="s">
        <v>138</v>
      </c>
      <c r="AK363" s="83">
        <v>3</v>
      </c>
      <c r="AL363" s="63" t="s">
        <v>139</v>
      </c>
      <c r="AM363" s="63" t="s">
        <v>130</v>
      </c>
      <c r="AN363"/>
    </row>
    <row r="364" spans="1:40" ht="18" customHeight="1">
      <c r="A364" s="1" t="s">
        <v>959</v>
      </c>
      <c r="B364" s="1" t="s">
        <v>1247</v>
      </c>
      <c r="C364" s="4">
        <v>46109</v>
      </c>
      <c r="D364" s="4">
        <v>46120</v>
      </c>
      <c r="E364" s="4">
        <v>46120</v>
      </c>
      <c r="F364" s="63" t="s">
        <v>209</v>
      </c>
      <c r="G364" s="63" t="s">
        <v>3845</v>
      </c>
      <c r="H364" s="63" t="s">
        <v>316</v>
      </c>
      <c r="I364" s="63" t="s">
        <v>83</v>
      </c>
      <c r="J364" s="63" t="s">
        <v>153</v>
      </c>
      <c r="K364" s="63" t="s">
        <v>1248</v>
      </c>
      <c r="L364" s="63" t="s">
        <v>155</v>
      </c>
      <c r="M364" s="69">
        <v>80.37</v>
      </c>
      <c r="N364" s="63" t="s">
        <v>86</v>
      </c>
      <c r="O364" s="73">
        <f>_xlfn.XLOOKUP(Supplier_Perf_Table[[#This Row],[Currency]],'Comments 2'!$C$4:$C$16,'Comments 2'!$D$4:$D$16)</f>
        <v>8.8999999999999996E-2</v>
      </c>
      <c r="P364" s="69">
        <f>IFERROR(Supplier_Perf_Table[[#This Row],[Unit_Cost]]*Supplier_Perf_Table[[#This Row],[Dollar Equivalent]],"")</f>
        <v>7.1529300000000005</v>
      </c>
      <c r="Q364" s="75">
        <v>150</v>
      </c>
      <c r="R364" s="1">
        <v>12055.5</v>
      </c>
      <c r="S364" s="75">
        <f>Supplier_Perf_Table[[#This Row],[Unit_Cost]]*Supplier_Perf_Table[[#This Row],[Order_Quantity]]</f>
        <v>12055.5</v>
      </c>
      <c r="T364" s="75">
        <f>IFERROR(Supplier_Perf_Table[[#This Row],[Dollar Equivalent]]*Supplier_Perf_Table[[#This Row],[Ordered_Value]],"")</f>
        <v>1072.9395</v>
      </c>
      <c r="U364" s="75">
        <v>1</v>
      </c>
      <c r="V364" s="7">
        <v>6.7000000000000002E-3</v>
      </c>
      <c r="W364" s="75" t="s">
        <v>3080</v>
      </c>
      <c r="X364" s="55">
        <f>IFERROR(Supplier_Perf_Table[[#This Row],[Actual_Delivery_Date]]-Supplier_Perf_Table[[#This Row],[Order Date]],"")</f>
        <v>11</v>
      </c>
      <c r="Y364" s="75">
        <v>11</v>
      </c>
      <c r="Z364" s="56">
        <f>IFERROR(Supplier_Perf_Table[[#This Row],[Expected Delivery_Date]]-Supplier_Perf_Table[[#This Row],[Order Date]],"")</f>
        <v>11</v>
      </c>
      <c r="AA364" s="56">
        <f>Supplier_Perf_Table[[#This Row],[Calculated_Lead_Time2]]-Supplier_Perf_Table[[#This Row],[Calculated_Expected_Lead_Time]]</f>
        <v>0</v>
      </c>
      <c r="AB364" s="75">
        <v>0</v>
      </c>
      <c r="AC364" s="63" t="s">
        <v>87</v>
      </c>
      <c r="AD364" s="63" t="s">
        <v>40</v>
      </c>
      <c r="AE364" s="63" t="s">
        <v>127</v>
      </c>
      <c r="AF364" s="63" t="s">
        <v>106</v>
      </c>
      <c r="AG364" s="63" t="s">
        <v>3088</v>
      </c>
      <c r="AH364" s="63" t="s">
        <v>136</v>
      </c>
      <c r="AI364" s="63" t="s">
        <v>138</v>
      </c>
      <c r="AJ364" s="63" t="s">
        <v>138</v>
      </c>
      <c r="AK364" s="83">
        <v>2.9</v>
      </c>
      <c r="AL364" s="63" t="s">
        <v>57</v>
      </c>
      <c r="AM364" s="63" t="s">
        <v>130</v>
      </c>
      <c r="AN364"/>
    </row>
    <row r="365" spans="1:40" ht="18" customHeight="1">
      <c r="A365" s="1" t="s">
        <v>1249</v>
      </c>
      <c r="B365" s="1" t="s">
        <v>1250</v>
      </c>
      <c r="C365" s="4">
        <v>46087</v>
      </c>
      <c r="D365" s="4">
        <v>46099</v>
      </c>
      <c r="E365" s="4">
        <v>46110</v>
      </c>
      <c r="F365" s="63" t="s">
        <v>100</v>
      </c>
      <c r="G365" s="63" t="s">
        <v>3841</v>
      </c>
      <c r="H365" s="63" t="s">
        <v>102</v>
      </c>
      <c r="I365" s="63" t="s">
        <v>34</v>
      </c>
      <c r="J365" s="63" t="s">
        <v>50</v>
      </c>
      <c r="K365" s="63" t="s">
        <v>1251</v>
      </c>
      <c r="L365" s="63" t="s">
        <v>52</v>
      </c>
      <c r="M365" s="69">
        <v>1534.4</v>
      </c>
      <c r="N365" s="63" t="s">
        <v>38</v>
      </c>
      <c r="O365" s="73">
        <f>_xlfn.XLOOKUP(Supplier_Perf_Table[[#This Row],[Currency]],'Comments 2'!$C$4:$C$16,'Comments 2'!$D$4:$D$16)</f>
        <v>7.7000000000000002E-3</v>
      </c>
      <c r="P365" s="69">
        <f>IFERROR(Supplier_Perf_Table[[#This Row],[Unit_Cost]]*Supplier_Perf_Table[[#This Row],[Dollar Equivalent]],"")</f>
        <v>11.81488</v>
      </c>
      <c r="Q365" s="75">
        <v>50</v>
      </c>
      <c r="R365" s="1">
        <v>76720</v>
      </c>
      <c r="S365" s="75">
        <f>Supplier_Perf_Table[[#This Row],[Unit_Cost]]*Supplier_Perf_Table[[#This Row],[Order_Quantity]]</f>
        <v>76720</v>
      </c>
      <c r="T365" s="75">
        <f>IFERROR(Supplier_Perf_Table[[#This Row],[Dollar Equivalent]]*Supplier_Perf_Table[[#This Row],[Ordered_Value]],"")</f>
        <v>590.74400000000003</v>
      </c>
      <c r="U365" s="75">
        <v>4</v>
      </c>
      <c r="V365" s="7">
        <v>0.08</v>
      </c>
      <c r="W365" s="75">
        <v>23</v>
      </c>
      <c r="X365" s="55">
        <f>IFERROR(Supplier_Perf_Table[[#This Row],[Actual_Delivery_Date]]-Supplier_Perf_Table[[#This Row],[Order Date]],"")</f>
        <v>23</v>
      </c>
      <c r="Y365" s="75">
        <v>12</v>
      </c>
      <c r="Z365" s="56">
        <f>IFERROR(Supplier_Perf_Table[[#This Row],[Expected Delivery_Date]]-Supplier_Perf_Table[[#This Row],[Order Date]],"")</f>
        <v>12</v>
      </c>
      <c r="AA365" s="56">
        <f>Supplier_Perf_Table[[#This Row],[Calculated_Lead_Time2]]-Supplier_Perf_Table[[#This Row],[Calculated_Expected_Lead_Time]]</f>
        <v>11</v>
      </c>
      <c r="AB365" s="75">
        <v>11</v>
      </c>
      <c r="AC365" s="63" t="s">
        <v>135</v>
      </c>
      <c r="AD365" s="63" t="s">
        <v>366</v>
      </c>
      <c r="AE365" s="63" t="s">
        <v>41</v>
      </c>
      <c r="AF365" s="63" t="s">
        <v>42</v>
      </c>
      <c r="AG365" s="63" t="s">
        <v>107</v>
      </c>
      <c r="AH365" s="63" t="s">
        <v>129</v>
      </c>
      <c r="AI365" s="63" t="s">
        <v>95</v>
      </c>
      <c r="AJ365" s="63" t="s">
        <v>183</v>
      </c>
      <c r="AK365" s="83">
        <v>2.2000000000000002</v>
      </c>
      <c r="AL365" s="63" t="s">
        <v>45</v>
      </c>
      <c r="AM365" s="63" t="s">
        <v>77</v>
      </c>
      <c r="AN365"/>
    </row>
    <row r="366" spans="1:40" ht="18" customHeight="1">
      <c r="A366" s="63" t="s">
        <v>1252</v>
      </c>
      <c r="B366" s="63" t="s">
        <v>1253</v>
      </c>
      <c r="C366" s="4">
        <v>46115</v>
      </c>
      <c r="D366" s="4">
        <v>46080</v>
      </c>
      <c r="E366" s="4">
        <v>46091</v>
      </c>
      <c r="F366" s="63" t="s">
        <v>142</v>
      </c>
      <c r="G366" s="63" t="s">
        <v>3843</v>
      </c>
      <c r="H366" s="63" t="s">
        <v>169</v>
      </c>
      <c r="I366" s="63" t="s">
        <v>241</v>
      </c>
      <c r="J366" s="63" t="s">
        <v>50</v>
      </c>
      <c r="K366" s="63" t="s">
        <v>1254</v>
      </c>
      <c r="L366" s="63" t="s">
        <v>52</v>
      </c>
      <c r="M366" s="69">
        <v>2513.84</v>
      </c>
      <c r="N366" s="63" t="s">
        <v>53</v>
      </c>
      <c r="O366" s="73">
        <f>_xlfn.XLOOKUP(Supplier_Perf_Table[[#This Row],[Currency]],'Comments 2'!$C$4:$C$16,'Comments 2'!$D$4:$D$16)</f>
        <v>6.0999999999999999E-2</v>
      </c>
      <c r="P366" s="69">
        <f>IFERROR(Supplier_Perf_Table[[#This Row],[Unit_Cost]]*Supplier_Perf_Table[[#This Row],[Dollar Equivalent]],"")</f>
        <v>153.34424000000001</v>
      </c>
      <c r="Q366" s="75">
        <v>750</v>
      </c>
      <c r="R366" s="1" t="s">
        <v>3080</v>
      </c>
      <c r="S366" s="75">
        <f>Supplier_Perf_Table[[#This Row],[Unit_Cost]]*Supplier_Perf_Table[[#This Row],[Order_Quantity]]</f>
        <v>1885380</v>
      </c>
      <c r="T366" s="75" t="str">
        <f>IFERROR(Supplier_Perf_Table[[#This Row],[Dollar Equivalent]]*Supplier_Perf_Table[[#This Row],[Ordered_Value]],"")</f>
        <v/>
      </c>
      <c r="U366" s="75">
        <v>12</v>
      </c>
      <c r="V366" s="7">
        <v>1.6E-2</v>
      </c>
      <c r="W366" s="75">
        <v>27</v>
      </c>
      <c r="X366" s="55">
        <v>27</v>
      </c>
      <c r="Y366" s="75" t="s">
        <v>3080</v>
      </c>
      <c r="Z366" s="56">
        <v>11</v>
      </c>
      <c r="AA366" s="56">
        <f>Supplier_Perf_Table[[#This Row],[Calculated_Lead_Time2]]-Supplier_Perf_Table[[#This Row],[Calculated_Expected_Lead_Time]]</f>
        <v>16</v>
      </c>
      <c r="AB366" s="75">
        <v>11</v>
      </c>
      <c r="AC366" s="63" t="s">
        <v>205</v>
      </c>
      <c r="AD366" s="63" t="s">
        <v>40</v>
      </c>
      <c r="AE366" s="63" t="s">
        <v>105</v>
      </c>
      <c r="AF366" s="63" t="s">
        <v>66</v>
      </c>
      <c r="AG366" s="63" t="s">
        <v>173</v>
      </c>
      <c r="AH366" s="63" t="s">
        <v>3112</v>
      </c>
      <c r="AI366" s="63" t="s">
        <v>95</v>
      </c>
      <c r="AJ366" s="63" t="s">
        <v>138</v>
      </c>
      <c r="AK366" s="83">
        <v>2</v>
      </c>
      <c r="AL366" s="63" t="s">
        <v>108</v>
      </c>
      <c r="AM366" s="63" t="s">
        <v>46</v>
      </c>
      <c r="AN366"/>
    </row>
    <row r="367" spans="1:40" ht="18" customHeight="1">
      <c r="A367" s="1" t="s">
        <v>1255</v>
      </c>
      <c r="B367" s="1" t="s">
        <v>1256</v>
      </c>
      <c r="C367" s="4">
        <v>46131</v>
      </c>
      <c r="D367" s="4">
        <v>46138</v>
      </c>
      <c r="E367" s="4">
        <v>46140</v>
      </c>
      <c r="F367" s="63" t="s">
        <v>151</v>
      </c>
      <c r="G367" s="63" t="s">
        <v>3844</v>
      </c>
      <c r="H367" s="63" t="s">
        <v>152</v>
      </c>
      <c r="I367" s="63" t="s">
        <v>49</v>
      </c>
      <c r="J367" s="63" t="s">
        <v>112</v>
      </c>
      <c r="K367" s="63" t="s">
        <v>1257</v>
      </c>
      <c r="L367" s="63" t="s">
        <v>218</v>
      </c>
      <c r="M367" s="69">
        <v>235.41</v>
      </c>
      <c r="N367" s="63" t="s">
        <v>53</v>
      </c>
      <c r="O367" s="73">
        <f>_xlfn.XLOOKUP(Supplier_Perf_Table[[#This Row],[Currency]],'Comments 2'!$C$4:$C$16,'Comments 2'!$D$4:$D$16)</f>
        <v>6.0999999999999999E-2</v>
      </c>
      <c r="P367" s="69">
        <f>IFERROR(Supplier_Perf_Table[[#This Row],[Unit_Cost]]*Supplier_Perf_Table[[#This Row],[Dollar Equivalent]],"")</f>
        <v>14.360009999999999</v>
      </c>
      <c r="Q367" s="75">
        <v>500</v>
      </c>
      <c r="R367" s="1">
        <v>117705</v>
      </c>
      <c r="S367" s="75">
        <f>Supplier_Perf_Table[[#This Row],[Unit_Cost]]*Supplier_Perf_Table[[#This Row],[Order_Quantity]]</f>
        <v>117705</v>
      </c>
      <c r="T367" s="75">
        <f>IFERROR(Supplier_Perf_Table[[#This Row],[Dollar Equivalent]]*Supplier_Perf_Table[[#This Row],[Ordered_Value]],"")</f>
        <v>7180.0050000000001</v>
      </c>
      <c r="U367" s="75">
        <v>10</v>
      </c>
      <c r="V367" s="7">
        <v>0.02</v>
      </c>
      <c r="W367" s="75">
        <v>9</v>
      </c>
      <c r="X367" s="55">
        <f>IFERROR(Supplier_Perf_Table[[#This Row],[Actual_Delivery_Date]]-Supplier_Perf_Table[[#This Row],[Order Date]],"")</f>
        <v>9</v>
      </c>
      <c r="Y367" s="75">
        <v>7</v>
      </c>
      <c r="Z367" s="56">
        <f>IFERROR(Supplier_Perf_Table[[#This Row],[Expected Delivery_Date]]-Supplier_Perf_Table[[#This Row],[Order Date]],"")</f>
        <v>7</v>
      </c>
      <c r="AA367" s="56">
        <f>Supplier_Perf_Table[[#This Row],[Calculated_Lead_Time2]]-Supplier_Perf_Table[[#This Row],[Calculated_Expected_Lead_Time]]</f>
        <v>2</v>
      </c>
      <c r="AB367" s="75">
        <v>2</v>
      </c>
      <c r="AC367" s="63" t="s">
        <v>135</v>
      </c>
      <c r="AD367" s="63" t="s">
        <v>40</v>
      </c>
      <c r="AE367" s="63" t="s">
        <v>105</v>
      </c>
      <c r="AF367" s="63" t="s">
        <v>3088</v>
      </c>
      <c r="AG367" s="63" t="s">
        <v>128</v>
      </c>
      <c r="AH367" s="63" t="s">
        <v>3112</v>
      </c>
      <c r="AI367" s="63" t="s">
        <v>56</v>
      </c>
      <c r="AJ367" s="63" t="s">
        <v>138</v>
      </c>
      <c r="AK367" s="83">
        <v>3</v>
      </c>
      <c r="AL367" s="63" t="s">
        <v>184</v>
      </c>
      <c r="AM367" s="63" t="s">
        <v>46</v>
      </c>
      <c r="AN367"/>
    </row>
    <row r="368" spans="1:40" ht="18" customHeight="1">
      <c r="A368" s="1" t="s">
        <v>1258</v>
      </c>
      <c r="B368" s="1" t="s">
        <v>1259</v>
      </c>
      <c r="C368" s="4">
        <v>46190</v>
      </c>
      <c r="D368" s="4">
        <v>46214</v>
      </c>
      <c r="E368" s="4">
        <v>46207</v>
      </c>
      <c r="F368" s="63" t="s">
        <v>235</v>
      </c>
      <c r="G368" s="63" t="s">
        <v>3848</v>
      </c>
      <c r="H368" s="63" t="s">
        <v>479</v>
      </c>
      <c r="I368" s="63" t="s">
        <v>34</v>
      </c>
      <c r="J368" s="63" t="s">
        <v>71</v>
      </c>
      <c r="K368" s="63" t="s">
        <v>1260</v>
      </c>
      <c r="L368" s="63" t="s">
        <v>553</v>
      </c>
      <c r="M368" s="69" t="s">
        <v>3080</v>
      </c>
      <c r="N368" s="63" t="s">
        <v>38</v>
      </c>
      <c r="O368" s="73">
        <f>_xlfn.XLOOKUP(Supplier_Perf_Table[[#This Row],[Currency]],'Comments 2'!$C$4:$C$16,'Comments 2'!$D$4:$D$16)</f>
        <v>7.7000000000000002E-3</v>
      </c>
      <c r="P368" s="69" t="str">
        <f>IFERROR(Supplier_Perf_Table[[#This Row],[Unit_Cost]]*Supplier_Perf_Table[[#This Row],[Dollar Equivalent]],"")</f>
        <v/>
      </c>
      <c r="Q368" s="75">
        <v>150</v>
      </c>
      <c r="R368" s="1">
        <v>64164</v>
      </c>
      <c r="S368" s="75" t="e">
        <f>Supplier_Perf_Table[[#This Row],[Unit_Cost]]*Supplier_Perf_Table[[#This Row],[Order_Quantity]]</f>
        <v>#VALUE!</v>
      </c>
      <c r="T368" s="75">
        <f>IFERROR(Supplier_Perf_Table[[#This Row],[Dollar Equivalent]]*Supplier_Perf_Table[[#This Row],[Ordered_Value]],"")</f>
        <v>494.06280000000004</v>
      </c>
      <c r="U368" s="75">
        <v>10</v>
      </c>
      <c r="V368" s="7">
        <v>6.6699999999999995E-2</v>
      </c>
      <c r="W368" s="75">
        <v>17</v>
      </c>
      <c r="X368" s="55">
        <f>IFERROR(Supplier_Perf_Table[[#This Row],[Actual_Delivery_Date]]-Supplier_Perf_Table[[#This Row],[Order Date]],"")</f>
        <v>17</v>
      </c>
      <c r="Y368" s="75">
        <v>24</v>
      </c>
      <c r="Z368" s="56">
        <f>IFERROR(Supplier_Perf_Table[[#This Row],[Expected Delivery_Date]]-Supplier_Perf_Table[[#This Row],[Order Date]],"")</f>
        <v>24</v>
      </c>
      <c r="AA368" s="56">
        <f>Supplier_Perf_Table[[#This Row],[Calculated_Lead_Time2]]-Supplier_Perf_Table[[#This Row],[Calculated_Expected_Lead_Time]]</f>
        <v>-7</v>
      </c>
      <c r="AB368" s="75">
        <v>-7</v>
      </c>
      <c r="AC368" s="63" t="s">
        <v>87</v>
      </c>
      <c r="AD368" s="63" t="s">
        <v>74</v>
      </c>
      <c r="AE368" s="63" t="s">
        <v>41</v>
      </c>
      <c r="AF368" s="63" t="s">
        <v>106</v>
      </c>
      <c r="AG368" s="63" t="s">
        <v>128</v>
      </c>
      <c r="AH368" s="63" t="s">
        <v>136</v>
      </c>
      <c r="AI368" s="63" t="s">
        <v>44</v>
      </c>
      <c r="AJ368" s="63" t="s">
        <v>283</v>
      </c>
      <c r="AK368" s="83">
        <v>2</v>
      </c>
      <c r="AL368" s="63" t="s">
        <v>184</v>
      </c>
      <c r="AM368" s="63" t="s">
        <v>97</v>
      </c>
      <c r="AN368"/>
    </row>
    <row r="369" spans="1:40" ht="18" customHeight="1">
      <c r="A369" s="1" t="s">
        <v>1261</v>
      </c>
      <c r="B369" s="1" t="s">
        <v>1262</v>
      </c>
      <c r="C369" s="4">
        <v>46203</v>
      </c>
      <c r="D369" s="4">
        <v>46213</v>
      </c>
      <c r="E369" s="4">
        <v>46212</v>
      </c>
      <c r="F369" s="63" t="s">
        <v>215</v>
      </c>
      <c r="G369" s="63" t="s">
        <v>3846</v>
      </c>
      <c r="H369" s="63" t="s">
        <v>152</v>
      </c>
      <c r="I369" s="63" t="s">
        <v>178</v>
      </c>
      <c r="J369" s="63" t="s">
        <v>112</v>
      </c>
      <c r="K369" s="63" t="s">
        <v>1263</v>
      </c>
      <c r="L369" s="63" t="s">
        <v>246</v>
      </c>
      <c r="M369" s="69">
        <v>679.37</v>
      </c>
      <c r="N369" s="63" t="s">
        <v>159</v>
      </c>
      <c r="O369" s="73">
        <f>_xlfn.XLOOKUP(Supplier_Perf_Table[[#This Row],[Currency]],'Comments 2'!$C$4:$C$16,'Comments 2'!$D$4:$D$16)</f>
        <v>7.2999999999999996E-4</v>
      </c>
      <c r="P369" s="69">
        <f>IFERROR(Supplier_Perf_Table[[#This Row],[Unit_Cost]]*Supplier_Perf_Table[[#This Row],[Dollar Equivalent]],"")</f>
        <v>0.49594009999999999</v>
      </c>
      <c r="Q369" s="75">
        <v>300</v>
      </c>
      <c r="R369" s="1">
        <v>203811</v>
      </c>
      <c r="S369" s="75">
        <f>Supplier_Perf_Table[[#This Row],[Unit_Cost]]*Supplier_Perf_Table[[#This Row],[Order_Quantity]]</f>
        <v>203811</v>
      </c>
      <c r="T369" s="75">
        <f>IFERROR(Supplier_Perf_Table[[#This Row],[Dollar Equivalent]]*Supplier_Perf_Table[[#This Row],[Ordered_Value]],"")</f>
        <v>148.78202999999999</v>
      </c>
      <c r="U369" s="75">
        <v>3</v>
      </c>
      <c r="V369" s="7">
        <v>0.01</v>
      </c>
      <c r="W369" s="75">
        <v>9</v>
      </c>
      <c r="X369" s="55">
        <f>IFERROR(Supplier_Perf_Table[[#This Row],[Actual_Delivery_Date]]-Supplier_Perf_Table[[#This Row],[Order Date]],"")</f>
        <v>9</v>
      </c>
      <c r="Y369" s="75">
        <v>10</v>
      </c>
      <c r="Z369" s="56">
        <f>IFERROR(Supplier_Perf_Table[[#This Row],[Expected Delivery_Date]]-Supplier_Perf_Table[[#This Row],[Order Date]],"")</f>
        <v>10</v>
      </c>
      <c r="AA369" s="56">
        <f>Supplier_Perf_Table[[#This Row],[Calculated_Lead_Time2]]-Supplier_Perf_Table[[#This Row],[Calculated_Expected_Lead_Time]]</f>
        <v>-1</v>
      </c>
      <c r="AB369" s="75">
        <v>-1</v>
      </c>
      <c r="AC369" s="63" t="s">
        <v>87</v>
      </c>
      <c r="AD369" s="63" t="s">
        <v>40</v>
      </c>
      <c r="AE369" s="63" t="s">
        <v>146</v>
      </c>
      <c r="AF369" s="63" t="s">
        <v>42</v>
      </c>
      <c r="AG369" s="63" t="s">
        <v>173</v>
      </c>
      <c r="AH369" s="63" t="s">
        <v>136</v>
      </c>
      <c r="AI369" s="63" t="s">
        <v>137</v>
      </c>
      <c r="AJ369" s="63" t="s">
        <v>138</v>
      </c>
      <c r="AK369" s="83">
        <v>3</v>
      </c>
      <c r="AL369" s="63" t="s">
        <v>108</v>
      </c>
      <c r="AM369" s="63" t="s">
        <v>130</v>
      </c>
      <c r="AN369"/>
    </row>
    <row r="370" spans="1:40" ht="18" customHeight="1">
      <c r="A370" s="1" t="s">
        <v>1264</v>
      </c>
      <c r="B370" s="1" t="s">
        <v>1265</v>
      </c>
      <c r="C370" s="4">
        <v>46149</v>
      </c>
      <c r="D370" s="4">
        <v>46171</v>
      </c>
      <c r="E370" s="4">
        <v>46178</v>
      </c>
      <c r="F370" s="63" t="s">
        <v>32</v>
      </c>
      <c r="G370" s="63" t="s">
        <v>3835</v>
      </c>
      <c r="H370" s="63" t="s">
        <v>177</v>
      </c>
      <c r="I370" s="63" t="s">
        <v>49</v>
      </c>
      <c r="J370" s="63" t="s">
        <v>35</v>
      </c>
      <c r="K370" s="63" t="s">
        <v>486</v>
      </c>
      <c r="L370" s="63" t="s">
        <v>180</v>
      </c>
      <c r="M370" s="69">
        <v>239.05</v>
      </c>
      <c r="N370" s="63" t="s">
        <v>86</v>
      </c>
      <c r="O370" s="73">
        <f>_xlfn.XLOOKUP(Supplier_Perf_Table[[#This Row],[Currency]],'Comments 2'!$C$4:$C$16,'Comments 2'!$D$4:$D$16)</f>
        <v>8.8999999999999996E-2</v>
      </c>
      <c r="P370" s="69">
        <f>IFERROR(Supplier_Perf_Table[[#This Row],[Unit_Cost]]*Supplier_Perf_Table[[#This Row],[Dollar Equivalent]],"")</f>
        <v>21.275449999999999</v>
      </c>
      <c r="Q370" s="75">
        <v>50</v>
      </c>
      <c r="R370" s="1">
        <v>11952.5</v>
      </c>
      <c r="S370" s="75">
        <f>Supplier_Perf_Table[[#This Row],[Unit_Cost]]*Supplier_Perf_Table[[#This Row],[Order_Quantity]]</f>
        <v>11952.5</v>
      </c>
      <c r="T370" s="75">
        <f>IFERROR(Supplier_Perf_Table[[#This Row],[Dollar Equivalent]]*Supplier_Perf_Table[[#This Row],[Ordered_Value]],"")</f>
        <v>1063.7725</v>
      </c>
      <c r="U370" s="75">
        <v>0</v>
      </c>
      <c r="V370" s="7">
        <v>0</v>
      </c>
      <c r="W370" s="75">
        <v>29</v>
      </c>
      <c r="X370" s="55">
        <f>IFERROR(Supplier_Perf_Table[[#This Row],[Actual_Delivery_Date]]-Supplier_Perf_Table[[#This Row],[Order Date]],"")</f>
        <v>29</v>
      </c>
      <c r="Y370" s="75">
        <v>22</v>
      </c>
      <c r="Z370" s="56">
        <f>IFERROR(Supplier_Perf_Table[[#This Row],[Expected Delivery_Date]]-Supplier_Perf_Table[[#This Row],[Order Date]],"")</f>
        <v>22</v>
      </c>
      <c r="AA370" s="56">
        <f>Supplier_Perf_Table[[#This Row],[Calculated_Lead_Time2]]-Supplier_Perf_Table[[#This Row],[Calculated_Expected_Lead_Time]]</f>
        <v>7</v>
      </c>
      <c r="AB370" s="75">
        <v>7</v>
      </c>
      <c r="AC370" s="63" t="s">
        <v>135</v>
      </c>
      <c r="AD370" s="63" t="s">
        <v>40</v>
      </c>
      <c r="AE370" s="63" t="s">
        <v>105</v>
      </c>
      <c r="AF370" s="63" t="s">
        <v>66</v>
      </c>
      <c r="AG370" s="63" t="s">
        <v>43</v>
      </c>
      <c r="AH370" s="63" t="s">
        <v>174</v>
      </c>
      <c r="AI370" s="63" t="s">
        <v>56</v>
      </c>
      <c r="AJ370" s="63" t="s">
        <v>138</v>
      </c>
      <c r="AK370" s="83">
        <v>1.2</v>
      </c>
      <c r="AL370" s="63" t="s">
        <v>139</v>
      </c>
      <c r="AM370" s="63" t="s">
        <v>46</v>
      </c>
      <c r="AN370"/>
    </row>
    <row r="371" spans="1:40" ht="18" customHeight="1">
      <c r="A371" s="1" t="s">
        <v>1266</v>
      </c>
      <c r="B371" s="1" t="s">
        <v>1267</v>
      </c>
      <c r="C371" s="4">
        <v>46146</v>
      </c>
      <c r="D371" s="4">
        <v>46158</v>
      </c>
      <c r="E371" s="4">
        <v>46160</v>
      </c>
      <c r="F371" s="63" t="s">
        <v>60</v>
      </c>
      <c r="G371" s="63" t="s">
        <v>3837</v>
      </c>
      <c r="H371" s="63" t="s">
        <v>152</v>
      </c>
      <c r="I371" s="63" t="s">
        <v>61</v>
      </c>
      <c r="J371" s="63" t="s">
        <v>62</v>
      </c>
      <c r="K371" s="63" t="s">
        <v>1268</v>
      </c>
      <c r="L371" s="63" t="s">
        <v>122</v>
      </c>
      <c r="M371" s="69">
        <v>145.19</v>
      </c>
      <c r="N371" s="63" t="s">
        <v>104</v>
      </c>
      <c r="O371" s="73">
        <f>_xlfn.XLOOKUP(Supplier_Perf_Table[[#This Row],[Currency]],'Comments 2'!$C$4:$C$16,'Comments 2'!$D$4:$D$16)</f>
        <v>1.9E-2</v>
      </c>
      <c r="P371" s="69">
        <f>IFERROR(Supplier_Perf_Table[[#This Row],[Unit_Cost]]*Supplier_Perf_Table[[#This Row],[Dollar Equivalent]],"")</f>
        <v>2.75861</v>
      </c>
      <c r="Q371" s="75">
        <v>75</v>
      </c>
      <c r="R371" s="1">
        <v>10889.25</v>
      </c>
      <c r="S371" s="75">
        <f>Supplier_Perf_Table[[#This Row],[Unit_Cost]]*Supplier_Perf_Table[[#This Row],[Order_Quantity]]</f>
        <v>10889.25</v>
      </c>
      <c r="T371" s="75">
        <f>IFERROR(Supplier_Perf_Table[[#This Row],[Dollar Equivalent]]*Supplier_Perf_Table[[#This Row],[Ordered_Value]],"")</f>
        <v>206.89574999999999</v>
      </c>
      <c r="U371" s="75">
        <v>1</v>
      </c>
      <c r="V371" s="7">
        <v>1.3299999999999999E-2</v>
      </c>
      <c r="W371" s="75">
        <v>14</v>
      </c>
      <c r="X371" s="55">
        <f>IFERROR(Supplier_Perf_Table[[#This Row],[Actual_Delivery_Date]]-Supplier_Perf_Table[[#This Row],[Order Date]],"")</f>
        <v>14</v>
      </c>
      <c r="Y371" s="75">
        <v>12</v>
      </c>
      <c r="Z371" s="56">
        <f>IFERROR(Supplier_Perf_Table[[#This Row],[Expected Delivery_Date]]-Supplier_Perf_Table[[#This Row],[Order Date]],"")</f>
        <v>12</v>
      </c>
      <c r="AA371" s="56">
        <f>Supplier_Perf_Table[[#This Row],[Calculated_Lead_Time2]]-Supplier_Perf_Table[[#This Row],[Calculated_Expected_Lead_Time]]</f>
        <v>2</v>
      </c>
      <c r="AB371" s="75">
        <v>2</v>
      </c>
      <c r="AC371" s="63" t="s">
        <v>135</v>
      </c>
      <c r="AD371" s="63" t="s">
        <v>3088</v>
      </c>
      <c r="AE371" s="63" t="s">
        <v>127</v>
      </c>
      <c r="AF371" s="63" t="s">
        <v>42</v>
      </c>
      <c r="AG371" s="63" t="s">
        <v>128</v>
      </c>
      <c r="AH371" s="63" t="s">
        <v>3112</v>
      </c>
      <c r="AI371" s="63" t="s">
        <v>56</v>
      </c>
      <c r="AJ371" s="63" t="s">
        <v>138</v>
      </c>
      <c r="AK371" s="83">
        <v>3.8</v>
      </c>
      <c r="AL371" s="63" t="s">
        <v>57</v>
      </c>
      <c r="AM371" s="63" t="s">
        <v>148</v>
      </c>
      <c r="AN371"/>
    </row>
    <row r="372" spans="1:40" ht="18" customHeight="1">
      <c r="A372" s="1" t="s">
        <v>1269</v>
      </c>
      <c r="B372" s="1" t="s">
        <v>1270</v>
      </c>
      <c r="C372" s="4">
        <v>46047</v>
      </c>
      <c r="D372" s="4">
        <v>46059</v>
      </c>
      <c r="E372" s="4">
        <v>46075</v>
      </c>
      <c r="F372" s="63" t="s">
        <v>69</v>
      </c>
      <c r="G372" s="63" t="s">
        <v>3838</v>
      </c>
      <c r="H372" s="63" t="s">
        <v>194</v>
      </c>
      <c r="I372" s="63" t="s">
        <v>34</v>
      </c>
      <c r="J372" s="63" t="s">
        <v>112</v>
      </c>
      <c r="K372" s="63" t="s">
        <v>1271</v>
      </c>
      <c r="L372" s="63" t="s">
        <v>246</v>
      </c>
      <c r="M372" s="69">
        <v>431.96</v>
      </c>
      <c r="N372" s="63" t="s">
        <v>65</v>
      </c>
      <c r="O372" s="73">
        <f>_xlfn.XLOOKUP(Supplier_Perf_Table[[#This Row],[Currency]],'Comments 2'!$C$4:$C$16,'Comments 2'!$D$4:$D$16)</f>
        <v>1</v>
      </c>
      <c r="P372" s="69">
        <f>IFERROR(Supplier_Perf_Table[[#This Row],[Unit_Cost]]*Supplier_Perf_Table[[#This Row],[Dollar Equivalent]],"")</f>
        <v>431.96</v>
      </c>
      <c r="Q372" s="75">
        <v>75</v>
      </c>
      <c r="R372" s="1">
        <v>32397</v>
      </c>
      <c r="S372" s="75">
        <f>Supplier_Perf_Table[[#This Row],[Unit_Cost]]*Supplier_Perf_Table[[#This Row],[Order_Quantity]]</f>
        <v>32397</v>
      </c>
      <c r="T372" s="75">
        <f>IFERROR(Supplier_Perf_Table[[#This Row],[Dollar Equivalent]]*Supplier_Perf_Table[[#This Row],[Ordered_Value]],"")</f>
        <v>32397</v>
      </c>
      <c r="U372" s="75">
        <v>6</v>
      </c>
      <c r="V372" s="7">
        <v>0.08</v>
      </c>
      <c r="W372" s="75">
        <v>28</v>
      </c>
      <c r="X372" s="55">
        <f>IFERROR(Supplier_Perf_Table[[#This Row],[Actual_Delivery_Date]]-Supplier_Perf_Table[[#This Row],[Order Date]],"")</f>
        <v>28</v>
      </c>
      <c r="Y372" s="75">
        <v>12</v>
      </c>
      <c r="Z372" s="56">
        <f>IFERROR(Supplier_Perf_Table[[#This Row],[Expected Delivery_Date]]-Supplier_Perf_Table[[#This Row],[Order Date]],"")</f>
        <v>12</v>
      </c>
      <c r="AA372" s="56">
        <f>Supplier_Perf_Table[[#This Row],[Calculated_Lead_Time2]]-Supplier_Perf_Table[[#This Row],[Calculated_Expected_Lead_Time]]</f>
        <v>16</v>
      </c>
      <c r="AB372" s="75">
        <v>16</v>
      </c>
      <c r="AC372" s="63" t="s">
        <v>39</v>
      </c>
      <c r="AD372" s="63" t="s">
        <v>366</v>
      </c>
      <c r="AE372" s="63" t="s">
        <v>105</v>
      </c>
      <c r="AF372" s="63" t="s">
        <v>212</v>
      </c>
      <c r="AG372" s="63" t="s">
        <v>43</v>
      </c>
      <c r="AH372" s="63" t="s">
        <v>3112</v>
      </c>
      <c r="AI372" s="63" t="s">
        <v>95</v>
      </c>
      <c r="AJ372" s="63" t="s">
        <v>75</v>
      </c>
      <c r="AK372" s="83">
        <v>2.2000000000000002</v>
      </c>
      <c r="AL372" s="63" t="s">
        <v>108</v>
      </c>
      <c r="AM372" s="63" t="s">
        <v>77</v>
      </c>
      <c r="AN372"/>
    </row>
    <row r="373" spans="1:40" ht="18" customHeight="1">
      <c r="A373" s="1" t="s">
        <v>1272</v>
      </c>
      <c r="B373" s="1" t="s">
        <v>1273</v>
      </c>
      <c r="C373" s="4">
        <v>46134</v>
      </c>
      <c r="D373" s="4">
        <v>46142</v>
      </c>
      <c r="E373" s="4">
        <v>46150</v>
      </c>
      <c r="F373" s="63" t="s">
        <v>209</v>
      </c>
      <c r="G373" s="63" t="s">
        <v>3845</v>
      </c>
      <c r="H373" s="63" t="s">
        <v>316</v>
      </c>
      <c r="I373" s="63" t="s">
        <v>83</v>
      </c>
      <c r="J373" s="63" t="s">
        <v>153</v>
      </c>
      <c r="K373" s="63" t="s">
        <v>1274</v>
      </c>
      <c r="L373" s="63" t="s">
        <v>318</v>
      </c>
      <c r="M373" s="69">
        <v>218.59</v>
      </c>
      <c r="N373" s="63" t="s">
        <v>38</v>
      </c>
      <c r="O373" s="73">
        <f>_xlfn.XLOOKUP(Supplier_Perf_Table[[#This Row],[Currency]],'Comments 2'!$C$4:$C$16,'Comments 2'!$D$4:$D$16)</f>
        <v>7.7000000000000002E-3</v>
      </c>
      <c r="P373" s="69">
        <f>IFERROR(Supplier_Perf_Table[[#This Row],[Unit_Cost]]*Supplier_Perf_Table[[#This Row],[Dollar Equivalent]],"")</f>
        <v>1.6831430000000001</v>
      </c>
      <c r="Q373" s="75">
        <v>1000</v>
      </c>
      <c r="R373" s="1">
        <v>218590</v>
      </c>
      <c r="S373" s="75">
        <f>Supplier_Perf_Table[[#This Row],[Unit_Cost]]*Supplier_Perf_Table[[#This Row],[Order_Quantity]]</f>
        <v>218590</v>
      </c>
      <c r="T373" s="75">
        <f>IFERROR(Supplier_Perf_Table[[#This Row],[Dollar Equivalent]]*Supplier_Perf_Table[[#This Row],[Ordered_Value]],"")</f>
        <v>1683.143</v>
      </c>
      <c r="U373" s="75">
        <v>39</v>
      </c>
      <c r="V373" s="7">
        <v>3.9E-2</v>
      </c>
      <c r="W373" s="75">
        <v>16</v>
      </c>
      <c r="X373" s="55">
        <f>IFERROR(Supplier_Perf_Table[[#This Row],[Actual_Delivery_Date]]-Supplier_Perf_Table[[#This Row],[Order Date]],"")</f>
        <v>16</v>
      </c>
      <c r="Y373" s="75">
        <v>8</v>
      </c>
      <c r="Z373" s="56">
        <f>IFERROR(Supplier_Perf_Table[[#This Row],[Expected Delivery_Date]]-Supplier_Perf_Table[[#This Row],[Order Date]],"")</f>
        <v>8</v>
      </c>
      <c r="AA373" s="56">
        <f>Supplier_Perf_Table[[#This Row],[Calculated_Lead_Time2]]-Supplier_Perf_Table[[#This Row],[Calculated_Expected_Lead_Time]]</f>
        <v>8</v>
      </c>
      <c r="AB373" s="75">
        <v>8</v>
      </c>
      <c r="AC373" s="63" t="s">
        <v>135</v>
      </c>
      <c r="AD373" s="63" t="s">
        <v>40</v>
      </c>
      <c r="AE373" s="63" t="s">
        <v>146</v>
      </c>
      <c r="AF373" s="63" t="s">
        <v>42</v>
      </c>
      <c r="AG373" s="63" t="s">
        <v>3088</v>
      </c>
      <c r="AH373" s="63" t="s">
        <v>3112</v>
      </c>
      <c r="AI373" s="63" t="s">
        <v>138</v>
      </c>
      <c r="AJ373" s="63" t="s">
        <v>138</v>
      </c>
      <c r="AK373" s="83">
        <v>4</v>
      </c>
      <c r="AL373" s="63" t="s">
        <v>57</v>
      </c>
      <c r="AM373" s="63" t="s">
        <v>148</v>
      </c>
      <c r="AN373"/>
    </row>
    <row r="374" spans="1:40" ht="18" customHeight="1">
      <c r="A374" s="1" t="s">
        <v>1275</v>
      </c>
      <c r="B374" s="1" t="s">
        <v>1276</v>
      </c>
      <c r="C374" s="4">
        <v>46155</v>
      </c>
      <c r="D374" s="4">
        <v>46178</v>
      </c>
      <c r="E374" s="4">
        <v>46177</v>
      </c>
      <c r="F374" s="63" t="s">
        <v>118</v>
      </c>
      <c r="G374" s="63" t="s">
        <v>3842</v>
      </c>
      <c r="H374" s="63" t="s">
        <v>301</v>
      </c>
      <c r="I374" s="63" t="s">
        <v>70</v>
      </c>
      <c r="J374" s="63" t="s">
        <v>62</v>
      </c>
      <c r="K374" s="63" t="s">
        <v>1277</v>
      </c>
      <c r="L374" s="63" t="s">
        <v>122</v>
      </c>
      <c r="M374" s="69">
        <v>712.49</v>
      </c>
      <c r="N374" s="63" t="s">
        <v>65</v>
      </c>
      <c r="O374" s="73">
        <f>_xlfn.XLOOKUP(Supplier_Perf_Table[[#This Row],[Currency]],'Comments 2'!$C$4:$C$16,'Comments 2'!$D$4:$D$16)</f>
        <v>1</v>
      </c>
      <c r="P374" s="69">
        <f>IFERROR(Supplier_Perf_Table[[#This Row],[Unit_Cost]]*Supplier_Perf_Table[[#This Row],[Dollar Equivalent]],"")</f>
        <v>712.49</v>
      </c>
      <c r="Q374" s="75">
        <v>100</v>
      </c>
      <c r="R374" s="1">
        <v>71249</v>
      </c>
      <c r="S374" s="75">
        <f>Supplier_Perf_Table[[#This Row],[Unit_Cost]]*Supplier_Perf_Table[[#This Row],[Order_Quantity]]</f>
        <v>71249</v>
      </c>
      <c r="T374" s="75">
        <f>IFERROR(Supplier_Perf_Table[[#This Row],[Dollar Equivalent]]*Supplier_Perf_Table[[#This Row],[Ordered_Value]],"")</f>
        <v>71249</v>
      </c>
      <c r="U374" s="75">
        <v>0</v>
      </c>
      <c r="V374" s="7">
        <v>0</v>
      </c>
      <c r="W374" s="75">
        <v>22</v>
      </c>
      <c r="X374" s="55">
        <f>IFERROR(Supplier_Perf_Table[[#This Row],[Actual_Delivery_Date]]-Supplier_Perf_Table[[#This Row],[Order Date]],"")</f>
        <v>22</v>
      </c>
      <c r="Y374" s="75">
        <v>23</v>
      </c>
      <c r="Z374" s="56">
        <f>IFERROR(Supplier_Perf_Table[[#This Row],[Expected Delivery_Date]]-Supplier_Perf_Table[[#This Row],[Order Date]],"")</f>
        <v>23</v>
      </c>
      <c r="AA374" s="56">
        <f>Supplier_Perf_Table[[#This Row],[Calculated_Lead_Time2]]-Supplier_Perf_Table[[#This Row],[Calculated_Expected_Lead_Time]]</f>
        <v>-1</v>
      </c>
      <c r="AB374" s="75">
        <v>-1</v>
      </c>
      <c r="AC374" s="63" t="s">
        <v>87</v>
      </c>
      <c r="AD374" s="63" t="s">
        <v>40</v>
      </c>
      <c r="AE374" s="63" t="s">
        <v>41</v>
      </c>
      <c r="AF374" s="63" t="s">
        <v>212</v>
      </c>
      <c r="AG374" s="63" t="s">
        <v>43</v>
      </c>
      <c r="AH374" s="63" t="s">
        <v>3112</v>
      </c>
      <c r="AI374" s="63" t="s">
        <v>191</v>
      </c>
      <c r="AJ374" s="63" t="s">
        <v>138</v>
      </c>
      <c r="AK374" s="83">
        <v>3.4</v>
      </c>
      <c r="AL374" s="63" t="s">
        <v>108</v>
      </c>
      <c r="AM374" s="63" t="s">
        <v>138</v>
      </c>
      <c r="AN374"/>
    </row>
    <row r="375" spans="1:40" ht="18" customHeight="1">
      <c r="A375" s="1" t="s">
        <v>1278</v>
      </c>
      <c r="B375" s="1" t="s">
        <v>1279</v>
      </c>
      <c r="C375" s="4">
        <v>46087</v>
      </c>
      <c r="D375" s="4">
        <v>46090</v>
      </c>
      <c r="E375" s="4">
        <v>46098</v>
      </c>
      <c r="F375" s="63" t="s">
        <v>162</v>
      </c>
      <c r="G375" s="63" t="s">
        <v>3847</v>
      </c>
      <c r="H375" s="63" t="s">
        <v>152</v>
      </c>
      <c r="I375" s="63" t="s">
        <v>83</v>
      </c>
      <c r="J375" s="63" t="s">
        <v>71</v>
      </c>
      <c r="K375" s="63" t="s">
        <v>1280</v>
      </c>
      <c r="L375" s="63" t="s">
        <v>238</v>
      </c>
      <c r="M375" s="69">
        <v>751.64</v>
      </c>
      <c r="N375" s="63" t="s">
        <v>38</v>
      </c>
      <c r="O375" s="73">
        <f>_xlfn.XLOOKUP(Supplier_Perf_Table[[#This Row],[Currency]],'Comments 2'!$C$4:$C$16,'Comments 2'!$D$4:$D$16)</f>
        <v>7.7000000000000002E-3</v>
      </c>
      <c r="P375" s="69">
        <f>IFERROR(Supplier_Perf_Table[[#This Row],[Unit_Cost]]*Supplier_Perf_Table[[#This Row],[Dollar Equivalent]],"")</f>
        <v>5.7876279999999998</v>
      </c>
      <c r="Q375" s="75">
        <v>300</v>
      </c>
      <c r="R375" s="1">
        <v>225492</v>
      </c>
      <c r="S375" s="75">
        <f>Supplier_Perf_Table[[#This Row],[Unit_Cost]]*Supplier_Perf_Table[[#This Row],[Order_Quantity]]</f>
        <v>225492</v>
      </c>
      <c r="T375" s="75">
        <f>IFERROR(Supplier_Perf_Table[[#This Row],[Dollar Equivalent]]*Supplier_Perf_Table[[#This Row],[Ordered_Value]],"")</f>
        <v>1736.2884000000001</v>
      </c>
      <c r="U375" s="75">
        <v>6</v>
      </c>
      <c r="V375" s="7">
        <v>0.02</v>
      </c>
      <c r="W375" s="75">
        <v>11</v>
      </c>
      <c r="X375" s="55">
        <f>IFERROR(Supplier_Perf_Table[[#This Row],[Actual_Delivery_Date]]-Supplier_Perf_Table[[#This Row],[Order Date]],"")</f>
        <v>11</v>
      </c>
      <c r="Y375" s="75">
        <v>3</v>
      </c>
      <c r="Z375" s="56">
        <f>IFERROR(Supplier_Perf_Table[[#This Row],[Expected Delivery_Date]]-Supplier_Perf_Table[[#This Row],[Order Date]],"")</f>
        <v>3</v>
      </c>
      <c r="AA375" s="56">
        <f>Supplier_Perf_Table[[#This Row],[Calculated_Lead_Time2]]-Supplier_Perf_Table[[#This Row],[Calculated_Expected_Lead_Time]]</f>
        <v>8</v>
      </c>
      <c r="AB375" s="75">
        <v>8</v>
      </c>
      <c r="AC375" s="63" t="s">
        <v>39</v>
      </c>
      <c r="AD375" s="63" t="s">
        <v>40</v>
      </c>
      <c r="AE375" s="63" t="s">
        <v>127</v>
      </c>
      <c r="AF375" s="63" t="s">
        <v>42</v>
      </c>
      <c r="AG375" s="63" t="s">
        <v>128</v>
      </c>
      <c r="AH375" s="63" t="s">
        <v>206</v>
      </c>
      <c r="AI375" s="63" t="s">
        <v>147</v>
      </c>
      <c r="AJ375" s="63" t="s">
        <v>138</v>
      </c>
      <c r="AK375" s="83">
        <v>1.4</v>
      </c>
      <c r="AL375" s="63" t="s">
        <v>45</v>
      </c>
      <c r="AM375" s="63" t="s">
        <v>148</v>
      </c>
      <c r="AN375"/>
    </row>
    <row r="376" spans="1:40" ht="18" customHeight="1">
      <c r="A376" s="1" t="s">
        <v>1281</v>
      </c>
      <c r="B376" s="1" t="s">
        <v>1282</v>
      </c>
      <c r="C376" s="4">
        <v>46169</v>
      </c>
      <c r="D376" s="4">
        <v>46183</v>
      </c>
      <c r="E376" s="4">
        <v>46190</v>
      </c>
      <c r="F376" s="63" t="s">
        <v>90</v>
      </c>
      <c r="G376" s="63" t="s">
        <v>3840</v>
      </c>
      <c r="H376" s="63" t="s">
        <v>133</v>
      </c>
      <c r="I376" s="63" t="s">
        <v>178</v>
      </c>
      <c r="J376" s="63" t="s">
        <v>71</v>
      </c>
      <c r="K376" s="63" t="s">
        <v>1283</v>
      </c>
      <c r="L376" s="63" t="s">
        <v>337</v>
      </c>
      <c r="M376" s="69">
        <v>757.21</v>
      </c>
      <c r="N376" s="63" t="s">
        <v>104</v>
      </c>
      <c r="O376" s="73">
        <f>_xlfn.XLOOKUP(Supplier_Perf_Table[[#This Row],[Currency]],'Comments 2'!$C$4:$C$16,'Comments 2'!$D$4:$D$16)</f>
        <v>1.9E-2</v>
      </c>
      <c r="P376" s="69">
        <f>IFERROR(Supplier_Perf_Table[[#This Row],[Unit_Cost]]*Supplier_Perf_Table[[#This Row],[Dollar Equivalent]],"")</f>
        <v>14.386990000000001</v>
      </c>
      <c r="Q376" s="75">
        <v>75</v>
      </c>
      <c r="R376" s="1">
        <v>56790.75</v>
      </c>
      <c r="S376" s="75">
        <f>Supplier_Perf_Table[[#This Row],[Unit_Cost]]*Supplier_Perf_Table[[#This Row],[Order_Quantity]]</f>
        <v>56790.75</v>
      </c>
      <c r="T376" s="75">
        <f>IFERROR(Supplier_Perf_Table[[#This Row],[Dollar Equivalent]]*Supplier_Perf_Table[[#This Row],[Ordered_Value]],"")</f>
        <v>1079.0242499999999</v>
      </c>
      <c r="U376" s="75">
        <v>4</v>
      </c>
      <c r="V376" s="7">
        <v>5.33E-2</v>
      </c>
      <c r="W376" s="75">
        <v>21</v>
      </c>
      <c r="X376" s="55">
        <f>IFERROR(Supplier_Perf_Table[[#This Row],[Actual_Delivery_Date]]-Supplier_Perf_Table[[#This Row],[Order Date]],"")</f>
        <v>21</v>
      </c>
      <c r="Y376" s="75">
        <v>14</v>
      </c>
      <c r="Z376" s="56">
        <f>IFERROR(Supplier_Perf_Table[[#This Row],[Expected Delivery_Date]]-Supplier_Perf_Table[[#This Row],[Order Date]],"")</f>
        <v>14</v>
      </c>
      <c r="AA376" s="56">
        <f>Supplier_Perf_Table[[#This Row],[Calculated_Lead_Time2]]-Supplier_Perf_Table[[#This Row],[Calculated_Expected_Lead_Time]]</f>
        <v>7</v>
      </c>
      <c r="AB376" s="75">
        <v>7</v>
      </c>
      <c r="AC376" s="63" t="s">
        <v>205</v>
      </c>
      <c r="AD376" s="63" t="s">
        <v>366</v>
      </c>
      <c r="AE376" s="63" t="s">
        <v>3088</v>
      </c>
      <c r="AF376" s="63" t="s">
        <v>106</v>
      </c>
      <c r="AG376" s="63" t="s">
        <v>173</v>
      </c>
      <c r="AH376" s="63" t="s">
        <v>3112</v>
      </c>
      <c r="AI376" s="63" t="s">
        <v>56</v>
      </c>
      <c r="AJ376" s="63" t="s">
        <v>75</v>
      </c>
      <c r="AK376" s="83">
        <v>1.6</v>
      </c>
      <c r="AL376" s="63" t="s">
        <v>57</v>
      </c>
      <c r="AM376" s="63" t="s">
        <v>185</v>
      </c>
      <c r="AN376"/>
    </row>
    <row r="377" spans="1:40" ht="18" customHeight="1">
      <c r="A377" s="1" t="s">
        <v>1284</v>
      </c>
      <c r="B377" s="1" t="s">
        <v>1285</v>
      </c>
      <c r="C377" s="4">
        <v>46093</v>
      </c>
      <c r="D377" s="4">
        <v>46101</v>
      </c>
      <c r="E377" s="4">
        <v>46094</v>
      </c>
      <c r="F377" s="63" t="s">
        <v>162</v>
      </c>
      <c r="G377" s="63" t="s">
        <v>3847</v>
      </c>
      <c r="H377" s="63" t="s">
        <v>152</v>
      </c>
      <c r="I377" s="63" t="s">
        <v>83</v>
      </c>
      <c r="J377" s="63" t="s">
        <v>50</v>
      </c>
      <c r="K377" s="63" t="s">
        <v>676</v>
      </c>
      <c r="L377" s="63" t="s">
        <v>145</v>
      </c>
      <c r="M377" s="69">
        <v>2313.62</v>
      </c>
      <c r="N377" s="63" t="s">
        <v>53</v>
      </c>
      <c r="O377" s="73">
        <f>_xlfn.XLOOKUP(Supplier_Perf_Table[[#This Row],[Currency]],'Comments 2'!$C$4:$C$16,'Comments 2'!$D$4:$D$16)</f>
        <v>6.0999999999999999E-2</v>
      </c>
      <c r="P377" s="69">
        <f>IFERROR(Supplier_Perf_Table[[#This Row],[Unit_Cost]]*Supplier_Perf_Table[[#This Row],[Dollar Equivalent]],"")</f>
        <v>141.13082</v>
      </c>
      <c r="Q377" s="75">
        <v>50</v>
      </c>
      <c r="R377" s="1">
        <v>115681</v>
      </c>
      <c r="S377" s="75">
        <f>Supplier_Perf_Table[[#This Row],[Unit_Cost]]*Supplier_Perf_Table[[#This Row],[Order_Quantity]]</f>
        <v>115681</v>
      </c>
      <c r="T377" s="75">
        <f>IFERROR(Supplier_Perf_Table[[#This Row],[Dollar Equivalent]]*Supplier_Perf_Table[[#This Row],[Ordered_Value]],"")</f>
        <v>7056.5410000000002</v>
      </c>
      <c r="U377" s="75">
        <v>1</v>
      </c>
      <c r="V377" s="7">
        <v>0.02</v>
      </c>
      <c r="W377" s="75">
        <v>1</v>
      </c>
      <c r="X377" s="55">
        <f>IFERROR(Supplier_Perf_Table[[#This Row],[Actual_Delivery_Date]]-Supplier_Perf_Table[[#This Row],[Order Date]],"")</f>
        <v>1</v>
      </c>
      <c r="Y377" s="75">
        <v>8</v>
      </c>
      <c r="Z377" s="56">
        <f>IFERROR(Supplier_Perf_Table[[#This Row],[Expected Delivery_Date]]-Supplier_Perf_Table[[#This Row],[Order Date]],"")</f>
        <v>8</v>
      </c>
      <c r="AA377" s="56">
        <f>Supplier_Perf_Table[[#This Row],[Calculated_Lead_Time2]]-Supplier_Perf_Table[[#This Row],[Calculated_Expected_Lead_Time]]</f>
        <v>-7</v>
      </c>
      <c r="AB377" s="75">
        <v>-7</v>
      </c>
      <c r="AC377" s="63" t="s">
        <v>270</v>
      </c>
      <c r="AD377" s="63" t="s">
        <v>40</v>
      </c>
      <c r="AE377" s="63" t="s">
        <v>105</v>
      </c>
      <c r="AF377" s="63" t="s">
        <v>106</v>
      </c>
      <c r="AG377" s="63" t="s">
        <v>173</v>
      </c>
      <c r="AH377" s="63" t="s">
        <v>206</v>
      </c>
      <c r="AI377" s="63" t="s">
        <v>191</v>
      </c>
      <c r="AJ377" s="63" t="s">
        <v>138</v>
      </c>
      <c r="AK377" s="83">
        <v>4</v>
      </c>
      <c r="AL377" s="63" t="s">
        <v>45</v>
      </c>
      <c r="AM377" s="63" t="s">
        <v>138</v>
      </c>
      <c r="AN377"/>
    </row>
    <row r="378" spans="1:40" ht="18" customHeight="1">
      <c r="A378" s="1" t="s">
        <v>1286</v>
      </c>
      <c r="B378" s="1" t="s">
        <v>1287</v>
      </c>
      <c r="C378" s="4">
        <v>46149</v>
      </c>
      <c r="D378" s="4">
        <v>46157</v>
      </c>
      <c r="E378" s="4">
        <v>46156</v>
      </c>
      <c r="F378" s="63" t="s">
        <v>100</v>
      </c>
      <c r="G378" s="63" t="s">
        <v>3841</v>
      </c>
      <c r="H378" s="63" t="s">
        <v>102</v>
      </c>
      <c r="I378" s="63" t="s">
        <v>49</v>
      </c>
      <c r="J378" s="63" t="s">
        <v>50</v>
      </c>
      <c r="K378" s="63" t="s">
        <v>1288</v>
      </c>
      <c r="L378" s="63" t="s">
        <v>189</v>
      </c>
      <c r="M378" s="69" t="s">
        <v>3080</v>
      </c>
      <c r="N378" s="63" t="s">
        <v>65</v>
      </c>
      <c r="O378" s="73">
        <f>_xlfn.XLOOKUP(Supplier_Perf_Table[[#This Row],[Currency]],'Comments 2'!$C$4:$C$16,'Comments 2'!$D$4:$D$16)</f>
        <v>1</v>
      </c>
      <c r="P378" s="69" t="str">
        <f>IFERROR(Supplier_Perf_Table[[#This Row],[Unit_Cost]]*Supplier_Perf_Table[[#This Row],[Dollar Equivalent]],"")</f>
        <v/>
      </c>
      <c r="Q378" s="75">
        <v>75</v>
      </c>
      <c r="R378" s="1">
        <v>168696</v>
      </c>
      <c r="S378" s="75" t="e">
        <f>Supplier_Perf_Table[[#This Row],[Unit_Cost]]*Supplier_Perf_Table[[#This Row],[Order_Quantity]]</f>
        <v>#VALUE!</v>
      </c>
      <c r="T378" s="75">
        <f>IFERROR(Supplier_Perf_Table[[#This Row],[Dollar Equivalent]]*Supplier_Perf_Table[[#This Row],[Ordered_Value]],"")</f>
        <v>168696</v>
      </c>
      <c r="U378" s="75">
        <v>1</v>
      </c>
      <c r="V378" s="7">
        <v>1.3299999999999999E-2</v>
      </c>
      <c r="W378" s="75">
        <v>7</v>
      </c>
      <c r="X378" s="55">
        <f>IFERROR(Supplier_Perf_Table[[#This Row],[Actual_Delivery_Date]]-Supplier_Perf_Table[[#This Row],[Order Date]],"")</f>
        <v>7</v>
      </c>
      <c r="Y378" s="75">
        <v>8</v>
      </c>
      <c r="Z378" s="56">
        <f>IFERROR(Supplier_Perf_Table[[#This Row],[Expected Delivery_Date]]-Supplier_Perf_Table[[#This Row],[Order Date]],"")</f>
        <v>8</v>
      </c>
      <c r="AA378" s="56">
        <f>Supplier_Perf_Table[[#This Row],[Calculated_Lead_Time2]]-Supplier_Perf_Table[[#This Row],[Calculated_Expected_Lead_Time]]</f>
        <v>-1</v>
      </c>
      <c r="AB378" s="75">
        <v>-1</v>
      </c>
      <c r="AC378" s="63" t="s">
        <v>87</v>
      </c>
      <c r="AD378" s="63" t="s">
        <v>40</v>
      </c>
      <c r="AE378" s="63" t="s">
        <v>105</v>
      </c>
      <c r="AF378" s="63" t="s">
        <v>106</v>
      </c>
      <c r="AG378" s="63" t="s">
        <v>54</v>
      </c>
      <c r="AH378" s="63" t="s">
        <v>129</v>
      </c>
      <c r="AI378" s="63" t="s">
        <v>56</v>
      </c>
      <c r="AJ378" s="63" t="s">
        <v>138</v>
      </c>
      <c r="AK378" s="83">
        <v>2.6</v>
      </c>
      <c r="AL378" s="63" t="s">
        <v>184</v>
      </c>
      <c r="AM378" s="63" t="s">
        <v>138</v>
      </c>
      <c r="AN378"/>
    </row>
    <row r="379" spans="1:40" ht="18" customHeight="1">
      <c r="A379" s="1" t="s">
        <v>1289</v>
      </c>
      <c r="B379" s="1" t="s">
        <v>1290</v>
      </c>
      <c r="C379" s="4">
        <v>46164</v>
      </c>
      <c r="D379" s="4">
        <v>46176</v>
      </c>
      <c r="E379" s="4">
        <v>46182</v>
      </c>
      <c r="F379" s="63" t="s">
        <v>235</v>
      </c>
      <c r="G379" s="63" t="s">
        <v>3848</v>
      </c>
      <c r="H379" s="63" t="s">
        <v>479</v>
      </c>
      <c r="I379" s="63" t="s">
        <v>92</v>
      </c>
      <c r="J379" s="63" t="s">
        <v>71</v>
      </c>
      <c r="K379" s="63" t="s">
        <v>1291</v>
      </c>
      <c r="L379" s="63" t="s">
        <v>238</v>
      </c>
      <c r="M379" s="69">
        <v>668.46</v>
      </c>
      <c r="N379" s="63" t="s">
        <v>104</v>
      </c>
      <c r="O379" s="73">
        <f>_xlfn.XLOOKUP(Supplier_Perf_Table[[#This Row],[Currency]],'Comments 2'!$C$4:$C$16,'Comments 2'!$D$4:$D$16)</f>
        <v>1.9E-2</v>
      </c>
      <c r="P379" s="69">
        <f>IFERROR(Supplier_Perf_Table[[#This Row],[Unit_Cost]]*Supplier_Perf_Table[[#This Row],[Dollar Equivalent]],"")</f>
        <v>12.70074</v>
      </c>
      <c r="Q379" s="75">
        <v>100</v>
      </c>
      <c r="R379" s="1">
        <v>66846</v>
      </c>
      <c r="S379" s="75">
        <f>Supplier_Perf_Table[[#This Row],[Unit_Cost]]*Supplier_Perf_Table[[#This Row],[Order_Quantity]]</f>
        <v>66846</v>
      </c>
      <c r="T379" s="75">
        <f>IFERROR(Supplier_Perf_Table[[#This Row],[Dollar Equivalent]]*Supplier_Perf_Table[[#This Row],[Ordered_Value]],"")</f>
        <v>1270.0740000000001</v>
      </c>
      <c r="U379" s="75">
        <v>4</v>
      </c>
      <c r="V379" s="7">
        <v>0.04</v>
      </c>
      <c r="W379" s="75">
        <v>18</v>
      </c>
      <c r="X379" s="55">
        <f>IFERROR(Supplier_Perf_Table[[#This Row],[Actual_Delivery_Date]]-Supplier_Perf_Table[[#This Row],[Order Date]],"")</f>
        <v>18</v>
      </c>
      <c r="Y379" s="75">
        <v>12</v>
      </c>
      <c r="Z379" s="56">
        <f>IFERROR(Supplier_Perf_Table[[#This Row],[Expected Delivery_Date]]-Supplier_Perf_Table[[#This Row],[Order Date]],"")</f>
        <v>12</v>
      </c>
      <c r="AA379" s="56">
        <f>Supplier_Perf_Table[[#This Row],[Calculated_Lead_Time2]]-Supplier_Perf_Table[[#This Row],[Calculated_Expected_Lead_Time]]</f>
        <v>6</v>
      </c>
      <c r="AB379" s="75">
        <v>6</v>
      </c>
      <c r="AC379" s="63" t="s">
        <v>205</v>
      </c>
      <c r="AD379" s="63" t="s">
        <v>3088</v>
      </c>
      <c r="AE379" s="63" t="s">
        <v>3088</v>
      </c>
      <c r="AF379" s="63" t="s">
        <v>42</v>
      </c>
      <c r="AG379" s="63" t="s">
        <v>173</v>
      </c>
      <c r="AH379" s="63" t="s">
        <v>3112</v>
      </c>
      <c r="AI379" s="63" t="s">
        <v>95</v>
      </c>
      <c r="AJ379" s="63" t="s">
        <v>138</v>
      </c>
      <c r="AK379" s="83">
        <v>1.2</v>
      </c>
      <c r="AL379" s="63" t="s">
        <v>76</v>
      </c>
      <c r="AM379" s="63" t="s">
        <v>148</v>
      </c>
      <c r="AN379"/>
    </row>
    <row r="380" spans="1:40" ht="18" customHeight="1">
      <c r="A380" s="1" t="s">
        <v>1292</v>
      </c>
      <c r="B380" s="1" t="s">
        <v>1293</v>
      </c>
      <c r="C380" s="4">
        <v>46065</v>
      </c>
      <c r="D380" s="4">
        <v>46082</v>
      </c>
      <c r="E380" s="4">
        <v>46074</v>
      </c>
      <c r="F380" s="63" t="s">
        <v>100</v>
      </c>
      <c r="G380" s="63" t="s">
        <v>3841</v>
      </c>
      <c r="H380" s="63" t="s">
        <v>102</v>
      </c>
      <c r="I380" s="63" t="s">
        <v>34</v>
      </c>
      <c r="J380" s="63" t="s">
        <v>50</v>
      </c>
      <c r="K380" s="63" t="s">
        <v>1294</v>
      </c>
      <c r="L380" s="63" t="s">
        <v>126</v>
      </c>
      <c r="M380" s="69" t="s">
        <v>3080</v>
      </c>
      <c r="N380" s="63" t="s">
        <v>86</v>
      </c>
      <c r="O380" s="73">
        <f>_xlfn.XLOOKUP(Supplier_Perf_Table[[#This Row],[Currency]],'Comments 2'!$C$4:$C$16,'Comments 2'!$D$4:$D$16)</f>
        <v>8.8999999999999996E-2</v>
      </c>
      <c r="P380" s="69" t="str">
        <f>IFERROR(Supplier_Perf_Table[[#This Row],[Unit_Cost]]*Supplier_Perf_Table[[#This Row],[Dollar Equivalent]],"")</f>
        <v/>
      </c>
      <c r="Q380" s="75">
        <v>1500</v>
      </c>
      <c r="R380" s="1">
        <v>0</v>
      </c>
      <c r="S380" s="75" t="e">
        <f>Supplier_Perf_Table[[#This Row],[Unit_Cost]]*Supplier_Perf_Table[[#This Row],[Order_Quantity]]</f>
        <v>#VALUE!</v>
      </c>
      <c r="T380" s="75">
        <f>IFERROR(Supplier_Perf_Table[[#This Row],[Dollar Equivalent]]*Supplier_Perf_Table[[#This Row],[Ordered_Value]],"")</f>
        <v>0</v>
      </c>
      <c r="U380" s="75">
        <v>29</v>
      </c>
      <c r="V380" s="7">
        <v>1.9300000000000001E-2</v>
      </c>
      <c r="W380" s="75">
        <v>9</v>
      </c>
      <c r="X380" s="55">
        <f>IFERROR(Supplier_Perf_Table[[#This Row],[Actual_Delivery_Date]]-Supplier_Perf_Table[[#This Row],[Order Date]],"")</f>
        <v>9</v>
      </c>
      <c r="Y380" s="75">
        <v>17</v>
      </c>
      <c r="Z380" s="56">
        <f>IFERROR(Supplier_Perf_Table[[#This Row],[Expected Delivery_Date]]-Supplier_Perf_Table[[#This Row],[Order Date]],"")</f>
        <v>17</v>
      </c>
      <c r="AA380" s="56">
        <f>Supplier_Perf_Table[[#This Row],[Calculated_Lead_Time2]]-Supplier_Perf_Table[[#This Row],[Calculated_Expected_Lead_Time]]</f>
        <v>-8</v>
      </c>
      <c r="AB380" s="75">
        <v>-8</v>
      </c>
      <c r="AC380" s="63" t="s">
        <v>87</v>
      </c>
      <c r="AD380" s="63" t="s">
        <v>40</v>
      </c>
      <c r="AE380" s="63" t="s">
        <v>105</v>
      </c>
      <c r="AF380" s="63" t="s">
        <v>42</v>
      </c>
      <c r="AG380" s="63" t="s">
        <v>107</v>
      </c>
      <c r="AH380" s="63" t="s">
        <v>129</v>
      </c>
      <c r="AI380" s="63" t="s">
        <v>138</v>
      </c>
      <c r="AJ380" s="63" t="s">
        <v>138</v>
      </c>
      <c r="AK380" s="83">
        <v>4.4000000000000004</v>
      </c>
      <c r="AL380" s="63" t="s">
        <v>57</v>
      </c>
      <c r="AM380" s="63" t="s">
        <v>138</v>
      </c>
      <c r="AN380"/>
    </row>
    <row r="381" spans="1:40" ht="18" customHeight="1">
      <c r="A381" s="1" t="s">
        <v>1295</v>
      </c>
      <c r="B381" s="1" t="s">
        <v>1296</v>
      </c>
      <c r="C381" s="4">
        <v>46168</v>
      </c>
      <c r="D381" s="4">
        <v>46189</v>
      </c>
      <c r="E381" s="4">
        <v>46180</v>
      </c>
      <c r="F381" s="63" t="s">
        <v>118</v>
      </c>
      <c r="G381" s="63" t="s">
        <v>3842</v>
      </c>
      <c r="H381" s="63" t="s">
        <v>301</v>
      </c>
      <c r="I381" s="63" t="s">
        <v>34</v>
      </c>
      <c r="J381" s="63" t="s">
        <v>62</v>
      </c>
      <c r="K381" s="63" t="s">
        <v>1297</v>
      </c>
      <c r="L381" s="63" t="s">
        <v>225</v>
      </c>
      <c r="M381" s="69">
        <v>11.17</v>
      </c>
      <c r="N381" s="63" t="s">
        <v>38</v>
      </c>
      <c r="O381" s="73">
        <f>_xlfn.XLOOKUP(Supplier_Perf_Table[[#This Row],[Currency]],'Comments 2'!$C$4:$C$16,'Comments 2'!$D$4:$D$16)</f>
        <v>7.7000000000000002E-3</v>
      </c>
      <c r="P381" s="69">
        <f>IFERROR(Supplier_Perf_Table[[#This Row],[Unit_Cost]]*Supplier_Perf_Table[[#This Row],[Dollar Equivalent]],"")</f>
        <v>8.6009000000000002E-2</v>
      </c>
      <c r="Q381" s="75">
        <v>1000</v>
      </c>
      <c r="R381" s="1">
        <v>11170</v>
      </c>
      <c r="S381" s="75">
        <f>Supplier_Perf_Table[[#This Row],[Unit_Cost]]*Supplier_Perf_Table[[#This Row],[Order_Quantity]]</f>
        <v>11170</v>
      </c>
      <c r="T381" s="75">
        <f>IFERROR(Supplier_Perf_Table[[#This Row],[Dollar Equivalent]]*Supplier_Perf_Table[[#This Row],[Ordered_Value]],"")</f>
        <v>86.009</v>
      </c>
      <c r="U381" s="75">
        <v>33</v>
      </c>
      <c r="V381" s="7">
        <v>3.3000000000000002E-2</v>
      </c>
      <c r="W381" s="75">
        <v>12</v>
      </c>
      <c r="X381" s="55">
        <f>IFERROR(Supplier_Perf_Table[[#This Row],[Actual_Delivery_Date]]-Supplier_Perf_Table[[#This Row],[Order Date]],"")</f>
        <v>12</v>
      </c>
      <c r="Y381" s="75" t="s">
        <v>3080</v>
      </c>
      <c r="Z381" s="56">
        <f>IFERROR(Supplier_Perf_Table[[#This Row],[Expected Delivery_Date]]-Supplier_Perf_Table[[#This Row],[Order Date]],"")</f>
        <v>21</v>
      </c>
      <c r="AA381" s="56">
        <f>Supplier_Perf_Table[[#This Row],[Calculated_Lead_Time2]]-Supplier_Perf_Table[[#This Row],[Calculated_Expected_Lead_Time]]</f>
        <v>-9</v>
      </c>
      <c r="AB381" s="75">
        <v>-9</v>
      </c>
      <c r="AC381" s="63" t="s">
        <v>270</v>
      </c>
      <c r="AD381" s="63" t="s">
        <v>40</v>
      </c>
      <c r="AE381" s="63" t="s">
        <v>146</v>
      </c>
      <c r="AF381" s="63" t="s">
        <v>190</v>
      </c>
      <c r="AG381" s="63" t="s">
        <v>128</v>
      </c>
      <c r="AH381" s="63" t="s">
        <v>206</v>
      </c>
      <c r="AI381" s="63" t="s">
        <v>44</v>
      </c>
      <c r="AJ381" s="63" t="s">
        <v>138</v>
      </c>
      <c r="AK381" s="83">
        <v>2.7</v>
      </c>
      <c r="AL381" s="63" t="s">
        <v>57</v>
      </c>
      <c r="AM381" s="63" t="s">
        <v>130</v>
      </c>
      <c r="AN381"/>
    </row>
    <row r="382" spans="1:40" ht="18" customHeight="1">
      <c r="A382" s="1" t="s">
        <v>58</v>
      </c>
      <c r="B382" s="1" t="s">
        <v>1298</v>
      </c>
      <c r="C382" s="4">
        <v>46148</v>
      </c>
      <c r="D382" s="4">
        <v>46166</v>
      </c>
      <c r="E382" s="4">
        <v>46170</v>
      </c>
      <c r="F382" s="63" t="s">
        <v>100</v>
      </c>
      <c r="G382" s="63" t="s">
        <v>3841</v>
      </c>
      <c r="H382" s="63" t="s">
        <v>102</v>
      </c>
      <c r="I382" s="63" t="s">
        <v>70</v>
      </c>
      <c r="J382" s="63" t="s">
        <v>50</v>
      </c>
      <c r="K382" s="63" t="s">
        <v>1299</v>
      </c>
      <c r="L382" s="63" t="s">
        <v>145</v>
      </c>
      <c r="M382" s="69">
        <v>2188.73</v>
      </c>
      <c r="N382" s="63" t="s">
        <v>159</v>
      </c>
      <c r="O382" s="73">
        <f>_xlfn.XLOOKUP(Supplier_Perf_Table[[#This Row],[Currency]],'Comments 2'!$C$4:$C$16,'Comments 2'!$D$4:$D$16)</f>
        <v>7.2999999999999996E-4</v>
      </c>
      <c r="P382" s="69">
        <f>IFERROR(Supplier_Perf_Table[[#This Row],[Unit_Cost]]*Supplier_Perf_Table[[#This Row],[Dollar Equivalent]],"")</f>
        <v>1.5977728999999998</v>
      </c>
      <c r="Q382" s="75">
        <v>500</v>
      </c>
      <c r="R382" s="1">
        <v>1094365</v>
      </c>
      <c r="S382" s="75">
        <f>Supplier_Perf_Table[[#This Row],[Unit_Cost]]*Supplier_Perf_Table[[#This Row],[Order_Quantity]]</f>
        <v>1094365</v>
      </c>
      <c r="T382" s="75">
        <f>IFERROR(Supplier_Perf_Table[[#This Row],[Dollar Equivalent]]*Supplier_Perf_Table[[#This Row],[Ordered_Value]],"")</f>
        <v>798.88644999999997</v>
      </c>
      <c r="U382" s="75">
        <v>21</v>
      </c>
      <c r="V382" s="7">
        <v>4.2000000000000003E-2</v>
      </c>
      <c r="W382" s="75">
        <v>22</v>
      </c>
      <c r="X382" s="55">
        <f>IFERROR(Supplier_Perf_Table[[#This Row],[Actual_Delivery_Date]]-Supplier_Perf_Table[[#This Row],[Order Date]],"")</f>
        <v>22</v>
      </c>
      <c r="Y382" s="75">
        <v>18</v>
      </c>
      <c r="Z382" s="56">
        <f>IFERROR(Supplier_Perf_Table[[#This Row],[Expected Delivery_Date]]-Supplier_Perf_Table[[#This Row],[Order Date]],"")</f>
        <v>18</v>
      </c>
      <c r="AA382" s="56">
        <f>Supplier_Perf_Table[[#This Row],[Calculated_Lead_Time2]]-Supplier_Perf_Table[[#This Row],[Calculated_Expected_Lead_Time]]</f>
        <v>4</v>
      </c>
      <c r="AB382" s="75">
        <v>4</v>
      </c>
      <c r="AC382" s="63" t="s">
        <v>205</v>
      </c>
      <c r="AD382" s="63" t="s">
        <v>366</v>
      </c>
      <c r="AE382" s="63" t="s">
        <v>41</v>
      </c>
      <c r="AF382" s="63" t="s">
        <v>3088</v>
      </c>
      <c r="AG382" s="63" t="s">
        <v>43</v>
      </c>
      <c r="AH382" s="63" t="s">
        <v>55</v>
      </c>
      <c r="AI382" s="63" t="s">
        <v>56</v>
      </c>
      <c r="AJ382" s="63" t="s">
        <v>183</v>
      </c>
      <c r="AK382" s="83">
        <v>2.2999999999999998</v>
      </c>
      <c r="AL382" s="63" t="s">
        <v>76</v>
      </c>
      <c r="AM382" s="63" t="s">
        <v>77</v>
      </c>
      <c r="AN382"/>
    </row>
    <row r="383" spans="1:40" ht="18" customHeight="1">
      <c r="A383" s="1" t="s">
        <v>1300</v>
      </c>
      <c r="B383" s="1" t="s">
        <v>1301</v>
      </c>
      <c r="C383" s="4">
        <v>46113</v>
      </c>
      <c r="D383" s="4">
        <v>46129</v>
      </c>
      <c r="E383" s="4">
        <v>46119</v>
      </c>
      <c r="F383" s="63" t="s">
        <v>256</v>
      </c>
      <c r="G383" s="63" t="s">
        <v>3849</v>
      </c>
      <c r="H383" s="63" t="s">
        <v>258</v>
      </c>
      <c r="I383" s="63" t="s">
        <v>49</v>
      </c>
      <c r="J383" s="63" t="s">
        <v>153</v>
      </c>
      <c r="K383" s="63" t="s">
        <v>1302</v>
      </c>
      <c r="L383" s="63" t="s">
        <v>318</v>
      </c>
      <c r="M383" s="69">
        <v>263.02999999999997</v>
      </c>
      <c r="N383" s="63" t="s">
        <v>159</v>
      </c>
      <c r="O383" s="73">
        <f>_xlfn.XLOOKUP(Supplier_Perf_Table[[#This Row],[Currency]],'Comments 2'!$C$4:$C$16,'Comments 2'!$D$4:$D$16)</f>
        <v>7.2999999999999996E-4</v>
      </c>
      <c r="P383" s="69">
        <f>IFERROR(Supplier_Perf_Table[[#This Row],[Unit_Cost]]*Supplier_Perf_Table[[#This Row],[Dollar Equivalent]],"")</f>
        <v>0.19201189999999996</v>
      </c>
      <c r="Q383" s="75">
        <v>750</v>
      </c>
      <c r="R383" s="1">
        <v>197272.5</v>
      </c>
      <c r="S383" s="75">
        <f>Supplier_Perf_Table[[#This Row],[Unit_Cost]]*Supplier_Perf_Table[[#This Row],[Order_Quantity]]</f>
        <v>197272.49999999997</v>
      </c>
      <c r="T383" s="75">
        <f>IFERROR(Supplier_Perf_Table[[#This Row],[Dollar Equivalent]]*Supplier_Perf_Table[[#This Row],[Ordered_Value]],"")</f>
        <v>144.008925</v>
      </c>
      <c r="U383" s="75">
        <v>19</v>
      </c>
      <c r="V383" s="7">
        <v>2.53E-2</v>
      </c>
      <c r="W383" s="75">
        <v>6</v>
      </c>
      <c r="X383" s="55">
        <f>IFERROR(Supplier_Perf_Table[[#This Row],[Actual_Delivery_Date]]-Supplier_Perf_Table[[#This Row],[Order Date]],"")</f>
        <v>6</v>
      </c>
      <c r="Y383" s="75">
        <v>16</v>
      </c>
      <c r="Z383" s="56">
        <f>IFERROR(Supplier_Perf_Table[[#This Row],[Expected Delivery_Date]]-Supplier_Perf_Table[[#This Row],[Order Date]],"")</f>
        <v>16</v>
      </c>
      <c r="AA383" s="56">
        <f>Supplier_Perf_Table[[#This Row],[Calculated_Lead_Time2]]-Supplier_Perf_Table[[#This Row],[Calculated_Expected_Lead_Time]]</f>
        <v>-10</v>
      </c>
      <c r="AB383" s="75">
        <v>-10</v>
      </c>
      <c r="AC383" s="63" t="s">
        <v>270</v>
      </c>
      <c r="AD383" s="63" t="s">
        <v>40</v>
      </c>
      <c r="AE383" s="63" t="s">
        <v>41</v>
      </c>
      <c r="AF383" s="63" t="s">
        <v>106</v>
      </c>
      <c r="AG383" s="63" t="s">
        <v>107</v>
      </c>
      <c r="AH383" s="63" t="s">
        <v>55</v>
      </c>
      <c r="AI383" s="63" t="s">
        <v>56</v>
      </c>
      <c r="AJ383" s="63" t="s">
        <v>138</v>
      </c>
      <c r="AK383" s="83">
        <v>4.5999999999999996</v>
      </c>
      <c r="AL383" s="63" t="s">
        <v>57</v>
      </c>
      <c r="AM383" s="63" t="s">
        <v>138</v>
      </c>
      <c r="AN383"/>
    </row>
    <row r="384" spans="1:40" ht="18" customHeight="1">
      <c r="A384" s="1" t="s">
        <v>1303</v>
      </c>
      <c r="B384" s="1" t="s">
        <v>1304</v>
      </c>
      <c r="C384" s="4">
        <v>46083</v>
      </c>
      <c r="D384" s="4">
        <v>46092</v>
      </c>
      <c r="E384" s="4">
        <v>46090</v>
      </c>
      <c r="F384" s="63" t="s">
        <v>60</v>
      </c>
      <c r="G384" s="63" t="s">
        <v>3837</v>
      </c>
      <c r="H384" s="63" t="s">
        <v>152</v>
      </c>
      <c r="I384" s="63" t="s">
        <v>92</v>
      </c>
      <c r="J384" s="63" t="s">
        <v>163</v>
      </c>
      <c r="K384" s="63" t="s">
        <v>1305</v>
      </c>
      <c r="L384" s="63" t="s">
        <v>269</v>
      </c>
      <c r="M384" s="69">
        <v>640.83000000000004</v>
      </c>
      <c r="N384" s="63" t="s">
        <v>53</v>
      </c>
      <c r="O384" s="73">
        <f>_xlfn.XLOOKUP(Supplier_Perf_Table[[#This Row],[Currency]],'Comments 2'!$C$4:$C$16,'Comments 2'!$D$4:$D$16)</f>
        <v>6.0999999999999999E-2</v>
      </c>
      <c r="P384" s="69">
        <f>IFERROR(Supplier_Perf_Table[[#This Row],[Unit_Cost]]*Supplier_Perf_Table[[#This Row],[Dollar Equivalent]],"")</f>
        <v>39.090630000000004</v>
      </c>
      <c r="Q384" s="75">
        <v>75</v>
      </c>
      <c r="R384" s="1">
        <v>48062.25</v>
      </c>
      <c r="S384" s="75">
        <f>Supplier_Perf_Table[[#This Row],[Unit_Cost]]*Supplier_Perf_Table[[#This Row],[Order_Quantity]]</f>
        <v>48062.25</v>
      </c>
      <c r="T384" s="75">
        <f>IFERROR(Supplier_Perf_Table[[#This Row],[Dollar Equivalent]]*Supplier_Perf_Table[[#This Row],[Ordered_Value]],"")</f>
        <v>2931.7972500000001</v>
      </c>
      <c r="U384" s="75">
        <v>0</v>
      </c>
      <c r="V384" s="7">
        <v>0</v>
      </c>
      <c r="W384" s="75" t="s">
        <v>3080</v>
      </c>
      <c r="X384" s="55">
        <f>IFERROR(Supplier_Perf_Table[[#This Row],[Actual_Delivery_Date]]-Supplier_Perf_Table[[#This Row],[Order Date]],"")</f>
        <v>7</v>
      </c>
      <c r="Y384" s="75">
        <v>9</v>
      </c>
      <c r="Z384" s="56">
        <f>IFERROR(Supplier_Perf_Table[[#This Row],[Expected Delivery_Date]]-Supplier_Perf_Table[[#This Row],[Order Date]],"")</f>
        <v>9</v>
      </c>
      <c r="AA384" s="56">
        <f>Supplier_Perf_Table[[#This Row],[Calculated_Lead_Time2]]-Supplier_Perf_Table[[#This Row],[Calculated_Expected_Lead_Time]]</f>
        <v>-2</v>
      </c>
      <c r="AB384" s="75">
        <v>-2</v>
      </c>
      <c r="AC384" s="63" t="s">
        <v>87</v>
      </c>
      <c r="AD384" s="63" t="s">
        <v>40</v>
      </c>
      <c r="AE384" s="63" t="s">
        <v>105</v>
      </c>
      <c r="AF384" s="63" t="s">
        <v>106</v>
      </c>
      <c r="AG384" s="63" t="s">
        <v>3088</v>
      </c>
      <c r="AH384" s="63" t="s">
        <v>88</v>
      </c>
      <c r="AI384" s="63" t="s">
        <v>44</v>
      </c>
      <c r="AJ384" s="63" t="s">
        <v>138</v>
      </c>
      <c r="AK384" s="83">
        <v>3.2</v>
      </c>
      <c r="AL384" s="63" t="s">
        <v>139</v>
      </c>
      <c r="AM384" s="63" t="s">
        <v>138</v>
      </c>
      <c r="AN384"/>
    </row>
    <row r="385" spans="1:40" ht="18" customHeight="1">
      <c r="A385" s="1" t="s">
        <v>1306</v>
      </c>
      <c r="B385" s="1" t="s">
        <v>1307</v>
      </c>
      <c r="C385" s="4">
        <v>46136</v>
      </c>
      <c r="D385" s="4">
        <v>46159</v>
      </c>
      <c r="E385" s="4">
        <v>46148</v>
      </c>
      <c r="F385" s="63" t="s">
        <v>235</v>
      </c>
      <c r="G385" s="63" t="s">
        <v>3848</v>
      </c>
      <c r="H385" s="63" t="s">
        <v>479</v>
      </c>
      <c r="I385" s="63" t="s">
        <v>92</v>
      </c>
      <c r="J385" s="63" t="s">
        <v>71</v>
      </c>
      <c r="K385" s="63" t="s">
        <v>667</v>
      </c>
      <c r="L385" s="63" t="s">
        <v>238</v>
      </c>
      <c r="M385" s="69">
        <v>330.56</v>
      </c>
      <c r="N385" s="63" t="s">
        <v>38</v>
      </c>
      <c r="O385" s="73">
        <f>_xlfn.XLOOKUP(Supplier_Perf_Table[[#This Row],[Currency]],'Comments 2'!$C$4:$C$16,'Comments 2'!$D$4:$D$16)</f>
        <v>7.7000000000000002E-3</v>
      </c>
      <c r="P385" s="69">
        <f>IFERROR(Supplier_Perf_Table[[#This Row],[Unit_Cost]]*Supplier_Perf_Table[[#This Row],[Dollar Equivalent]],"")</f>
        <v>2.545312</v>
      </c>
      <c r="Q385" s="75">
        <v>750</v>
      </c>
      <c r="R385" s="1">
        <v>247920</v>
      </c>
      <c r="S385" s="75">
        <f>Supplier_Perf_Table[[#This Row],[Unit_Cost]]*Supplier_Perf_Table[[#This Row],[Order_Quantity]]</f>
        <v>247920</v>
      </c>
      <c r="T385" s="75">
        <f>IFERROR(Supplier_Perf_Table[[#This Row],[Dollar Equivalent]]*Supplier_Perf_Table[[#This Row],[Ordered_Value]],"")</f>
        <v>1908.9840000000002</v>
      </c>
      <c r="U385" s="75">
        <v>20</v>
      </c>
      <c r="V385" s="7">
        <v>2.6700000000000002E-2</v>
      </c>
      <c r="W385" s="75">
        <v>12</v>
      </c>
      <c r="X385" s="55">
        <f>IFERROR(Supplier_Perf_Table[[#This Row],[Actual_Delivery_Date]]-Supplier_Perf_Table[[#This Row],[Order Date]],"")</f>
        <v>12</v>
      </c>
      <c r="Y385" s="75">
        <v>23</v>
      </c>
      <c r="Z385" s="56">
        <f>IFERROR(Supplier_Perf_Table[[#This Row],[Expected Delivery_Date]]-Supplier_Perf_Table[[#This Row],[Order Date]],"")</f>
        <v>23</v>
      </c>
      <c r="AA385" s="56">
        <f>Supplier_Perf_Table[[#This Row],[Calculated_Lead_Time2]]-Supplier_Perf_Table[[#This Row],[Calculated_Expected_Lead_Time]]</f>
        <v>-11</v>
      </c>
      <c r="AB385" s="75">
        <v>-11</v>
      </c>
      <c r="AC385" s="63" t="s">
        <v>87</v>
      </c>
      <c r="AD385" s="63" t="s">
        <v>40</v>
      </c>
      <c r="AE385" s="63" t="s">
        <v>127</v>
      </c>
      <c r="AF385" s="63" t="s">
        <v>42</v>
      </c>
      <c r="AG385" s="63" t="s">
        <v>128</v>
      </c>
      <c r="AH385" s="63" t="s">
        <v>206</v>
      </c>
      <c r="AI385" s="63" t="s">
        <v>138</v>
      </c>
      <c r="AJ385" s="63" t="s">
        <v>138</v>
      </c>
      <c r="AK385" s="83">
        <v>2.5</v>
      </c>
      <c r="AL385" s="63" t="s">
        <v>76</v>
      </c>
      <c r="AM385" s="63" t="s">
        <v>1308</v>
      </c>
      <c r="AN385"/>
    </row>
    <row r="386" spans="1:40" ht="18" customHeight="1">
      <c r="A386" s="1" t="s">
        <v>1309</v>
      </c>
      <c r="B386" s="1" t="s">
        <v>1310</v>
      </c>
      <c r="C386" s="4">
        <v>46180</v>
      </c>
      <c r="D386" s="4">
        <v>46195</v>
      </c>
      <c r="E386" s="4">
        <v>46196</v>
      </c>
      <c r="F386" s="63" t="s">
        <v>48</v>
      </c>
      <c r="G386" s="63" t="s">
        <v>3836</v>
      </c>
      <c r="H386" s="63" t="s">
        <v>702</v>
      </c>
      <c r="I386" s="63" t="s">
        <v>120</v>
      </c>
      <c r="J386" s="63" t="s">
        <v>50</v>
      </c>
      <c r="K386" s="63" t="s">
        <v>1311</v>
      </c>
      <c r="L386" s="63" t="s">
        <v>126</v>
      </c>
      <c r="M386" s="69">
        <v>1827.87</v>
      </c>
      <c r="N386" s="63" t="s">
        <v>159</v>
      </c>
      <c r="O386" s="73">
        <f>_xlfn.XLOOKUP(Supplier_Perf_Table[[#This Row],[Currency]],'Comments 2'!$C$4:$C$16,'Comments 2'!$D$4:$D$16)</f>
        <v>7.2999999999999996E-4</v>
      </c>
      <c r="P386" s="69">
        <f>IFERROR(Supplier_Perf_Table[[#This Row],[Unit_Cost]]*Supplier_Perf_Table[[#This Row],[Dollar Equivalent]],"")</f>
        <v>1.3343451</v>
      </c>
      <c r="Q386" s="75">
        <v>100</v>
      </c>
      <c r="R386" s="1">
        <v>182787</v>
      </c>
      <c r="S386" s="75">
        <f>Supplier_Perf_Table[[#This Row],[Unit_Cost]]*Supplier_Perf_Table[[#This Row],[Order_Quantity]]</f>
        <v>182787</v>
      </c>
      <c r="T386" s="75">
        <f>IFERROR(Supplier_Perf_Table[[#This Row],[Dollar Equivalent]]*Supplier_Perf_Table[[#This Row],[Ordered_Value]],"")</f>
        <v>133.43450999999999</v>
      </c>
      <c r="U386" s="75">
        <v>5</v>
      </c>
      <c r="V386" s="7">
        <v>0.05</v>
      </c>
      <c r="W386" s="75">
        <v>16</v>
      </c>
      <c r="X386" s="55">
        <f>IFERROR(Supplier_Perf_Table[[#This Row],[Actual_Delivery_Date]]-Supplier_Perf_Table[[#This Row],[Order Date]],"")</f>
        <v>16</v>
      </c>
      <c r="Y386" s="75">
        <v>15</v>
      </c>
      <c r="Z386" s="56">
        <f>IFERROR(Supplier_Perf_Table[[#This Row],[Expected Delivery_Date]]-Supplier_Perf_Table[[#This Row],[Order Date]],"")</f>
        <v>15</v>
      </c>
      <c r="AA386" s="56">
        <f>Supplier_Perf_Table[[#This Row],[Calculated_Lead_Time2]]-Supplier_Perf_Table[[#This Row],[Calculated_Expected_Lead_Time]]</f>
        <v>1</v>
      </c>
      <c r="AB386" s="75">
        <v>1</v>
      </c>
      <c r="AC386" s="63" t="s">
        <v>135</v>
      </c>
      <c r="AD386" s="63" t="s">
        <v>420</v>
      </c>
      <c r="AE386" s="63" t="s">
        <v>105</v>
      </c>
      <c r="AF386" s="63" t="s">
        <v>190</v>
      </c>
      <c r="AG386" s="63" t="s">
        <v>43</v>
      </c>
      <c r="AH386" s="63" t="s">
        <v>3112</v>
      </c>
      <c r="AI386" s="63" t="s">
        <v>137</v>
      </c>
      <c r="AJ386" s="63" t="s">
        <v>283</v>
      </c>
      <c r="AK386" s="83">
        <v>2.1</v>
      </c>
      <c r="AL386" s="63" t="s">
        <v>45</v>
      </c>
      <c r="AM386" s="63" t="s">
        <v>77</v>
      </c>
      <c r="AN386"/>
    </row>
    <row r="387" spans="1:40" ht="18" customHeight="1">
      <c r="A387" s="1" t="s">
        <v>1312</v>
      </c>
      <c r="B387" s="1" t="s">
        <v>1313</v>
      </c>
      <c r="C387" s="4">
        <v>46093</v>
      </c>
      <c r="D387" s="4">
        <v>46116</v>
      </c>
      <c r="E387" s="4">
        <v>46123</v>
      </c>
      <c r="F387" s="63" t="s">
        <v>118</v>
      </c>
      <c r="G387" s="63" t="s">
        <v>3842</v>
      </c>
      <c r="H387" s="63" t="s">
        <v>301</v>
      </c>
      <c r="I387" s="63" t="s">
        <v>92</v>
      </c>
      <c r="J387" s="63" t="s">
        <v>62</v>
      </c>
      <c r="K387" s="63" t="s">
        <v>1314</v>
      </c>
      <c r="L387" s="63" t="s">
        <v>225</v>
      </c>
      <c r="M387" s="69">
        <v>751.95</v>
      </c>
      <c r="N387" s="63" t="s">
        <v>104</v>
      </c>
      <c r="O387" s="73">
        <f>_xlfn.XLOOKUP(Supplier_Perf_Table[[#This Row],[Currency]],'Comments 2'!$C$4:$C$16,'Comments 2'!$D$4:$D$16)</f>
        <v>1.9E-2</v>
      </c>
      <c r="P387" s="69">
        <f>IFERROR(Supplier_Perf_Table[[#This Row],[Unit_Cost]]*Supplier_Perf_Table[[#This Row],[Dollar Equivalent]],"")</f>
        <v>14.287050000000001</v>
      </c>
      <c r="Q387" s="75">
        <v>150</v>
      </c>
      <c r="R387" s="1">
        <v>112792.5</v>
      </c>
      <c r="S387" s="75">
        <f>Supplier_Perf_Table[[#This Row],[Unit_Cost]]*Supplier_Perf_Table[[#This Row],[Order_Quantity]]</f>
        <v>112792.5</v>
      </c>
      <c r="T387" s="75">
        <f>IFERROR(Supplier_Perf_Table[[#This Row],[Dollar Equivalent]]*Supplier_Perf_Table[[#This Row],[Ordered_Value]],"")</f>
        <v>2143.0574999999999</v>
      </c>
      <c r="U387" s="75">
        <v>5</v>
      </c>
      <c r="V387" s="7">
        <v>3.3300000000000003E-2</v>
      </c>
      <c r="W387" s="75">
        <v>30</v>
      </c>
      <c r="X387" s="55">
        <f>IFERROR(Supplier_Perf_Table[[#This Row],[Actual_Delivery_Date]]-Supplier_Perf_Table[[#This Row],[Order Date]],"")</f>
        <v>30</v>
      </c>
      <c r="Y387" s="75">
        <v>23</v>
      </c>
      <c r="Z387" s="56">
        <f>IFERROR(Supplier_Perf_Table[[#This Row],[Expected Delivery_Date]]-Supplier_Perf_Table[[#This Row],[Order Date]],"")</f>
        <v>23</v>
      </c>
      <c r="AA387" s="56">
        <f>Supplier_Perf_Table[[#This Row],[Calculated_Lead_Time2]]-Supplier_Perf_Table[[#This Row],[Calculated_Expected_Lead_Time]]</f>
        <v>7</v>
      </c>
      <c r="AB387" s="75">
        <v>7</v>
      </c>
      <c r="AC387" s="63" t="s">
        <v>39</v>
      </c>
      <c r="AD387" s="63" t="s">
        <v>40</v>
      </c>
      <c r="AE387" s="63" t="s">
        <v>127</v>
      </c>
      <c r="AF387" s="63" t="s">
        <v>3088</v>
      </c>
      <c r="AG387" s="63" t="s">
        <v>3088</v>
      </c>
      <c r="AH387" s="63" t="s">
        <v>3112</v>
      </c>
      <c r="AI387" s="63" t="s">
        <v>191</v>
      </c>
      <c r="AJ387" s="63" t="s">
        <v>138</v>
      </c>
      <c r="AK387" s="83">
        <v>2.7</v>
      </c>
      <c r="AL387" s="63" t="s">
        <v>108</v>
      </c>
      <c r="AM387" s="63" t="s">
        <v>148</v>
      </c>
      <c r="AN387"/>
    </row>
    <row r="388" spans="1:40" ht="18" customHeight="1">
      <c r="A388" s="1" t="s">
        <v>1315</v>
      </c>
      <c r="B388" s="1" t="s">
        <v>1316</v>
      </c>
      <c r="C388" s="4">
        <v>46116</v>
      </c>
      <c r="D388" s="4">
        <v>46133</v>
      </c>
      <c r="E388" s="4">
        <v>46136</v>
      </c>
      <c r="F388" s="63" t="s">
        <v>32</v>
      </c>
      <c r="G388" s="63" t="s">
        <v>3835</v>
      </c>
      <c r="H388" s="63" t="s">
        <v>177</v>
      </c>
      <c r="I388" s="63" t="s">
        <v>83</v>
      </c>
      <c r="J388" s="63" t="s">
        <v>35</v>
      </c>
      <c r="K388" s="63" t="s">
        <v>1317</v>
      </c>
      <c r="L388" s="63" t="s">
        <v>200</v>
      </c>
      <c r="M388" s="69">
        <v>995.05</v>
      </c>
      <c r="N388" s="63" t="s">
        <v>65</v>
      </c>
      <c r="O388" s="73">
        <f>_xlfn.XLOOKUP(Supplier_Perf_Table[[#This Row],[Currency]],'Comments 2'!$C$4:$C$16,'Comments 2'!$D$4:$D$16)</f>
        <v>1</v>
      </c>
      <c r="P388" s="69">
        <f>IFERROR(Supplier_Perf_Table[[#This Row],[Unit_Cost]]*Supplier_Perf_Table[[#This Row],[Dollar Equivalent]],"")</f>
        <v>995.05</v>
      </c>
      <c r="Q388" s="75">
        <v>750</v>
      </c>
      <c r="R388" s="1">
        <v>746287.5</v>
      </c>
      <c r="S388" s="75">
        <f>Supplier_Perf_Table[[#This Row],[Unit_Cost]]*Supplier_Perf_Table[[#This Row],[Order_Quantity]]</f>
        <v>746287.5</v>
      </c>
      <c r="T388" s="75">
        <f>IFERROR(Supplier_Perf_Table[[#This Row],[Dollar Equivalent]]*Supplier_Perf_Table[[#This Row],[Ordered_Value]],"")</f>
        <v>746287.5</v>
      </c>
      <c r="U388" s="75">
        <v>69</v>
      </c>
      <c r="V388" s="7">
        <v>9.1999999999999998E-2</v>
      </c>
      <c r="W388" s="75">
        <v>20</v>
      </c>
      <c r="X388" s="55">
        <f>IFERROR(Supplier_Perf_Table[[#This Row],[Actual_Delivery_Date]]-Supplier_Perf_Table[[#This Row],[Order Date]],"")</f>
        <v>20</v>
      </c>
      <c r="Y388" s="75">
        <v>17</v>
      </c>
      <c r="Z388" s="56">
        <f>IFERROR(Supplier_Perf_Table[[#This Row],[Expected Delivery_Date]]-Supplier_Perf_Table[[#This Row],[Order Date]],"")</f>
        <v>17</v>
      </c>
      <c r="AA388" s="56">
        <f>Supplier_Perf_Table[[#This Row],[Calculated_Lead_Time2]]-Supplier_Perf_Table[[#This Row],[Calculated_Expected_Lead_Time]]</f>
        <v>3</v>
      </c>
      <c r="AB388" s="75">
        <v>3</v>
      </c>
      <c r="AC388" s="63" t="s">
        <v>166</v>
      </c>
      <c r="AD388" s="63" t="s">
        <v>366</v>
      </c>
      <c r="AE388" s="63" t="s">
        <v>41</v>
      </c>
      <c r="AF388" s="63" t="s">
        <v>3088</v>
      </c>
      <c r="AG388" s="63" t="s">
        <v>173</v>
      </c>
      <c r="AH388" s="63" t="s">
        <v>129</v>
      </c>
      <c r="AI388" s="63" t="s">
        <v>137</v>
      </c>
      <c r="AJ388" s="63" t="s">
        <v>96</v>
      </c>
      <c r="AK388" s="83">
        <v>2</v>
      </c>
      <c r="AL388" s="63" t="s">
        <v>45</v>
      </c>
      <c r="AM388" s="63" t="s">
        <v>77</v>
      </c>
      <c r="AN388"/>
    </row>
    <row r="389" spans="1:40" ht="18" customHeight="1">
      <c r="A389" s="1" t="s">
        <v>1318</v>
      </c>
      <c r="B389" s="1" t="s">
        <v>1319</v>
      </c>
      <c r="C389" s="4">
        <v>46076</v>
      </c>
      <c r="D389" s="4">
        <v>46091</v>
      </c>
      <c r="E389" s="4">
        <v>46091</v>
      </c>
      <c r="F389" s="63" t="s">
        <v>60</v>
      </c>
      <c r="G389" s="63" t="s">
        <v>3837</v>
      </c>
      <c r="H389" s="63" t="s">
        <v>152</v>
      </c>
      <c r="I389" s="63" t="s">
        <v>70</v>
      </c>
      <c r="J389" s="63" t="s">
        <v>62</v>
      </c>
      <c r="K389" s="63" t="s">
        <v>1320</v>
      </c>
      <c r="L389" s="63" t="s">
        <v>122</v>
      </c>
      <c r="M389" s="69">
        <v>492.3</v>
      </c>
      <c r="N389" s="63" t="s">
        <v>104</v>
      </c>
      <c r="O389" s="73">
        <f>_xlfn.XLOOKUP(Supplier_Perf_Table[[#This Row],[Currency]],'Comments 2'!$C$4:$C$16,'Comments 2'!$D$4:$D$16)</f>
        <v>1.9E-2</v>
      </c>
      <c r="P389" s="69">
        <f>IFERROR(Supplier_Perf_Table[[#This Row],[Unit_Cost]]*Supplier_Perf_Table[[#This Row],[Dollar Equivalent]],"")</f>
        <v>9.3536999999999999</v>
      </c>
      <c r="Q389" s="75">
        <v>750</v>
      </c>
      <c r="R389" s="1">
        <v>369225</v>
      </c>
      <c r="S389" s="75">
        <f>Supplier_Perf_Table[[#This Row],[Unit_Cost]]*Supplier_Perf_Table[[#This Row],[Order_Quantity]]</f>
        <v>369225</v>
      </c>
      <c r="T389" s="75">
        <f>IFERROR(Supplier_Perf_Table[[#This Row],[Dollar Equivalent]]*Supplier_Perf_Table[[#This Row],[Ordered_Value]],"")</f>
        <v>7015.2749999999996</v>
      </c>
      <c r="U389" s="75">
        <v>36</v>
      </c>
      <c r="V389" s="7">
        <v>4.8000000000000001E-2</v>
      </c>
      <c r="W389" s="75">
        <v>15</v>
      </c>
      <c r="X389" s="55">
        <f>IFERROR(Supplier_Perf_Table[[#This Row],[Actual_Delivery_Date]]-Supplier_Perf_Table[[#This Row],[Order Date]],"")</f>
        <v>15</v>
      </c>
      <c r="Y389" s="75">
        <v>15</v>
      </c>
      <c r="Z389" s="56">
        <f>IFERROR(Supplier_Perf_Table[[#This Row],[Expected Delivery_Date]]-Supplier_Perf_Table[[#This Row],[Order Date]],"")</f>
        <v>15</v>
      </c>
      <c r="AA389" s="56">
        <f>Supplier_Perf_Table[[#This Row],[Calculated_Lead_Time2]]-Supplier_Perf_Table[[#This Row],[Calculated_Expected_Lead_Time]]</f>
        <v>0</v>
      </c>
      <c r="AB389" s="75">
        <v>0</v>
      </c>
      <c r="AC389" s="63" t="s">
        <v>87</v>
      </c>
      <c r="AD389" s="63" t="s">
        <v>74</v>
      </c>
      <c r="AE389" s="63" t="s">
        <v>127</v>
      </c>
      <c r="AF389" s="63" t="s">
        <v>106</v>
      </c>
      <c r="AG389" s="63" t="s">
        <v>43</v>
      </c>
      <c r="AH389" s="63" t="s">
        <v>136</v>
      </c>
      <c r="AI389" s="63" t="s">
        <v>191</v>
      </c>
      <c r="AJ389" s="63" t="s">
        <v>283</v>
      </c>
      <c r="AK389" s="83">
        <v>2.6</v>
      </c>
      <c r="AL389" s="63" t="s">
        <v>76</v>
      </c>
      <c r="AM389" s="63" t="s">
        <v>284</v>
      </c>
      <c r="AN389"/>
    </row>
    <row r="390" spans="1:40" ht="18" customHeight="1">
      <c r="A390" s="1" t="s">
        <v>1321</v>
      </c>
      <c r="B390" s="1" t="s">
        <v>1322</v>
      </c>
      <c r="C390" s="4">
        <v>46145</v>
      </c>
      <c r="D390" s="4">
        <v>46164</v>
      </c>
      <c r="E390" s="4">
        <v>46175</v>
      </c>
      <c r="F390" s="63" t="s">
        <v>142</v>
      </c>
      <c r="G390" s="63" t="s">
        <v>3843</v>
      </c>
      <c r="H390" s="63" t="s">
        <v>169</v>
      </c>
      <c r="I390" s="63" t="s">
        <v>92</v>
      </c>
      <c r="J390" s="63" t="s">
        <v>50</v>
      </c>
      <c r="K390" s="63" t="s">
        <v>1323</v>
      </c>
      <c r="L390" s="63" t="s">
        <v>189</v>
      </c>
      <c r="M390" s="69">
        <v>2802.16</v>
      </c>
      <c r="N390" s="63" t="s">
        <v>159</v>
      </c>
      <c r="O390" s="73">
        <f>_xlfn.XLOOKUP(Supplier_Perf_Table[[#This Row],[Currency]],'Comments 2'!$C$4:$C$16,'Comments 2'!$D$4:$D$16)</f>
        <v>7.2999999999999996E-4</v>
      </c>
      <c r="P390" s="69">
        <f>IFERROR(Supplier_Perf_Table[[#This Row],[Unit_Cost]]*Supplier_Perf_Table[[#This Row],[Dollar Equivalent]],"")</f>
        <v>2.0455767999999996</v>
      </c>
      <c r="Q390" s="75">
        <v>750</v>
      </c>
      <c r="R390" s="1">
        <v>2101620</v>
      </c>
      <c r="S390" s="75">
        <f>Supplier_Perf_Table[[#This Row],[Unit_Cost]]*Supplier_Perf_Table[[#This Row],[Order_Quantity]]</f>
        <v>2101620</v>
      </c>
      <c r="T390" s="75">
        <f>IFERROR(Supplier_Perf_Table[[#This Row],[Dollar Equivalent]]*Supplier_Perf_Table[[#This Row],[Ordered_Value]],"")</f>
        <v>1534.1825999999999</v>
      </c>
      <c r="U390" s="75">
        <v>17</v>
      </c>
      <c r="V390" s="7">
        <v>2.2700000000000001E-2</v>
      </c>
      <c r="W390" s="75" t="s">
        <v>3080</v>
      </c>
      <c r="X390" s="55">
        <f>IFERROR(Supplier_Perf_Table[[#This Row],[Actual_Delivery_Date]]-Supplier_Perf_Table[[#This Row],[Order Date]],"")</f>
        <v>30</v>
      </c>
      <c r="Y390" s="75">
        <v>19</v>
      </c>
      <c r="Z390" s="56">
        <f>IFERROR(Supplier_Perf_Table[[#This Row],[Expected Delivery_Date]]-Supplier_Perf_Table[[#This Row],[Order Date]],"")</f>
        <v>19</v>
      </c>
      <c r="AA390" s="56">
        <f>Supplier_Perf_Table[[#This Row],[Calculated_Lead_Time2]]-Supplier_Perf_Table[[#This Row],[Calculated_Expected_Lead_Time]]</f>
        <v>11</v>
      </c>
      <c r="AB390" s="75">
        <v>11</v>
      </c>
      <c r="AC390" s="63" t="s">
        <v>205</v>
      </c>
      <c r="AD390" s="63" t="s">
        <v>40</v>
      </c>
      <c r="AE390" s="63" t="s">
        <v>105</v>
      </c>
      <c r="AF390" s="63" t="s">
        <v>3088</v>
      </c>
      <c r="AG390" s="63" t="s">
        <v>107</v>
      </c>
      <c r="AH390" s="63" t="s">
        <v>3112</v>
      </c>
      <c r="AI390" s="63" t="s">
        <v>191</v>
      </c>
      <c r="AJ390" s="63" t="s">
        <v>138</v>
      </c>
      <c r="AK390" s="83">
        <v>2.6</v>
      </c>
      <c r="AL390" s="63" t="s">
        <v>115</v>
      </c>
      <c r="AM390" s="63" t="s">
        <v>46</v>
      </c>
      <c r="AN390"/>
    </row>
    <row r="391" spans="1:40" ht="18" customHeight="1">
      <c r="A391" s="1" t="s">
        <v>1324</v>
      </c>
      <c r="B391" s="1" t="s">
        <v>1325</v>
      </c>
      <c r="C391" s="4">
        <v>46194</v>
      </c>
      <c r="D391" s="4">
        <v>46204</v>
      </c>
      <c r="E391" s="4">
        <v>46200</v>
      </c>
      <c r="F391" s="63" t="s">
        <v>69</v>
      </c>
      <c r="G391" s="63" t="s">
        <v>3838</v>
      </c>
      <c r="H391" s="63" t="s">
        <v>194</v>
      </c>
      <c r="I391" s="63" t="s">
        <v>92</v>
      </c>
      <c r="J391" s="63" t="s">
        <v>112</v>
      </c>
      <c r="K391" s="63" t="s">
        <v>1326</v>
      </c>
      <c r="L391" s="63" t="s">
        <v>114</v>
      </c>
      <c r="M391" s="69">
        <v>513.33000000000004</v>
      </c>
      <c r="N391" s="63" t="s">
        <v>86</v>
      </c>
      <c r="O391" s="73">
        <f>_xlfn.XLOOKUP(Supplier_Perf_Table[[#This Row],[Currency]],'Comments 2'!$C$4:$C$16,'Comments 2'!$D$4:$D$16)</f>
        <v>8.8999999999999996E-2</v>
      </c>
      <c r="P391" s="69">
        <f>IFERROR(Supplier_Perf_Table[[#This Row],[Unit_Cost]]*Supplier_Perf_Table[[#This Row],[Dollar Equivalent]],"")</f>
        <v>45.686370000000004</v>
      </c>
      <c r="Q391" s="75">
        <v>750</v>
      </c>
      <c r="R391" s="1">
        <v>384997.5</v>
      </c>
      <c r="S391" s="75">
        <f>Supplier_Perf_Table[[#This Row],[Unit_Cost]]*Supplier_Perf_Table[[#This Row],[Order_Quantity]]</f>
        <v>384997.50000000006</v>
      </c>
      <c r="T391" s="75">
        <f>IFERROR(Supplier_Perf_Table[[#This Row],[Dollar Equivalent]]*Supplier_Perf_Table[[#This Row],[Ordered_Value]],"")</f>
        <v>34264.777499999997</v>
      </c>
      <c r="U391" s="75">
        <v>30</v>
      </c>
      <c r="V391" s="7">
        <v>0.04</v>
      </c>
      <c r="W391" s="75">
        <v>6</v>
      </c>
      <c r="X391" s="55">
        <f>IFERROR(Supplier_Perf_Table[[#This Row],[Actual_Delivery_Date]]-Supplier_Perf_Table[[#This Row],[Order Date]],"")</f>
        <v>6</v>
      </c>
      <c r="Y391" s="75">
        <v>10</v>
      </c>
      <c r="Z391" s="56">
        <f>IFERROR(Supplier_Perf_Table[[#This Row],[Expected Delivery_Date]]-Supplier_Perf_Table[[#This Row],[Order Date]],"")</f>
        <v>10</v>
      </c>
      <c r="AA391" s="56">
        <f>Supplier_Perf_Table[[#This Row],[Calculated_Lead_Time2]]-Supplier_Perf_Table[[#This Row],[Calculated_Expected_Lead_Time]]</f>
        <v>-4</v>
      </c>
      <c r="AB391" s="75">
        <v>-4</v>
      </c>
      <c r="AC391" s="63" t="s">
        <v>270</v>
      </c>
      <c r="AD391" s="63" t="s">
        <v>40</v>
      </c>
      <c r="AE391" s="63" t="s">
        <v>105</v>
      </c>
      <c r="AF391" s="63" t="s">
        <v>106</v>
      </c>
      <c r="AG391" s="63" t="s">
        <v>173</v>
      </c>
      <c r="AH391" s="63" t="s">
        <v>129</v>
      </c>
      <c r="AI391" s="63" t="s">
        <v>147</v>
      </c>
      <c r="AJ391" s="63" t="s">
        <v>138</v>
      </c>
      <c r="AK391" s="83">
        <v>3.5</v>
      </c>
      <c r="AL391" s="63" t="s">
        <v>115</v>
      </c>
      <c r="AM391" s="63" t="s">
        <v>138</v>
      </c>
      <c r="AN391"/>
    </row>
    <row r="392" spans="1:40" ht="18" customHeight="1">
      <c r="A392" s="1" t="s">
        <v>1327</v>
      </c>
      <c r="B392" s="1" t="s">
        <v>1328</v>
      </c>
      <c r="C392" s="4">
        <v>46153</v>
      </c>
      <c r="D392" s="4">
        <v>46171</v>
      </c>
      <c r="E392" s="4">
        <v>46171</v>
      </c>
      <c r="F392" s="63" t="s">
        <v>90</v>
      </c>
      <c r="G392" s="63" t="s">
        <v>3840</v>
      </c>
      <c r="H392" s="63" t="s">
        <v>133</v>
      </c>
      <c r="I392" s="63" t="s">
        <v>120</v>
      </c>
      <c r="J392" s="63" t="s">
        <v>71</v>
      </c>
      <c r="K392" s="63" t="s">
        <v>1329</v>
      </c>
      <c r="L392" s="63" t="s">
        <v>238</v>
      </c>
      <c r="M392" s="69">
        <v>756.13</v>
      </c>
      <c r="N392" s="63" t="s">
        <v>53</v>
      </c>
      <c r="O392" s="73">
        <f>_xlfn.XLOOKUP(Supplier_Perf_Table[[#This Row],[Currency]],'Comments 2'!$C$4:$C$16,'Comments 2'!$D$4:$D$16)</f>
        <v>6.0999999999999999E-2</v>
      </c>
      <c r="P392" s="69">
        <f>IFERROR(Supplier_Perf_Table[[#This Row],[Unit_Cost]]*Supplier_Perf_Table[[#This Row],[Dollar Equivalent]],"")</f>
        <v>46.123930000000001</v>
      </c>
      <c r="Q392" s="75">
        <v>1500</v>
      </c>
      <c r="R392" s="1">
        <v>1134195</v>
      </c>
      <c r="S392" s="75">
        <f>Supplier_Perf_Table[[#This Row],[Unit_Cost]]*Supplier_Perf_Table[[#This Row],[Order_Quantity]]</f>
        <v>1134195</v>
      </c>
      <c r="T392" s="75">
        <f>IFERROR(Supplier_Perf_Table[[#This Row],[Dollar Equivalent]]*Supplier_Perf_Table[[#This Row],[Ordered_Value]],"")</f>
        <v>69185.895000000004</v>
      </c>
      <c r="U392" s="75">
        <v>0</v>
      </c>
      <c r="V392" s="7">
        <v>0</v>
      </c>
      <c r="W392" s="75" t="s">
        <v>3080</v>
      </c>
      <c r="X392" s="55">
        <f>IFERROR(Supplier_Perf_Table[[#This Row],[Actual_Delivery_Date]]-Supplier_Perf_Table[[#This Row],[Order Date]],"")</f>
        <v>18</v>
      </c>
      <c r="Y392" s="75">
        <v>18</v>
      </c>
      <c r="Z392" s="56">
        <f>IFERROR(Supplier_Perf_Table[[#This Row],[Expected Delivery_Date]]-Supplier_Perf_Table[[#This Row],[Order Date]],"")</f>
        <v>18</v>
      </c>
      <c r="AA392" s="56">
        <f>Supplier_Perf_Table[[#This Row],[Calculated_Lead_Time2]]-Supplier_Perf_Table[[#This Row],[Calculated_Expected_Lead_Time]]</f>
        <v>0</v>
      </c>
      <c r="AB392" s="75">
        <v>0</v>
      </c>
      <c r="AC392" s="63" t="s">
        <v>87</v>
      </c>
      <c r="AD392" s="63" t="s">
        <v>40</v>
      </c>
      <c r="AE392" s="63" t="s">
        <v>105</v>
      </c>
      <c r="AF392" s="63" t="s">
        <v>42</v>
      </c>
      <c r="AG392" s="63" t="s">
        <v>54</v>
      </c>
      <c r="AH392" s="63" t="s">
        <v>3112</v>
      </c>
      <c r="AI392" s="63" t="s">
        <v>95</v>
      </c>
      <c r="AJ392" s="63" t="s">
        <v>138</v>
      </c>
      <c r="AK392" s="83">
        <v>2.2999999999999998</v>
      </c>
      <c r="AL392" s="63" t="s">
        <v>57</v>
      </c>
      <c r="AM392" s="63" t="s">
        <v>138</v>
      </c>
      <c r="AN392"/>
    </row>
    <row r="393" spans="1:40" ht="18" customHeight="1">
      <c r="A393" s="1" t="s">
        <v>1330</v>
      </c>
      <c r="B393" s="1" t="s">
        <v>1331</v>
      </c>
      <c r="C393" s="4">
        <v>46184</v>
      </c>
      <c r="D393" s="4">
        <v>46197</v>
      </c>
      <c r="E393" s="4">
        <v>46195</v>
      </c>
      <c r="F393" s="63" t="s">
        <v>256</v>
      </c>
      <c r="G393" s="63" t="s">
        <v>3849</v>
      </c>
      <c r="H393" s="63" t="s">
        <v>258</v>
      </c>
      <c r="I393" s="63" t="s">
        <v>92</v>
      </c>
      <c r="J393" s="63" t="s">
        <v>153</v>
      </c>
      <c r="K393" s="63" t="s">
        <v>1332</v>
      </c>
      <c r="L393" s="63" t="s">
        <v>318</v>
      </c>
      <c r="M393" s="69">
        <v>67.75</v>
      </c>
      <c r="N393" s="63" t="s">
        <v>53</v>
      </c>
      <c r="O393" s="73">
        <f>_xlfn.XLOOKUP(Supplier_Perf_Table[[#This Row],[Currency]],'Comments 2'!$C$4:$C$16,'Comments 2'!$D$4:$D$16)</f>
        <v>6.0999999999999999E-2</v>
      </c>
      <c r="P393" s="69">
        <f>IFERROR(Supplier_Perf_Table[[#This Row],[Unit_Cost]]*Supplier_Perf_Table[[#This Row],[Dollar Equivalent]],"")</f>
        <v>4.1327499999999997</v>
      </c>
      <c r="Q393" s="75">
        <v>100</v>
      </c>
      <c r="R393" s="1">
        <v>6775</v>
      </c>
      <c r="S393" s="75">
        <f>Supplier_Perf_Table[[#This Row],[Unit_Cost]]*Supplier_Perf_Table[[#This Row],[Order_Quantity]]</f>
        <v>6775</v>
      </c>
      <c r="T393" s="75">
        <f>IFERROR(Supplier_Perf_Table[[#This Row],[Dollar Equivalent]]*Supplier_Perf_Table[[#This Row],[Ordered_Value]],"")</f>
        <v>413.27499999999998</v>
      </c>
      <c r="U393" s="75">
        <v>6</v>
      </c>
      <c r="V393" s="7">
        <v>0.06</v>
      </c>
      <c r="W393" s="75">
        <v>11</v>
      </c>
      <c r="X393" s="55">
        <f>IFERROR(Supplier_Perf_Table[[#This Row],[Actual_Delivery_Date]]-Supplier_Perf_Table[[#This Row],[Order Date]],"")</f>
        <v>11</v>
      </c>
      <c r="Y393" s="75">
        <v>13</v>
      </c>
      <c r="Z393" s="56">
        <f>IFERROR(Supplier_Perf_Table[[#This Row],[Expected Delivery_Date]]-Supplier_Perf_Table[[#This Row],[Order Date]],"")</f>
        <v>13</v>
      </c>
      <c r="AA393" s="56">
        <f>Supplier_Perf_Table[[#This Row],[Calculated_Lead_Time2]]-Supplier_Perf_Table[[#This Row],[Calculated_Expected_Lead_Time]]</f>
        <v>-2</v>
      </c>
      <c r="AB393" s="75">
        <v>-2</v>
      </c>
      <c r="AC393" s="63" t="s">
        <v>87</v>
      </c>
      <c r="AD393" s="63" t="s">
        <v>74</v>
      </c>
      <c r="AE393" s="63" t="s">
        <v>3088</v>
      </c>
      <c r="AF393" s="63" t="s">
        <v>66</v>
      </c>
      <c r="AG393" s="63" t="s">
        <v>43</v>
      </c>
      <c r="AH393" s="63" t="s">
        <v>3112</v>
      </c>
      <c r="AI393" s="63" t="s">
        <v>138</v>
      </c>
      <c r="AJ393" s="63" t="s">
        <v>373</v>
      </c>
      <c r="AK393" s="83">
        <v>2</v>
      </c>
      <c r="AL393" s="63" t="s">
        <v>57</v>
      </c>
      <c r="AM393" s="63" t="s">
        <v>284</v>
      </c>
      <c r="AN393"/>
    </row>
    <row r="394" spans="1:40" ht="18" customHeight="1">
      <c r="A394" s="1" t="s">
        <v>1333</v>
      </c>
      <c r="B394" s="1" t="s">
        <v>1334</v>
      </c>
      <c r="C394" s="4">
        <v>46200</v>
      </c>
      <c r="D394" s="4">
        <v>46208</v>
      </c>
      <c r="E394" s="4">
        <v>46210</v>
      </c>
      <c r="F394" s="63" t="s">
        <v>215</v>
      </c>
      <c r="G394" s="63" t="s">
        <v>3846</v>
      </c>
      <c r="H394" s="63" t="s">
        <v>152</v>
      </c>
      <c r="I394" s="63" t="s">
        <v>92</v>
      </c>
      <c r="J394" s="63" t="s">
        <v>112</v>
      </c>
      <c r="K394" s="63" t="s">
        <v>1335</v>
      </c>
      <c r="L394" s="63" t="s">
        <v>246</v>
      </c>
      <c r="M394" s="69">
        <v>206.59</v>
      </c>
      <c r="N394" s="63" t="s">
        <v>53</v>
      </c>
      <c r="O394" s="73">
        <f>_xlfn.XLOOKUP(Supplier_Perf_Table[[#This Row],[Currency]],'Comments 2'!$C$4:$C$16,'Comments 2'!$D$4:$D$16)</f>
        <v>6.0999999999999999E-2</v>
      </c>
      <c r="P394" s="69">
        <f>IFERROR(Supplier_Perf_Table[[#This Row],[Unit_Cost]]*Supplier_Perf_Table[[#This Row],[Dollar Equivalent]],"")</f>
        <v>12.601990000000001</v>
      </c>
      <c r="Q394" s="75">
        <v>1000</v>
      </c>
      <c r="R394" s="1">
        <v>206590</v>
      </c>
      <c r="S394" s="75">
        <f>Supplier_Perf_Table[[#This Row],[Unit_Cost]]*Supplier_Perf_Table[[#This Row],[Order_Quantity]]</f>
        <v>206590</v>
      </c>
      <c r="T394" s="75">
        <f>IFERROR(Supplier_Perf_Table[[#This Row],[Dollar Equivalent]]*Supplier_Perf_Table[[#This Row],[Ordered_Value]],"")</f>
        <v>12601.99</v>
      </c>
      <c r="U394" s="75">
        <v>21</v>
      </c>
      <c r="V394" s="7">
        <v>2.1000000000000001E-2</v>
      </c>
      <c r="W394" s="75">
        <v>10</v>
      </c>
      <c r="X394" s="55">
        <f>IFERROR(Supplier_Perf_Table[[#This Row],[Actual_Delivery_Date]]-Supplier_Perf_Table[[#This Row],[Order Date]],"")</f>
        <v>10</v>
      </c>
      <c r="Y394" s="75">
        <v>8</v>
      </c>
      <c r="Z394" s="56">
        <f>IFERROR(Supplier_Perf_Table[[#This Row],[Expected Delivery_Date]]-Supplier_Perf_Table[[#This Row],[Order Date]],"")</f>
        <v>8</v>
      </c>
      <c r="AA394" s="56">
        <f>Supplier_Perf_Table[[#This Row],[Calculated_Lead_Time2]]-Supplier_Perf_Table[[#This Row],[Calculated_Expected_Lead_Time]]</f>
        <v>2</v>
      </c>
      <c r="AB394" s="75">
        <v>2</v>
      </c>
      <c r="AC394" s="63" t="s">
        <v>166</v>
      </c>
      <c r="AD394" s="63" t="s">
        <v>40</v>
      </c>
      <c r="AE394" s="63" t="s">
        <v>105</v>
      </c>
      <c r="AF394" s="63" t="s">
        <v>42</v>
      </c>
      <c r="AG394" s="63" t="s">
        <v>54</v>
      </c>
      <c r="AH394" s="63" t="s">
        <v>3112</v>
      </c>
      <c r="AI394" s="63" t="s">
        <v>191</v>
      </c>
      <c r="AJ394" s="63" t="s">
        <v>138</v>
      </c>
      <c r="AK394" s="83">
        <v>3</v>
      </c>
      <c r="AL394" s="63" t="s">
        <v>115</v>
      </c>
      <c r="AM394" s="63" t="s">
        <v>46</v>
      </c>
      <c r="AN394"/>
    </row>
    <row r="395" spans="1:40" ht="18" customHeight="1">
      <c r="A395" s="1" t="s">
        <v>1336</v>
      </c>
      <c r="B395" s="1" t="s">
        <v>1337</v>
      </c>
      <c r="C395" s="4">
        <v>46063</v>
      </c>
      <c r="D395" s="4">
        <v>46080</v>
      </c>
      <c r="E395" s="4">
        <v>46080</v>
      </c>
      <c r="F395" s="63" t="s">
        <v>80</v>
      </c>
      <c r="G395" s="63" t="s">
        <v>3839</v>
      </c>
      <c r="H395" s="63" t="s">
        <v>82</v>
      </c>
      <c r="I395" s="63" t="s">
        <v>92</v>
      </c>
      <c r="J395" s="63" t="s">
        <v>153</v>
      </c>
      <c r="K395" s="63" t="s">
        <v>1338</v>
      </c>
      <c r="L395" s="63" t="s">
        <v>204</v>
      </c>
      <c r="M395" s="69">
        <v>159.93</v>
      </c>
      <c r="N395" s="63" t="s">
        <v>159</v>
      </c>
      <c r="O395" s="73">
        <f>_xlfn.XLOOKUP(Supplier_Perf_Table[[#This Row],[Currency]],'Comments 2'!$C$4:$C$16,'Comments 2'!$D$4:$D$16)</f>
        <v>7.2999999999999996E-4</v>
      </c>
      <c r="P395" s="69">
        <f>IFERROR(Supplier_Perf_Table[[#This Row],[Unit_Cost]]*Supplier_Perf_Table[[#This Row],[Dollar Equivalent]],"")</f>
        <v>0.1167489</v>
      </c>
      <c r="Q395" s="75">
        <v>50</v>
      </c>
      <c r="R395" s="1">
        <v>7996.5</v>
      </c>
      <c r="S395" s="75">
        <f>Supplier_Perf_Table[[#This Row],[Unit_Cost]]*Supplier_Perf_Table[[#This Row],[Order_Quantity]]</f>
        <v>7996.5</v>
      </c>
      <c r="T395" s="75">
        <f>IFERROR(Supplier_Perf_Table[[#This Row],[Dollar Equivalent]]*Supplier_Perf_Table[[#This Row],[Ordered_Value]],"")</f>
        <v>5.8374449999999998</v>
      </c>
      <c r="U395" s="75">
        <v>0</v>
      </c>
      <c r="V395" s="7">
        <v>0</v>
      </c>
      <c r="W395" s="75">
        <v>17</v>
      </c>
      <c r="X395" s="55">
        <f>IFERROR(Supplier_Perf_Table[[#This Row],[Actual_Delivery_Date]]-Supplier_Perf_Table[[#This Row],[Order Date]],"")</f>
        <v>17</v>
      </c>
      <c r="Y395" s="75">
        <v>17</v>
      </c>
      <c r="Z395" s="56">
        <f>IFERROR(Supplier_Perf_Table[[#This Row],[Expected Delivery_Date]]-Supplier_Perf_Table[[#This Row],[Order Date]],"")</f>
        <v>17</v>
      </c>
      <c r="AA395" s="56">
        <f>Supplier_Perf_Table[[#This Row],[Calculated_Lead_Time2]]-Supplier_Perf_Table[[#This Row],[Calculated_Expected_Lead_Time]]</f>
        <v>0</v>
      </c>
      <c r="AB395" s="75">
        <v>0</v>
      </c>
      <c r="AC395" s="63" t="s">
        <v>87</v>
      </c>
      <c r="AD395" s="63" t="s">
        <v>40</v>
      </c>
      <c r="AE395" s="63" t="s">
        <v>105</v>
      </c>
      <c r="AF395" s="63" t="s">
        <v>212</v>
      </c>
      <c r="AG395" s="63" t="s">
        <v>107</v>
      </c>
      <c r="AH395" s="63" t="s">
        <v>3112</v>
      </c>
      <c r="AI395" s="63" t="s">
        <v>44</v>
      </c>
      <c r="AJ395" s="63" t="s">
        <v>138</v>
      </c>
      <c r="AK395" s="83">
        <v>2.4</v>
      </c>
      <c r="AL395" s="63" t="s">
        <v>57</v>
      </c>
      <c r="AM395" s="63" t="s">
        <v>138</v>
      </c>
      <c r="AN395"/>
    </row>
    <row r="396" spans="1:40" ht="18" customHeight="1">
      <c r="A396" s="1" t="s">
        <v>1339</v>
      </c>
      <c r="B396" s="1" t="s">
        <v>1340</v>
      </c>
      <c r="C396" s="4">
        <v>46126</v>
      </c>
      <c r="D396" s="4">
        <v>46148</v>
      </c>
      <c r="E396" s="4">
        <v>46141</v>
      </c>
      <c r="F396" s="63" t="s">
        <v>32</v>
      </c>
      <c r="G396" s="63" t="s">
        <v>3835</v>
      </c>
      <c r="H396" s="63" t="s">
        <v>177</v>
      </c>
      <c r="I396" s="63" t="s">
        <v>83</v>
      </c>
      <c r="J396" s="63" t="s">
        <v>35</v>
      </c>
      <c r="K396" s="63" t="s">
        <v>1341</v>
      </c>
      <c r="L396" s="63" t="s">
        <v>37</v>
      </c>
      <c r="M396" s="69">
        <v>1642.47</v>
      </c>
      <c r="N396" s="63" t="s">
        <v>159</v>
      </c>
      <c r="O396" s="73">
        <f>_xlfn.XLOOKUP(Supplier_Perf_Table[[#This Row],[Currency]],'Comments 2'!$C$4:$C$16,'Comments 2'!$D$4:$D$16)</f>
        <v>7.2999999999999996E-4</v>
      </c>
      <c r="P396" s="69">
        <f>IFERROR(Supplier_Perf_Table[[#This Row],[Unit_Cost]]*Supplier_Perf_Table[[#This Row],[Dollar Equivalent]],"")</f>
        <v>1.1990030999999999</v>
      </c>
      <c r="Q396" s="75">
        <v>300</v>
      </c>
      <c r="R396" s="1">
        <v>492741</v>
      </c>
      <c r="S396" s="75">
        <f>Supplier_Perf_Table[[#This Row],[Unit_Cost]]*Supplier_Perf_Table[[#This Row],[Order_Quantity]]</f>
        <v>492741</v>
      </c>
      <c r="T396" s="75">
        <f>IFERROR(Supplier_Perf_Table[[#This Row],[Dollar Equivalent]]*Supplier_Perf_Table[[#This Row],[Ordered_Value]],"")</f>
        <v>359.70092999999997</v>
      </c>
      <c r="U396" s="75">
        <v>7</v>
      </c>
      <c r="V396" s="7">
        <v>2.3300000000000001E-2</v>
      </c>
      <c r="W396" s="75">
        <v>15</v>
      </c>
      <c r="X396" s="55">
        <f>IFERROR(Supplier_Perf_Table[[#This Row],[Actual_Delivery_Date]]-Supplier_Perf_Table[[#This Row],[Order Date]],"")</f>
        <v>15</v>
      </c>
      <c r="Y396" s="75">
        <v>22</v>
      </c>
      <c r="Z396" s="56">
        <f>IFERROR(Supplier_Perf_Table[[#This Row],[Expected Delivery_Date]]-Supplier_Perf_Table[[#This Row],[Order Date]],"")</f>
        <v>22</v>
      </c>
      <c r="AA396" s="56">
        <f>Supplier_Perf_Table[[#This Row],[Calculated_Lead_Time2]]-Supplier_Perf_Table[[#This Row],[Calculated_Expected_Lead_Time]]</f>
        <v>-7</v>
      </c>
      <c r="AB396" s="75"/>
      <c r="AC396" s="63" t="s">
        <v>270</v>
      </c>
      <c r="AD396" s="63" t="s">
        <v>40</v>
      </c>
      <c r="AE396" s="63" t="s">
        <v>41</v>
      </c>
      <c r="AF396" s="63" t="s">
        <v>190</v>
      </c>
      <c r="AG396" s="63" t="s">
        <v>128</v>
      </c>
      <c r="AH396" s="63" t="s">
        <v>174</v>
      </c>
      <c r="AI396" s="63" t="s">
        <v>138</v>
      </c>
      <c r="AJ396" s="63" t="s">
        <v>138</v>
      </c>
      <c r="AK396" s="83">
        <v>2.6</v>
      </c>
      <c r="AL396" s="63" t="s">
        <v>45</v>
      </c>
      <c r="AM396" s="63" t="s">
        <v>138</v>
      </c>
      <c r="AN396"/>
    </row>
    <row r="397" spans="1:40" ht="18" customHeight="1">
      <c r="A397" s="1" t="s">
        <v>1342</v>
      </c>
      <c r="B397" s="1" t="s">
        <v>1343</v>
      </c>
      <c r="C397" s="4">
        <v>46114</v>
      </c>
      <c r="D397" s="4">
        <v>46125</v>
      </c>
      <c r="E397" s="4">
        <v>46133</v>
      </c>
      <c r="F397" s="63" t="s">
        <v>162</v>
      </c>
      <c r="G397" s="63" t="s">
        <v>3847</v>
      </c>
      <c r="H397" s="63" t="s">
        <v>152</v>
      </c>
      <c r="I397" s="63" t="s">
        <v>241</v>
      </c>
      <c r="J397" s="63" t="s">
        <v>163</v>
      </c>
      <c r="K397" s="63" t="s">
        <v>1344</v>
      </c>
      <c r="L397" s="63" t="s">
        <v>171</v>
      </c>
      <c r="M397" s="69">
        <v>2653.21</v>
      </c>
      <c r="N397" s="63" t="s">
        <v>38</v>
      </c>
      <c r="O397" s="73">
        <f>_xlfn.XLOOKUP(Supplier_Perf_Table[[#This Row],[Currency]],'Comments 2'!$C$4:$C$16,'Comments 2'!$D$4:$D$16)</f>
        <v>7.7000000000000002E-3</v>
      </c>
      <c r="P397" s="69">
        <f>IFERROR(Supplier_Perf_Table[[#This Row],[Unit_Cost]]*Supplier_Perf_Table[[#This Row],[Dollar Equivalent]],"")</f>
        <v>20.429717</v>
      </c>
      <c r="Q397" s="75">
        <v>1500</v>
      </c>
      <c r="R397" s="1">
        <v>3979815</v>
      </c>
      <c r="S397" s="75">
        <f>Supplier_Perf_Table[[#This Row],[Unit_Cost]]*Supplier_Perf_Table[[#This Row],[Order_Quantity]]</f>
        <v>3979815</v>
      </c>
      <c r="T397" s="75">
        <f>IFERROR(Supplier_Perf_Table[[#This Row],[Dollar Equivalent]]*Supplier_Perf_Table[[#This Row],[Ordered_Value]],"")</f>
        <v>30644.575500000003</v>
      </c>
      <c r="U397" s="75">
        <v>16</v>
      </c>
      <c r="V397" s="7">
        <v>1.0699999999999999E-2</v>
      </c>
      <c r="W397" s="75">
        <v>19</v>
      </c>
      <c r="X397" s="55">
        <f>IFERROR(Supplier_Perf_Table[[#This Row],[Actual_Delivery_Date]]-Supplier_Perf_Table[[#This Row],[Order Date]],"")</f>
        <v>19</v>
      </c>
      <c r="Y397" s="75">
        <v>11</v>
      </c>
      <c r="Z397" s="56">
        <f>IFERROR(Supplier_Perf_Table[[#This Row],[Expected Delivery_Date]]-Supplier_Perf_Table[[#This Row],[Order Date]],"")</f>
        <v>11</v>
      </c>
      <c r="AA397" s="56">
        <f>Supplier_Perf_Table[[#This Row],[Calculated_Lead_Time2]]-Supplier_Perf_Table[[#This Row],[Calculated_Expected_Lead_Time]]</f>
        <v>8</v>
      </c>
      <c r="AB397" s="75">
        <v>8</v>
      </c>
      <c r="AC397" s="63" t="s">
        <v>135</v>
      </c>
      <c r="AD397" s="63" t="s">
        <v>40</v>
      </c>
      <c r="AE397" s="63" t="s">
        <v>146</v>
      </c>
      <c r="AF397" s="63" t="s">
        <v>212</v>
      </c>
      <c r="AG397" s="63" t="s">
        <v>54</v>
      </c>
      <c r="AH397" s="63" t="s">
        <v>88</v>
      </c>
      <c r="AI397" s="63" t="s">
        <v>56</v>
      </c>
      <c r="AJ397" s="63" t="s">
        <v>138</v>
      </c>
      <c r="AK397" s="83">
        <v>3.2</v>
      </c>
      <c r="AL397" s="63" t="s">
        <v>139</v>
      </c>
      <c r="AM397" s="63" t="s">
        <v>148</v>
      </c>
      <c r="AN397"/>
    </row>
    <row r="398" spans="1:40" ht="18" customHeight="1">
      <c r="A398" s="63" t="s">
        <v>1345</v>
      </c>
      <c r="B398" s="63" t="s">
        <v>1346</v>
      </c>
      <c r="C398" s="4">
        <v>46195</v>
      </c>
      <c r="D398" s="4">
        <v>46212</v>
      </c>
      <c r="E398" s="4">
        <v>46210</v>
      </c>
      <c r="F398" s="63" t="s">
        <v>90</v>
      </c>
      <c r="G398" s="63" t="s">
        <v>3840</v>
      </c>
      <c r="H398" s="63" t="s">
        <v>133</v>
      </c>
      <c r="I398" s="63" t="s">
        <v>61</v>
      </c>
      <c r="J398" s="63" t="s">
        <v>62</v>
      </c>
      <c r="K398" s="63" t="s">
        <v>1347</v>
      </c>
      <c r="L398" s="63" t="s">
        <v>94</v>
      </c>
      <c r="M398" s="69">
        <v>383.36</v>
      </c>
      <c r="N398" s="63" t="s">
        <v>104</v>
      </c>
      <c r="O398" s="73">
        <f>_xlfn.XLOOKUP(Supplier_Perf_Table[[#This Row],[Currency]],'Comments 2'!$C$4:$C$16,'Comments 2'!$D$4:$D$16)</f>
        <v>1.9E-2</v>
      </c>
      <c r="P398" s="69">
        <f>IFERROR(Supplier_Perf_Table[[#This Row],[Unit_Cost]]*Supplier_Perf_Table[[#This Row],[Dollar Equivalent]],"")</f>
        <v>7.2838399999999996</v>
      </c>
      <c r="Q398" s="75">
        <v>500</v>
      </c>
      <c r="R398" s="1">
        <v>191680</v>
      </c>
      <c r="S398" s="75">
        <f>Supplier_Perf_Table[[#This Row],[Unit_Cost]]*Supplier_Perf_Table[[#This Row],[Order_Quantity]]</f>
        <v>191680</v>
      </c>
      <c r="T398" s="75">
        <f>IFERROR(Supplier_Perf_Table[[#This Row],[Dollar Equivalent]]*Supplier_Perf_Table[[#This Row],[Ordered_Value]],"")</f>
        <v>3641.92</v>
      </c>
      <c r="U398" s="75">
        <v>35</v>
      </c>
      <c r="V398" s="7">
        <v>7.0000000000000007E-2</v>
      </c>
      <c r="W398" s="75">
        <v>15</v>
      </c>
      <c r="X398" s="55">
        <f>IFERROR(Supplier_Perf_Table[[#This Row],[Actual_Delivery_Date]]-Supplier_Perf_Table[[#This Row],[Order Date]],"")</f>
        <v>15</v>
      </c>
      <c r="Y398" s="75">
        <v>17</v>
      </c>
      <c r="Z398" s="56">
        <f>IFERROR(Supplier_Perf_Table[[#This Row],[Expected Delivery_Date]]-Supplier_Perf_Table[[#This Row],[Order Date]],"")</f>
        <v>17</v>
      </c>
      <c r="AA398" s="56">
        <f>Supplier_Perf_Table[[#This Row],[Calculated_Lead_Time2]]-Supplier_Perf_Table[[#This Row],[Calculated_Expected_Lead_Time]]</f>
        <v>-2</v>
      </c>
      <c r="AB398" s="75">
        <v>-2</v>
      </c>
      <c r="AC398" s="63" t="s">
        <v>270</v>
      </c>
      <c r="AD398" s="63" t="s">
        <v>74</v>
      </c>
      <c r="AE398" s="63" t="s">
        <v>105</v>
      </c>
      <c r="AF398" s="63" t="s">
        <v>212</v>
      </c>
      <c r="AG398" s="63" t="s">
        <v>128</v>
      </c>
      <c r="AH398" s="63" t="s">
        <v>129</v>
      </c>
      <c r="AI398" s="63" t="s">
        <v>147</v>
      </c>
      <c r="AJ398" s="63" t="s">
        <v>283</v>
      </c>
      <c r="AK398" s="83">
        <v>3</v>
      </c>
      <c r="AL398" s="63" t="s">
        <v>139</v>
      </c>
      <c r="AM398" s="63" t="s">
        <v>97</v>
      </c>
      <c r="AN398"/>
    </row>
    <row r="399" spans="1:40" ht="18" customHeight="1">
      <c r="A399" s="1" t="s">
        <v>1348</v>
      </c>
      <c r="B399" s="1" t="s">
        <v>1349</v>
      </c>
      <c r="C399" s="4">
        <v>46134</v>
      </c>
      <c r="D399" s="4">
        <v>46146</v>
      </c>
      <c r="E399" s="4">
        <v>46149</v>
      </c>
      <c r="F399" s="63" t="s">
        <v>80</v>
      </c>
      <c r="G399" s="63" t="s">
        <v>3839</v>
      </c>
      <c r="H399" s="63" t="s">
        <v>82</v>
      </c>
      <c r="I399" s="63" t="s">
        <v>70</v>
      </c>
      <c r="J399" s="63" t="s">
        <v>35</v>
      </c>
      <c r="K399" s="63" t="s">
        <v>811</v>
      </c>
      <c r="L399" s="63" t="s">
        <v>37</v>
      </c>
      <c r="M399" s="69">
        <v>614.20000000000005</v>
      </c>
      <c r="N399" s="63" t="s">
        <v>38</v>
      </c>
      <c r="O399" s="73">
        <f>_xlfn.XLOOKUP(Supplier_Perf_Table[[#This Row],[Currency]],'Comments 2'!$C$4:$C$16,'Comments 2'!$D$4:$D$16)</f>
        <v>7.7000000000000002E-3</v>
      </c>
      <c r="P399" s="69">
        <f>IFERROR(Supplier_Perf_Table[[#This Row],[Unit_Cost]]*Supplier_Perf_Table[[#This Row],[Dollar Equivalent]],"")</f>
        <v>4.7293400000000005</v>
      </c>
      <c r="Q399" s="75">
        <v>300</v>
      </c>
      <c r="R399" s="1">
        <v>184260</v>
      </c>
      <c r="S399" s="75">
        <f>Supplier_Perf_Table[[#This Row],[Unit_Cost]]*Supplier_Perf_Table[[#This Row],[Order_Quantity]]</f>
        <v>184260</v>
      </c>
      <c r="T399" s="75">
        <f>IFERROR(Supplier_Perf_Table[[#This Row],[Dollar Equivalent]]*Supplier_Perf_Table[[#This Row],[Ordered_Value]],"")</f>
        <v>1418.8020000000001</v>
      </c>
      <c r="U399" s="75">
        <v>0</v>
      </c>
      <c r="V399" s="7">
        <v>0</v>
      </c>
      <c r="W399" s="75">
        <v>15</v>
      </c>
      <c r="X399" s="55">
        <f>IFERROR(Supplier_Perf_Table[[#This Row],[Actual_Delivery_Date]]-Supplier_Perf_Table[[#This Row],[Order Date]],"")</f>
        <v>15</v>
      </c>
      <c r="Y399" s="75">
        <v>12</v>
      </c>
      <c r="Z399" s="56">
        <f>IFERROR(Supplier_Perf_Table[[#This Row],[Expected Delivery_Date]]-Supplier_Perf_Table[[#This Row],[Order Date]],"")</f>
        <v>12</v>
      </c>
      <c r="AA399" s="56">
        <f>Supplier_Perf_Table[[#This Row],[Calculated_Lead_Time2]]-Supplier_Perf_Table[[#This Row],[Calculated_Expected_Lead_Time]]</f>
        <v>3</v>
      </c>
      <c r="AB399" s="75">
        <v>3</v>
      </c>
      <c r="AC399" s="63" t="s">
        <v>166</v>
      </c>
      <c r="AD399" s="63" t="s">
        <v>40</v>
      </c>
      <c r="AE399" s="63" t="s">
        <v>105</v>
      </c>
      <c r="AF399" s="63" t="s">
        <v>42</v>
      </c>
      <c r="AG399" s="63" t="s">
        <v>54</v>
      </c>
      <c r="AH399" s="63" t="s">
        <v>129</v>
      </c>
      <c r="AI399" s="63" t="s">
        <v>56</v>
      </c>
      <c r="AJ399" s="63" t="s">
        <v>138</v>
      </c>
      <c r="AK399" s="83">
        <v>4.8</v>
      </c>
      <c r="AL399" s="63" t="s">
        <v>108</v>
      </c>
      <c r="AM399" s="63" t="s">
        <v>46</v>
      </c>
      <c r="AN399"/>
    </row>
    <row r="400" spans="1:40" ht="18" customHeight="1">
      <c r="A400" s="1" t="s">
        <v>1350</v>
      </c>
      <c r="B400" s="1" t="s">
        <v>1351</v>
      </c>
      <c r="C400" s="4">
        <v>46201</v>
      </c>
      <c r="D400" s="4">
        <v>46212</v>
      </c>
      <c r="E400" s="4">
        <v>46221</v>
      </c>
      <c r="F400" s="63" t="s">
        <v>100</v>
      </c>
      <c r="G400" s="63" t="s">
        <v>3841</v>
      </c>
      <c r="H400" s="63" t="s">
        <v>102</v>
      </c>
      <c r="I400" s="63" t="s">
        <v>61</v>
      </c>
      <c r="J400" s="63" t="s">
        <v>50</v>
      </c>
      <c r="K400" s="63" t="s">
        <v>1352</v>
      </c>
      <c r="L400" s="63" t="s">
        <v>189</v>
      </c>
      <c r="M400" s="69">
        <v>2726.6</v>
      </c>
      <c r="N400" s="63" t="s">
        <v>38</v>
      </c>
      <c r="O400" s="73">
        <f>_xlfn.XLOOKUP(Supplier_Perf_Table[[#This Row],[Currency]],'Comments 2'!$C$4:$C$16,'Comments 2'!$D$4:$D$16)</f>
        <v>7.7000000000000002E-3</v>
      </c>
      <c r="P400" s="69">
        <f>IFERROR(Supplier_Perf_Table[[#This Row],[Unit_Cost]]*Supplier_Perf_Table[[#This Row],[Dollar Equivalent]],"")</f>
        <v>20.994820000000001</v>
      </c>
      <c r="Q400" s="75">
        <v>750</v>
      </c>
      <c r="R400" s="1">
        <v>2044950</v>
      </c>
      <c r="S400" s="75">
        <f>Supplier_Perf_Table[[#This Row],[Unit_Cost]]*Supplier_Perf_Table[[#This Row],[Order_Quantity]]</f>
        <v>2044950</v>
      </c>
      <c r="T400" s="75">
        <f>IFERROR(Supplier_Perf_Table[[#This Row],[Dollar Equivalent]]*Supplier_Perf_Table[[#This Row],[Ordered_Value]],"")</f>
        <v>15746.115</v>
      </c>
      <c r="U400" s="75">
        <v>18</v>
      </c>
      <c r="V400" s="7">
        <v>2.4E-2</v>
      </c>
      <c r="W400" s="75">
        <v>20</v>
      </c>
      <c r="X400" s="55">
        <f>IFERROR(Supplier_Perf_Table[[#This Row],[Actual_Delivery_Date]]-Supplier_Perf_Table[[#This Row],[Order Date]],"")</f>
        <v>20</v>
      </c>
      <c r="Y400" s="75">
        <v>11</v>
      </c>
      <c r="Z400" s="56">
        <f>IFERROR(Supplier_Perf_Table[[#This Row],[Expected Delivery_Date]]-Supplier_Perf_Table[[#This Row],[Order Date]],"")</f>
        <v>11</v>
      </c>
      <c r="AA400" s="56">
        <f>Supplier_Perf_Table[[#This Row],[Calculated_Lead_Time2]]-Supplier_Perf_Table[[#This Row],[Calculated_Expected_Lead_Time]]</f>
        <v>9</v>
      </c>
      <c r="AB400" s="75">
        <v>9</v>
      </c>
      <c r="AC400" s="63" t="s">
        <v>205</v>
      </c>
      <c r="AD400" s="63" t="s">
        <v>40</v>
      </c>
      <c r="AE400" s="63" t="s">
        <v>105</v>
      </c>
      <c r="AF400" s="63" t="s">
        <v>212</v>
      </c>
      <c r="AG400" s="63" t="s">
        <v>43</v>
      </c>
      <c r="AH400" s="63" t="s">
        <v>129</v>
      </c>
      <c r="AI400" s="63" t="s">
        <v>137</v>
      </c>
      <c r="AJ400" s="63" t="s">
        <v>138</v>
      </c>
      <c r="AK400" s="83">
        <v>3</v>
      </c>
      <c r="AL400" s="63" t="s">
        <v>57</v>
      </c>
      <c r="AM400" s="63" t="s">
        <v>46</v>
      </c>
      <c r="AN400"/>
    </row>
    <row r="401" spans="1:40" ht="18" customHeight="1">
      <c r="A401" s="1" t="s">
        <v>1353</v>
      </c>
      <c r="B401" s="1" t="s">
        <v>1354</v>
      </c>
      <c r="C401" s="4">
        <v>46033</v>
      </c>
      <c r="D401" s="4">
        <v>46049</v>
      </c>
      <c r="E401" s="4">
        <v>46057</v>
      </c>
      <c r="F401" s="63" t="s">
        <v>118</v>
      </c>
      <c r="G401" s="63" t="s">
        <v>3842</v>
      </c>
      <c r="H401" s="63" t="s">
        <v>301</v>
      </c>
      <c r="I401" s="63" t="s">
        <v>61</v>
      </c>
      <c r="J401" s="63" t="s">
        <v>62</v>
      </c>
      <c r="K401" s="63" t="s">
        <v>1355</v>
      </c>
      <c r="L401" s="63" t="s">
        <v>94</v>
      </c>
      <c r="M401" s="69">
        <v>323.39</v>
      </c>
      <c r="N401" s="63" t="s">
        <v>159</v>
      </c>
      <c r="O401" s="73">
        <f>_xlfn.XLOOKUP(Supplier_Perf_Table[[#This Row],[Currency]],'Comments 2'!$C$4:$C$16,'Comments 2'!$D$4:$D$16)</f>
        <v>7.2999999999999996E-4</v>
      </c>
      <c r="P401" s="69">
        <f>IFERROR(Supplier_Perf_Table[[#This Row],[Unit_Cost]]*Supplier_Perf_Table[[#This Row],[Dollar Equivalent]],"")</f>
        <v>0.23607469999999997</v>
      </c>
      <c r="Q401" s="75">
        <v>500</v>
      </c>
      <c r="R401" s="1">
        <v>161695</v>
      </c>
      <c r="S401" s="75">
        <f>Supplier_Perf_Table[[#This Row],[Unit_Cost]]*Supplier_Perf_Table[[#This Row],[Order_Quantity]]</f>
        <v>161695</v>
      </c>
      <c r="T401" s="75">
        <f>IFERROR(Supplier_Perf_Table[[#This Row],[Dollar Equivalent]]*Supplier_Perf_Table[[#This Row],[Ordered_Value]],"")</f>
        <v>118.03734999999999</v>
      </c>
      <c r="U401" s="75">
        <v>15</v>
      </c>
      <c r="V401" s="7">
        <v>0.03</v>
      </c>
      <c r="W401" s="75">
        <v>24</v>
      </c>
      <c r="X401" s="55">
        <f>IFERROR(Supplier_Perf_Table[[#This Row],[Actual_Delivery_Date]]-Supplier_Perf_Table[[#This Row],[Order Date]],"")</f>
        <v>24</v>
      </c>
      <c r="Y401" s="75">
        <v>16</v>
      </c>
      <c r="Z401" s="56">
        <f>IFERROR(Supplier_Perf_Table[[#This Row],[Expected Delivery_Date]]-Supplier_Perf_Table[[#This Row],[Order Date]],"")</f>
        <v>16</v>
      </c>
      <c r="AA401" s="56">
        <f>Supplier_Perf_Table[[#This Row],[Calculated_Lead_Time2]]-Supplier_Perf_Table[[#This Row],[Calculated_Expected_Lead_Time]]</f>
        <v>8</v>
      </c>
      <c r="AB401" s="75">
        <v>8</v>
      </c>
      <c r="AC401" s="63" t="s">
        <v>205</v>
      </c>
      <c r="AD401" s="63" t="s">
        <v>40</v>
      </c>
      <c r="AE401" s="63" t="s">
        <v>3088</v>
      </c>
      <c r="AF401" s="63" t="s">
        <v>212</v>
      </c>
      <c r="AG401" s="63" t="s">
        <v>43</v>
      </c>
      <c r="AH401" s="63" t="s">
        <v>3112</v>
      </c>
      <c r="AI401" s="63" t="s">
        <v>44</v>
      </c>
      <c r="AJ401" s="63" t="s">
        <v>138</v>
      </c>
      <c r="AK401" s="83">
        <v>1.7</v>
      </c>
      <c r="AL401" s="63" t="s">
        <v>139</v>
      </c>
      <c r="AM401" s="63" t="s">
        <v>148</v>
      </c>
      <c r="AN401"/>
    </row>
    <row r="402" spans="1:40" ht="18" customHeight="1">
      <c r="A402" s="1" t="s">
        <v>1356</v>
      </c>
      <c r="B402" s="1" t="s">
        <v>1357</v>
      </c>
      <c r="C402" s="4">
        <v>46045</v>
      </c>
      <c r="D402" s="4">
        <v>46064</v>
      </c>
      <c r="E402" s="4">
        <v>46058</v>
      </c>
      <c r="F402" s="63" t="s">
        <v>48</v>
      </c>
      <c r="G402" s="63" t="s">
        <v>3836</v>
      </c>
      <c r="H402" s="63" t="s">
        <v>102</v>
      </c>
      <c r="I402" s="63" t="s">
        <v>70</v>
      </c>
      <c r="J402" s="63" t="s">
        <v>50</v>
      </c>
      <c r="K402" s="63" t="s">
        <v>1358</v>
      </c>
      <c r="L402" s="63" t="s">
        <v>189</v>
      </c>
      <c r="M402" s="69">
        <v>1110.23</v>
      </c>
      <c r="N402" s="63" t="s">
        <v>86</v>
      </c>
      <c r="O402" s="73">
        <f>_xlfn.XLOOKUP(Supplier_Perf_Table[[#This Row],[Currency]],'Comments 2'!$C$4:$C$16,'Comments 2'!$D$4:$D$16)</f>
        <v>8.8999999999999996E-2</v>
      </c>
      <c r="P402" s="69">
        <f>IFERROR(Supplier_Perf_Table[[#This Row],[Unit_Cost]]*Supplier_Perf_Table[[#This Row],[Dollar Equivalent]],"")</f>
        <v>98.810469999999995</v>
      </c>
      <c r="Q402" s="75">
        <v>1500</v>
      </c>
      <c r="R402" s="1">
        <v>1665345</v>
      </c>
      <c r="S402" s="75">
        <f>Supplier_Perf_Table[[#This Row],[Unit_Cost]]*Supplier_Perf_Table[[#This Row],[Order_Quantity]]</f>
        <v>1665345</v>
      </c>
      <c r="T402" s="75">
        <f>IFERROR(Supplier_Perf_Table[[#This Row],[Dollar Equivalent]]*Supplier_Perf_Table[[#This Row],[Ordered_Value]],"")</f>
        <v>148215.70499999999</v>
      </c>
      <c r="U402" s="75">
        <v>29</v>
      </c>
      <c r="V402" s="7">
        <v>1.9300000000000001E-2</v>
      </c>
      <c r="W402" s="75">
        <v>13</v>
      </c>
      <c r="X402" s="55">
        <f>IFERROR(Supplier_Perf_Table[[#This Row],[Actual_Delivery_Date]]-Supplier_Perf_Table[[#This Row],[Order Date]],"")</f>
        <v>13</v>
      </c>
      <c r="Y402" s="75">
        <v>19</v>
      </c>
      <c r="Z402" s="56">
        <f>IFERROR(Supplier_Perf_Table[[#This Row],[Expected Delivery_Date]]-Supplier_Perf_Table[[#This Row],[Order Date]],"")</f>
        <v>19</v>
      </c>
      <c r="AA402" s="56">
        <f>Supplier_Perf_Table[[#This Row],[Calculated_Lead_Time2]]-Supplier_Perf_Table[[#This Row],[Calculated_Expected_Lead_Time]]</f>
        <v>-6</v>
      </c>
      <c r="AB402" s="75">
        <v>-6</v>
      </c>
      <c r="AC402" s="63" t="s">
        <v>270</v>
      </c>
      <c r="AD402" s="63" t="s">
        <v>404</v>
      </c>
      <c r="AE402" s="63" t="s">
        <v>41</v>
      </c>
      <c r="AF402" s="63" t="s">
        <v>190</v>
      </c>
      <c r="AG402" s="63" t="s">
        <v>128</v>
      </c>
      <c r="AH402" s="63" t="s">
        <v>129</v>
      </c>
      <c r="AI402" s="63" t="s">
        <v>137</v>
      </c>
      <c r="AJ402" s="63" t="s">
        <v>138</v>
      </c>
      <c r="AK402" s="83">
        <v>4.2</v>
      </c>
      <c r="AL402" s="63" t="s">
        <v>57</v>
      </c>
      <c r="AM402" s="63" t="s">
        <v>138</v>
      </c>
      <c r="AN402"/>
    </row>
    <row r="403" spans="1:40" ht="18" customHeight="1">
      <c r="A403" s="1" t="s">
        <v>1359</v>
      </c>
      <c r="B403" s="1" t="s">
        <v>1360</v>
      </c>
      <c r="C403" s="4">
        <v>46023</v>
      </c>
      <c r="D403" s="4">
        <v>46040</v>
      </c>
      <c r="E403" s="4">
        <v>46042</v>
      </c>
      <c r="F403" s="63" t="s">
        <v>118</v>
      </c>
      <c r="G403" s="63" t="s">
        <v>3842</v>
      </c>
      <c r="H403" s="63" t="s">
        <v>301</v>
      </c>
      <c r="I403" s="63" t="s">
        <v>49</v>
      </c>
      <c r="J403" s="63" t="s">
        <v>50</v>
      </c>
      <c r="K403" s="63" t="s">
        <v>1361</v>
      </c>
      <c r="L403" s="63" t="s">
        <v>126</v>
      </c>
      <c r="M403" s="69">
        <v>4423.5200000000004</v>
      </c>
      <c r="N403" s="63" t="s">
        <v>159</v>
      </c>
      <c r="O403" s="73">
        <f>_xlfn.XLOOKUP(Supplier_Perf_Table[[#This Row],[Currency]],'Comments 2'!$C$4:$C$16,'Comments 2'!$D$4:$D$16)</f>
        <v>7.2999999999999996E-4</v>
      </c>
      <c r="P403" s="69">
        <f>IFERROR(Supplier_Perf_Table[[#This Row],[Unit_Cost]]*Supplier_Perf_Table[[#This Row],[Dollar Equivalent]],"")</f>
        <v>3.2291696000000001</v>
      </c>
      <c r="Q403" s="75">
        <v>50</v>
      </c>
      <c r="R403" s="1">
        <v>221176</v>
      </c>
      <c r="S403" s="75">
        <f>Supplier_Perf_Table[[#This Row],[Unit_Cost]]*Supplier_Perf_Table[[#This Row],[Order_Quantity]]</f>
        <v>221176.00000000003</v>
      </c>
      <c r="T403" s="75">
        <f>IFERROR(Supplier_Perf_Table[[#This Row],[Dollar Equivalent]]*Supplier_Perf_Table[[#This Row],[Ordered_Value]],"")</f>
        <v>161.45847999999998</v>
      </c>
      <c r="U403" s="75">
        <v>0</v>
      </c>
      <c r="V403" s="7">
        <v>0</v>
      </c>
      <c r="W403" s="75">
        <v>19</v>
      </c>
      <c r="X403" s="55">
        <f>IFERROR(Supplier_Perf_Table[[#This Row],[Actual_Delivery_Date]]-Supplier_Perf_Table[[#This Row],[Order Date]],"")</f>
        <v>19</v>
      </c>
      <c r="Y403" s="75">
        <v>17</v>
      </c>
      <c r="Z403" s="56">
        <f>IFERROR(Supplier_Perf_Table[[#This Row],[Expected Delivery_Date]]-Supplier_Perf_Table[[#This Row],[Order Date]],"")</f>
        <v>17</v>
      </c>
      <c r="AA403" s="56">
        <f>Supplier_Perf_Table[[#This Row],[Calculated_Lead_Time2]]-Supplier_Perf_Table[[#This Row],[Calculated_Expected_Lead_Time]]</f>
        <v>2</v>
      </c>
      <c r="AB403" s="75">
        <v>2</v>
      </c>
      <c r="AC403" s="63" t="s">
        <v>135</v>
      </c>
      <c r="AD403" s="63" t="s">
        <v>40</v>
      </c>
      <c r="AE403" s="63" t="s">
        <v>105</v>
      </c>
      <c r="AF403" s="63" t="s">
        <v>212</v>
      </c>
      <c r="AG403" s="63" t="s">
        <v>173</v>
      </c>
      <c r="AH403" s="63" t="s">
        <v>136</v>
      </c>
      <c r="AI403" s="63" t="s">
        <v>56</v>
      </c>
      <c r="AJ403" s="63" t="s">
        <v>138</v>
      </c>
      <c r="AK403" s="83">
        <v>3.5</v>
      </c>
      <c r="AL403" s="63" t="s">
        <v>45</v>
      </c>
      <c r="AM403" s="63" t="s">
        <v>46</v>
      </c>
      <c r="AN403"/>
    </row>
    <row r="404" spans="1:40" ht="18" customHeight="1">
      <c r="A404" s="1" t="s">
        <v>1362</v>
      </c>
      <c r="B404" s="1" t="s">
        <v>1363</v>
      </c>
      <c r="C404" s="4">
        <v>46125</v>
      </c>
      <c r="D404" s="4">
        <v>46145</v>
      </c>
      <c r="E404" s="4">
        <v>46139</v>
      </c>
      <c r="F404" s="63" t="s">
        <v>235</v>
      </c>
      <c r="G404" s="63" t="s">
        <v>3848</v>
      </c>
      <c r="H404" s="63" t="s">
        <v>479</v>
      </c>
      <c r="I404" s="63" t="s">
        <v>241</v>
      </c>
      <c r="J404" s="63" t="s">
        <v>71</v>
      </c>
      <c r="K404" s="63" t="s">
        <v>1364</v>
      </c>
      <c r="L404" s="63" t="s">
        <v>337</v>
      </c>
      <c r="M404" s="69">
        <v>360.15</v>
      </c>
      <c r="N404" s="63" t="s">
        <v>65</v>
      </c>
      <c r="O404" s="73">
        <f>_xlfn.XLOOKUP(Supplier_Perf_Table[[#This Row],[Currency]],'Comments 2'!$C$4:$C$16,'Comments 2'!$D$4:$D$16)</f>
        <v>1</v>
      </c>
      <c r="P404" s="69">
        <f>IFERROR(Supplier_Perf_Table[[#This Row],[Unit_Cost]]*Supplier_Perf_Table[[#This Row],[Dollar Equivalent]],"")</f>
        <v>360.15</v>
      </c>
      <c r="Q404" s="75">
        <v>500</v>
      </c>
      <c r="R404" s="1">
        <v>180075</v>
      </c>
      <c r="S404" s="75">
        <f>Supplier_Perf_Table[[#This Row],[Unit_Cost]]*Supplier_Perf_Table[[#This Row],[Order_Quantity]]</f>
        <v>180075</v>
      </c>
      <c r="T404" s="75">
        <f>IFERROR(Supplier_Perf_Table[[#This Row],[Dollar Equivalent]]*Supplier_Perf_Table[[#This Row],[Ordered_Value]],"")</f>
        <v>180075</v>
      </c>
      <c r="U404" s="75">
        <v>7</v>
      </c>
      <c r="V404" s="7">
        <v>1.4E-2</v>
      </c>
      <c r="W404" s="75">
        <v>14</v>
      </c>
      <c r="X404" s="55">
        <f>IFERROR(Supplier_Perf_Table[[#This Row],[Actual_Delivery_Date]]-Supplier_Perf_Table[[#This Row],[Order Date]],"")</f>
        <v>14</v>
      </c>
      <c r="Y404" s="75">
        <v>20</v>
      </c>
      <c r="Z404" s="56">
        <f>IFERROR(Supplier_Perf_Table[[#This Row],[Expected Delivery_Date]]-Supplier_Perf_Table[[#This Row],[Order Date]],"")</f>
        <v>20</v>
      </c>
      <c r="AA404" s="56">
        <f>Supplier_Perf_Table[[#This Row],[Calculated_Lead_Time2]]-Supplier_Perf_Table[[#This Row],[Calculated_Expected_Lead_Time]]</f>
        <v>-6</v>
      </c>
      <c r="AB404" s="75">
        <v>-6</v>
      </c>
      <c r="AC404" s="63" t="s">
        <v>87</v>
      </c>
      <c r="AD404" s="63" t="s">
        <v>40</v>
      </c>
      <c r="AE404" s="63" t="s">
        <v>41</v>
      </c>
      <c r="AF404" s="63" t="s">
        <v>106</v>
      </c>
      <c r="AG404" s="63" t="s">
        <v>54</v>
      </c>
      <c r="AH404" s="63" t="s">
        <v>174</v>
      </c>
      <c r="AI404" s="63" t="s">
        <v>56</v>
      </c>
      <c r="AJ404" s="63" t="s">
        <v>138</v>
      </c>
      <c r="AK404" s="83">
        <v>2.8</v>
      </c>
      <c r="AL404" s="63" t="s">
        <v>184</v>
      </c>
      <c r="AM404" s="63" t="s">
        <v>138</v>
      </c>
      <c r="AN404"/>
    </row>
    <row r="405" spans="1:40" ht="18" customHeight="1">
      <c r="A405" s="1" t="s">
        <v>1365</v>
      </c>
      <c r="B405" s="1" t="s">
        <v>1366</v>
      </c>
      <c r="C405" s="4">
        <v>46036</v>
      </c>
      <c r="D405" s="4">
        <v>46048</v>
      </c>
      <c r="E405" s="4">
        <v>46050</v>
      </c>
      <c r="F405" s="63" t="s">
        <v>60</v>
      </c>
      <c r="G405" s="63" t="s">
        <v>3837</v>
      </c>
      <c r="H405" s="63" t="s">
        <v>152</v>
      </c>
      <c r="I405" s="63" t="s">
        <v>70</v>
      </c>
      <c r="J405" s="63" t="s">
        <v>62</v>
      </c>
      <c r="K405" s="63" t="s">
        <v>1367</v>
      </c>
      <c r="L405" s="63" t="s">
        <v>225</v>
      </c>
      <c r="M405" s="69">
        <v>672.96</v>
      </c>
      <c r="N405" s="63" t="s">
        <v>159</v>
      </c>
      <c r="O405" s="73">
        <f>_xlfn.XLOOKUP(Supplier_Perf_Table[[#This Row],[Currency]],'Comments 2'!$C$4:$C$16,'Comments 2'!$D$4:$D$16)</f>
        <v>7.2999999999999996E-4</v>
      </c>
      <c r="P405" s="69">
        <f>IFERROR(Supplier_Perf_Table[[#This Row],[Unit_Cost]]*Supplier_Perf_Table[[#This Row],[Dollar Equivalent]],"")</f>
        <v>0.4912608</v>
      </c>
      <c r="Q405" s="75">
        <v>500</v>
      </c>
      <c r="R405" s="1">
        <v>336480</v>
      </c>
      <c r="S405" s="75">
        <f>Supplier_Perf_Table[[#This Row],[Unit_Cost]]*Supplier_Perf_Table[[#This Row],[Order_Quantity]]</f>
        <v>336480</v>
      </c>
      <c r="T405" s="75">
        <f>IFERROR(Supplier_Perf_Table[[#This Row],[Dollar Equivalent]]*Supplier_Perf_Table[[#This Row],[Ordered_Value]],"")</f>
        <v>245.63039999999998</v>
      </c>
      <c r="U405" s="75">
        <v>7</v>
      </c>
      <c r="V405" s="7">
        <v>1.4E-2</v>
      </c>
      <c r="W405" s="75">
        <v>14</v>
      </c>
      <c r="X405" s="55">
        <f>IFERROR(Supplier_Perf_Table[[#This Row],[Actual_Delivery_Date]]-Supplier_Perf_Table[[#This Row],[Order Date]],"")</f>
        <v>14</v>
      </c>
      <c r="Y405" s="75">
        <v>12</v>
      </c>
      <c r="Z405" s="56">
        <f>IFERROR(Supplier_Perf_Table[[#This Row],[Expected Delivery_Date]]-Supplier_Perf_Table[[#This Row],[Order Date]],"")</f>
        <v>12</v>
      </c>
      <c r="AA405" s="56">
        <f>Supplier_Perf_Table[[#This Row],[Calculated_Lead_Time2]]-Supplier_Perf_Table[[#This Row],[Calculated_Expected_Lead_Time]]</f>
        <v>2</v>
      </c>
      <c r="AB405" s="75">
        <v>2</v>
      </c>
      <c r="AC405" s="63" t="s">
        <v>135</v>
      </c>
      <c r="AD405" s="63" t="s">
        <v>40</v>
      </c>
      <c r="AE405" s="63" t="s">
        <v>3088</v>
      </c>
      <c r="AF405" s="63" t="s">
        <v>106</v>
      </c>
      <c r="AG405" s="63" t="s">
        <v>173</v>
      </c>
      <c r="AH405" s="63" t="s">
        <v>136</v>
      </c>
      <c r="AI405" s="63" t="s">
        <v>95</v>
      </c>
      <c r="AJ405" s="63" t="s">
        <v>138</v>
      </c>
      <c r="AK405" s="83">
        <v>4</v>
      </c>
      <c r="AL405" s="63" t="s">
        <v>76</v>
      </c>
      <c r="AM405" s="63" t="s">
        <v>148</v>
      </c>
      <c r="AN405"/>
    </row>
    <row r="406" spans="1:40" ht="18" customHeight="1">
      <c r="A406" s="1" t="s">
        <v>1368</v>
      </c>
      <c r="B406" s="1" t="s">
        <v>1369</v>
      </c>
      <c r="C406" s="4">
        <v>46068</v>
      </c>
      <c r="D406" s="4">
        <v>46083</v>
      </c>
      <c r="E406" s="4">
        <v>46072</v>
      </c>
      <c r="F406" s="63" t="s">
        <v>100</v>
      </c>
      <c r="G406" s="63" t="s">
        <v>3841</v>
      </c>
      <c r="H406" s="63" t="s">
        <v>102</v>
      </c>
      <c r="I406" s="63" t="s">
        <v>49</v>
      </c>
      <c r="J406" s="63" t="s">
        <v>50</v>
      </c>
      <c r="K406" s="63" t="s">
        <v>1370</v>
      </c>
      <c r="L406" s="63" t="s">
        <v>145</v>
      </c>
      <c r="M406" s="69">
        <v>1484.37</v>
      </c>
      <c r="N406" s="63" t="s">
        <v>86</v>
      </c>
      <c r="O406" s="73">
        <f>_xlfn.XLOOKUP(Supplier_Perf_Table[[#This Row],[Currency]],'Comments 2'!$C$4:$C$16,'Comments 2'!$D$4:$D$16)</f>
        <v>8.8999999999999996E-2</v>
      </c>
      <c r="P406" s="69">
        <f>IFERROR(Supplier_Perf_Table[[#This Row],[Unit_Cost]]*Supplier_Perf_Table[[#This Row],[Dollar Equivalent]],"")</f>
        <v>132.10892999999999</v>
      </c>
      <c r="Q406" s="75">
        <v>200</v>
      </c>
      <c r="R406" s="1">
        <v>296874</v>
      </c>
      <c r="S406" s="75">
        <f>Supplier_Perf_Table[[#This Row],[Unit_Cost]]*Supplier_Perf_Table[[#This Row],[Order_Quantity]]</f>
        <v>296874</v>
      </c>
      <c r="T406" s="75">
        <f>IFERROR(Supplier_Perf_Table[[#This Row],[Dollar Equivalent]]*Supplier_Perf_Table[[#This Row],[Ordered_Value]],"")</f>
        <v>26421.786</v>
      </c>
      <c r="U406" s="75">
        <v>4</v>
      </c>
      <c r="V406" s="7">
        <v>0.02</v>
      </c>
      <c r="W406" s="75">
        <v>4</v>
      </c>
      <c r="X406" s="55">
        <f>IFERROR(Supplier_Perf_Table[[#This Row],[Actual_Delivery_Date]]-Supplier_Perf_Table[[#This Row],[Order Date]],"")</f>
        <v>4</v>
      </c>
      <c r="Y406" s="75">
        <v>15</v>
      </c>
      <c r="Z406" s="56">
        <f>IFERROR(Supplier_Perf_Table[[#This Row],[Expected Delivery_Date]]-Supplier_Perf_Table[[#This Row],[Order Date]],"")</f>
        <v>15</v>
      </c>
      <c r="AA406" s="56">
        <f>Supplier_Perf_Table[[#This Row],[Calculated_Lead_Time2]]-Supplier_Perf_Table[[#This Row],[Calculated_Expected_Lead_Time]]</f>
        <v>-11</v>
      </c>
      <c r="AB406" s="75">
        <v>-11</v>
      </c>
      <c r="AC406" s="63" t="s">
        <v>87</v>
      </c>
      <c r="AD406" s="63" t="s">
        <v>40</v>
      </c>
      <c r="AE406" s="63" t="s">
        <v>41</v>
      </c>
      <c r="AF406" s="63" t="s">
        <v>42</v>
      </c>
      <c r="AG406" s="63" t="s">
        <v>173</v>
      </c>
      <c r="AH406" s="63" t="s">
        <v>3112</v>
      </c>
      <c r="AI406" s="63" t="s">
        <v>137</v>
      </c>
      <c r="AJ406" s="63" t="s">
        <v>138</v>
      </c>
      <c r="AK406" s="83">
        <v>2.5</v>
      </c>
      <c r="AL406" s="63" t="s">
        <v>45</v>
      </c>
      <c r="AM406" s="63" t="s">
        <v>138</v>
      </c>
      <c r="AN406"/>
    </row>
    <row r="407" spans="1:40" ht="18" customHeight="1">
      <c r="A407" s="1" t="s">
        <v>1371</v>
      </c>
      <c r="B407" s="1" t="s">
        <v>1372</v>
      </c>
      <c r="C407" s="4">
        <v>46173</v>
      </c>
      <c r="D407" s="4">
        <v>46187</v>
      </c>
      <c r="E407" s="4">
        <v>46182</v>
      </c>
      <c r="F407" s="63" t="s">
        <v>256</v>
      </c>
      <c r="G407" s="63" t="s">
        <v>3849</v>
      </c>
      <c r="H407" s="63" t="s">
        <v>258</v>
      </c>
      <c r="I407" s="63" t="s">
        <v>83</v>
      </c>
      <c r="J407" s="63" t="s">
        <v>153</v>
      </c>
      <c r="K407" s="63" t="s">
        <v>1373</v>
      </c>
      <c r="L407" s="63" t="s">
        <v>318</v>
      </c>
      <c r="M407" s="69">
        <v>581.37</v>
      </c>
      <c r="N407" s="63" t="s">
        <v>65</v>
      </c>
      <c r="O407" s="73">
        <f>_xlfn.XLOOKUP(Supplier_Perf_Table[[#This Row],[Currency]],'Comments 2'!$C$4:$C$16,'Comments 2'!$D$4:$D$16)</f>
        <v>1</v>
      </c>
      <c r="P407" s="69">
        <f>IFERROR(Supplier_Perf_Table[[#This Row],[Unit_Cost]]*Supplier_Perf_Table[[#This Row],[Dollar Equivalent]],"")</f>
        <v>581.37</v>
      </c>
      <c r="Q407" s="75" t="s">
        <v>3080</v>
      </c>
      <c r="R407" s="1">
        <v>43602.75</v>
      </c>
      <c r="S407" s="75" t="e">
        <f>Supplier_Perf_Table[[#This Row],[Unit_Cost]]*Supplier_Perf_Table[[#This Row],[Order_Quantity]]</f>
        <v>#VALUE!</v>
      </c>
      <c r="T407" s="75">
        <f>IFERROR(Supplier_Perf_Table[[#This Row],[Dollar Equivalent]]*Supplier_Perf_Table[[#This Row],[Ordered_Value]],"")</f>
        <v>43602.75</v>
      </c>
      <c r="U407" s="75">
        <v>12</v>
      </c>
      <c r="V407" s="7">
        <v>0.16</v>
      </c>
      <c r="W407" s="75">
        <v>9</v>
      </c>
      <c r="X407" s="55">
        <f>IFERROR(Supplier_Perf_Table[[#This Row],[Actual_Delivery_Date]]-Supplier_Perf_Table[[#This Row],[Order Date]],"")</f>
        <v>9</v>
      </c>
      <c r="Y407" s="75">
        <v>14</v>
      </c>
      <c r="Z407" s="56">
        <f>IFERROR(Supplier_Perf_Table[[#This Row],[Expected Delivery_Date]]-Supplier_Perf_Table[[#This Row],[Order Date]],"")</f>
        <v>14</v>
      </c>
      <c r="AA407" s="56">
        <f>Supplier_Perf_Table[[#This Row],[Calculated_Lead_Time2]]-Supplier_Perf_Table[[#This Row],[Calculated_Expected_Lead_Time]]</f>
        <v>-5</v>
      </c>
      <c r="AB407" s="75">
        <v>-5</v>
      </c>
      <c r="AC407" s="63" t="s">
        <v>87</v>
      </c>
      <c r="AD407" s="63" t="s">
        <v>366</v>
      </c>
      <c r="AE407" s="63" t="s">
        <v>3088</v>
      </c>
      <c r="AF407" s="63" t="s">
        <v>3088</v>
      </c>
      <c r="AG407" s="63" t="s">
        <v>3088</v>
      </c>
      <c r="AH407" s="63" t="s">
        <v>55</v>
      </c>
      <c r="AI407" s="63" t="s">
        <v>191</v>
      </c>
      <c r="AJ407" s="63" t="s">
        <v>283</v>
      </c>
      <c r="AK407" s="83">
        <v>1.5</v>
      </c>
      <c r="AL407" s="63" t="s">
        <v>108</v>
      </c>
      <c r="AM407" s="63" t="s">
        <v>284</v>
      </c>
      <c r="AN407"/>
    </row>
    <row r="408" spans="1:40" ht="18" customHeight="1">
      <c r="A408" s="1" t="s">
        <v>1374</v>
      </c>
      <c r="B408" s="1" t="s">
        <v>1375</v>
      </c>
      <c r="C408" s="4">
        <v>46194</v>
      </c>
      <c r="D408" s="4">
        <v>46209</v>
      </c>
      <c r="E408" s="4">
        <v>46215</v>
      </c>
      <c r="F408" s="63" t="s">
        <v>235</v>
      </c>
      <c r="G408" s="63" t="s">
        <v>3848</v>
      </c>
      <c r="H408" s="63" t="s">
        <v>479</v>
      </c>
      <c r="I408" s="63" t="s">
        <v>70</v>
      </c>
      <c r="J408" s="63" t="s">
        <v>71</v>
      </c>
      <c r="K408" s="63" t="s">
        <v>1376</v>
      </c>
      <c r="L408" s="63" t="s">
        <v>73</v>
      </c>
      <c r="M408" s="69">
        <v>752.57</v>
      </c>
      <c r="N408" s="63" t="s">
        <v>65</v>
      </c>
      <c r="O408" s="73">
        <f>_xlfn.XLOOKUP(Supplier_Perf_Table[[#This Row],[Currency]],'Comments 2'!$C$4:$C$16,'Comments 2'!$D$4:$D$16)</f>
        <v>1</v>
      </c>
      <c r="P408" s="69">
        <f>IFERROR(Supplier_Perf_Table[[#This Row],[Unit_Cost]]*Supplier_Perf_Table[[#This Row],[Dollar Equivalent]],"")</f>
        <v>752.57</v>
      </c>
      <c r="Q408" s="75">
        <v>75</v>
      </c>
      <c r="R408" s="1">
        <v>56442.75</v>
      </c>
      <c r="S408" s="75">
        <f>Supplier_Perf_Table[[#This Row],[Unit_Cost]]*Supplier_Perf_Table[[#This Row],[Order_Quantity]]</f>
        <v>56442.750000000007</v>
      </c>
      <c r="T408" s="75">
        <f>IFERROR(Supplier_Perf_Table[[#This Row],[Dollar Equivalent]]*Supplier_Perf_Table[[#This Row],[Ordered_Value]],"")</f>
        <v>56442.75</v>
      </c>
      <c r="U408" s="75">
        <v>3</v>
      </c>
      <c r="V408" s="7">
        <v>0.04</v>
      </c>
      <c r="W408" s="75">
        <v>21</v>
      </c>
      <c r="X408" s="55">
        <f>IFERROR(Supplier_Perf_Table[[#This Row],[Actual_Delivery_Date]]-Supplier_Perf_Table[[#This Row],[Order Date]],"")</f>
        <v>21</v>
      </c>
      <c r="Y408" s="75">
        <v>15</v>
      </c>
      <c r="Z408" s="56">
        <f>IFERROR(Supplier_Perf_Table[[#This Row],[Expected Delivery_Date]]-Supplier_Perf_Table[[#This Row],[Order Date]],"")</f>
        <v>15</v>
      </c>
      <c r="AA408" s="56">
        <f>Supplier_Perf_Table[[#This Row],[Calculated_Lead_Time2]]-Supplier_Perf_Table[[#This Row],[Calculated_Expected_Lead_Time]]</f>
        <v>6</v>
      </c>
      <c r="AB408" s="75">
        <v>6</v>
      </c>
      <c r="AC408" s="63" t="s">
        <v>39</v>
      </c>
      <c r="AD408" s="63" t="s">
        <v>40</v>
      </c>
      <c r="AE408" s="63" t="s">
        <v>127</v>
      </c>
      <c r="AF408" s="63" t="s">
        <v>212</v>
      </c>
      <c r="AG408" s="63" t="s">
        <v>3088</v>
      </c>
      <c r="AH408" s="63" t="s">
        <v>174</v>
      </c>
      <c r="AI408" s="63" t="s">
        <v>95</v>
      </c>
      <c r="AJ408" s="63" t="s">
        <v>138</v>
      </c>
      <c r="AK408" s="83">
        <v>1.2</v>
      </c>
      <c r="AL408" s="63" t="s">
        <v>115</v>
      </c>
      <c r="AM408" s="63" t="s">
        <v>148</v>
      </c>
      <c r="AN408"/>
    </row>
    <row r="409" spans="1:40" ht="18" customHeight="1">
      <c r="A409" s="1" t="s">
        <v>1377</v>
      </c>
      <c r="B409" s="1" t="s">
        <v>1378</v>
      </c>
      <c r="C409" s="4">
        <v>46063</v>
      </c>
      <c r="D409" s="4">
        <v>46072</v>
      </c>
      <c r="E409" s="4">
        <v>46078</v>
      </c>
      <c r="F409" s="63" t="s">
        <v>48</v>
      </c>
      <c r="G409" s="63" t="s">
        <v>3836</v>
      </c>
      <c r="H409" s="63" t="s">
        <v>102</v>
      </c>
      <c r="I409" s="63" t="s">
        <v>61</v>
      </c>
      <c r="J409" s="63" t="s">
        <v>62</v>
      </c>
      <c r="K409" s="63" t="s">
        <v>1379</v>
      </c>
      <c r="L409" s="63" t="s">
        <v>225</v>
      </c>
      <c r="M409" s="69">
        <v>37.409999999999997</v>
      </c>
      <c r="N409" s="63" t="s">
        <v>86</v>
      </c>
      <c r="O409" s="73">
        <f>_xlfn.XLOOKUP(Supplier_Perf_Table[[#This Row],[Currency]],'Comments 2'!$C$4:$C$16,'Comments 2'!$D$4:$D$16)</f>
        <v>8.8999999999999996E-2</v>
      </c>
      <c r="P409" s="69">
        <f>IFERROR(Supplier_Perf_Table[[#This Row],[Unit_Cost]]*Supplier_Perf_Table[[#This Row],[Dollar Equivalent]],"")</f>
        <v>3.3294899999999994</v>
      </c>
      <c r="Q409" s="75">
        <v>75</v>
      </c>
      <c r="R409" s="1">
        <v>2805.75</v>
      </c>
      <c r="S409" s="75">
        <f>Supplier_Perf_Table[[#This Row],[Unit_Cost]]*Supplier_Perf_Table[[#This Row],[Order_Quantity]]</f>
        <v>2805.7499999999995</v>
      </c>
      <c r="T409" s="75">
        <f>IFERROR(Supplier_Perf_Table[[#This Row],[Dollar Equivalent]]*Supplier_Perf_Table[[#This Row],[Ordered_Value]],"")</f>
        <v>249.71174999999999</v>
      </c>
      <c r="U409" s="75">
        <v>1</v>
      </c>
      <c r="V409" s="7">
        <v>1.3299999999999999E-2</v>
      </c>
      <c r="W409" s="75" t="s">
        <v>3080</v>
      </c>
      <c r="X409" s="55">
        <f>IFERROR(Supplier_Perf_Table[[#This Row],[Actual_Delivery_Date]]-Supplier_Perf_Table[[#This Row],[Order Date]],"")</f>
        <v>15</v>
      </c>
      <c r="Y409" s="75">
        <v>9</v>
      </c>
      <c r="Z409" s="56">
        <f>IFERROR(Supplier_Perf_Table[[#This Row],[Expected Delivery_Date]]-Supplier_Perf_Table[[#This Row],[Order Date]],"")</f>
        <v>9</v>
      </c>
      <c r="AA409" s="56">
        <f>Supplier_Perf_Table[[#This Row],[Calculated_Lead_Time2]]-Supplier_Perf_Table[[#This Row],[Calculated_Expected_Lead_Time]]</f>
        <v>6</v>
      </c>
      <c r="AB409" s="75">
        <v>6</v>
      </c>
      <c r="AC409" s="63" t="s">
        <v>39</v>
      </c>
      <c r="AD409" s="63" t="s">
        <v>40</v>
      </c>
      <c r="AE409" s="63" t="s">
        <v>127</v>
      </c>
      <c r="AF409" s="63" t="s">
        <v>66</v>
      </c>
      <c r="AG409" s="63" t="s">
        <v>128</v>
      </c>
      <c r="AH409" s="63" t="s">
        <v>3112</v>
      </c>
      <c r="AI409" s="63" t="s">
        <v>137</v>
      </c>
      <c r="AJ409" s="63" t="s">
        <v>138</v>
      </c>
      <c r="AK409" s="83">
        <v>3.3</v>
      </c>
      <c r="AL409" s="63" t="s">
        <v>115</v>
      </c>
      <c r="AM409" s="63" t="s">
        <v>148</v>
      </c>
      <c r="AN409"/>
    </row>
    <row r="410" spans="1:40" ht="18" customHeight="1">
      <c r="A410" s="1" t="s">
        <v>1380</v>
      </c>
      <c r="B410" s="1" t="s">
        <v>1381</v>
      </c>
      <c r="C410" s="4">
        <v>46178</v>
      </c>
      <c r="D410" s="4">
        <v>46192</v>
      </c>
      <c r="E410" s="4">
        <v>46195</v>
      </c>
      <c r="F410" s="63" t="s">
        <v>80</v>
      </c>
      <c r="G410" s="63" t="s">
        <v>3839</v>
      </c>
      <c r="H410" s="63" t="s">
        <v>82</v>
      </c>
      <c r="I410" s="63" t="s">
        <v>178</v>
      </c>
      <c r="J410" s="63" t="s">
        <v>35</v>
      </c>
      <c r="K410" s="63" t="s">
        <v>1382</v>
      </c>
      <c r="L410" s="63" t="s">
        <v>200</v>
      </c>
      <c r="M410" s="69">
        <v>363.34</v>
      </c>
      <c r="N410" s="63" t="s">
        <v>86</v>
      </c>
      <c r="O410" s="73">
        <f>_xlfn.XLOOKUP(Supplier_Perf_Table[[#This Row],[Currency]],'Comments 2'!$C$4:$C$16,'Comments 2'!$D$4:$D$16)</f>
        <v>8.8999999999999996E-2</v>
      </c>
      <c r="P410" s="69">
        <f>IFERROR(Supplier_Perf_Table[[#This Row],[Unit_Cost]]*Supplier_Perf_Table[[#This Row],[Dollar Equivalent]],"")</f>
        <v>32.337259999999993</v>
      </c>
      <c r="Q410" s="75">
        <v>100</v>
      </c>
      <c r="R410" s="1">
        <v>36334</v>
      </c>
      <c r="S410" s="75">
        <f>Supplier_Perf_Table[[#This Row],[Unit_Cost]]*Supplier_Perf_Table[[#This Row],[Order_Quantity]]</f>
        <v>36334</v>
      </c>
      <c r="T410" s="75">
        <f>IFERROR(Supplier_Perf_Table[[#This Row],[Dollar Equivalent]]*Supplier_Perf_Table[[#This Row],[Ordered_Value]],"")</f>
        <v>3233.7259999999997</v>
      </c>
      <c r="U410" s="75">
        <v>0</v>
      </c>
      <c r="V410" s="7">
        <v>0</v>
      </c>
      <c r="W410" s="75" t="s">
        <v>3080</v>
      </c>
      <c r="X410" s="55">
        <f>IFERROR(Supplier_Perf_Table[[#This Row],[Actual_Delivery_Date]]-Supplier_Perf_Table[[#This Row],[Order Date]],"")</f>
        <v>17</v>
      </c>
      <c r="Y410" s="75">
        <v>14</v>
      </c>
      <c r="Z410" s="56">
        <f>IFERROR(Supplier_Perf_Table[[#This Row],[Expected Delivery_Date]]-Supplier_Perf_Table[[#This Row],[Order Date]],"")</f>
        <v>14</v>
      </c>
      <c r="AA410" s="56">
        <f>Supplier_Perf_Table[[#This Row],[Calculated_Lead_Time2]]-Supplier_Perf_Table[[#This Row],[Calculated_Expected_Lead_Time]]</f>
        <v>3</v>
      </c>
      <c r="AB410" s="75">
        <v>3</v>
      </c>
      <c r="AC410" s="63" t="s">
        <v>135</v>
      </c>
      <c r="AD410" s="63" t="s">
        <v>40</v>
      </c>
      <c r="AE410" s="63" t="s">
        <v>105</v>
      </c>
      <c r="AF410" s="63" t="s">
        <v>66</v>
      </c>
      <c r="AG410" s="63" t="s">
        <v>173</v>
      </c>
      <c r="AH410" s="63" t="s">
        <v>3112</v>
      </c>
      <c r="AI410" s="63" t="s">
        <v>191</v>
      </c>
      <c r="AJ410" s="63" t="s">
        <v>138</v>
      </c>
      <c r="AK410" s="83">
        <v>2.9</v>
      </c>
      <c r="AL410" s="63" t="s">
        <v>76</v>
      </c>
      <c r="AM410" s="63" t="s">
        <v>46</v>
      </c>
      <c r="AN410"/>
    </row>
    <row r="411" spans="1:40" ht="18" customHeight="1">
      <c r="A411" s="1" t="s">
        <v>1383</v>
      </c>
      <c r="B411" s="1" t="s">
        <v>1384</v>
      </c>
      <c r="C411" s="4">
        <v>46027</v>
      </c>
      <c r="D411" s="4">
        <v>46039</v>
      </c>
      <c r="E411" s="4">
        <v>46043</v>
      </c>
      <c r="F411" s="63" t="s">
        <v>80</v>
      </c>
      <c r="G411" s="63" t="s">
        <v>3839</v>
      </c>
      <c r="H411" s="63" t="s">
        <v>82</v>
      </c>
      <c r="I411" s="63" t="s">
        <v>241</v>
      </c>
      <c r="J411" s="63" t="s">
        <v>35</v>
      </c>
      <c r="K411" s="63" t="s">
        <v>1385</v>
      </c>
      <c r="L411" s="63" t="s">
        <v>200</v>
      </c>
      <c r="M411" s="69">
        <v>1503.17</v>
      </c>
      <c r="N411" s="63" t="s">
        <v>38</v>
      </c>
      <c r="O411" s="73">
        <f>_xlfn.XLOOKUP(Supplier_Perf_Table[[#This Row],[Currency]],'Comments 2'!$C$4:$C$16,'Comments 2'!$D$4:$D$16)</f>
        <v>7.7000000000000002E-3</v>
      </c>
      <c r="P411" s="69">
        <f>IFERROR(Supplier_Perf_Table[[#This Row],[Unit_Cost]]*Supplier_Perf_Table[[#This Row],[Dollar Equivalent]],"")</f>
        <v>11.574409000000001</v>
      </c>
      <c r="Q411" s="75">
        <v>750</v>
      </c>
      <c r="R411" s="1">
        <v>1127377.5</v>
      </c>
      <c r="S411" s="75">
        <f>Supplier_Perf_Table[[#This Row],[Unit_Cost]]*Supplier_Perf_Table[[#This Row],[Order_Quantity]]</f>
        <v>1127377.5</v>
      </c>
      <c r="T411" s="75">
        <f>IFERROR(Supplier_Perf_Table[[#This Row],[Dollar Equivalent]]*Supplier_Perf_Table[[#This Row],[Ordered_Value]],"")</f>
        <v>8680.8067499999997</v>
      </c>
      <c r="U411" s="75">
        <v>7</v>
      </c>
      <c r="V411" s="7">
        <v>9.2999999999999992E-3</v>
      </c>
      <c r="W411" s="75">
        <v>16</v>
      </c>
      <c r="X411" s="55">
        <f>IFERROR(Supplier_Perf_Table[[#This Row],[Actual_Delivery_Date]]-Supplier_Perf_Table[[#This Row],[Order Date]],"")</f>
        <v>16</v>
      </c>
      <c r="Y411" s="75">
        <v>12</v>
      </c>
      <c r="Z411" s="56">
        <f>IFERROR(Supplier_Perf_Table[[#This Row],[Expected Delivery_Date]]-Supplier_Perf_Table[[#This Row],[Order Date]],"")</f>
        <v>12</v>
      </c>
      <c r="AA411" s="56">
        <f>Supplier_Perf_Table[[#This Row],[Calculated_Lead_Time2]]-Supplier_Perf_Table[[#This Row],[Calculated_Expected_Lead_Time]]</f>
        <v>4</v>
      </c>
      <c r="AB411" s="75">
        <v>4</v>
      </c>
      <c r="AC411" s="63" t="s">
        <v>205</v>
      </c>
      <c r="AD411" s="63" t="s">
        <v>40</v>
      </c>
      <c r="AE411" s="63" t="s">
        <v>105</v>
      </c>
      <c r="AF411" s="63" t="s">
        <v>212</v>
      </c>
      <c r="AG411" s="63" t="s">
        <v>3088</v>
      </c>
      <c r="AH411" s="63" t="s">
        <v>136</v>
      </c>
      <c r="AI411" s="63" t="s">
        <v>56</v>
      </c>
      <c r="AJ411" s="63" t="s">
        <v>138</v>
      </c>
      <c r="AK411" s="83">
        <v>4</v>
      </c>
      <c r="AL411" s="63" t="s">
        <v>108</v>
      </c>
      <c r="AM411" s="63" t="s">
        <v>46</v>
      </c>
      <c r="AN411"/>
    </row>
    <row r="412" spans="1:40" ht="18" customHeight="1">
      <c r="A412" s="1" t="s">
        <v>1386</v>
      </c>
      <c r="B412" s="1" t="s">
        <v>1387</v>
      </c>
      <c r="C412" s="4">
        <v>46090</v>
      </c>
      <c r="D412" s="4">
        <v>46097</v>
      </c>
      <c r="E412" s="4">
        <v>46094</v>
      </c>
      <c r="F412" s="63" t="s">
        <v>151</v>
      </c>
      <c r="G412" s="63" t="s">
        <v>3844</v>
      </c>
      <c r="H412" s="63" t="s">
        <v>152</v>
      </c>
      <c r="I412" s="63" t="s">
        <v>70</v>
      </c>
      <c r="J412" s="63" t="s">
        <v>112</v>
      </c>
      <c r="K412" s="63" t="s">
        <v>1388</v>
      </c>
      <c r="L412" s="63" t="s">
        <v>114</v>
      </c>
      <c r="M412" s="69">
        <v>180.39</v>
      </c>
      <c r="N412" s="63" t="s">
        <v>65</v>
      </c>
      <c r="O412" s="73">
        <f>_xlfn.XLOOKUP(Supplier_Perf_Table[[#This Row],[Currency]],'Comments 2'!$C$4:$C$16,'Comments 2'!$D$4:$D$16)</f>
        <v>1</v>
      </c>
      <c r="P412" s="69">
        <f>IFERROR(Supplier_Perf_Table[[#This Row],[Unit_Cost]]*Supplier_Perf_Table[[#This Row],[Dollar Equivalent]],"")</f>
        <v>180.39</v>
      </c>
      <c r="Q412" s="75">
        <v>1000</v>
      </c>
      <c r="R412" s="1">
        <v>180390</v>
      </c>
      <c r="S412" s="75">
        <f>Supplier_Perf_Table[[#This Row],[Unit_Cost]]*Supplier_Perf_Table[[#This Row],[Order_Quantity]]</f>
        <v>180390</v>
      </c>
      <c r="T412" s="75">
        <f>IFERROR(Supplier_Perf_Table[[#This Row],[Dollar Equivalent]]*Supplier_Perf_Table[[#This Row],[Ordered_Value]],"")</f>
        <v>180390</v>
      </c>
      <c r="U412" s="75">
        <v>16</v>
      </c>
      <c r="V412" s="7">
        <v>1.6E-2</v>
      </c>
      <c r="W412" s="75">
        <v>4</v>
      </c>
      <c r="X412" s="55">
        <f>IFERROR(Supplier_Perf_Table[[#This Row],[Actual_Delivery_Date]]-Supplier_Perf_Table[[#This Row],[Order Date]],"")</f>
        <v>4</v>
      </c>
      <c r="Y412" s="75">
        <v>7</v>
      </c>
      <c r="Z412" s="56">
        <f>IFERROR(Supplier_Perf_Table[[#This Row],[Expected Delivery_Date]]-Supplier_Perf_Table[[#This Row],[Order Date]],"")</f>
        <v>7</v>
      </c>
      <c r="AA412" s="56">
        <f>Supplier_Perf_Table[[#This Row],[Calculated_Lead_Time2]]-Supplier_Perf_Table[[#This Row],[Calculated_Expected_Lead_Time]]</f>
        <v>-3</v>
      </c>
      <c r="AB412" s="75">
        <v>-3</v>
      </c>
      <c r="AC412" s="63" t="s">
        <v>87</v>
      </c>
      <c r="AD412" s="63" t="s">
        <v>40</v>
      </c>
      <c r="AE412" s="63" t="s">
        <v>105</v>
      </c>
      <c r="AF412" s="63" t="s">
        <v>190</v>
      </c>
      <c r="AG412" s="63" t="s">
        <v>43</v>
      </c>
      <c r="AH412" s="63" t="s">
        <v>136</v>
      </c>
      <c r="AI412" s="63" t="s">
        <v>56</v>
      </c>
      <c r="AJ412" s="63" t="s">
        <v>138</v>
      </c>
      <c r="AK412" s="83">
        <v>3.7</v>
      </c>
      <c r="AL412" s="63" t="s">
        <v>57</v>
      </c>
      <c r="AM412" s="63" t="s">
        <v>138</v>
      </c>
      <c r="AN412"/>
    </row>
    <row r="413" spans="1:40" ht="18" customHeight="1">
      <c r="A413" s="1" t="s">
        <v>1389</v>
      </c>
      <c r="B413" s="1" t="s">
        <v>1390</v>
      </c>
      <c r="C413" s="4">
        <v>46065</v>
      </c>
      <c r="D413" s="4">
        <v>46081</v>
      </c>
      <c r="E413" s="4">
        <v>46077</v>
      </c>
      <c r="F413" s="63" t="s">
        <v>48</v>
      </c>
      <c r="G413" s="63" t="s">
        <v>3836</v>
      </c>
      <c r="H413" s="63" t="s">
        <v>102</v>
      </c>
      <c r="I413" s="63" t="s">
        <v>120</v>
      </c>
      <c r="J413" s="63" t="s">
        <v>50</v>
      </c>
      <c r="K413" s="63" t="s">
        <v>1391</v>
      </c>
      <c r="L413" s="63" t="s">
        <v>145</v>
      </c>
      <c r="M413" s="69">
        <v>867.59</v>
      </c>
      <c r="N413" s="63" t="s">
        <v>38</v>
      </c>
      <c r="O413" s="73">
        <f>_xlfn.XLOOKUP(Supplier_Perf_Table[[#This Row],[Currency]],'Comments 2'!$C$4:$C$16,'Comments 2'!$D$4:$D$16)</f>
        <v>7.7000000000000002E-3</v>
      </c>
      <c r="P413" s="69">
        <f>IFERROR(Supplier_Perf_Table[[#This Row],[Unit_Cost]]*Supplier_Perf_Table[[#This Row],[Dollar Equivalent]],"")</f>
        <v>6.6804430000000004</v>
      </c>
      <c r="Q413" s="75">
        <v>50</v>
      </c>
      <c r="R413" s="1">
        <v>43379.5</v>
      </c>
      <c r="S413" s="75">
        <f>Supplier_Perf_Table[[#This Row],[Unit_Cost]]*Supplier_Perf_Table[[#This Row],[Order_Quantity]]</f>
        <v>43379.5</v>
      </c>
      <c r="T413" s="75">
        <f>IFERROR(Supplier_Perf_Table[[#This Row],[Dollar Equivalent]]*Supplier_Perf_Table[[#This Row],[Ordered_Value]],"")</f>
        <v>334.02215000000001</v>
      </c>
      <c r="U413" s="75">
        <v>2</v>
      </c>
      <c r="V413" s="7">
        <v>0.04</v>
      </c>
      <c r="W413" s="75">
        <v>12</v>
      </c>
      <c r="X413" s="55">
        <f>IFERROR(Supplier_Perf_Table[[#This Row],[Actual_Delivery_Date]]-Supplier_Perf_Table[[#This Row],[Order Date]],"")</f>
        <v>12</v>
      </c>
      <c r="Y413" s="75">
        <v>16</v>
      </c>
      <c r="Z413" s="56">
        <f>IFERROR(Supplier_Perf_Table[[#This Row],[Expected Delivery_Date]]-Supplier_Perf_Table[[#This Row],[Order Date]],"")</f>
        <v>16</v>
      </c>
      <c r="AA413" s="56">
        <f>Supplier_Perf_Table[[#This Row],[Calculated_Lead_Time2]]-Supplier_Perf_Table[[#This Row],[Calculated_Expected_Lead_Time]]</f>
        <v>-4</v>
      </c>
      <c r="AB413" s="75">
        <v>-4</v>
      </c>
      <c r="AC413" s="63" t="s">
        <v>87</v>
      </c>
      <c r="AD413" s="63" t="s">
        <v>40</v>
      </c>
      <c r="AE413" s="63" t="s">
        <v>105</v>
      </c>
      <c r="AF413" s="63" t="s">
        <v>66</v>
      </c>
      <c r="AG413" s="63" t="s">
        <v>54</v>
      </c>
      <c r="AH413" s="63" t="s">
        <v>3112</v>
      </c>
      <c r="AI413" s="63" t="s">
        <v>191</v>
      </c>
      <c r="AJ413" s="63" t="s">
        <v>138</v>
      </c>
      <c r="AK413" s="83">
        <v>2.1</v>
      </c>
      <c r="AL413" s="63" t="s">
        <v>115</v>
      </c>
      <c r="AM413" s="63" t="s">
        <v>138</v>
      </c>
      <c r="AN413"/>
    </row>
    <row r="414" spans="1:40" ht="18" customHeight="1">
      <c r="A414" s="1" t="s">
        <v>1392</v>
      </c>
      <c r="B414" s="1" t="s">
        <v>1393</v>
      </c>
      <c r="C414" s="4">
        <v>46136</v>
      </c>
      <c r="D414" s="4">
        <v>46148</v>
      </c>
      <c r="E414" s="4">
        <v>46153</v>
      </c>
      <c r="F414" s="63" t="s">
        <v>48</v>
      </c>
      <c r="G414" s="63" t="s">
        <v>3836</v>
      </c>
      <c r="H414" s="63" t="s">
        <v>102</v>
      </c>
      <c r="I414" s="63" t="s">
        <v>83</v>
      </c>
      <c r="J414" s="63" t="s">
        <v>50</v>
      </c>
      <c r="K414" s="63" t="s">
        <v>1394</v>
      </c>
      <c r="L414" s="63" t="s">
        <v>145</v>
      </c>
      <c r="M414" s="69">
        <v>869.14</v>
      </c>
      <c r="N414" s="63" t="s">
        <v>38</v>
      </c>
      <c r="O414" s="73">
        <f>_xlfn.XLOOKUP(Supplier_Perf_Table[[#This Row],[Currency]],'Comments 2'!$C$4:$C$16,'Comments 2'!$D$4:$D$16)</f>
        <v>7.7000000000000002E-3</v>
      </c>
      <c r="P414" s="69">
        <f>IFERROR(Supplier_Perf_Table[[#This Row],[Unit_Cost]]*Supplier_Perf_Table[[#This Row],[Dollar Equivalent]],"")</f>
        <v>6.6923779999999997</v>
      </c>
      <c r="Q414" s="75">
        <v>1000</v>
      </c>
      <c r="R414" s="1">
        <v>869140</v>
      </c>
      <c r="S414" s="75">
        <f>Supplier_Perf_Table[[#This Row],[Unit_Cost]]*Supplier_Perf_Table[[#This Row],[Order_Quantity]]</f>
        <v>869140</v>
      </c>
      <c r="T414" s="75">
        <f>IFERROR(Supplier_Perf_Table[[#This Row],[Dollar Equivalent]]*Supplier_Perf_Table[[#This Row],[Ordered_Value]],"")</f>
        <v>6692.3780000000006</v>
      </c>
      <c r="U414" s="75">
        <v>6</v>
      </c>
      <c r="V414" s="7">
        <v>6.0000000000000001E-3</v>
      </c>
      <c r="W414" s="75">
        <v>17</v>
      </c>
      <c r="X414" s="55">
        <f>IFERROR(Supplier_Perf_Table[[#This Row],[Actual_Delivery_Date]]-Supplier_Perf_Table[[#This Row],[Order Date]],"")</f>
        <v>17</v>
      </c>
      <c r="Y414" s="75">
        <v>12</v>
      </c>
      <c r="Z414" s="56">
        <f>IFERROR(Supplier_Perf_Table[[#This Row],[Expected Delivery_Date]]-Supplier_Perf_Table[[#This Row],[Order Date]],"")</f>
        <v>12</v>
      </c>
      <c r="AA414" s="56">
        <f>Supplier_Perf_Table[[#This Row],[Calculated_Lead_Time2]]-Supplier_Perf_Table[[#This Row],[Calculated_Expected_Lead_Time]]</f>
        <v>5</v>
      </c>
      <c r="AB414" s="75">
        <v>5</v>
      </c>
      <c r="AC414" s="63" t="s">
        <v>39</v>
      </c>
      <c r="AD414" s="63" t="s">
        <v>40</v>
      </c>
      <c r="AE414" s="63" t="s">
        <v>105</v>
      </c>
      <c r="AF414" s="63" t="s">
        <v>106</v>
      </c>
      <c r="AG414" s="63" t="s">
        <v>173</v>
      </c>
      <c r="AH414" s="63" t="s">
        <v>3112</v>
      </c>
      <c r="AI414" s="63" t="s">
        <v>147</v>
      </c>
      <c r="AJ414" s="63" t="s">
        <v>138</v>
      </c>
      <c r="AK414" s="83">
        <v>4.7</v>
      </c>
      <c r="AL414" s="63" t="s">
        <v>115</v>
      </c>
      <c r="AM414" s="63" t="s">
        <v>46</v>
      </c>
      <c r="AN414"/>
    </row>
    <row r="415" spans="1:40" ht="18" customHeight="1">
      <c r="A415" s="1" t="s">
        <v>1395</v>
      </c>
      <c r="B415" s="1" t="s">
        <v>1396</v>
      </c>
      <c r="C415" s="4">
        <v>46032</v>
      </c>
      <c r="D415" s="4">
        <v>46043</v>
      </c>
      <c r="E415" s="4">
        <v>46045</v>
      </c>
      <c r="F415" s="63" t="s">
        <v>215</v>
      </c>
      <c r="G415" s="63" t="s">
        <v>3846</v>
      </c>
      <c r="H415" s="63" t="s">
        <v>152</v>
      </c>
      <c r="I415" s="63" t="s">
        <v>92</v>
      </c>
      <c r="J415" s="63" t="s">
        <v>50</v>
      </c>
      <c r="K415" s="63" t="s">
        <v>1397</v>
      </c>
      <c r="L415" s="63" t="s">
        <v>189</v>
      </c>
      <c r="M415" s="69">
        <v>3441.38</v>
      </c>
      <c r="N415" s="63" t="s">
        <v>104</v>
      </c>
      <c r="O415" s="73">
        <f>_xlfn.XLOOKUP(Supplier_Perf_Table[[#This Row],[Currency]],'Comments 2'!$C$4:$C$16,'Comments 2'!$D$4:$D$16)</f>
        <v>1.9E-2</v>
      </c>
      <c r="P415" s="69">
        <f>IFERROR(Supplier_Perf_Table[[#This Row],[Unit_Cost]]*Supplier_Perf_Table[[#This Row],[Dollar Equivalent]],"")</f>
        <v>65.386219999999994</v>
      </c>
      <c r="Q415" s="75">
        <v>1000</v>
      </c>
      <c r="R415" s="1">
        <v>3441380</v>
      </c>
      <c r="S415" s="75">
        <f>Supplier_Perf_Table[[#This Row],[Unit_Cost]]*Supplier_Perf_Table[[#This Row],[Order_Quantity]]</f>
        <v>3441380</v>
      </c>
      <c r="T415" s="75">
        <f>IFERROR(Supplier_Perf_Table[[#This Row],[Dollar Equivalent]]*Supplier_Perf_Table[[#This Row],[Ordered_Value]],"")</f>
        <v>65386.22</v>
      </c>
      <c r="U415" s="75">
        <v>24</v>
      </c>
      <c r="V415" s="7">
        <v>2.4E-2</v>
      </c>
      <c r="W415" s="75">
        <v>13</v>
      </c>
      <c r="X415" s="55">
        <f>IFERROR(Supplier_Perf_Table[[#This Row],[Actual_Delivery_Date]]-Supplier_Perf_Table[[#This Row],[Order Date]],"")</f>
        <v>13</v>
      </c>
      <c r="Y415" s="75">
        <v>11</v>
      </c>
      <c r="Z415" s="56">
        <f>IFERROR(Supplier_Perf_Table[[#This Row],[Expected Delivery_Date]]-Supplier_Perf_Table[[#This Row],[Order Date]],"")</f>
        <v>11</v>
      </c>
      <c r="AA415" s="56">
        <f>Supplier_Perf_Table[[#This Row],[Calculated_Lead_Time2]]-Supplier_Perf_Table[[#This Row],[Calculated_Expected_Lead_Time]]</f>
        <v>2</v>
      </c>
      <c r="AB415" s="75">
        <v>2</v>
      </c>
      <c r="AC415" s="63" t="s">
        <v>135</v>
      </c>
      <c r="AD415" s="63" t="s">
        <v>40</v>
      </c>
      <c r="AE415" s="63" t="s">
        <v>127</v>
      </c>
      <c r="AF415" s="63" t="s">
        <v>3088</v>
      </c>
      <c r="AG415" s="63" t="s">
        <v>107</v>
      </c>
      <c r="AH415" s="63" t="s">
        <v>129</v>
      </c>
      <c r="AI415" s="63" t="s">
        <v>44</v>
      </c>
      <c r="AJ415" s="63" t="s">
        <v>138</v>
      </c>
      <c r="AK415" s="83">
        <v>3.6</v>
      </c>
      <c r="AL415" s="63" t="s">
        <v>76</v>
      </c>
      <c r="AM415" s="63" t="s">
        <v>148</v>
      </c>
      <c r="AN415"/>
    </row>
    <row r="416" spans="1:40" ht="18" customHeight="1">
      <c r="A416" s="1" t="s">
        <v>1398</v>
      </c>
      <c r="B416" s="1" t="s">
        <v>1399</v>
      </c>
      <c r="C416" s="4">
        <v>46066</v>
      </c>
      <c r="D416" s="4">
        <v>46073</v>
      </c>
      <c r="E416" s="4">
        <v>46076</v>
      </c>
      <c r="F416" s="63" t="s">
        <v>69</v>
      </c>
      <c r="G416" s="63" t="s">
        <v>3838</v>
      </c>
      <c r="H416" s="63" t="s">
        <v>194</v>
      </c>
      <c r="I416" s="63" t="s">
        <v>49</v>
      </c>
      <c r="J416" s="63" t="s">
        <v>112</v>
      </c>
      <c r="K416" s="63" t="s">
        <v>1400</v>
      </c>
      <c r="L416" s="63" t="s">
        <v>246</v>
      </c>
      <c r="M416" s="69">
        <v>72.75</v>
      </c>
      <c r="N416" s="63" t="s">
        <v>38</v>
      </c>
      <c r="O416" s="73">
        <f>_xlfn.XLOOKUP(Supplier_Perf_Table[[#This Row],[Currency]],'Comments 2'!$C$4:$C$16,'Comments 2'!$D$4:$D$16)</f>
        <v>7.7000000000000002E-3</v>
      </c>
      <c r="P416" s="69">
        <f>IFERROR(Supplier_Perf_Table[[#This Row],[Unit_Cost]]*Supplier_Perf_Table[[#This Row],[Dollar Equivalent]],"")</f>
        <v>0.56017499999999998</v>
      </c>
      <c r="Q416" s="75">
        <v>100</v>
      </c>
      <c r="R416" s="1">
        <v>7275</v>
      </c>
      <c r="S416" s="75">
        <f>Supplier_Perf_Table[[#This Row],[Unit_Cost]]*Supplier_Perf_Table[[#This Row],[Order_Quantity]]</f>
        <v>7275</v>
      </c>
      <c r="T416" s="75">
        <f>IFERROR(Supplier_Perf_Table[[#This Row],[Dollar Equivalent]]*Supplier_Perf_Table[[#This Row],[Ordered_Value]],"")</f>
        <v>56.017499999999998</v>
      </c>
      <c r="U416" s="75">
        <v>1</v>
      </c>
      <c r="V416" s="7">
        <v>0.01</v>
      </c>
      <c r="W416" s="75">
        <v>10</v>
      </c>
      <c r="X416" s="55">
        <f>IFERROR(Supplier_Perf_Table[[#This Row],[Actual_Delivery_Date]]-Supplier_Perf_Table[[#This Row],[Order Date]],"")</f>
        <v>10</v>
      </c>
      <c r="Y416" s="75">
        <v>7</v>
      </c>
      <c r="Z416" s="56">
        <f>IFERROR(Supplier_Perf_Table[[#This Row],[Expected Delivery_Date]]-Supplier_Perf_Table[[#This Row],[Order Date]],"")</f>
        <v>7</v>
      </c>
      <c r="AA416" s="56">
        <f>Supplier_Perf_Table[[#This Row],[Calculated_Lead_Time2]]-Supplier_Perf_Table[[#This Row],[Calculated_Expected_Lead_Time]]</f>
        <v>3</v>
      </c>
      <c r="AB416" s="75">
        <v>3</v>
      </c>
      <c r="AC416" s="63" t="s">
        <v>135</v>
      </c>
      <c r="AD416" s="63" t="s">
        <v>40</v>
      </c>
      <c r="AE416" s="63" t="s">
        <v>41</v>
      </c>
      <c r="AF416" s="63" t="s">
        <v>106</v>
      </c>
      <c r="AG416" s="63" t="s">
        <v>173</v>
      </c>
      <c r="AH416" s="63" t="s">
        <v>206</v>
      </c>
      <c r="AI416" s="63" t="s">
        <v>95</v>
      </c>
      <c r="AJ416" s="63" t="s">
        <v>138</v>
      </c>
      <c r="AK416" s="83">
        <v>3.3</v>
      </c>
      <c r="AL416" s="63" t="s">
        <v>139</v>
      </c>
      <c r="AM416" s="63" t="s">
        <v>46</v>
      </c>
      <c r="AN416"/>
    </row>
    <row r="417" spans="1:40" ht="18" customHeight="1">
      <c r="A417" s="1" t="s">
        <v>1401</v>
      </c>
      <c r="B417" s="1" t="s">
        <v>1402</v>
      </c>
      <c r="C417" s="4">
        <v>46180</v>
      </c>
      <c r="D417" s="4">
        <v>46194</v>
      </c>
      <c r="E417" s="4">
        <v>46191</v>
      </c>
      <c r="F417" s="63" t="s">
        <v>48</v>
      </c>
      <c r="G417" s="63" t="s">
        <v>3836</v>
      </c>
      <c r="H417" s="63" t="s">
        <v>102</v>
      </c>
      <c r="I417" s="63" t="s">
        <v>34</v>
      </c>
      <c r="J417" s="63" t="s">
        <v>50</v>
      </c>
      <c r="K417" s="63" t="s">
        <v>1403</v>
      </c>
      <c r="L417" s="63" t="s">
        <v>189</v>
      </c>
      <c r="M417" s="69">
        <v>121.22</v>
      </c>
      <c r="N417" s="63" t="s">
        <v>104</v>
      </c>
      <c r="O417" s="73">
        <f>_xlfn.XLOOKUP(Supplier_Perf_Table[[#This Row],[Currency]],'Comments 2'!$C$4:$C$16,'Comments 2'!$D$4:$D$16)</f>
        <v>1.9E-2</v>
      </c>
      <c r="P417" s="69">
        <f>IFERROR(Supplier_Perf_Table[[#This Row],[Unit_Cost]]*Supplier_Perf_Table[[#This Row],[Dollar Equivalent]],"")</f>
        <v>2.3031799999999998</v>
      </c>
      <c r="Q417" s="75">
        <v>100</v>
      </c>
      <c r="R417" s="1">
        <v>12122</v>
      </c>
      <c r="S417" s="75">
        <f>Supplier_Perf_Table[[#This Row],[Unit_Cost]]*Supplier_Perf_Table[[#This Row],[Order_Quantity]]</f>
        <v>12122</v>
      </c>
      <c r="T417" s="75">
        <f>IFERROR(Supplier_Perf_Table[[#This Row],[Dollar Equivalent]]*Supplier_Perf_Table[[#This Row],[Ordered_Value]],"")</f>
        <v>230.31799999999998</v>
      </c>
      <c r="U417" s="75">
        <v>0</v>
      </c>
      <c r="V417" s="7">
        <v>0</v>
      </c>
      <c r="W417" s="75">
        <v>11</v>
      </c>
      <c r="X417" s="55">
        <f>IFERROR(Supplier_Perf_Table[[#This Row],[Actual_Delivery_Date]]-Supplier_Perf_Table[[#This Row],[Order Date]],"")</f>
        <v>11</v>
      </c>
      <c r="Y417" s="75">
        <v>14</v>
      </c>
      <c r="Z417" s="56">
        <f>IFERROR(Supplier_Perf_Table[[#This Row],[Expected Delivery_Date]]-Supplier_Perf_Table[[#This Row],[Order Date]],"")</f>
        <v>14</v>
      </c>
      <c r="AA417" s="56">
        <f>Supplier_Perf_Table[[#This Row],[Calculated_Lead_Time2]]-Supplier_Perf_Table[[#This Row],[Calculated_Expected_Lead_Time]]</f>
        <v>-3</v>
      </c>
      <c r="AB417" s="75">
        <v>-3</v>
      </c>
      <c r="AC417" s="63" t="s">
        <v>87</v>
      </c>
      <c r="AD417" s="63" t="s">
        <v>40</v>
      </c>
      <c r="AE417" s="63" t="s">
        <v>41</v>
      </c>
      <c r="AF417" s="63" t="s">
        <v>190</v>
      </c>
      <c r="AG417" s="63" t="s">
        <v>128</v>
      </c>
      <c r="AH417" s="63" t="s">
        <v>55</v>
      </c>
      <c r="AI417" s="63" t="s">
        <v>95</v>
      </c>
      <c r="AJ417" s="63" t="s">
        <v>138</v>
      </c>
      <c r="AK417" s="83">
        <v>3.7</v>
      </c>
      <c r="AL417" s="63" t="s">
        <v>76</v>
      </c>
      <c r="AM417" s="63" t="s">
        <v>138</v>
      </c>
      <c r="AN417"/>
    </row>
    <row r="418" spans="1:40" ht="18" customHeight="1">
      <c r="A418" s="63" t="s">
        <v>1404</v>
      </c>
      <c r="B418" s="63" t="s">
        <v>1405</v>
      </c>
      <c r="C418" s="4">
        <v>46060</v>
      </c>
      <c r="D418" s="4">
        <v>46073</v>
      </c>
      <c r="E418" s="4">
        <v>46082</v>
      </c>
      <c r="F418" s="63" t="s">
        <v>256</v>
      </c>
      <c r="G418" s="63" t="s">
        <v>3849</v>
      </c>
      <c r="H418" s="63" t="s">
        <v>258</v>
      </c>
      <c r="I418" s="63" t="s">
        <v>49</v>
      </c>
      <c r="J418" s="63" t="s">
        <v>153</v>
      </c>
      <c r="K418" s="63" t="s">
        <v>1406</v>
      </c>
      <c r="L418" s="63" t="s">
        <v>295</v>
      </c>
      <c r="M418" s="69">
        <v>496</v>
      </c>
      <c r="N418" s="63" t="s">
        <v>53</v>
      </c>
      <c r="O418" s="73">
        <f>_xlfn.XLOOKUP(Supplier_Perf_Table[[#This Row],[Currency]],'Comments 2'!$C$4:$C$16,'Comments 2'!$D$4:$D$16)</f>
        <v>6.0999999999999999E-2</v>
      </c>
      <c r="P418" s="69">
        <f>IFERROR(Supplier_Perf_Table[[#This Row],[Unit_Cost]]*Supplier_Perf_Table[[#This Row],[Dollar Equivalent]],"")</f>
        <v>30.256</v>
      </c>
      <c r="Q418" s="75">
        <v>250</v>
      </c>
      <c r="R418" s="1">
        <v>124000</v>
      </c>
      <c r="S418" s="75">
        <f>Supplier_Perf_Table[[#This Row],[Unit_Cost]]*Supplier_Perf_Table[[#This Row],[Order_Quantity]]</f>
        <v>124000</v>
      </c>
      <c r="T418" s="75">
        <f>IFERROR(Supplier_Perf_Table[[#This Row],[Dollar Equivalent]]*Supplier_Perf_Table[[#This Row],[Ordered_Value]],"")</f>
        <v>7564</v>
      </c>
      <c r="U418" s="75">
        <v>4</v>
      </c>
      <c r="V418" s="7">
        <v>1.6E-2</v>
      </c>
      <c r="W418" s="75">
        <v>22</v>
      </c>
      <c r="X418" s="55">
        <f>IFERROR(Supplier_Perf_Table[[#This Row],[Actual_Delivery_Date]]-Supplier_Perf_Table[[#This Row],[Order Date]],"")</f>
        <v>22</v>
      </c>
      <c r="Y418" s="75">
        <v>13</v>
      </c>
      <c r="Z418" s="56">
        <f>IFERROR(Supplier_Perf_Table[[#This Row],[Expected Delivery_Date]]-Supplier_Perf_Table[[#This Row],[Order Date]],"")</f>
        <v>13</v>
      </c>
      <c r="AA418" s="56">
        <f>Supplier_Perf_Table[[#This Row],[Calculated_Lead_Time2]]-Supplier_Perf_Table[[#This Row],[Calculated_Expected_Lead_Time]]</f>
        <v>9</v>
      </c>
      <c r="AB418" s="75">
        <v>9</v>
      </c>
      <c r="AC418" s="63" t="s">
        <v>205</v>
      </c>
      <c r="AD418" s="63" t="s">
        <v>40</v>
      </c>
      <c r="AE418" s="63" t="s">
        <v>105</v>
      </c>
      <c r="AF418" s="63" t="s">
        <v>106</v>
      </c>
      <c r="AG418" s="63" t="s">
        <v>107</v>
      </c>
      <c r="AH418" s="63" t="s">
        <v>206</v>
      </c>
      <c r="AI418" s="63" t="s">
        <v>147</v>
      </c>
      <c r="AJ418" s="63" t="s">
        <v>138</v>
      </c>
      <c r="AK418" s="83">
        <v>2.2999999999999998</v>
      </c>
      <c r="AL418" s="63" t="s">
        <v>115</v>
      </c>
      <c r="AM418" s="63" t="s">
        <v>46</v>
      </c>
      <c r="AN418"/>
    </row>
    <row r="419" spans="1:40" ht="18" customHeight="1">
      <c r="A419" s="1" t="s">
        <v>1407</v>
      </c>
      <c r="B419" s="1" t="s">
        <v>1408</v>
      </c>
      <c r="C419" s="4">
        <v>46083</v>
      </c>
      <c r="D419" s="4">
        <v>46102</v>
      </c>
      <c r="E419" s="4">
        <v>46101</v>
      </c>
      <c r="F419" s="63" t="s">
        <v>235</v>
      </c>
      <c r="G419" s="63" t="s">
        <v>3848</v>
      </c>
      <c r="H419" s="63" t="s">
        <v>479</v>
      </c>
      <c r="I419" s="63" t="s">
        <v>83</v>
      </c>
      <c r="J419" s="63" t="s">
        <v>71</v>
      </c>
      <c r="K419" s="63" t="s">
        <v>1409</v>
      </c>
      <c r="L419" s="63" t="s">
        <v>337</v>
      </c>
      <c r="M419" s="69">
        <v>532.16999999999996</v>
      </c>
      <c r="N419" s="63" t="s">
        <v>3075</v>
      </c>
      <c r="O419" s="73">
        <f>_xlfn.XLOOKUP(Supplier_Perf_Table[[#This Row],[Currency]],'Comments 2'!$C$4:$C$16,'Comments 2'!$D$4:$D$16)</f>
        <v>6.4000000000000003E-3</v>
      </c>
      <c r="P419" s="69">
        <f>IFERROR(Supplier_Perf_Table[[#This Row],[Unit_Cost]]*Supplier_Perf_Table[[#This Row],[Dollar Equivalent]],"")</f>
        <v>3.405888</v>
      </c>
      <c r="Q419" s="75">
        <v>75</v>
      </c>
      <c r="R419" s="1">
        <v>39912.75</v>
      </c>
      <c r="S419" s="75">
        <f>Supplier_Perf_Table[[#This Row],[Unit_Cost]]*Supplier_Perf_Table[[#This Row],[Order_Quantity]]</f>
        <v>39912.75</v>
      </c>
      <c r="T419" s="75">
        <f>IFERROR(Supplier_Perf_Table[[#This Row],[Dollar Equivalent]]*Supplier_Perf_Table[[#This Row],[Ordered_Value]],"")</f>
        <v>255.44160000000002</v>
      </c>
      <c r="U419" s="75">
        <v>0</v>
      </c>
      <c r="V419" s="7">
        <v>0</v>
      </c>
      <c r="W419" s="75">
        <v>18</v>
      </c>
      <c r="X419" s="55">
        <f>IFERROR(Supplier_Perf_Table[[#This Row],[Actual_Delivery_Date]]-Supplier_Perf_Table[[#This Row],[Order Date]],"")</f>
        <v>18</v>
      </c>
      <c r="Y419" s="75">
        <v>19</v>
      </c>
      <c r="Z419" s="56">
        <f>IFERROR(Supplier_Perf_Table[[#This Row],[Expected Delivery_Date]]-Supplier_Perf_Table[[#This Row],[Order Date]],"")</f>
        <v>19</v>
      </c>
      <c r="AA419" s="56">
        <f>Supplier_Perf_Table[[#This Row],[Calculated_Lead_Time2]]-Supplier_Perf_Table[[#This Row],[Calculated_Expected_Lead_Time]]</f>
        <v>-1</v>
      </c>
      <c r="AB419" s="75">
        <v>-1</v>
      </c>
      <c r="AC419" s="63" t="s">
        <v>87</v>
      </c>
      <c r="AD419" s="63" t="s">
        <v>404</v>
      </c>
      <c r="AE419" s="63" t="s">
        <v>41</v>
      </c>
      <c r="AF419" s="63" t="s">
        <v>66</v>
      </c>
      <c r="AG419" s="63" t="s">
        <v>107</v>
      </c>
      <c r="AH419" s="63" t="s">
        <v>88</v>
      </c>
      <c r="AI419" s="63" t="s">
        <v>56</v>
      </c>
      <c r="AJ419" s="63" t="s">
        <v>138</v>
      </c>
      <c r="AK419" s="83">
        <v>4</v>
      </c>
      <c r="AL419" s="63" t="s">
        <v>115</v>
      </c>
      <c r="AM419" s="63" t="s">
        <v>138</v>
      </c>
      <c r="AN419"/>
    </row>
    <row r="420" spans="1:40" ht="18" customHeight="1">
      <c r="A420" s="1" t="s">
        <v>1410</v>
      </c>
      <c r="B420" s="1" t="s">
        <v>1411</v>
      </c>
      <c r="C420" s="4">
        <v>46168</v>
      </c>
      <c r="D420" s="4">
        <v>46188</v>
      </c>
      <c r="E420" s="4">
        <v>46197</v>
      </c>
      <c r="F420" s="63" t="s">
        <v>235</v>
      </c>
      <c r="G420" s="63" t="s">
        <v>3848</v>
      </c>
      <c r="H420" s="63" t="s">
        <v>479</v>
      </c>
      <c r="I420" s="63" t="s">
        <v>120</v>
      </c>
      <c r="J420" s="63" t="s">
        <v>71</v>
      </c>
      <c r="K420" s="63" t="s">
        <v>1412</v>
      </c>
      <c r="L420" s="63" t="s">
        <v>238</v>
      </c>
      <c r="M420" s="69">
        <v>61.9</v>
      </c>
      <c r="N420" s="63" t="s">
        <v>159</v>
      </c>
      <c r="O420" s="73">
        <f>_xlfn.XLOOKUP(Supplier_Perf_Table[[#This Row],[Currency]],'Comments 2'!$C$4:$C$16,'Comments 2'!$D$4:$D$16)</f>
        <v>7.2999999999999996E-4</v>
      </c>
      <c r="P420" s="69">
        <f>IFERROR(Supplier_Perf_Table[[#This Row],[Unit_Cost]]*Supplier_Perf_Table[[#This Row],[Dollar Equivalent]],"")</f>
        <v>4.5186999999999998E-2</v>
      </c>
      <c r="Q420" s="75">
        <v>750</v>
      </c>
      <c r="R420" s="1">
        <v>46425</v>
      </c>
      <c r="S420" s="75">
        <f>Supplier_Perf_Table[[#This Row],[Unit_Cost]]*Supplier_Perf_Table[[#This Row],[Order_Quantity]]</f>
        <v>46425</v>
      </c>
      <c r="T420" s="75">
        <f>IFERROR(Supplier_Perf_Table[[#This Row],[Dollar Equivalent]]*Supplier_Perf_Table[[#This Row],[Ordered_Value]],"")</f>
        <v>33.890250000000002</v>
      </c>
      <c r="U420" s="75">
        <v>50</v>
      </c>
      <c r="V420" s="7">
        <v>6.6699999999999995E-2</v>
      </c>
      <c r="W420" s="75">
        <v>29</v>
      </c>
      <c r="X420" s="55">
        <f>IFERROR(Supplier_Perf_Table[[#This Row],[Actual_Delivery_Date]]-Supplier_Perf_Table[[#This Row],[Order Date]],"")</f>
        <v>29</v>
      </c>
      <c r="Y420" s="75">
        <v>20</v>
      </c>
      <c r="Z420" s="56">
        <f>IFERROR(Supplier_Perf_Table[[#This Row],[Expected Delivery_Date]]-Supplier_Perf_Table[[#This Row],[Order Date]],"")</f>
        <v>20</v>
      </c>
      <c r="AA420" s="56">
        <f>Supplier_Perf_Table[[#This Row],[Calculated_Lead_Time2]]-Supplier_Perf_Table[[#This Row],[Calculated_Expected_Lead_Time]]</f>
        <v>9</v>
      </c>
      <c r="AB420" s="75">
        <v>9</v>
      </c>
      <c r="AC420" s="63" t="s">
        <v>205</v>
      </c>
      <c r="AD420" s="63" t="s">
        <v>74</v>
      </c>
      <c r="AE420" s="63" t="s">
        <v>105</v>
      </c>
      <c r="AF420" s="63" t="s">
        <v>190</v>
      </c>
      <c r="AG420" s="63" t="s">
        <v>173</v>
      </c>
      <c r="AH420" s="63" t="s">
        <v>174</v>
      </c>
      <c r="AI420" s="63" t="s">
        <v>147</v>
      </c>
      <c r="AJ420" s="63" t="s">
        <v>373</v>
      </c>
      <c r="AK420" s="83">
        <v>2.2999999999999998</v>
      </c>
      <c r="AL420" s="63" t="s">
        <v>184</v>
      </c>
      <c r="AM420" s="63" t="s">
        <v>77</v>
      </c>
      <c r="AN420"/>
    </row>
    <row r="421" spans="1:40" ht="18" customHeight="1">
      <c r="A421" s="1" t="s">
        <v>1413</v>
      </c>
      <c r="B421" s="1" t="s">
        <v>1414</v>
      </c>
      <c r="C421" s="4">
        <v>46091</v>
      </c>
      <c r="D421" s="4">
        <v>46110</v>
      </c>
      <c r="E421" s="4">
        <v>46111</v>
      </c>
      <c r="F421" s="63" t="s">
        <v>235</v>
      </c>
      <c r="G421" s="63" t="s">
        <v>3848</v>
      </c>
      <c r="H421" s="63" t="s">
        <v>479</v>
      </c>
      <c r="I421" s="63" t="s">
        <v>178</v>
      </c>
      <c r="J421" s="63" t="s">
        <v>71</v>
      </c>
      <c r="K421" s="63" t="s">
        <v>1415</v>
      </c>
      <c r="L421" s="63" t="s">
        <v>238</v>
      </c>
      <c r="M421" s="69">
        <v>426.57</v>
      </c>
      <c r="N421" s="63" t="s">
        <v>86</v>
      </c>
      <c r="O421" s="73">
        <f>_xlfn.XLOOKUP(Supplier_Perf_Table[[#This Row],[Currency]],'Comments 2'!$C$4:$C$16,'Comments 2'!$D$4:$D$16)</f>
        <v>8.8999999999999996E-2</v>
      </c>
      <c r="P421" s="69">
        <f>IFERROR(Supplier_Perf_Table[[#This Row],[Unit_Cost]]*Supplier_Perf_Table[[#This Row],[Dollar Equivalent]],"")</f>
        <v>37.964729999999996</v>
      </c>
      <c r="Q421" s="75">
        <v>1000</v>
      </c>
      <c r="R421" s="1">
        <v>426570</v>
      </c>
      <c r="S421" s="75">
        <f>Supplier_Perf_Table[[#This Row],[Unit_Cost]]*Supplier_Perf_Table[[#This Row],[Order_Quantity]]</f>
        <v>426570</v>
      </c>
      <c r="T421" s="75">
        <f>IFERROR(Supplier_Perf_Table[[#This Row],[Dollar Equivalent]]*Supplier_Perf_Table[[#This Row],[Ordered_Value]],"")</f>
        <v>37964.729999999996</v>
      </c>
      <c r="U421" s="75"/>
      <c r="V421" s="7">
        <v>5.0999999999999997E-2</v>
      </c>
      <c r="W421" s="75">
        <v>20</v>
      </c>
      <c r="X421" s="55">
        <f>IFERROR(Supplier_Perf_Table[[#This Row],[Actual_Delivery_Date]]-Supplier_Perf_Table[[#This Row],[Order Date]],"")</f>
        <v>20</v>
      </c>
      <c r="Y421" s="75">
        <v>19</v>
      </c>
      <c r="Z421" s="56">
        <f>IFERROR(Supplier_Perf_Table[[#This Row],[Expected Delivery_Date]]-Supplier_Perf_Table[[#This Row],[Order Date]],"")</f>
        <v>19</v>
      </c>
      <c r="AA421" s="56">
        <f>Supplier_Perf_Table[[#This Row],[Calculated_Lead_Time2]]-Supplier_Perf_Table[[#This Row],[Calculated_Expected_Lead_Time]]</f>
        <v>1</v>
      </c>
      <c r="AB421" s="75">
        <v>1</v>
      </c>
      <c r="AC421" s="63" t="s">
        <v>135</v>
      </c>
      <c r="AD421" s="63" t="s">
        <v>74</v>
      </c>
      <c r="AE421" s="63" t="s">
        <v>3088</v>
      </c>
      <c r="AF421" s="63" t="s">
        <v>3088</v>
      </c>
      <c r="AG421" s="63" t="s">
        <v>173</v>
      </c>
      <c r="AH421" s="63" t="s">
        <v>3112</v>
      </c>
      <c r="AI421" s="63" t="s">
        <v>147</v>
      </c>
      <c r="AJ421" s="63" t="s">
        <v>96</v>
      </c>
      <c r="AK421" s="83">
        <v>2</v>
      </c>
      <c r="AL421" s="63" t="s">
        <v>184</v>
      </c>
      <c r="AM421" s="63" t="s">
        <v>1416</v>
      </c>
      <c r="AN421"/>
    </row>
    <row r="422" spans="1:40" ht="18" customHeight="1">
      <c r="A422" s="1" t="s">
        <v>1417</v>
      </c>
      <c r="B422" s="1" t="s">
        <v>1418</v>
      </c>
      <c r="C422" s="4">
        <v>46171</v>
      </c>
      <c r="D422" s="4">
        <v>46182</v>
      </c>
      <c r="E422" s="4">
        <v>46188</v>
      </c>
      <c r="F422" s="63" t="s">
        <v>215</v>
      </c>
      <c r="G422" s="63" t="s">
        <v>3846</v>
      </c>
      <c r="H422" s="63" t="s">
        <v>152</v>
      </c>
      <c r="I422" s="63" t="s">
        <v>61</v>
      </c>
      <c r="J422" s="63" t="s">
        <v>112</v>
      </c>
      <c r="K422" s="63" t="s">
        <v>900</v>
      </c>
      <c r="L422" s="63" t="s">
        <v>229</v>
      </c>
      <c r="M422" s="69">
        <v>650.91999999999996</v>
      </c>
      <c r="N422" s="63" t="s">
        <v>86</v>
      </c>
      <c r="O422" s="73">
        <f>_xlfn.XLOOKUP(Supplier_Perf_Table[[#This Row],[Currency]],'Comments 2'!$C$4:$C$16,'Comments 2'!$D$4:$D$16)</f>
        <v>8.8999999999999996E-2</v>
      </c>
      <c r="P422" s="69">
        <f>IFERROR(Supplier_Perf_Table[[#This Row],[Unit_Cost]]*Supplier_Perf_Table[[#This Row],[Dollar Equivalent]],"")</f>
        <v>57.931879999999992</v>
      </c>
      <c r="Q422" s="75">
        <v>250</v>
      </c>
      <c r="R422" s="1">
        <v>162730</v>
      </c>
      <c r="S422" s="75">
        <f>Supplier_Perf_Table[[#This Row],[Unit_Cost]]*Supplier_Perf_Table[[#This Row],[Order_Quantity]]</f>
        <v>162730</v>
      </c>
      <c r="T422" s="75">
        <f>IFERROR(Supplier_Perf_Table[[#This Row],[Dollar Equivalent]]*Supplier_Perf_Table[[#This Row],[Ordered_Value]],"")</f>
        <v>14482.97</v>
      </c>
      <c r="U422" s="75">
        <v>7</v>
      </c>
      <c r="V422" s="7">
        <v>2.8000000000000001E-2</v>
      </c>
      <c r="W422" s="75">
        <v>17</v>
      </c>
      <c r="X422" s="55">
        <f>IFERROR(Supplier_Perf_Table[[#This Row],[Actual_Delivery_Date]]-Supplier_Perf_Table[[#This Row],[Order Date]],"")</f>
        <v>17</v>
      </c>
      <c r="Y422" s="75">
        <v>11</v>
      </c>
      <c r="Z422" s="56">
        <f>IFERROR(Supplier_Perf_Table[[#This Row],[Expected Delivery_Date]]-Supplier_Perf_Table[[#This Row],[Order Date]],"")</f>
        <v>11</v>
      </c>
      <c r="AA422" s="56">
        <f>Supplier_Perf_Table[[#This Row],[Calculated_Lead_Time2]]-Supplier_Perf_Table[[#This Row],[Calculated_Expected_Lead_Time]]</f>
        <v>6</v>
      </c>
      <c r="AB422" s="75">
        <v>6</v>
      </c>
      <c r="AC422" s="63" t="s">
        <v>39</v>
      </c>
      <c r="AD422" s="63" t="s">
        <v>40</v>
      </c>
      <c r="AE422" s="63" t="s">
        <v>105</v>
      </c>
      <c r="AF422" s="63" t="s">
        <v>212</v>
      </c>
      <c r="AG422" s="63" t="s">
        <v>128</v>
      </c>
      <c r="AH422" s="63" t="s">
        <v>129</v>
      </c>
      <c r="AI422" s="63" t="s">
        <v>44</v>
      </c>
      <c r="AJ422" s="63" t="s">
        <v>138</v>
      </c>
      <c r="AK422" s="83">
        <v>2.5</v>
      </c>
      <c r="AL422" s="63" t="s">
        <v>57</v>
      </c>
      <c r="AM422" s="63" t="s">
        <v>46</v>
      </c>
      <c r="AN422"/>
    </row>
    <row r="423" spans="1:40" ht="18" customHeight="1">
      <c r="A423" s="1" t="s">
        <v>1419</v>
      </c>
      <c r="B423" s="1" t="s">
        <v>1420</v>
      </c>
      <c r="C423" s="4">
        <v>46062</v>
      </c>
      <c r="D423" s="4">
        <v>46078</v>
      </c>
      <c r="E423" s="4">
        <v>46085</v>
      </c>
      <c r="F423" s="63" t="s">
        <v>118</v>
      </c>
      <c r="G423" s="63" t="s">
        <v>3842</v>
      </c>
      <c r="H423" s="63" t="s">
        <v>301</v>
      </c>
      <c r="I423" s="63" t="s">
        <v>120</v>
      </c>
      <c r="J423" s="63" t="s">
        <v>163</v>
      </c>
      <c r="K423" s="63" t="s">
        <v>993</v>
      </c>
      <c r="L423" s="63" t="s">
        <v>165</v>
      </c>
      <c r="M423" s="69">
        <v>575.24</v>
      </c>
      <c r="N423" s="63" t="s">
        <v>38</v>
      </c>
      <c r="O423" s="73">
        <f>_xlfn.XLOOKUP(Supplier_Perf_Table[[#This Row],[Currency]],'Comments 2'!$C$4:$C$16,'Comments 2'!$D$4:$D$16)</f>
        <v>7.7000000000000002E-3</v>
      </c>
      <c r="P423" s="69">
        <f>IFERROR(Supplier_Perf_Table[[#This Row],[Unit_Cost]]*Supplier_Perf_Table[[#This Row],[Dollar Equivalent]],"")</f>
        <v>4.4293480000000001</v>
      </c>
      <c r="Q423" s="75">
        <v>750</v>
      </c>
      <c r="R423" s="1">
        <v>431430</v>
      </c>
      <c r="S423" s="75">
        <f>Supplier_Perf_Table[[#This Row],[Unit_Cost]]*Supplier_Perf_Table[[#This Row],[Order_Quantity]]</f>
        <v>431430</v>
      </c>
      <c r="T423" s="75">
        <f>IFERROR(Supplier_Perf_Table[[#This Row],[Dollar Equivalent]]*Supplier_Perf_Table[[#This Row],[Ordered_Value]],"")</f>
        <v>3322.011</v>
      </c>
      <c r="U423" s="75">
        <v>21</v>
      </c>
      <c r="V423" s="7">
        <v>2.8000000000000001E-2</v>
      </c>
      <c r="W423" s="75">
        <v>23</v>
      </c>
      <c r="X423" s="55">
        <f>IFERROR(Supplier_Perf_Table[[#This Row],[Actual_Delivery_Date]]-Supplier_Perf_Table[[#This Row],[Order Date]],"")</f>
        <v>23</v>
      </c>
      <c r="Y423" s="75">
        <v>16</v>
      </c>
      <c r="Z423" s="56">
        <f>IFERROR(Supplier_Perf_Table[[#This Row],[Expected Delivery_Date]]-Supplier_Perf_Table[[#This Row],[Order Date]],"")</f>
        <v>16</v>
      </c>
      <c r="AA423" s="56">
        <f>Supplier_Perf_Table[[#This Row],[Calculated_Lead_Time2]]-Supplier_Perf_Table[[#This Row],[Calculated_Expected_Lead_Time]]</f>
        <v>7</v>
      </c>
      <c r="AB423" s="75">
        <v>7</v>
      </c>
      <c r="AC423" s="63" t="s">
        <v>135</v>
      </c>
      <c r="AD423" s="63" t="s">
        <v>40</v>
      </c>
      <c r="AE423" s="63" t="s">
        <v>105</v>
      </c>
      <c r="AF423" s="63" t="s">
        <v>212</v>
      </c>
      <c r="AG423" s="63" t="s">
        <v>128</v>
      </c>
      <c r="AH423" s="63" t="s">
        <v>129</v>
      </c>
      <c r="AI423" s="63" t="s">
        <v>137</v>
      </c>
      <c r="AJ423" s="63" t="s">
        <v>138</v>
      </c>
      <c r="AK423" s="83">
        <v>2</v>
      </c>
      <c r="AL423" s="63" t="s">
        <v>184</v>
      </c>
      <c r="AM423" s="63" t="s">
        <v>46</v>
      </c>
      <c r="AN423"/>
    </row>
    <row r="424" spans="1:40" ht="18" customHeight="1">
      <c r="A424" s="1" t="s">
        <v>1421</v>
      </c>
      <c r="B424" s="1" t="s">
        <v>1422</v>
      </c>
      <c r="C424" s="4">
        <v>46114</v>
      </c>
      <c r="D424" s="4">
        <v>46115</v>
      </c>
      <c r="E424" s="4">
        <v>46115</v>
      </c>
      <c r="F424" s="63" t="s">
        <v>151</v>
      </c>
      <c r="G424" s="63" t="s">
        <v>3844</v>
      </c>
      <c r="H424" s="63" t="s">
        <v>152</v>
      </c>
      <c r="I424" s="63" t="s">
        <v>83</v>
      </c>
      <c r="J424" s="63" t="s">
        <v>112</v>
      </c>
      <c r="K424" s="63" t="s">
        <v>1423</v>
      </c>
      <c r="L424" s="63" t="s">
        <v>246</v>
      </c>
      <c r="M424" s="69">
        <v>456.37</v>
      </c>
      <c r="N424" s="63" t="s">
        <v>104</v>
      </c>
      <c r="O424" s="73">
        <f>_xlfn.XLOOKUP(Supplier_Perf_Table[[#This Row],[Currency]],'Comments 2'!$C$4:$C$16,'Comments 2'!$D$4:$D$16)</f>
        <v>1.9E-2</v>
      </c>
      <c r="P424" s="69">
        <f>IFERROR(Supplier_Perf_Table[[#This Row],[Unit_Cost]]*Supplier_Perf_Table[[#This Row],[Dollar Equivalent]],"")</f>
        <v>8.67103</v>
      </c>
      <c r="Q424" s="75">
        <v>75</v>
      </c>
      <c r="R424" s="1">
        <v>34227.75</v>
      </c>
      <c r="S424" s="75">
        <f>Supplier_Perf_Table[[#This Row],[Unit_Cost]]*Supplier_Perf_Table[[#This Row],[Order_Quantity]]</f>
        <v>34227.75</v>
      </c>
      <c r="T424" s="75">
        <f>IFERROR(Supplier_Perf_Table[[#This Row],[Dollar Equivalent]]*Supplier_Perf_Table[[#This Row],[Ordered_Value]],"")</f>
        <v>650.32724999999994</v>
      </c>
      <c r="U424" s="75">
        <v>1</v>
      </c>
      <c r="V424" s="7">
        <v>1.3299999999999999E-2</v>
      </c>
      <c r="W424" s="75">
        <v>-5</v>
      </c>
      <c r="X424" s="55">
        <f>IFERROR(Supplier_Perf_Table[[#This Row],[Actual_Delivery_Date]]-Supplier_Perf_Table[[#This Row],[Order Date]],"")</f>
        <v>1</v>
      </c>
      <c r="Y424" s="75">
        <v>1</v>
      </c>
      <c r="Z424" s="56">
        <f>IFERROR(Supplier_Perf_Table[[#This Row],[Expected Delivery_Date]]-Supplier_Perf_Table[[#This Row],[Order Date]],"")</f>
        <v>1</v>
      </c>
      <c r="AA424" s="56">
        <f>Supplier_Perf_Table[[#This Row],[Calculated_Lead_Time2]]-Supplier_Perf_Table[[#This Row],[Calculated_Expected_Lead_Time]]</f>
        <v>0</v>
      </c>
      <c r="AB424" s="75">
        <v>0</v>
      </c>
      <c r="AC424" s="63" t="s">
        <v>270</v>
      </c>
      <c r="AD424" s="63" t="s">
        <v>40</v>
      </c>
      <c r="AE424" s="63" t="s">
        <v>146</v>
      </c>
      <c r="AF424" s="63" t="s">
        <v>42</v>
      </c>
      <c r="AG424" s="63" t="s">
        <v>107</v>
      </c>
      <c r="AH424" s="63" t="s">
        <v>3112</v>
      </c>
      <c r="AI424" s="63" t="s">
        <v>137</v>
      </c>
      <c r="AJ424" s="63" t="s">
        <v>138</v>
      </c>
      <c r="AK424" s="83">
        <v>3.2</v>
      </c>
      <c r="AL424" s="63" t="s">
        <v>45</v>
      </c>
      <c r="AM424" s="63" t="s">
        <v>130</v>
      </c>
      <c r="AN424"/>
    </row>
    <row r="425" spans="1:40" ht="18" customHeight="1">
      <c r="A425" s="1" t="s">
        <v>1424</v>
      </c>
      <c r="B425" s="1" t="s">
        <v>1425</v>
      </c>
      <c r="C425" s="4">
        <v>46051</v>
      </c>
      <c r="D425" s="4">
        <v>46064</v>
      </c>
      <c r="E425" s="4">
        <v>46061</v>
      </c>
      <c r="F425" s="63" t="s">
        <v>215</v>
      </c>
      <c r="G425" s="63" t="s">
        <v>3846</v>
      </c>
      <c r="H425" s="63" t="s">
        <v>152</v>
      </c>
      <c r="I425" s="63" t="s">
        <v>120</v>
      </c>
      <c r="J425" s="63" t="s">
        <v>112</v>
      </c>
      <c r="K425" s="63" t="s">
        <v>1426</v>
      </c>
      <c r="L425" s="63" t="s">
        <v>114</v>
      </c>
      <c r="M425" s="69">
        <v>678.79</v>
      </c>
      <c r="N425" s="63" t="s">
        <v>159</v>
      </c>
      <c r="O425" s="73">
        <f>_xlfn.XLOOKUP(Supplier_Perf_Table[[#This Row],[Currency]],'Comments 2'!$C$4:$C$16,'Comments 2'!$D$4:$D$16)</f>
        <v>7.2999999999999996E-4</v>
      </c>
      <c r="P425" s="69">
        <f>IFERROR(Supplier_Perf_Table[[#This Row],[Unit_Cost]]*Supplier_Perf_Table[[#This Row],[Dollar Equivalent]],"")</f>
        <v>0.49551669999999992</v>
      </c>
      <c r="Q425" s="75">
        <v>2000</v>
      </c>
      <c r="R425" s="1">
        <v>1357580</v>
      </c>
      <c r="S425" s="75">
        <f>Supplier_Perf_Table[[#This Row],[Unit_Cost]]*Supplier_Perf_Table[[#This Row],[Order_Quantity]]</f>
        <v>1357580</v>
      </c>
      <c r="T425" s="75">
        <f>IFERROR(Supplier_Perf_Table[[#This Row],[Dollar Equivalent]]*Supplier_Perf_Table[[#This Row],[Ordered_Value]],"")</f>
        <v>991.03339999999992</v>
      </c>
      <c r="U425" s="75">
        <v>30</v>
      </c>
      <c r="V425" s="7">
        <v>1.4999999999999999E-2</v>
      </c>
      <c r="W425" s="75">
        <v>10</v>
      </c>
      <c r="X425" s="55">
        <f>IFERROR(Supplier_Perf_Table[[#This Row],[Actual_Delivery_Date]]-Supplier_Perf_Table[[#This Row],[Order Date]],"")</f>
        <v>10</v>
      </c>
      <c r="Y425" s="75">
        <v>13</v>
      </c>
      <c r="Z425" s="56">
        <f>IFERROR(Supplier_Perf_Table[[#This Row],[Expected Delivery_Date]]-Supplier_Perf_Table[[#This Row],[Order Date]],"")</f>
        <v>13</v>
      </c>
      <c r="AA425" s="56">
        <f>Supplier_Perf_Table[[#This Row],[Calculated_Lead_Time2]]-Supplier_Perf_Table[[#This Row],[Calculated_Expected_Lead_Time]]</f>
        <v>-3</v>
      </c>
      <c r="AB425" s="75">
        <v>-3</v>
      </c>
      <c r="AC425" s="63" t="s">
        <v>87</v>
      </c>
      <c r="AD425" s="63" t="s">
        <v>40</v>
      </c>
      <c r="AE425" s="63" t="s">
        <v>105</v>
      </c>
      <c r="AF425" s="63" t="s">
        <v>3088</v>
      </c>
      <c r="AG425" s="63" t="s">
        <v>3088</v>
      </c>
      <c r="AH425" s="63" t="s">
        <v>3112</v>
      </c>
      <c r="AI425" s="63" t="s">
        <v>56</v>
      </c>
      <c r="AJ425" s="63" t="s">
        <v>138</v>
      </c>
      <c r="AK425" s="83">
        <v>3.1</v>
      </c>
      <c r="AL425" s="63" t="s">
        <v>45</v>
      </c>
      <c r="AM425" s="63" t="s">
        <v>138</v>
      </c>
      <c r="AN425"/>
    </row>
    <row r="426" spans="1:40" ht="18" customHeight="1">
      <c r="A426" s="1" t="s">
        <v>1427</v>
      </c>
      <c r="B426" s="1" t="s">
        <v>1428</v>
      </c>
      <c r="C426" s="4">
        <v>46029</v>
      </c>
      <c r="D426" s="4">
        <v>46044</v>
      </c>
      <c r="E426" s="4">
        <v>46047</v>
      </c>
      <c r="F426" s="63" t="s">
        <v>80</v>
      </c>
      <c r="G426" s="63" t="s">
        <v>3839</v>
      </c>
      <c r="H426" s="63" t="s">
        <v>82</v>
      </c>
      <c r="I426" s="63" t="s">
        <v>49</v>
      </c>
      <c r="J426" s="63" t="s">
        <v>35</v>
      </c>
      <c r="K426" s="63" t="s">
        <v>1429</v>
      </c>
      <c r="L426" s="63" t="s">
        <v>200</v>
      </c>
      <c r="M426" s="69">
        <v>1497.55</v>
      </c>
      <c r="N426" s="63" t="s">
        <v>38</v>
      </c>
      <c r="O426" s="73">
        <f>_xlfn.XLOOKUP(Supplier_Perf_Table[[#This Row],[Currency]],'Comments 2'!$C$4:$C$16,'Comments 2'!$D$4:$D$16)</f>
        <v>7.7000000000000002E-3</v>
      </c>
      <c r="P426" s="69">
        <f>IFERROR(Supplier_Perf_Table[[#This Row],[Unit_Cost]]*Supplier_Perf_Table[[#This Row],[Dollar Equivalent]],"")</f>
        <v>11.531135000000001</v>
      </c>
      <c r="Q426" s="75">
        <v>75</v>
      </c>
      <c r="R426" s="1">
        <v>112316.25</v>
      </c>
      <c r="S426" s="75">
        <f>Supplier_Perf_Table[[#This Row],[Unit_Cost]]*Supplier_Perf_Table[[#This Row],[Order_Quantity]]</f>
        <v>112316.25</v>
      </c>
      <c r="T426" s="75">
        <f>IFERROR(Supplier_Perf_Table[[#This Row],[Dollar Equivalent]]*Supplier_Perf_Table[[#This Row],[Ordered_Value]],"")</f>
        <v>864.83512500000006</v>
      </c>
      <c r="U426" s="75">
        <v>0</v>
      </c>
      <c r="V426" s="7">
        <v>0</v>
      </c>
      <c r="W426" s="75">
        <v>18</v>
      </c>
      <c r="X426" s="55">
        <f>IFERROR(Supplier_Perf_Table[[#This Row],[Actual_Delivery_Date]]-Supplier_Perf_Table[[#This Row],[Order Date]],"")</f>
        <v>18</v>
      </c>
      <c r="Y426" s="75">
        <v>15</v>
      </c>
      <c r="Z426" s="56">
        <f>IFERROR(Supplier_Perf_Table[[#This Row],[Expected Delivery_Date]]-Supplier_Perf_Table[[#This Row],[Order Date]],"")</f>
        <v>15</v>
      </c>
      <c r="AA426" s="56">
        <f>Supplier_Perf_Table[[#This Row],[Calculated_Lead_Time2]]-Supplier_Perf_Table[[#This Row],[Calculated_Expected_Lead_Time]]</f>
        <v>3</v>
      </c>
      <c r="AB426" s="75">
        <v>3</v>
      </c>
      <c r="AC426" s="63" t="s">
        <v>135</v>
      </c>
      <c r="AD426" s="63" t="s">
        <v>40</v>
      </c>
      <c r="AE426" s="63" t="s">
        <v>105</v>
      </c>
      <c r="AF426" s="63" t="s">
        <v>106</v>
      </c>
      <c r="AG426" s="63" t="s">
        <v>173</v>
      </c>
      <c r="AH426" s="63" t="s">
        <v>206</v>
      </c>
      <c r="AI426" s="63" t="s">
        <v>191</v>
      </c>
      <c r="AJ426" s="63" t="s">
        <v>138</v>
      </c>
      <c r="AK426" s="83">
        <v>4.5</v>
      </c>
      <c r="AL426" s="63" t="s">
        <v>57</v>
      </c>
      <c r="AM426" s="63" t="s">
        <v>46</v>
      </c>
      <c r="AN426"/>
    </row>
    <row r="427" spans="1:40" ht="18" customHeight="1">
      <c r="A427" s="1" t="s">
        <v>1430</v>
      </c>
      <c r="B427" s="1" t="s">
        <v>1431</v>
      </c>
      <c r="C427" s="4">
        <v>46035</v>
      </c>
      <c r="D427" s="4">
        <v>46052</v>
      </c>
      <c r="E427" s="4">
        <v>46059</v>
      </c>
      <c r="F427" s="63" t="s">
        <v>100</v>
      </c>
      <c r="G427" s="63" t="s">
        <v>3841</v>
      </c>
      <c r="H427" s="63" t="s">
        <v>102</v>
      </c>
      <c r="I427" s="63" t="s">
        <v>92</v>
      </c>
      <c r="J427" s="63" t="s">
        <v>50</v>
      </c>
      <c r="K427" s="63" t="s">
        <v>1432</v>
      </c>
      <c r="L427" s="63" t="s">
        <v>145</v>
      </c>
      <c r="M427" s="69">
        <v>1058.82</v>
      </c>
      <c r="N427" s="63" t="s">
        <v>65</v>
      </c>
      <c r="O427" s="73">
        <f>_xlfn.XLOOKUP(Supplier_Perf_Table[[#This Row],[Currency]],'Comments 2'!$C$4:$C$16,'Comments 2'!$D$4:$D$16)</f>
        <v>1</v>
      </c>
      <c r="P427" s="69">
        <f>IFERROR(Supplier_Perf_Table[[#This Row],[Unit_Cost]]*Supplier_Perf_Table[[#This Row],[Dollar Equivalent]],"")</f>
        <v>1058.82</v>
      </c>
      <c r="Q427" s="75">
        <v>300</v>
      </c>
      <c r="R427" s="1" t="s">
        <v>3080</v>
      </c>
      <c r="S427" s="75">
        <f>Supplier_Perf_Table[[#This Row],[Unit_Cost]]*Supplier_Perf_Table[[#This Row],[Order_Quantity]]</f>
        <v>317646</v>
      </c>
      <c r="T427" s="75" t="str">
        <f>IFERROR(Supplier_Perf_Table[[#This Row],[Dollar Equivalent]]*Supplier_Perf_Table[[#This Row],[Ordered_Value]],"")</f>
        <v/>
      </c>
      <c r="U427" s="75">
        <v>10</v>
      </c>
      <c r="V427" s="7">
        <v>3.3300000000000003E-2</v>
      </c>
      <c r="W427" s="75">
        <v>24</v>
      </c>
      <c r="X427" s="55">
        <f>IFERROR(Supplier_Perf_Table[[#This Row],[Actual_Delivery_Date]]-Supplier_Perf_Table[[#This Row],[Order Date]],"")</f>
        <v>24</v>
      </c>
      <c r="Y427" s="75">
        <v>17</v>
      </c>
      <c r="Z427" s="56">
        <f>IFERROR(Supplier_Perf_Table[[#This Row],[Expected Delivery_Date]]-Supplier_Perf_Table[[#This Row],[Order Date]],"")</f>
        <v>17</v>
      </c>
      <c r="AA427" s="56">
        <f>Supplier_Perf_Table[[#This Row],[Calculated_Lead_Time2]]-Supplier_Perf_Table[[#This Row],[Calculated_Expected_Lead_Time]]</f>
        <v>7</v>
      </c>
      <c r="AB427" s="75">
        <v>7</v>
      </c>
      <c r="AC427" s="63" t="s">
        <v>39</v>
      </c>
      <c r="AD427" s="63" t="s">
        <v>40</v>
      </c>
      <c r="AE427" s="63" t="s">
        <v>127</v>
      </c>
      <c r="AF427" s="63" t="s">
        <v>190</v>
      </c>
      <c r="AG427" s="63" t="s">
        <v>54</v>
      </c>
      <c r="AH427" s="63" t="s">
        <v>55</v>
      </c>
      <c r="AI427" s="63" t="s">
        <v>137</v>
      </c>
      <c r="AJ427" s="63" t="s">
        <v>138</v>
      </c>
      <c r="AK427" s="83">
        <v>1.4</v>
      </c>
      <c r="AL427" s="63" t="s">
        <v>184</v>
      </c>
      <c r="AM427" s="63" t="s">
        <v>148</v>
      </c>
      <c r="AN427"/>
    </row>
    <row r="428" spans="1:40" ht="18" customHeight="1">
      <c r="A428" s="63" t="s">
        <v>1433</v>
      </c>
      <c r="B428" s="63" t="s">
        <v>1434</v>
      </c>
      <c r="C428" s="4">
        <v>46055</v>
      </c>
      <c r="D428" s="4">
        <v>46074</v>
      </c>
      <c r="E428" s="4">
        <v>46065</v>
      </c>
      <c r="F428" s="63" t="s">
        <v>48</v>
      </c>
      <c r="G428" s="63" t="s">
        <v>3836</v>
      </c>
      <c r="H428" s="63" t="s">
        <v>102</v>
      </c>
      <c r="I428" s="63" t="s">
        <v>120</v>
      </c>
      <c r="J428" s="63" t="s">
        <v>153</v>
      </c>
      <c r="K428" s="63" t="s">
        <v>1435</v>
      </c>
      <c r="L428" s="63" t="s">
        <v>295</v>
      </c>
      <c r="M428" s="69">
        <v>669.45</v>
      </c>
      <c r="N428" s="63" t="s">
        <v>159</v>
      </c>
      <c r="O428" s="73">
        <f>_xlfn.XLOOKUP(Supplier_Perf_Table[[#This Row],[Currency]],'Comments 2'!$C$4:$C$16,'Comments 2'!$D$4:$D$16)</f>
        <v>7.2999999999999996E-4</v>
      </c>
      <c r="P428" s="69">
        <f>IFERROR(Supplier_Perf_Table[[#This Row],[Unit_Cost]]*Supplier_Perf_Table[[#This Row],[Dollar Equivalent]],"")</f>
        <v>0.48869850000000004</v>
      </c>
      <c r="Q428" s="75">
        <v>250</v>
      </c>
      <c r="R428" s="1">
        <v>167362.5</v>
      </c>
      <c r="S428" s="75">
        <f>Supplier_Perf_Table[[#This Row],[Unit_Cost]]*Supplier_Perf_Table[[#This Row],[Order_Quantity]]</f>
        <v>167362.5</v>
      </c>
      <c r="T428" s="75">
        <f>IFERROR(Supplier_Perf_Table[[#This Row],[Dollar Equivalent]]*Supplier_Perf_Table[[#This Row],[Ordered_Value]],"")</f>
        <v>122.17462499999999</v>
      </c>
      <c r="U428" s="75">
        <v>0</v>
      </c>
      <c r="V428" s="7">
        <v>0</v>
      </c>
      <c r="W428" s="75">
        <v>10</v>
      </c>
      <c r="X428" s="55">
        <f>IFERROR(Supplier_Perf_Table[[#This Row],[Actual_Delivery_Date]]-Supplier_Perf_Table[[#This Row],[Order Date]],"")</f>
        <v>10</v>
      </c>
      <c r="Y428" s="75">
        <v>19</v>
      </c>
      <c r="Z428" s="56">
        <f>IFERROR(Supplier_Perf_Table[[#This Row],[Expected Delivery_Date]]-Supplier_Perf_Table[[#This Row],[Order Date]],"")</f>
        <v>19</v>
      </c>
      <c r="AA428" s="56">
        <f>Supplier_Perf_Table[[#This Row],[Calculated_Lead_Time2]]-Supplier_Perf_Table[[#This Row],[Calculated_Expected_Lead_Time]]</f>
        <v>-9</v>
      </c>
      <c r="AB428" s="75">
        <v>-9</v>
      </c>
      <c r="AC428" s="63" t="s">
        <v>270</v>
      </c>
      <c r="AD428" s="63" t="s">
        <v>40</v>
      </c>
      <c r="AE428" s="63" t="s">
        <v>105</v>
      </c>
      <c r="AF428" s="63" t="s">
        <v>3088</v>
      </c>
      <c r="AG428" s="63" t="s">
        <v>173</v>
      </c>
      <c r="AH428" s="63" t="s">
        <v>88</v>
      </c>
      <c r="AI428" s="63" t="s">
        <v>56</v>
      </c>
      <c r="AJ428" s="63" t="s">
        <v>138</v>
      </c>
      <c r="AK428" s="83">
        <v>3.9</v>
      </c>
      <c r="AL428" s="63" t="s">
        <v>184</v>
      </c>
      <c r="AM428" s="63" t="s">
        <v>619</v>
      </c>
      <c r="AN428"/>
    </row>
    <row r="429" spans="1:40" ht="18" customHeight="1">
      <c r="A429" s="1" t="s">
        <v>1436</v>
      </c>
      <c r="B429" s="1" t="s">
        <v>1437</v>
      </c>
      <c r="C429" s="4">
        <v>46111</v>
      </c>
      <c r="D429" s="4">
        <v>46122</v>
      </c>
      <c r="E429" s="4">
        <v>46125</v>
      </c>
      <c r="F429" s="63" t="s">
        <v>60</v>
      </c>
      <c r="G429" s="63" t="s">
        <v>3837</v>
      </c>
      <c r="H429" s="63" t="s">
        <v>152</v>
      </c>
      <c r="I429" s="63" t="s">
        <v>120</v>
      </c>
      <c r="J429" s="63" t="s">
        <v>62</v>
      </c>
      <c r="K429" s="63" t="s">
        <v>1438</v>
      </c>
      <c r="L429" s="63" t="s">
        <v>94</v>
      </c>
      <c r="M429" s="69">
        <v>775.47</v>
      </c>
      <c r="N429" s="63" t="s">
        <v>159</v>
      </c>
      <c r="O429" s="73">
        <f>_xlfn.XLOOKUP(Supplier_Perf_Table[[#This Row],[Currency]],'Comments 2'!$C$4:$C$16,'Comments 2'!$D$4:$D$16)</f>
        <v>7.2999999999999996E-4</v>
      </c>
      <c r="P429" s="69">
        <f>IFERROR(Supplier_Perf_Table[[#This Row],[Unit_Cost]]*Supplier_Perf_Table[[#This Row],[Dollar Equivalent]],"")</f>
        <v>0.56609310000000002</v>
      </c>
      <c r="Q429" s="75">
        <v>150</v>
      </c>
      <c r="R429" s="1">
        <v>116320.5</v>
      </c>
      <c r="S429" s="75">
        <f>Supplier_Perf_Table[[#This Row],[Unit_Cost]]*Supplier_Perf_Table[[#This Row],[Order_Quantity]]</f>
        <v>116320.5</v>
      </c>
      <c r="T429" s="75">
        <f>IFERROR(Supplier_Perf_Table[[#This Row],[Dollar Equivalent]]*Supplier_Perf_Table[[#This Row],[Ordered_Value]],"")</f>
        <v>84.91396499999999</v>
      </c>
      <c r="U429" s="75">
        <v>10</v>
      </c>
      <c r="V429" s="7">
        <v>6.6699999999999995E-2</v>
      </c>
      <c r="W429" s="75">
        <v>14</v>
      </c>
      <c r="X429" s="55">
        <f>IFERROR(Supplier_Perf_Table[[#This Row],[Actual_Delivery_Date]]-Supplier_Perf_Table[[#This Row],[Order Date]],"")</f>
        <v>14</v>
      </c>
      <c r="Y429" s="75">
        <v>11</v>
      </c>
      <c r="Z429" s="56">
        <f>IFERROR(Supplier_Perf_Table[[#This Row],[Expected Delivery_Date]]-Supplier_Perf_Table[[#This Row],[Order Date]],"")</f>
        <v>11</v>
      </c>
      <c r="AA429" s="56">
        <f>Supplier_Perf_Table[[#This Row],[Calculated_Lead_Time2]]-Supplier_Perf_Table[[#This Row],[Calculated_Expected_Lead_Time]]</f>
        <v>3</v>
      </c>
      <c r="AB429" s="75">
        <v>3</v>
      </c>
      <c r="AC429" s="63" t="s">
        <v>135</v>
      </c>
      <c r="AD429" s="63" t="s">
        <v>74</v>
      </c>
      <c r="AE429" s="63" t="s">
        <v>105</v>
      </c>
      <c r="AF429" s="63" t="s">
        <v>66</v>
      </c>
      <c r="AG429" s="63" t="s">
        <v>107</v>
      </c>
      <c r="AH429" s="63" t="s">
        <v>3112</v>
      </c>
      <c r="AI429" s="63" t="s">
        <v>147</v>
      </c>
      <c r="AJ429" s="63" t="s">
        <v>373</v>
      </c>
      <c r="AK429" s="83">
        <v>2.5</v>
      </c>
      <c r="AL429" s="63" t="s">
        <v>115</v>
      </c>
      <c r="AM429" s="63" t="s">
        <v>77</v>
      </c>
      <c r="AN429"/>
    </row>
    <row r="430" spans="1:40" ht="18" customHeight="1">
      <c r="A430" s="1" t="s">
        <v>1439</v>
      </c>
      <c r="B430" s="1" t="s">
        <v>1440</v>
      </c>
      <c r="C430" s="4">
        <v>46138</v>
      </c>
      <c r="D430" s="4">
        <v>46155</v>
      </c>
      <c r="E430" s="4">
        <v>46161</v>
      </c>
      <c r="F430" s="63" t="s">
        <v>90</v>
      </c>
      <c r="G430" s="63" t="s">
        <v>3840</v>
      </c>
      <c r="H430" s="63" t="s">
        <v>133</v>
      </c>
      <c r="I430" s="63" t="s">
        <v>241</v>
      </c>
      <c r="J430" s="63" t="s">
        <v>35</v>
      </c>
      <c r="K430" s="63" t="s">
        <v>1441</v>
      </c>
      <c r="L430" s="63" t="s">
        <v>180</v>
      </c>
      <c r="M430" s="69">
        <v>939.05</v>
      </c>
      <c r="N430" s="63" t="s">
        <v>86</v>
      </c>
      <c r="O430" s="73">
        <f>_xlfn.XLOOKUP(Supplier_Perf_Table[[#This Row],[Currency]],'Comments 2'!$C$4:$C$16,'Comments 2'!$D$4:$D$16)</f>
        <v>8.8999999999999996E-2</v>
      </c>
      <c r="P430" s="69">
        <f>IFERROR(Supplier_Perf_Table[[#This Row],[Unit_Cost]]*Supplier_Perf_Table[[#This Row],[Dollar Equivalent]],"")</f>
        <v>83.575449999999989</v>
      </c>
      <c r="Q430" s="75">
        <v>500</v>
      </c>
      <c r="R430" s="1">
        <v>469525</v>
      </c>
      <c r="S430" s="75">
        <f>Supplier_Perf_Table[[#This Row],[Unit_Cost]]*Supplier_Perf_Table[[#This Row],[Order_Quantity]]</f>
        <v>469525</v>
      </c>
      <c r="T430" s="75">
        <f>IFERROR(Supplier_Perf_Table[[#This Row],[Dollar Equivalent]]*Supplier_Perf_Table[[#This Row],[Ordered_Value]],"")</f>
        <v>41787.724999999999</v>
      </c>
      <c r="U430" s="75">
        <v>29</v>
      </c>
      <c r="V430" s="7">
        <v>5.8000000000000003E-2</v>
      </c>
      <c r="W430" s="75">
        <v>23</v>
      </c>
      <c r="X430" s="55">
        <f>IFERROR(Supplier_Perf_Table[[#This Row],[Actual_Delivery_Date]]-Supplier_Perf_Table[[#This Row],[Order Date]],"")</f>
        <v>23</v>
      </c>
      <c r="Y430" s="75">
        <v>17</v>
      </c>
      <c r="Z430" s="56">
        <f>IFERROR(Supplier_Perf_Table[[#This Row],[Expected Delivery_Date]]-Supplier_Perf_Table[[#This Row],[Order Date]],"")</f>
        <v>17</v>
      </c>
      <c r="AA430" s="56">
        <f>Supplier_Perf_Table[[#This Row],[Calculated_Lead_Time2]]-Supplier_Perf_Table[[#This Row],[Calculated_Expected_Lead_Time]]</f>
        <v>6</v>
      </c>
      <c r="AB430" s="75">
        <v>6</v>
      </c>
      <c r="AC430" s="63" t="s">
        <v>39</v>
      </c>
      <c r="AD430" s="63" t="s">
        <v>74</v>
      </c>
      <c r="AE430" s="63" t="s">
        <v>3088</v>
      </c>
      <c r="AF430" s="63" t="s">
        <v>42</v>
      </c>
      <c r="AG430" s="63" t="s">
        <v>43</v>
      </c>
      <c r="AH430" s="63" t="s">
        <v>136</v>
      </c>
      <c r="AI430" s="63" t="s">
        <v>137</v>
      </c>
      <c r="AJ430" s="63" t="s">
        <v>183</v>
      </c>
      <c r="AK430" s="83">
        <v>1.3</v>
      </c>
      <c r="AL430" s="63" t="s">
        <v>108</v>
      </c>
      <c r="AM430" s="63" t="s">
        <v>185</v>
      </c>
      <c r="AN430"/>
    </row>
    <row r="431" spans="1:40" ht="18" customHeight="1">
      <c r="A431" s="1" t="s">
        <v>1442</v>
      </c>
      <c r="B431" s="1" t="s">
        <v>1443</v>
      </c>
      <c r="C431" s="4">
        <v>46076</v>
      </c>
      <c r="D431" s="4">
        <v>46094</v>
      </c>
      <c r="E431" s="4">
        <v>46099</v>
      </c>
      <c r="F431" s="63" t="s">
        <v>90</v>
      </c>
      <c r="G431" s="63" t="s">
        <v>3840</v>
      </c>
      <c r="H431" s="63" t="s">
        <v>133</v>
      </c>
      <c r="I431" s="63" t="s">
        <v>178</v>
      </c>
      <c r="J431" s="63" t="s">
        <v>50</v>
      </c>
      <c r="K431" s="63" t="s">
        <v>1444</v>
      </c>
      <c r="L431" s="63" t="s">
        <v>52</v>
      </c>
      <c r="M431" s="69">
        <v>774.93</v>
      </c>
      <c r="N431" s="63" t="s">
        <v>38</v>
      </c>
      <c r="O431" s="73">
        <f>_xlfn.XLOOKUP(Supplier_Perf_Table[[#This Row],[Currency]],'Comments 2'!$C$4:$C$16,'Comments 2'!$D$4:$D$16)</f>
        <v>7.7000000000000002E-3</v>
      </c>
      <c r="P431" s="69">
        <f>IFERROR(Supplier_Perf_Table[[#This Row],[Unit_Cost]]*Supplier_Perf_Table[[#This Row],[Dollar Equivalent]],"")</f>
        <v>5.9669609999999995</v>
      </c>
      <c r="Q431" s="75">
        <v>1000</v>
      </c>
      <c r="R431" s="1">
        <v>774930</v>
      </c>
      <c r="S431" s="75">
        <f>Supplier_Perf_Table[[#This Row],[Unit_Cost]]*Supplier_Perf_Table[[#This Row],[Order_Quantity]]</f>
        <v>774930</v>
      </c>
      <c r="T431" s="75">
        <f>IFERROR(Supplier_Perf_Table[[#This Row],[Dollar Equivalent]]*Supplier_Perf_Table[[#This Row],[Ordered_Value]],"")</f>
        <v>5966.9610000000002</v>
      </c>
      <c r="U431" s="75">
        <v>0</v>
      </c>
      <c r="V431" s="7">
        <v>0</v>
      </c>
      <c r="W431" s="75">
        <v>23</v>
      </c>
      <c r="X431" s="55">
        <f>IFERROR(Supplier_Perf_Table[[#This Row],[Actual_Delivery_Date]]-Supplier_Perf_Table[[#This Row],[Order Date]],"")</f>
        <v>23</v>
      </c>
      <c r="Y431" s="75">
        <v>18</v>
      </c>
      <c r="Z431" s="56">
        <f>IFERROR(Supplier_Perf_Table[[#This Row],[Expected Delivery_Date]]-Supplier_Perf_Table[[#This Row],[Order Date]],"")</f>
        <v>18</v>
      </c>
      <c r="AA431" s="56">
        <f>Supplier_Perf_Table[[#This Row],[Calculated_Lead_Time2]]-Supplier_Perf_Table[[#This Row],[Calculated_Expected_Lead_Time]]</f>
        <v>5</v>
      </c>
      <c r="AB431" s="75">
        <v>5</v>
      </c>
      <c r="AC431" s="63" t="s">
        <v>135</v>
      </c>
      <c r="AD431" s="63" t="s">
        <v>404</v>
      </c>
      <c r="AE431" s="63" t="s">
        <v>105</v>
      </c>
      <c r="AF431" s="63" t="s">
        <v>190</v>
      </c>
      <c r="AG431" s="63" t="s">
        <v>54</v>
      </c>
      <c r="AH431" s="63" t="s">
        <v>136</v>
      </c>
      <c r="AI431" s="63" t="s">
        <v>137</v>
      </c>
      <c r="AJ431" s="63" t="s">
        <v>138</v>
      </c>
      <c r="AK431" s="83">
        <v>3.7</v>
      </c>
      <c r="AL431" s="63" t="s">
        <v>76</v>
      </c>
      <c r="AM431" s="63" t="s">
        <v>46</v>
      </c>
      <c r="AN431"/>
    </row>
    <row r="432" spans="1:40" ht="18" customHeight="1">
      <c r="A432" s="1" t="s">
        <v>1445</v>
      </c>
      <c r="B432" s="1" t="s">
        <v>1446</v>
      </c>
      <c r="C432" s="4">
        <v>46041</v>
      </c>
      <c r="D432" s="4">
        <v>46056</v>
      </c>
      <c r="E432" s="4">
        <v>46050</v>
      </c>
      <c r="F432" s="63" t="s">
        <v>48</v>
      </c>
      <c r="G432" s="63" t="s">
        <v>3836</v>
      </c>
      <c r="H432" s="63" t="s">
        <v>102</v>
      </c>
      <c r="I432" s="63" t="s">
        <v>241</v>
      </c>
      <c r="J432" s="63" t="s">
        <v>50</v>
      </c>
      <c r="K432" s="63" t="s">
        <v>1133</v>
      </c>
      <c r="L432" s="63" t="s">
        <v>189</v>
      </c>
      <c r="M432" s="69">
        <v>310.55</v>
      </c>
      <c r="N432" s="63" t="s">
        <v>104</v>
      </c>
      <c r="O432" s="73">
        <f>_xlfn.XLOOKUP(Supplier_Perf_Table[[#This Row],[Currency]],'Comments 2'!$C$4:$C$16,'Comments 2'!$D$4:$D$16)</f>
        <v>1.9E-2</v>
      </c>
      <c r="P432" s="69">
        <f>IFERROR(Supplier_Perf_Table[[#This Row],[Unit_Cost]]*Supplier_Perf_Table[[#This Row],[Dollar Equivalent]],"")</f>
        <v>5.9004500000000002</v>
      </c>
      <c r="Q432" s="75">
        <v>100</v>
      </c>
      <c r="R432" s="1">
        <v>31055</v>
      </c>
      <c r="S432" s="75">
        <f>Supplier_Perf_Table[[#This Row],[Unit_Cost]]*Supplier_Perf_Table[[#This Row],[Order_Quantity]]</f>
        <v>31055</v>
      </c>
      <c r="T432" s="75">
        <f>IFERROR(Supplier_Perf_Table[[#This Row],[Dollar Equivalent]]*Supplier_Perf_Table[[#This Row],[Ordered_Value]],"")</f>
        <v>590.04499999999996</v>
      </c>
      <c r="U432" s="75">
        <v>5</v>
      </c>
      <c r="V432" s="7">
        <v>0.05</v>
      </c>
      <c r="W432" s="75">
        <v>9</v>
      </c>
      <c r="X432" s="55">
        <f>IFERROR(Supplier_Perf_Table[[#This Row],[Actual_Delivery_Date]]-Supplier_Perf_Table[[#This Row],[Order Date]],"")</f>
        <v>9</v>
      </c>
      <c r="Y432" s="75">
        <v>15</v>
      </c>
      <c r="Z432" s="56">
        <f>IFERROR(Supplier_Perf_Table[[#This Row],[Expected Delivery_Date]]-Supplier_Perf_Table[[#This Row],[Order Date]],"")</f>
        <v>15</v>
      </c>
      <c r="AA432" s="56">
        <f>Supplier_Perf_Table[[#This Row],[Calculated_Lead_Time2]]-Supplier_Perf_Table[[#This Row],[Calculated_Expected_Lead_Time]]</f>
        <v>-6</v>
      </c>
      <c r="AB432" s="75">
        <v>-6</v>
      </c>
      <c r="AC432" s="63" t="s">
        <v>87</v>
      </c>
      <c r="AD432" s="63" t="s">
        <v>420</v>
      </c>
      <c r="AE432" s="63" t="s">
        <v>41</v>
      </c>
      <c r="AF432" s="63" t="s">
        <v>3088</v>
      </c>
      <c r="AG432" s="63" t="s">
        <v>43</v>
      </c>
      <c r="AH432" s="63" t="s">
        <v>174</v>
      </c>
      <c r="AI432" s="63" t="s">
        <v>56</v>
      </c>
      <c r="AJ432" s="63" t="s">
        <v>96</v>
      </c>
      <c r="AK432" s="83">
        <v>2</v>
      </c>
      <c r="AL432" s="63" t="s">
        <v>45</v>
      </c>
      <c r="AM432" s="63" t="s">
        <v>97</v>
      </c>
      <c r="AN432"/>
    </row>
    <row r="433" spans="1:40" ht="18" customHeight="1">
      <c r="A433" s="1" t="s">
        <v>1447</v>
      </c>
      <c r="B433" s="1" t="s">
        <v>1448</v>
      </c>
      <c r="C433" s="4">
        <v>46110</v>
      </c>
      <c r="D433" s="4">
        <v>46129</v>
      </c>
      <c r="E433" s="4">
        <v>46126</v>
      </c>
      <c r="F433" s="63" t="s">
        <v>48</v>
      </c>
      <c r="G433" s="63" t="s">
        <v>3836</v>
      </c>
      <c r="H433" s="63" t="s">
        <v>102</v>
      </c>
      <c r="I433" s="63" t="s">
        <v>70</v>
      </c>
      <c r="J433" s="63" t="s">
        <v>50</v>
      </c>
      <c r="K433" s="63" t="s">
        <v>1449</v>
      </c>
      <c r="L433" s="63" t="s">
        <v>126</v>
      </c>
      <c r="M433" s="69" t="s">
        <v>3080</v>
      </c>
      <c r="N433" s="63" t="s">
        <v>104</v>
      </c>
      <c r="O433" s="73">
        <f>_xlfn.XLOOKUP(Supplier_Perf_Table[[#This Row],[Currency]],'Comments 2'!$C$4:$C$16,'Comments 2'!$D$4:$D$16)</f>
        <v>1.9E-2</v>
      </c>
      <c r="P433" s="69" t="str">
        <f>IFERROR(Supplier_Perf_Table[[#This Row],[Unit_Cost]]*Supplier_Perf_Table[[#This Row],[Dollar Equivalent]],"")</f>
        <v/>
      </c>
      <c r="Q433" s="75">
        <v>750</v>
      </c>
      <c r="R433" s="1">
        <v>1941285</v>
      </c>
      <c r="S433" s="75" t="e">
        <f>Supplier_Perf_Table[[#This Row],[Unit_Cost]]*Supplier_Perf_Table[[#This Row],[Order_Quantity]]</f>
        <v>#VALUE!</v>
      </c>
      <c r="T433" s="75">
        <f>IFERROR(Supplier_Perf_Table[[#This Row],[Dollar Equivalent]]*Supplier_Perf_Table[[#This Row],[Ordered_Value]],"")</f>
        <v>36884.415000000001</v>
      </c>
      <c r="U433" s="75">
        <v>9</v>
      </c>
      <c r="V433" s="7">
        <v>1.2E-2</v>
      </c>
      <c r="W433" s="75">
        <v>16</v>
      </c>
      <c r="X433" s="55">
        <f>IFERROR(Supplier_Perf_Table[[#This Row],[Actual_Delivery_Date]]-Supplier_Perf_Table[[#This Row],[Order Date]],"")</f>
        <v>16</v>
      </c>
      <c r="Y433" s="75">
        <v>19</v>
      </c>
      <c r="Z433" s="56">
        <f>IFERROR(Supplier_Perf_Table[[#This Row],[Expected Delivery_Date]]-Supplier_Perf_Table[[#This Row],[Order Date]],"")</f>
        <v>19</v>
      </c>
      <c r="AA433" s="56">
        <f>Supplier_Perf_Table[[#This Row],[Calculated_Lead_Time2]]-Supplier_Perf_Table[[#This Row],[Calculated_Expected_Lead_Time]]</f>
        <v>-3</v>
      </c>
      <c r="AB433" s="75">
        <v>-3</v>
      </c>
      <c r="AC433" s="63" t="s">
        <v>270</v>
      </c>
      <c r="AD433" s="63" t="s">
        <v>40</v>
      </c>
      <c r="AE433" s="63" t="s">
        <v>3088</v>
      </c>
      <c r="AF433" s="63" t="s">
        <v>66</v>
      </c>
      <c r="AG433" s="63" t="s">
        <v>173</v>
      </c>
      <c r="AH433" s="63" t="s">
        <v>88</v>
      </c>
      <c r="AI433" s="63" t="s">
        <v>147</v>
      </c>
      <c r="AJ433" s="63" t="s">
        <v>138</v>
      </c>
      <c r="AK433" s="83">
        <v>3.7</v>
      </c>
      <c r="AL433" s="63" t="s">
        <v>45</v>
      </c>
      <c r="AM433" s="63" t="s">
        <v>130</v>
      </c>
      <c r="AN433"/>
    </row>
    <row r="434" spans="1:40" ht="18" customHeight="1">
      <c r="A434" s="1" t="s">
        <v>1450</v>
      </c>
      <c r="B434" s="1" t="s">
        <v>1451</v>
      </c>
      <c r="C434" s="4">
        <v>46095</v>
      </c>
      <c r="D434" s="4">
        <v>46107</v>
      </c>
      <c r="E434" s="4">
        <v>46109</v>
      </c>
      <c r="F434" s="63" t="s">
        <v>209</v>
      </c>
      <c r="G434" s="63" t="s">
        <v>3845</v>
      </c>
      <c r="H434" s="63" t="s">
        <v>316</v>
      </c>
      <c r="I434" s="63" t="s">
        <v>61</v>
      </c>
      <c r="J434" s="63" t="s">
        <v>153</v>
      </c>
      <c r="K434" s="63" t="s">
        <v>1452</v>
      </c>
      <c r="L434" s="63" t="s">
        <v>204</v>
      </c>
      <c r="M434" s="69">
        <v>300.14</v>
      </c>
      <c r="N434" s="63" t="s">
        <v>53</v>
      </c>
      <c r="O434" s="73">
        <f>_xlfn.XLOOKUP(Supplier_Perf_Table[[#This Row],[Currency]],'Comments 2'!$C$4:$C$16,'Comments 2'!$D$4:$D$16)</f>
        <v>6.0999999999999999E-2</v>
      </c>
      <c r="P434" s="69">
        <f>IFERROR(Supplier_Perf_Table[[#This Row],[Unit_Cost]]*Supplier_Perf_Table[[#This Row],[Dollar Equivalent]],"")</f>
        <v>18.308539999999997</v>
      </c>
      <c r="Q434" s="75">
        <v>750</v>
      </c>
      <c r="R434" s="1">
        <v>225105</v>
      </c>
      <c r="S434" s="75">
        <f>Supplier_Perf_Table[[#This Row],[Unit_Cost]]*Supplier_Perf_Table[[#This Row],[Order_Quantity]]</f>
        <v>225105</v>
      </c>
      <c r="T434" s="75">
        <f>IFERROR(Supplier_Perf_Table[[#This Row],[Dollar Equivalent]]*Supplier_Perf_Table[[#This Row],[Ordered_Value]],"")</f>
        <v>13731.404999999999</v>
      </c>
      <c r="U434" s="75">
        <v>32</v>
      </c>
      <c r="V434" s="7">
        <v>4.2700000000000002E-2</v>
      </c>
      <c r="W434" s="75">
        <v>14</v>
      </c>
      <c r="X434" s="55">
        <f>IFERROR(Supplier_Perf_Table[[#This Row],[Actual_Delivery_Date]]-Supplier_Perf_Table[[#This Row],[Order Date]],"")</f>
        <v>14</v>
      </c>
      <c r="Y434" s="75">
        <v>12</v>
      </c>
      <c r="Z434" s="56">
        <f>IFERROR(Supplier_Perf_Table[[#This Row],[Expected Delivery_Date]]-Supplier_Perf_Table[[#This Row],[Order Date]],"")</f>
        <v>12</v>
      </c>
      <c r="AA434" s="56">
        <f>Supplier_Perf_Table[[#This Row],[Calculated_Lead_Time2]]-Supplier_Perf_Table[[#This Row],[Calculated_Expected_Lead_Time]]</f>
        <v>2</v>
      </c>
      <c r="AB434" s="75">
        <v>2</v>
      </c>
      <c r="AC434" s="63" t="s">
        <v>135</v>
      </c>
      <c r="AD434" s="63" t="s">
        <v>74</v>
      </c>
      <c r="AE434" s="63" t="s">
        <v>41</v>
      </c>
      <c r="AF434" s="63" t="s">
        <v>106</v>
      </c>
      <c r="AG434" s="63" t="s">
        <v>43</v>
      </c>
      <c r="AH434" s="63" t="s">
        <v>88</v>
      </c>
      <c r="AI434" s="63" t="s">
        <v>138</v>
      </c>
      <c r="AJ434" s="63" t="s">
        <v>283</v>
      </c>
      <c r="AK434" s="83">
        <v>2.6</v>
      </c>
      <c r="AL434" s="63" t="s">
        <v>45</v>
      </c>
      <c r="AM434" s="63" t="s">
        <v>77</v>
      </c>
      <c r="AN434"/>
    </row>
    <row r="435" spans="1:40" ht="18" customHeight="1">
      <c r="A435" s="1" t="s">
        <v>367</v>
      </c>
      <c r="B435" s="1" t="s">
        <v>1453</v>
      </c>
      <c r="C435" s="4">
        <v>46115</v>
      </c>
      <c r="D435" s="4">
        <v>46136</v>
      </c>
      <c r="E435" s="4">
        <v>46133</v>
      </c>
      <c r="F435" s="63" t="s">
        <v>32</v>
      </c>
      <c r="G435" s="63" t="s">
        <v>3835</v>
      </c>
      <c r="H435" s="63" t="s">
        <v>177</v>
      </c>
      <c r="I435" s="63" t="s">
        <v>241</v>
      </c>
      <c r="J435" s="63" t="s">
        <v>35</v>
      </c>
      <c r="K435" s="63" t="s">
        <v>1202</v>
      </c>
      <c r="L435" s="63" t="s">
        <v>85</v>
      </c>
      <c r="M435" s="69">
        <v>1462.39</v>
      </c>
      <c r="N435" s="63" t="s">
        <v>65</v>
      </c>
      <c r="O435" s="73">
        <f>_xlfn.XLOOKUP(Supplier_Perf_Table[[#This Row],[Currency]],'Comments 2'!$C$4:$C$16,'Comments 2'!$D$4:$D$16)</f>
        <v>1</v>
      </c>
      <c r="P435" s="69">
        <f>IFERROR(Supplier_Perf_Table[[#This Row],[Unit_Cost]]*Supplier_Perf_Table[[#This Row],[Dollar Equivalent]],"")</f>
        <v>1462.39</v>
      </c>
      <c r="Q435" s="75">
        <v>50</v>
      </c>
      <c r="R435" s="1">
        <v>73119.5</v>
      </c>
      <c r="S435" s="75">
        <f>Supplier_Perf_Table[[#This Row],[Unit_Cost]]*Supplier_Perf_Table[[#This Row],[Order_Quantity]]</f>
        <v>73119.5</v>
      </c>
      <c r="T435" s="75">
        <f>IFERROR(Supplier_Perf_Table[[#This Row],[Dollar Equivalent]]*Supplier_Perf_Table[[#This Row],[Ordered_Value]],"")</f>
        <v>73119.5</v>
      </c>
      <c r="U435" s="75">
        <v>1</v>
      </c>
      <c r="V435" s="7">
        <v>0.02</v>
      </c>
      <c r="W435" s="75">
        <v>18</v>
      </c>
      <c r="X435" s="55">
        <f>IFERROR(Supplier_Perf_Table[[#This Row],[Actual_Delivery_Date]]-Supplier_Perf_Table[[#This Row],[Order Date]],"")</f>
        <v>18</v>
      </c>
      <c r="Y435" s="75">
        <v>21</v>
      </c>
      <c r="Z435" s="56">
        <f>IFERROR(Supplier_Perf_Table[[#This Row],[Expected Delivery_Date]]-Supplier_Perf_Table[[#This Row],[Order Date]],"")</f>
        <v>21</v>
      </c>
      <c r="AA435" s="56">
        <f>Supplier_Perf_Table[[#This Row],[Calculated_Lead_Time2]]-Supplier_Perf_Table[[#This Row],[Calculated_Expected_Lead_Time]]</f>
        <v>-3</v>
      </c>
      <c r="AB435" s="75">
        <v>-3</v>
      </c>
      <c r="AC435" s="63" t="s">
        <v>87</v>
      </c>
      <c r="AD435" s="63" t="s">
        <v>40</v>
      </c>
      <c r="AE435" s="63" t="s">
        <v>127</v>
      </c>
      <c r="AF435" s="63" t="s">
        <v>190</v>
      </c>
      <c r="AG435" s="63" t="s">
        <v>43</v>
      </c>
      <c r="AH435" s="63" t="s">
        <v>3112</v>
      </c>
      <c r="AI435" s="63" t="s">
        <v>138</v>
      </c>
      <c r="AJ435" s="63" t="s">
        <v>138</v>
      </c>
      <c r="AK435" s="83">
        <v>3.6</v>
      </c>
      <c r="AL435" s="63" t="s">
        <v>57</v>
      </c>
      <c r="AM435" s="63" t="s">
        <v>130</v>
      </c>
      <c r="AN435"/>
    </row>
    <row r="436" spans="1:40" ht="18" customHeight="1">
      <c r="A436" s="1" t="s">
        <v>1454</v>
      </c>
      <c r="B436" s="1" t="s">
        <v>1455</v>
      </c>
      <c r="C436" s="4">
        <v>46078</v>
      </c>
      <c r="D436" s="4">
        <v>46096</v>
      </c>
      <c r="E436" s="4">
        <v>46113</v>
      </c>
      <c r="F436" s="63" t="s">
        <v>118</v>
      </c>
      <c r="G436" s="63" t="s">
        <v>3842</v>
      </c>
      <c r="H436" s="63" t="s">
        <v>301</v>
      </c>
      <c r="I436" s="63" t="s">
        <v>120</v>
      </c>
      <c r="J436" s="63" t="s">
        <v>153</v>
      </c>
      <c r="K436" s="63" t="s">
        <v>1456</v>
      </c>
      <c r="L436" s="63" t="s">
        <v>318</v>
      </c>
      <c r="M436" s="69">
        <v>698.04</v>
      </c>
      <c r="N436" s="63" t="s">
        <v>86</v>
      </c>
      <c r="O436" s="73">
        <f>_xlfn.XLOOKUP(Supplier_Perf_Table[[#This Row],[Currency]],'Comments 2'!$C$4:$C$16,'Comments 2'!$D$4:$D$16)</f>
        <v>8.8999999999999996E-2</v>
      </c>
      <c r="P436" s="69">
        <f>IFERROR(Supplier_Perf_Table[[#This Row],[Unit_Cost]]*Supplier_Perf_Table[[#This Row],[Dollar Equivalent]],"")</f>
        <v>62.125559999999993</v>
      </c>
      <c r="Q436" s="75">
        <v>50</v>
      </c>
      <c r="R436" s="1">
        <v>34902</v>
      </c>
      <c r="S436" s="75">
        <f>Supplier_Perf_Table[[#This Row],[Unit_Cost]]*Supplier_Perf_Table[[#This Row],[Order_Quantity]]</f>
        <v>34902</v>
      </c>
      <c r="T436" s="75">
        <f>IFERROR(Supplier_Perf_Table[[#This Row],[Dollar Equivalent]]*Supplier_Perf_Table[[#This Row],[Ordered_Value]],"")</f>
        <v>3106.2779999999998</v>
      </c>
      <c r="U436" s="75">
        <v>1</v>
      </c>
      <c r="V436" s="7">
        <v>0.02</v>
      </c>
      <c r="W436" s="75">
        <v>35</v>
      </c>
      <c r="X436" s="55">
        <f>IFERROR(Supplier_Perf_Table[[#This Row],[Actual_Delivery_Date]]-Supplier_Perf_Table[[#This Row],[Order Date]],"")</f>
        <v>35</v>
      </c>
      <c r="Y436" s="75">
        <v>18</v>
      </c>
      <c r="Z436" s="56">
        <f>IFERROR(Supplier_Perf_Table[[#This Row],[Expected Delivery_Date]]-Supplier_Perf_Table[[#This Row],[Order Date]],"")</f>
        <v>18</v>
      </c>
      <c r="AA436" s="56">
        <f>Supplier_Perf_Table[[#This Row],[Calculated_Lead_Time2]]-Supplier_Perf_Table[[#This Row],[Calculated_Expected_Lead_Time]]</f>
        <v>17</v>
      </c>
      <c r="AB436" s="75">
        <v>17</v>
      </c>
      <c r="AC436" s="63" t="s">
        <v>135</v>
      </c>
      <c r="AD436" s="63" t="s">
        <v>404</v>
      </c>
      <c r="AE436" s="63" t="s">
        <v>41</v>
      </c>
      <c r="AF436" s="63" t="s">
        <v>106</v>
      </c>
      <c r="AG436" s="63" t="s">
        <v>3088</v>
      </c>
      <c r="AH436" s="63" t="s">
        <v>206</v>
      </c>
      <c r="AI436" s="63" t="s">
        <v>44</v>
      </c>
      <c r="AJ436" s="63" t="s">
        <v>138</v>
      </c>
      <c r="AK436" s="83">
        <v>2.8</v>
      </c>
      <c r="AL436" s="63" t="s">
        <v>115</v>
      </c>
      <c r="AM436" s="63" t="s">
        <v>46</v>
      </c>
      <c r="AN436"/>
    </row>
    <row r="437" spans="1:40" ht="18" customHeight="1">
      <c r="A437" s="1" t="s">
        <v>1457</v>
      </c>
      <c r="B437" s="1" t="s">
        <v>1458</v>
      </c>
      <c r="C437" s="4">
        <v>46083</v>
      </c>
      <c r="D437" s="4">
        <v>46106</v>
      </c>
      <c r="E437" s="4">
        <v>46104</v>
      </c>
      <c r="F437" s="63" t="s">
        <v>142</v>
      </c>
      <c r="G437" s="63" t="s">
        <v>3843</v>
      </c>
      <c r="H437" s="63" t="s">
        <v>169</v>
      </c>
      <c r="I437" s="63" t="s">
        <v>49</v>
      </c>
      <c r="J437" s="63" t="s">
        <v>50</v>
      </c>
      <c r="K437" s="63" t="s">
        <v>1459</v>
      </c>
      <c r="L437" s="63" t="s">
        <v>126</v>
      </c>
      <c r="M437" s="69">
        <v>816.34</v>
      </c>
      <c r="N437" s="63" t="s">
        <v>86</v>
      </c>
      <c r="O437" s="73">
        <f>_xlfn.XLOOKUP(Supplier_Perf_Table[[#This Row],[Currency]],'Comments 2'!$C$4:$C$16,'Comments 2'!$D$4:$D$16)</f>
        <v>8.8999999999999996E-2</v>
      </c>
      <c r="P437" s="69">
        <f>IFERROR(Supplier_Perf_Table[[#This Row],[Unit_Cost]]*Supplier_Perf_Table[[#This Row],[Dollar Equivalent]],"")</f>
        <v>72.654259999999994</v>
      </c>
      <c r="Q437" s="75">
        <v>1500</v>
      </c>
      <c r="R437" s="1">
        <v>1224510</v>
      </c>
      <c r="S437" s="75">
        <f>Supplier_Perf_Table[[#This Row],[Unit_Cost]]*Supplier_Perf_Table[[#This Row],[Order_Quantity]]</f>
        <v>1224510</v>
      </c>
      <c r="T437" s="75">
        <f>IFERROR(Supplier_Perf_Table[[#This Row],[Dollar Equivalent]]*Supplier_Perf_Table[[#This Row],[Ordered_Value]],"")</f>
        <v>108981.39</v>
      </c>
      <c r="U437" s="75">
        <v>36</v>
      </c>
      <c r="V437" s="7">
        <v>2.4E-2</v>
      </c>
      <c r="W437" s="75">
        <v>21</v>
      </c>
      <c r="X437" s="55">
        <f>IFERROR(Supplier_Perf_Table[[#This Row],[Actual_Delivery_Date]]-Supplier_Perf_Table[[#This Row],[Order Date]],"")</f>
        <v>21</v>
      </c>
      <c r="Y437" s="75">
        <v>23</v>
      </c>
      <c r="Z437" s="56">
        <f>IFERROR(Supplier_Perf_Table[[#This Row],[Expected Delivery_Date]]-Supplier_Perf_Table[[#This Row],[Order Date]],"")</f>
        <v>23</v>
      </c>
      <c r="AA437" s="56">
        <f>Supplier_Perf_Table[[#This Row],[Calculated_Lead_Time2]]-Supplier_Perf_Table[[#This Row],[Calculated_Expected_Lead_Time]]</f>
        <v>-2</v>
      </c>
      <c r="AB437" s="75">
        <v>-2</v>
      </c>
      <c r="AC437" s="63" t="s">
        <v>87</v>
      </c>
      <c r="AD437" s="63" t="s">
        <v>40</v>
      </c>
      <c r="AE437" s="63" t="s">
        <v>127</v>
      </c>
      <c r="AF437" s="63" t="s">
        <v>3088</v>
      </c>
      <c r="AG437" s="63" t="s">
        <v>173</v>
      </c>
      <c r="AH437" s="63" t="s">
        <v>3112</v>
      </c>
      <c r="AI437" s="63" t="s">
        <v>138</v>
      </c>
      <c r="AJ437" s="63" t="s">
        <v>138</v>
      </c>
      <c r="AK437" s="83">
        <v>4.8</v>
      </c>
      <c r="AL437" s="63" t="s">
        <v>57</v>
      </c>
      <c r="AM437" s="63" t="s">
        <v>130</v>
      </c>
      <c r="AN437"/>
    </row>
    <row r="438" spans="1:40" ht="18" customHeight="1">
      <c r="A438" s="1" t="s">
        <v>1460</v>
      </c>
      <c r="B438" s="1" t="s">
        <v>1461</v>
      </c>
      <c r="C438" s="4">
        <v>46048</v>
      </c>
      <c r="D438" s="4">
        <v>46069</v>
      </c>
      <c r="E438" s="4">
        <v>46073</v>
      </c>
      <c r="F438" s="63" t="s">
        <v>32</v>
      </c>
      <c r="G438" s="63" t="s">
        <v>3835</v>
      </c>
      <c r="H438" s="63" t="s">
        <v>177</v>
      </c>
      <c r="I438" s="63" t="s">
        <v>34</v>
      </c>
      <c r="J438" s="63" t="s">
        <v>35</v>
      </c>
      <c r="K438" s="63" t="s">
        <v>1462</v>
      </c>
      <c r="L438" s="63" t="s">
        <v>85</v>
      </c>
      <c r="M438" s="69">
        <v>1417.19</v>
      </c>
      <c r="N438" s="63" t="s">
        <v>65</v>
      </c>
      <c r="O438" s="73">
        <f>_xlfn.XLOOKUP(Supplier_Perf_Table[[#This Row],[Currency]],'Comments 2'!$C$4:$C$16,'Comments 2'!$D$4:$D$16)</f>
        <v>1</v>
      </c>
      <c r="P438" s="69">
        <f>IFERROR(Supplier_Perf_Table[[#This Row],[Unit_Cost]]*Supplier_Perf_Table[[#This Row],[Dollar Equivalent]],"")</f>
        <v>1417.19</v>
      </c>
      <c r="Q438" s="75">
        <v>300</v>
      </c>
      <c r="R438" s="1">
        <v>425157</v>
      </c>
      <c r="S438" s="75">
        <f>Supplier_Perf_Table[[#This Row],[Unit_Cost]]*Supplier_Perf_Table[[#This Row],[Order_Quantity]]</f>
        <v>425157</v>
      </c>
      <c r="T438" s="75">
        <f>IFERROR(Supplier_Perf_Table[[#This Row],[Dollar Equivalent]]*Supplier_Perf_Table[[#This Row],[Ordered_Value]],"")</f>
        <v>425157</v>
      </c>
      <c r="U438" s="75">
        <v>8</v>
      </c>
      <c r="V438" s="7">
        <v>2.6700000000000002E-2</v>
      </c>
      <c r="W438" s="75" t="s">
        <v>3080</v>
      </c>
      <c r="X438" s="55">
        <f>IFERROR(Supplier_Perf_Table[[#This Row],[Actual_Delivery_Date]]-Supplier_Perf_Table[[#This Row],[Order Date]],"")</f>
        <v>25</v>
      </c>
      <c r="Y438" s="75">
        <v>21</v>
      </c>
      <c r="Z438" s="56">
        <f>IFERROR(Supplier_Perf_Table[[#This Row],[Expected Delivery_Date]]-Supplier_Perf_Table[[#This Row],[Order Date]],"")</f>
        <v>21</v>
      </c>
      <c r="AA438" s="56">
        <f>Supplier_Perf_Table[[#This Row],[Calculated_Lead_Time2]]-Supplier_Perf_Table[[#This Row],[Calculated_Expected_Lead_Time]]</f>
        <v>4</v>
      </c>
      <c r="AB438" s="75">
        <v>4</v>
      </c>
      <c r="AC438" s="63" t="s">
        <v>135</v>
      </c>
      <c r="AD438" s="63" t="s">
        <v>3088</v>
      </c>
      <c r="AE438" s="63" t="s">
        <v>146</v>
      </c>
      <c r="AF438" s="63" t="s">
        <v>3088</v>
      </c>
      <c r="AG438" s="63" t="s">
        <v>128</v>
      </c>
      <c r="AH438" s="63" t="s">
        <v>174</v>
      </c>
      <c r="AI438" s="63" t="s">
        <v>44</v>
      </c>
      <c r="AJ438" s="63" t="s">
        <v>138</v>
      </c>
      <c r="AK438" s="83">
        <v>3.7</v>
      </c>
      <c r="AL438" s="63" t="s">
        <v>108</v>
      </c>
      <c r="AM438" s="63" t="s">
        <v>148</v>
      </c>
      <c r="AN438"/>
    </row>
    <row r="439" spans="1:40" ht="18" customHeight="1">
      <c r="A439" s="1" t="s">
        <v>1463</v>
      </c>
      <c r="B439" s="1" t="s">
        <v>1464</v>
      </c>
      <c r="C439" s="4">
        <v>46177</v>
      </c>
      <c r="D439" s="4">
        <v>46189</v>
      </c>
      <c r="E439" s="4">
        <v>46197</v>
      </c>
      <c r="F439" s="63" t="s">
        <v>80</v>
      </c>
      <c r="G439" s="63" t="s">
        <v>3839</v>
      </c>
      <c r="H439" s="63" t="s">
        <v>82</v>
      </c>
      <c r="I439" s="63" t="s">
        <v>49</v>
      </c>
      <c r="J439" s="63" t="s">
        <v>50</v>
      </c>
      <c r="K439" s="63" t="s">
        <v>1465</v>
      </c>
      <c r="L439" s="63" t="s">
        <v>145</v>
      </c>
      <c r="M439" s="69">
        <v>2349.66</v>
      </c>
      <c r="N439" s="63" t="s">
        <v>159</v>
      </c>
      <c r="O439" s="73">
        <f>_xlfn.XLOOKUP(Supplier_Perf_Table[[#This Row],[Currency]],'Comments 2'!$C$4:$C$16,'Comments 2'!$D$4:$D$16)</f>
        <v>7.2999999999999996E-4</v>
      </c>
      <c r="P439" s="69">
        <f>IFERROR(Supplier_Perf_Table[[#This Row],[Unit_Cost]]*Supplier_Perf_Table[[#This Row],[Dollar Equivalent]],"")</f>
        <v>1.7152517999999999</v>
      </c>
      <c r="Q439" s="75">
        <v>200</v>
      </c>
      <c r="R439" s="1">
        <v>469932</v>
      </c>
      <c r="S439" s="75">
        <f>Supplier_Perf_Table[[#This Row],[Unit_Cost]]*Supplier_Perf_Table[[#This Row],[Order_Quantity]]</f>
        <v>469932</v>
      </c>
      <c r="T439" s="75">
        <f>IFERROR(Supplier_Perf_Table[[#This Row],[Dollar Equivalent]]*Supplier_Perf_Table[[#This Row],[Ordered_Value]],"")</f>
        <v>343.05035999999996</v>
      </c>
      <c r="U439" s="75"/>
      <c r="V439" s="7">
        <v>0</v>
      </c>
      <c r="W439" s="75">
        <v>20</v>
      </c>
      <c r="X439" s="55">
        <f>IFERROR(Supplier_Perf_Table[[#This Row],[Actual_Delivery_Date]]-Supplier_Perf_Table[[#This Row],[Order Date]],"")</f>
        <v>20</v>
      </c>
      <c r="Y439" s="75">
        <v>12</v>
      </c>
      <c r="Z439" s="56">
        <f>IFERROR(Supplier_Perf_Table[[#This Row],[Expected Delivery_Date]]-Supplier_Perf_Table[[#This Row],[Order Date]],"")</f>
        <v>12</v>
      </c>
      <c r="AA439" s="56">
        <f>Supplier_Perf_Table[[#This Row],[Calculated_Lead_Time2]]-Supplier_Perf_Table[[#This Row],[Calculated_Expected_Lead_Time]]</f>
        <v>8</v>
      </c>
      <c r="AB439" s="75">
        <v>8</v>
      </c>
      <c r="AC439" s="63" t="s">
        <v>205</v>
      </c>
      <c r="AD439" s="63" t="s">
        <v>40</v>
      </c>
      <c r="AE439" s="63" t="s">
        <v>127</v>
      </c>
      <c r="AF439" s="63" t="s">
        <v>190</v>
      </c>
      <c r="AG439" s="63" t="s">
        <v>173</v>
      </c>
      <c r="AH439" s="63" t="s">
        <v>174</v>
      </c>
      <c r="AI439" s="63" t="s">
        <v>137</v>
      </c>
      <c r="AJ439" s="63" t="s">
        <v>138</v>
      </c>
      <c r="AK439" s="83">
        <v>2.8</v>
      </c>
      <c r="AL439" s="63" t="s">
        <v>115</v>
      </c>
      <c r="AM439" s="63" t="s">
        <v>148</v>
      </c>
      <c r="AN439"/>
    </row>
    <row r="440" spans="1:40" ht="18" customHeight="1">
      <c r="A440" s="1" t="s">
        <v>1466</v>
      </c>
      <c r="B440" s="1" t="s">
        <v>1467</v>
      </c>
      <c r="C440" s="4">
        <v>46141</v>
      </c>
      <c r="D440" s="4">
        <v>46149</v>
      </c>
      <c r="E440" s="4">
        <v>46154</v>
      </c>
      <c r="F440" s="63" t="s">
        <v>209</v>
      </c>
      <c r="G440" s="63" t="s">
        <v>3845</v>
      </c>
      <c r="H440" s="63" t="s">
        <v>316</v>
      </c>
      <c r="I440" s="63" t="s">
        <v>49</v>
      </c>
      <c r="J440" s="63" t="s">
        <v>153</v>
      </c>
      <c r="K440" s="63" t="s">
        <v>1406</v>
      </c>
      <c r="L440" s="63" t="s">
        <v>318</v>
      </c>
      <c r="M440" s="69">
        <v>799.03</v>
      </c>
      <c r="N440" s="63" t="s">
        <v>86</v>
      </c>
      <c r="O440" s="73">
        <f>_xlfn.XLOOKUP(Supplier_Perf_Table[[#This Row],[Currency]],'Comments 2'!$C$4:$C$16,'Comments 2'!$D$4:$D$16)</f>
        <v>8.8999999999999996E-2</v>
      </c>
      <c r="P440" s="69">
        <f>IFERROR(Supplier_Perf_Table[[#This Row],[Unit_Cost]]*Supplier_Perf_Table[[#This Row],[Dollar Equivalent]],"")</f>
        <v>71.113669999999999</v>
      </c>
      <c r="Q440" s="75">
        <v>1500</v>
      </c>
      <c r="R440" s="1">
        <v>1198545</v>
      </c>
      <c r="S440" s="75">
        <f>Supplier_Perf_Table[[#This Row],[Unit_Cost]]*Supplier_Perf_Table[[#This Row],[Order_Quantity]]</f>
        <v>1198545</v>
      </c>
      <c r="T440" s="75">
        <f>IFERROR(Supplier_Perf_Table[[#This Row],[Dollar Equivalent]]*Supplier_Perf_Table[[#This Row],[Ordered_Value]],"")</f>
        <v>106670.50499999999</v>
      </c>
      <c r="U440" s="75">
        <v>22</v>
      </c>
      <c r="V440" s="7">
        <v>1.47E-2</v>
      </c>
      <c r="W440" s="75">
        <v>13</v>
      </c>
      <c r="X440" s="55">
        <f>IFERROR(Supplier_Perf_Table[[#This Row],[Actual_Delivery_Date]]-Supplier_Perf_Table[[#This Row],[Order Date]],"")</f>
        <v>13</v>
      </c>
      <c r="Y440" s="75">
        <v>8</v>
      </c>
      <c r="Z440" s="56">
        <f>IFERROR(Supplier_Perf_Table[[#This Row],[Expected Delivery_Date]]-Supplier_Perf_Table[[#This Row],[Order Date]],"")</f>
        <v>8</v>
      </c>
      <c r="AA440" s="56">
        <f>Supplier_Perf_Table[[#This Row],[Calculated_Lead_Time2]]-Supplier_Perf_Table[[#This Row],[Calculated_Expected_Lead_Time]]</f>
        <v>5</v>
      </c>
      <c r="AB440" s="75">
        <v>5</v>
      </c>
      <c r="AC440" s="63" t="s">
        <v>39</v>
      </c>
      <c r="AD440" s="63" t="s">
        <v>404</v>
      </c>
      <c r="AE440" s="63" t="s">
        <v>105</v>
      </c>
      <c r="AF440" s="63" t="s">
        <v>42</v>
      </c>
      <c r="AG440" s="63" t="s">
        <v>173</v>
      </c>
      <c r="AH440" s="63" t="s">
        <v>206</v>
      </c>
      <c r="AI440" s="63" t="s">
        <v>95</v>
      </c>
      <c r="AJ440" s="63" t="s">
        <v>138</v>
      </c>
      <c r="AK440" s="83">
        <v>4.0999999999999996</v>
      </c>
      <c r="AL440" s="63" t="s">
        <v>76</v>
      </c>
      <c r="AM440" s="63" t="s">
        <v>46</v>
      </c>
      <c r="AN440"/>
    </row>
    <row r="441" spans="1:40" ht="18" customHeight="1">
      <c r="A441" s="1" t="s">
        <v>1468</v>
      </c>
      <c r="B441" s="1" t="s">
        <v>1469</v>
      </c>
      <c r="C441" s="4">
        <v>46067</v>
      </c>
      <c r="D441" s="4">
        <v>46076</v>
      </c>
      <c r="E441" s="4">
        <v>46074</v>
      </c>
      <c r="F441" s="63" t="s">
        <v>151</v>
      </c>
      <c r="G441" s="63" t="s">
        <v>3844</v>
      </c>
      <c r="H441" s="63" t="s">
        <v>152</v>
      </c>
      <c r="I441" s="63" t="s">
        <v>178</v>
      </c>
      <c r="J441" s="63" t="s">
        <v>112</v>
      </c>
      <c r="K441" s="63" t="s">
        <v>1470</v>
      </c>
      <c r="L441" s="63" t="s">
        <v>218</v>
      </c>
      <c r="M441" s="69" t="s">
        <v>3080</v>
      </c>
      <c r="N441" s="63" t="s">
        <v>38</v>
      </c>
      <c r="O441" s="73">
        <f>_xlfn.XLOOKUP(Supplier_Perf_Table[[#This Row],[Currency]],'Comments 2'!$C$4:$C$16,'Comments 2'!$D$4:$D$16)</f>
        <v>7.7000000000000002E-3</v>
      </c>
      <c r="P441" s="69" t="str">
        <f>IFERROR(Supplier_Perf_Table[[#This Row],[Unit_Cost]]*Supplier_Perf_Table[[#This Row],[Dollar Equivalent]],"")</f>
        <v/>
      </c>
      <c r="Q441" s="75">
        <v>1500</v>
      </c>
      <c r="R441" s="1">
        <v>46560</v>
      </c>
      <c r="S441" s="75" t="e">
        <f>Supplier_Perf_Table[[#This Row],[Unit_Cost]]*Supplier_Perf_Table[[#This Row],[Order_Quantity]]</f>
        <v>#VALUE!</v>
      </c>
      <c r="T441" s="75">
        <f>IFERROR(Supplier_Perf_Table[[#This Row],[Dollar Equivalent]]*Supplier_Perf_Table[[#This Row],[Ordered_Value]],"")</f>
        <v>358.512</v>
      </c>
      <c r="U441" s="75">
        <v>20</v>
      </c>
      <c r="V441" s="7">
        <v>1.3299999999999999E-2</v>
      </c>
      <c r="W441" s="75">
        <v>7</v>
      </c>
      <c r="X441" s="55">
        <f>IFERROR(Supplier_Perf_Table[[#This Row],[Actual_Delivery_Date]]-Supplier_Perf_Table[[#This Row],[Order Date]],"")</f>
        <v>7</v>
      </c>
      <c r="Y441" s="75">
        <v>9</v>
      </c>
      <c r="Z441" s="56">
        <f>IFERROR(Supplier_Perf_Table[[#This Row],[Expected Delivery_Date]]-Supplier_Perf_Table[[#This Row],[Order Date]],"")</f>
        <v>9</v>
      </c>
      <c r="AA441" s="56">
        <f>Supplier_Perf_Table[[#This Row],[Calculated_Lead_Time2]]-Supplier_Perf_Table[[#This Row],[Calculated_Expected_Lead_Time]]</f>
        <v>-2</v>
      </c>
      <c r="AB441" s="75">
        <v>-2</v>
      </c>
      <c r="AC441" s="63" t="s">
        <v>87</v>
      </c>
      <c r="AD441" s="63" t="s">
        <v>40</v>
      </c>
      <c r="AE441" s="63" t="s">
        <v>41</v>
      </c>
      <c r="AF441" s="63" t="s">
        <v>3088</v>
      </c>
      <c r="AG441" s="63" t="s">
        <v>107</v>
      </c>
      <c r="AH441" s="63" t="s">
        <v>174</v>
      </c>
      <c r="AI441" s="63" t="s">
        <v>137</v>
      </c>
      <c r="AJ441" s="63" t="s">
        <v>138</v>
      </c>
      <c r="AK441" s="83">
        <v>5</v>
      </c>
      <c r="AL441" s="63" t="s">
        <v>76</v>
      </c>
      <c r="AM441" s="63" t="s">
        <v>138</v>
      </c>
      <c r="AN441"/>
    </row>
    <row r="442" spans="1:40" ht="18" customHeight="1">
      <c r="A442" s="1" t="s">
        <v>1471</v>
      </c>
      <c r="B442" s="1" t="s">
        <v>1472</v>
      </c>
      <c r="C442" s="4">
        <v>46139</v>
      </c>
      <c r="D442" s="4">
        <v>46153</v>
      </c>
      <c r="E442" s="4">
        <v>46151</v>
      </c>
      <c r="F442" s="63" t="s">
        <v>235</v>
      </c>
      <c r="G442" s="63" t="s">
        <v>3848</v>
      </c>
      <c r="H442" s="63" t="s">
        <v>479</v>
      </c>
      <c r="I442" s="63" t="s">
        <v>61</v>
      </c>
      <c r="J442" s="63" t="s">
        <v>71</v>
      </c>
      <c r="K442" s="63" t="s">
        <v>1473</v>
      </c>
      <c r="L442" s="63" t="s">
        <v>337</v>
      </c>
      <c r="M442" s="69">
        <v>239.23</v>
      </c>
      <c r="N442" s="63" t="s">
        <v>38</v>
      </c>
      <c r="O442" s="73">
        <f>_xlfn.XLOOKUP(Supplier_Perf_Table[[#This Row],[Currency]],'Comments 2'!$C$4:$C$16,'Comments 2'!$D$4:$D$16)</f>
        <v>7.7000000000000002E-3</v>
      </c>
      <c r="P442" s="69">
        <f>IFERROR(Supplier_Perf_Table[[#This Row],[Unit_Cost]]*Supplier_Perf_Table[[#This Row],[Dollar Equivalent]],"")</f>
        <v>1.842071</v>
      </c>
      <c r="Q442" s="75">
        <v>250</v>
      </c>
      <c r="R442" s="1">
        <v>59807.5</v>
      </c>
      <c r="S442" s="75">
        <f>Supplier_Perf_Table[[#This Row],[Unit_Cost]]*Supplier_Perf_Table[[#This Row],[Order_Quantity]]</f>
        <v>59807.5</v>
      </c>
      <c r="T442" s="75">
        <f>IFERROR(Supplier_Perf_Table[[#This Row],[Dollar Equivalent]]*Supplier_Perf_Table[[#This Row],[Ordered_Value]],"")</f>
        <v>460.51775000000004</v>
      </c>
      <c r="U442" s="75">
        <v>8</v>
      </c>
      <c r="V442" s="7">
        <v>3.2000000000000001E-2</v>
      </c>
      <c r="W442" s="75">
        <v>12</v>
      </c>
      <c r="X442" s="55">
        <f>IFERROR(Supplier_Perf_Table[[#This Row],[Actual_Delivery_Date]]-Supplier_Perf_Table[[#This Row],[Order Date]],"")</f>
        <v>12</v>
      </c>
      <c r="Y442" s="75">
        <v>14</v>
      </c>
      <c r="Z442" s="56">
        <f>IFERROR(Supplier_Perf_Table[[#This Row],[Expected Delivery_Date]]-Supplier_Perf_Table[[#This Row],[Order Date]],"")</f>
        <v>14</v>
      </c>
      <c r="AA442" s="56">
        <f>Supplier_Perf_Table[[#This Row],[Calculated_Lead_Time2]]-Supplier_Perf_Table[[#This Row],[Calculated_Expected_Lead_Time]]</f>
        <v>-2</v>
      </c>
      <c r="AB442" s="75">
        <v>-2</v>
      </c>
      <c r="AC442" s="63" t="s">
        <v>87</v>
      </c>
      <c r="AD442" s="63" t="s">
        <v>649</v>
      </c>
      <c r="AE442" s="63" t="s">
        <v>3088</v>
      </c>
      <c r="AF442" s="63" t="s">
        <v>66</v>
      </c>
      <c r="AG442" s="63" t="s">
        <v>54</v>
      </c>
      <c r="AH442" s="63" t="s">
        <v>136</v>
      </c>
      <c r="AI442" s="63" t="s">
        <v>191</v>
      </c>
      <c r="AJ442" s="63" t="s">
        <v>138</v>
      </c>
      <c r="AK442" s="83">
        <v>2.5</v>
      </c>
      <c r="AL442" s="63" t="s">
        <v>108</v>
      </c>
      <c r="AM442" s="63" t="s">
        <v>130</v>
      </c>
      <c r="AN442"/>
    </row>
    <row r="443" spans="1:40" ht="18" customHeight="1">
      <c r="A443" s="1" t="s">
        <v>1474</v>
      </c>
      <c r="B443" s="1" t="s">
        <v>1475</v>
      </c>
      <c r="C443" s="4">
        <v>46160</v>
      </c>
      <c r="D443" s="4">
        <v>46175</v>
      </c>
      <c r="E443" s="4">
        <v>46174</v>
      </c>
      <c r="F443" s="63" t="s">
        <v>100</v>
      </c>
      <c r="G443" s="63" t="s">
        <v>3841</v>
      </c>
      <c r="H443" s="63" t="s">
        <v>102</v>
      </c>
      <c r="I443" s="63" t="s">
        <v>61</v>
      </c>
      <c r="J443" s="63" t="s">
        <v>50</v>
      </c>
      <c r="K443" s="63" t="s">
        <v>1476</v>
      </c>
      <c r="L443" s="63" t="s">
        <v>145</v>
      </c>
      <c r="M443" s="69">
        <v>1775.62</v>
      </c>
      <c r="N443" s="63" t="s">
        <v>86</v>
      </c>
      <c r="O443" s="73">
        <f>_xlfn.XLOOKUP(Supplier_Perf_Table[[#This Row],[Currency]],'Comments 2'!$C$4:$C$16,'Comments 2'!$D$4:$D$16)</f>
        <v>8.8999999999999996E-2</v>
      </c>
      <c r="P443" s="69">
        <f>IFERROR(Supplier_Perf_Table[[#This Row],[Unit_Cost]]*Supplier_Perf_Table[[#This Row],[Dollar Equivalent]],"")</f>
        <v>158.03017999999997</v>
      </c>
      <c r="Q443" s="75">
        <v>150</v>
      </c>
      <c r="R443" s="1">
        <v>266343</v>
      </c>
      <c r="S443" s="75">
        <f>Supplier_Perf_Table[[#This Row],[Unit_Cost]]*Supplier_Perf_Table[[#This Row],[Order_Quantity]]</f>
        <v>266343</v>
      </c>
      <c r="T443" s="75">
        <f>IFERROR(Supplier_Perf_Table[[#This Row],[Dollar Equivalent]]*Supplier_Perf_Table[[#This Row],[Ordered_Value]],"")</f>
        <v>23704.526999999998</v>
      </c>
      <c r="U443" s="75">
        <v>4</v>
      </c>
      <c r="V443" s="7">
        <v>2.6700000000000002E-2</v>
      </c>
      <c r="W443" s="75">
        <v>14</v>
      </c>
      <c r="X443" s="55">
        <f>IFERROR(Supplier_Perf_Table[[#This Row],[Actual_Delivery_Date]]-Supplier_Perf_Table[[#This Row],[Order Date]],"")</f>
        <v>14</v>
      </c>
      <c r="Y443" s="75">
        <v>15</v>
      </c>
      <c r="Z443" s="56">
        <f>IFERROR(Supplier_Perf_Table[[#This Row],[Expected Delivery_Date]]-Supplier_Perf_Table[[#This Row],[Order Date]],"")</f>
        <v>15</v>
      </c>
      <c r="AA443" s="56">
        <f>Supplier_Perf_Table[[#This Row],[Calculated_Lead_Time2]]-Supplier_Perf_Table[[#This Row],[Calculated_Expected_Lead_Time]]</f>
        <v>-1</v>
      </c>
      <c r="AB443" s="75">
        <v>-1</v>
      </c>
      <c r="AC443" s="63" t="s">
        <v>270</v>
      </c>
      <c r="AD443" s="63" t="s">
        <v>40</v>
      </c>
      <c r="AE443" s="63" t="s">
        <v>105</v>
      </c>
      <c r="AF443" s="63" t="s">
        <v>42</v>
      </c>
      <c r="AG443" s="63" t="s">
        <v>173</v>
      </c>
      <c r="AH443" s="63" t="s">
        <v>3112</v>
      </c>
      <c r="AI443" s="63" t="s">
        <v>95</v>
      </c>
      <c r="AJ443" s="63" t="s">
        <v>138</v>
      </c>
      <c r="AK443" s="83">
        <v>2.8</v>
      </c>
      <c r="AL443" s="63" t="s">
        <v>57</v>
      </c>
      <c r="AM443" s="63" t="s">
        <v>138</v>
      </c>
      <c r="AN443"/>
    </row>
    <row r="444" spans="1:40" ht="18" customHeight="1">
      <c r="A444" s="1" t="s">
        <v>1477</v>
      </c>
      <c r="B444" s="1" t="s">
        <v>1478</v>
      </c>
      <c r="C444" s="4">
        <v>46082</v>
      </c>
      <c r="D444" s="4">
        <v>46088</v>
      </c>
      <c r="E444" s="4">
        <v>46110</v>
      </c>
      <c r="F444" s="63" t="s">
        <v>69</v>
      </c>
      <c r="G444" s="63" t="s">
        <v>3838</v>
      </c>
      <c r="H444" s="63" t="s">
        <v>194</v>
      </c>
      <c r="I444" s="63" t="s">
        <v>241</v>
      </c>
      <c r="J444" s="63" t="s">
        <v>112</v>
      </c>
      <c r="K444" s="63" t="s">
        <v>1479</v>
      </c>
      <c r="L444" s="63" t="s">
        <v>218</v>
      </c>
      <c r="M444" s="69">
        <v>131.91</v>
      </c>
      <c r="N444" s="63" t="s">
        <v>159</v>
      </c>
      <c r="O444" s="73">
        <f>_xlfn.XLOOKUP(Supplier_Perf_Table[[#This Row],[Currency]],'Comments 2'!$C$4:$C$16,'Comments 2'!$D$4:$D$16)</f>
        <v>7.2999999999999996E-4</v>
      </c>
      <c r="P444" s="69">
        <f>IFERROR(Supplier_Perf_Table[[#This Row],[Unit_Cost]]*Supplier_Perf_Table[[#This Row],[Dollar Equivalent]],"")</f>
        <v>9.6294299999999999E-2</v>
      </c>
      <c r="Q444" s="75">
        <v>50</v>
      </c>
      <c r="R444" s="1" t="s">
        <v>3080</v>
      </c>
      <c r="S444" s="75">
        <f>Supplier_Perf_Table[[#This Row],[Unit_Cost]]*Supplier_Perf_Table[[#This Row],[Order_Quantity]]</f>
        <v>6595.5</v>
      </c>
      <c r="T444" s="75" t="str">
        <f>IFERROR(Supplier_Perf_Table[[#This Row],[Dollar Equivalent]]*Supplier_Perf_Table[[#This Row],[Ordered_Value]],"")</f>
        <v/>
      </c>
      <c r="U444" s="75">
        <v>0</v>
      </c>
      <c r="V444" s="7">
        <v>0</v>
      </c>
      <c r="W444" s="75">
        <v>28</v>
      </c>
      <c r="X444" s="55">
        <f>IFERROR(Supplier_Perf_Table[[#This Row],[Actual_Delivery_Date]]-Supplier_Perf_Table[[#This Row],[Order Date]],"")</f>
        <v>28</v>
      </c>
      <c r="Y444" s="75">
        <v>6</v>
      </c>
      <c r="Z444" s="56">
        <f>IFERROR(Supplier_Perf_Table[[#This Row],[Expected Delivery_Date]]-Supplier_Perf_Table[[#This Row],[Order Date]],"")</f>
        <v>6</v>
      </c>
      <c r="AA444" s="56">
        <f>Supplier_Perf_Table[[#This Row],[Calculated_Lead_Time2]]-Supplier_Perf_Table[[#This Row],[Calculated_Expected_Lead_Time]]</f>
        <v>22</v>
      </c>
      <c r="AB444" s="75">
        <v>22</v>
      </c>
      <c r="AC444" s="63" t="s">
        <v>135</v>
      </c>
      <c r="AD444" s="63" t="s">
        <v>40</v>
      </c>
      <c r="AE444" s="63" t="s">
        <v>105</v>
      </c>
      <c r="AF444" s="63" t="s">
        <v>106</v>
      </c>
      <c r="AG444" s="63" t="s">
        <v>173</v>
      </c>
      <c r="AH444" s="63" t="s">
        <v>55</v>
      </c>
      <c r="AI444" s="63" t="s">
        <v>147</v>
      </c>
      <c r="AJ444" s="63" t="s">
        <v>138</v>
      </c>
      <c r="AK444" s="83">
        <v>1.7</v>
      </c>
      <c r="AL444" s="63" t="s">
        <v>108</v>
      </c>
      <c r="AM444" s="63" t="s">
        <v>46</v>
      </c>
      <c r="AN444"/>
    </row>
    <row r="445" spans="1:40" ht="18" customHeight="1">
      <c r="A445" s="1" t="s">
        <v>1480</v>
      </c>
      <c r="B445" s="1" t="s">
        <v>1481</v>
      </c>
      <c r="C445" s="4">
        <v>46151</v>
      </c>
      <c r="D445" s="4">
        <v>46164</v>
      </c>
      <c r="E445" s="4">
        <v>46174</v>
      </c>
      <c r="F445" s="63" t="s">
        <v>48</v>
      </c>
      <c r="G445" s="63" t="s">
        <v>3836</v>
      </c>
      <c r="H445" s="63" t="s">
        <v>102</v>
      </c>
      <c r="I445" s="63" t="s">
        <v>61</v>
      </c>
      <c r="J445" s="63" t="s">
        <v>50</v>
      </c>
      <c r="K445" s="63" t="s">
        <v>1482</v>
      </c>
      <c r="L445" s="63" t="s">
        <v>52</v>
      </c>
      <c r="M445" s="69">
        <v>2994.48</v>
      </c>
      <c r="N445" s="63" t="s">
        <v>104</v>
      </c>
      <c r="O445" s="73">
        <f>_xlfn.XLOOKUP(Supplier_Perf_Table[[#This Row],[Currency]],'Comments 2'!$C$4:$C$16,'Comments 2'!$D$4:$D$16)</f>
        <v>1.9E-2</v>
      </c>
      <c r="P445" s="69">
        <f>IFERROR(Supplier_Perf_Table[[#This Row],[Unit_Cost]]*Supplier_Perf_Table[[#This Row],[Dollar Equivalent]],"")</f>
        <v>56.895119999999999</v>
      </c>
      <c r="Q445" s="75">
        <v>2000</v>
      </c>
      <c r="R445" s="1">
        <v>5988960</v>
      </c>
      <c r="S445" s="75">
        <f>Supplier_Perf_Table[[#This Row],[Unit_Cost]]*Supplier_Perf_Table[[#This Row],[Order_Quantity]]</f>
        <v>5988960</v>
      </c>
      <c r="T445" s="75">
        <f>IFERROR(Supplier_Perf_Table[[#This Row],[Dollar Equivalent]]*Supplier_Perf_Table[[#This Row],[Ordered_Value]],"")</f>
        <v>113790.23999999999</v>
      </c>
      <c r="U445" s="75">
        <v>0</v>
      </c>
      <c r="V445" s="7">
        <v>0</v>
      </c>
      <c r="W445" s="75">
        <v>23</v>
      </c>
      <c r="X445" s="55">
        <f>IFERROR(Supplier_Perf_Table[[#This Row],[Actual_Delivery_Date]]-Supplier_Perf_Table[[#This Row],[Order Date]],"")</f>
        <v>23</v>
      </c>
      <c r="Y445" s="75">
        <v>13</v>
      </c>
      <c r="Z445" s="56">
        <f>IFERROR(Supplier_Perf_Table[[#This Row],[Expected Delivery_Date]]-Supplier_Perf_Table[[#This Row],[Order Date]],"")</f>
        <v>13</v>
      </c>
      <c r="AA445" s="56">
        <f>Supplier_Perf_Table[[#This Row],[Calculated_Lead_Time2]]-Supplier_Perf_Table[[#This Row],[Calculated_Expected_Lead_Time]]</f>
        <v>10</v>
      </c>
      <c r="AB445" s="75">
        <v>10</v>
      </c>
      <c r="AC445" s="63" t="s">
        <v>205</v>
      </c>
      <c r="AD445" s="63" t="s">
        <v>40</v>
      </c>
      <c r="AE445" s="63" t="s">
        <v>105</v>
      </c>
      <c r="AF445" s="63" t="s">
        <v>106</v>
      </c>
      <c r="AG445" s="63" t="s">
        <v>3088</v>
      </c>
      <c r="AH445" s="63" t="s">
        <v>88</v>
      </c>
      <c r="AI445" s="63" t="s">
        <v>44</v>
      </c>
      <c r="AJ445" s="63" t="s">
        <v>138</v>
      </c>
      <c r="AK445" s="83">
        <v>1.3</v>
      </c>
      <c r="AL445" s="63" t="s">
        <v>76</v>
      </c>
      <c r="AM445" s="63" t="s">
        <v>46</v>
      </c>
      <c r="AN445"/>
    </row>
    <row r="446" spans="1:40" ht="18" customHeight="1">
      <c r="A446" s="1" t="s">
        <v>1483</v>
      </c>
      <c r="B446" s="1" t="s">
        <v>1484</v>
      </c>
      <c r="C446" s="4">
        <v>46185</v>
      </c>
      <c r="D446" s="4">
        <v>46197</v>
      </c>
      <c r="E446" s="4">
        <v>46192</v>
      </c>
      <c r="F446" s="63" t="s">
        <v>69</v>
      </c>
      <c r="G446" s="63" t="s">
        <v>3838</v>
      </c>
      <c r="H446" s="63" t="s">
        <v>194</v>
      </c>
      <c r="I446" s="63" t="s">
        <v>61</v>
      </c>
      <c r="J446" s="63" t="s">
        <v>71</v>
      </c>
      <c r="K446" s="63" t="s">
        <v>1025</v>
      </c>
      <c r="L446" s="63" t="s">
        <v>553</v>
      </c>
      <c r="M446" s="69">
        <v>427.9</v>
      </c>
      <c r="N446" s="63" t="s">
        <v>86</v>
      </c>
      <c r="O446" s="73">
        <f>_xlfn.XLOOKUP(Supplier_Perf_Table[[#This Row],[Currency]],'Comments 2'!$C$4:$C$16,'Comments 2'!$D$4:$D$16)</f>
        <v>8.8999999999999996E-2</v>
      </c>
      <c r="P446" s="69">
        <f>IFERROR(Supplier_Perf_Table[[#This Row],[Unit_Cost]]*Supplier_Perf_Table[[#This Row],[Dollar Equivalent]],"")</f>
        <v>38.083099999999995</v>
      </c>
      <c r="Q446" s="75">
        <v>2000</v>
      </c>
      <c r="R446" s="1">
        <v>855800</v>
      </c>
      <c r="S446" s="75">
        <f>Supplier_Perf_Table[[#This Row],[Unit_Cost]]*Supplier_Perf_Table[[#This Row],[Order_Quantity]]</f>
        <v>855800</v>
      </c>
      <c r="T446" s="75">
        <f>IFERROR(Supplier_Perf_Table[[#This Row],[Dollar Equivalent]]*Supplier_Perf_Table[[#This Row],[Ordered_Value]],"")</f>
        <v>76166.2</v>
      </c>
      <c r="U446" s="75">
        <v>66</v>
      </c>
      <c r="V446" s="7">
        <v>3.3000000000000002E-2</v>
      </c>
      <c r="W446" s="75">
        <v>7</v>
      </c>
      <c r="X446" s="55">
        <f>IFERROR(Supplier_Perf_Table[[#This Row],[Actual_Delivery_Date]]-Supplier_Perf_Table[[#This Row],[Order Date]],"")</f>
        <v>7</v>
      </c>
      <c r="Y446" s="75">
        <v>12</v>
      </c>
      <c r="Z446" s="56">
        <f>IFERROR(Supplier_Perf_Table[[#This Row],[Expected Delivery_Date]]-Supplier_Perf_Table[[#This Row],[Order Date]],"")</f>
        <v>12</v>
      </c>
      <c r="AA446" s="56">
        <f>Supplier_Perf_Table[[#This Row],[Calculated_Lead_Time2]]-Supplier_Perf_Table[[#This Row],[Calculated_Expected_Lead_Time]]</f>
        <v>-5</v>
      </c>
      <c r="AB446" s="75">
        <v>-5</v>
      </c>
      <c r="AC446" s="63" t="s">
        <v>270</v>
      </c>
      <c r="AD446" s="63" t="s">
        <v>40</v>
      </c>
      <c r="AE446" s="63" t="s">
        <v>105</v>
      </c>
      <c r="AF446" s="63" t="s">
        <v>42</v>
      </c>
      <c r="AG446" s="63" t="s">
        <v>3088</v>
      </c>
      <c r="AH446" s="63" t="s">
        <v>174</v>
      </c>
      <c r="AI446" s="63" t="s">
        <v>44</v>
      </c>
      <c r="AJ446" s="63" t="s">
        <v>138</v>
      </c>
      <c r="AK446" s="83">
        <v>3</v>
      </c>
      <c r="AL446" s="63" t="s">
        <v>108</v>
      </c>
      <c r="AM446" s="63" t="s">
        <v>138</v>
      </c>
      <c r="AN446"/>
    </row>
    <row r="447" spans="1:40" ht="18" customHeight="1">
      <c r="A447" s="1" t="s">
        <v>1485</v>
      </c>
      <c r="B447" s="1" t="s">
        <v>1486</v>
      </c>
      <c r="C447" s="4">
        <v>46057</v>
      </c>
      <c r="D447" s="4">
        <v>46068</v>
      </c>
      <c r="E447" s="4">
        <v>46070</v>
      </c>
      <c r="F447" s="63" t="s">
        <v>60</v>
      </c>
      <c r="G447" s="63" t="s">
        <v>3837</v>
      </c>
      <c r="H447" s="63" t="s">
        <v>152</v>
      </c>
      <c r="I447" s="63" t="s">
        <v>49</v>
      </c>
      <c r="J447" s="63" t="s">
        <v>62</v>
      </c>
      <c r="K447" s="63" t="s">
        <v>1487</v>
      </c>
      <c r="L447" s="63" t="s">
        <v>122</v>
      </c>
      <c r="M447" s="69">
        <v>346.77</v>
      </c>
      <c r="N447" s="63" t="s">
        <v>159</v>
      </c>
      <c r="O447" s="73">
        <f>_xlfn.XLOOKUP(Supplier_Perf_Table[[#This Row],[Currency]],'Comments 2'!$C$4:$C$16,'Comments 2'!$D$4:$D$16)</f>
        <v>7.2999999999999996E-4</v>
      </c>
      <c r="P447" s="69">
        <f>IFERROR(Supplier_Perf_Table[[#This Row],[Unit_Cost]]*Supplier_Perf_Table[[#This Row],[Dollar Equivalent]],"")</f>
        <v>0.25314209999999998</v>
      </c>
      <c r="Q447" s="75">
        <v>1500</v>
      </c>
      <c r="R447" s="1">
        <v>520155</v>
      </c>
      <c r="S447" s="75">
        <f>Supplier_Perf_Table[[#This Row],[Unit_Cost]]*Supplier_Perf_Table[[#This Row],[Order_Quantity]]</f>
        <v>520155</v>
      </c>
      <c r="T447" s="75">
        <f>IFERROR(Supplier_Perf_Table[[#This Row],[Dollar Equivalent]]*Supplier_Perf_Table[[#This Row],[Ordered_Value]],"")</f>
        <v>379.71314999999998</v>
      </c>
      <c r="U447" s="75">
        <v>0</v>
      </c>
      <c r="V447" s="7">
        <v>0</v>
      </c>
      <c r="W447" s="75" t="s">
        <v>3080</v>
      </c>
      <c r="X447" s="55">
        <f>IFERROR(Supplier_Perf_Table[[#This Row],[Actual_Delivery_Date]]-Supplier_Perf_Table[[#This Row],[Order Date]],"")</f>
        <v>13</v>
      </c>
      <c r="Y447" s="75">
        <v>11</v>
      </c>
      <c r="Z447" s="56">
        <f>IFERROR(Supplier_Perf_Table[[#This Row],[Expected Delivery_Date]]-Supplier_Perf_Table[[#This Row],[Order Date]],"")</f>
        <v>11</v>
      </c>
      <c r="AA447" s="56">
        <f>Supplier_Perf_Table[[#This Row],[Calculated_Lead_Time2]]-Supplier_Perf_Table[[#This Row],[Calculated_Expected_Lead_Time]]</f>
        <v>2</v>
      </c>
      <c r="AB447" s="75">
        <v>2</v>
      </c>
      <c r="AC447" s="63" t="s">
        <v>166</v>
      </c>
      <c r="AD447" s="63" t="s">
        <v>40</v>
      </c>
      <c r="AE447" s="63" t="s">
        <v>105</v>
      </c>
      <c r="AF447" s="63" t="s">
        <v>190</v>
      </c>
      <c r="AG447" s="63" t="s">
        <v>128</v>
      </c>
      <c r="AH447" s="63" t="s">
        <v>3112</v>
      </c>
      <c r="AI447" s="63" t="s">
        <v>138</v>
      </c>
      <c r="AJ447" s="63" t="s">
        <v>138</v>
      </c>
      <c r="AK447" s="83">
        <v>2.6</v>
      </c>
      <c r="AL447" s="63" t="s">
        <v>108</v>
      </c>
      <c r="AM447" s="63" t="s">
        <v>46</v>
      </c>
      <c r="AN447"/>
    </row>
    <row r="448" spans="1:40" ht="18" customHeight="1">
      <c r="A448" s="1" t="s">
        <v>1488</v>
      </c>
      <c r="B448" s="1" t="s">
        <v>1489</v>
      </c>
      <c r="C448" s="4">
        <v>46196</v>
      </c>
      <c r="D448" s="4">
        <v>46199</v>
      </c>
      <c r="E448" s="4">
        <v>46207</v>
      </c>
      <c r="F448" s="63" t="s">
        <v>151</v>
      </c>
      <c r="G448" s="63" t="s">
        <v>3844</v>
      </c>
      <c r="H448" s="63" t="s">
        <v>152</v>
      </c>
      <c r="I448" s="63" t="s">
        <v>49</v>
      </c>
      <c r="J448" s="63" t="s">
        <v>112</v>
      </c>
      <c r="K448" s="63" t="s">
        <v>1490</v>
      </c>
      <c r="L448" s="63" t="s">
        <v>218</v>
      </c>
      <c r="M448" s="69">
        <v>494.34</v>
      </c>
      <c r="N448" s="63" t="s">
        <v>38</v>
      </c>
      <c r="O448" s="73">
        <f>_xlfn.XLOOKUP(Supplier_Perf_Table[[#This Row],[Currency]],'Comments 2'!$C$4:$C$16,'Comments 2'!$D$4:$D$16)</f>
        <v>7.7000000000000002E-3</v>
      </c>
      <c r="P448" s="69">
        <f>IFERROR(Supplier_Perf_Table[[#This Row],[Unit_Cost]]*Supplier_Perf_Table[[#This Row],[Dollar Equivalent]],"")</f>
        <v>3.8064179999999999</v>
      </c>
      <c r="Q448" s="75">
        <v>1500</v>
      </c>
      <c r="R448" s="1">
        <v>741510</v>
      </c>
      <c r="S448" s="75">
        <f>Supplier_Perf_Table[[#This Row],[Unit_Cost]]*Supplier_Perf_Table[[#This Row],[Order_Quantity]]</f>
        <v>741510</v>
      </c>
      <c r="T448" s="75">
        <f>IFERROR(Supplier_Perf_Table[[#This Row],[Dollar Equivalent]]*Supplier_Perf_Table[[#This Row],[Ordered_Value]],"")</f>
        <v>5709.6270000000004</v>
      </c>
      <c r="U448" s="75">
        <v>-1</v>
      </c>
      <c r="V448" s="7">
        <v>2.5999999999999999E-2</v>
      </c>
      <c r="W448" s="75">
        <v>11</v>
      </c>
      <c r="X448" s="55">
        <f>IFERROR(Supplier_Perf_Table[[#This Row],[Actual_Delivery_Date]]-Supplier_Perf_Table[[#This Row],[Order Date]],"")</f>
        <v>11</v>
      </c>
      <c r="Y448" s="75">
        <v>3</v>
      </c>
      <c r="Z448" s="56">
        <f>IFERROR(Supplier_Perf_Table[[#This Row],[Expected Delivery_Date]]-Supplier_Perf_Table[[#This Row],[Order Date]],"")</f>
        <v>3</v>
      </c>
      <c r="AA448" s="56">
        <f>Supplier_Perf_Table[[#This Row],[Calculated_Lead_Time2]]-Supplier_Perf_Table[[#This Row],[Calculated_Expected_Lead_Time]]</f>
        <v>8</v>
      </c>
      <c r="AB448" s="75">
        <v>8</v>
      </c>
      <c r="AC448" s="63" t="s">
        <v>135</v>
      </c>
      <c r="AD448" s="63" t="s">
        <v>40</v>
      </c>
      <c r="AE448" s="63" t="s">
        <v>146</v>
      </c>
      <c r="AF448" s="63" t="s">
        <v>42</v>
      </c>
      <c r="AG448" s="63" t="s">
        <v>54</v>
      </c>
      <c r="AH448" s="63" t="s">
        <v>88</v>
      </c>
      <c r="AI448" s="63" t="s">
        <v>138</v>
      </c>
      <c r="AJ448" s="63" t="s">
        <v>138</v>
      </c>
      <c r="AK448" s="83">
        <v>2.2999999999999998</v>
      </c>
      <c r="AL448" s="63" t="s">
        <v>115</v>
      </c>
      <c r="AM448" s="63" t="s">
        <v>148</v>
      </c>
      <c r="AN448"/>
    </row>
    <row r="449" spans="1:40" ht="18" customHeight="1">
      <c r="A449" s="1" t="s">
        <v>1491</v>
      </c>
      <c r="B449" s="1" t="s">
        <v>1492</v>
      </c>
      <c r="C449" s="4">
        <v>46107</v>
      </c>
      <c r="D449" s="4">
        <v>46117</v>
      </c>
      <c r="E449" s="4">
        <v>46112</v>
      </c>
      <c r="F449" s="63" t="s">
        <v>60</v>
      </c>
      <c r="G449" s="63" t="s">
        <v>3837</v>
      </c>
      <c r="H449" s="63" t="s">
        <v>152</v>
      </c>
      <c r="I449" s="63" t="s">
        <v>70</v>
      </c>
      <c r="J449" s="63" t="s">
        <v>62</v>
      </c>
      <c r="K449" s="63" t="s">
        <v>1493</v>
      </c>
      <c r="L449" s="63" t="s">
        <v>64</v>
      </c>
      <c r="M449" s="69">
        <v>499.4</v>
      </c>
      <c r="N449" s="63" t="s">
        <v>65</v>
      </c>
      <c r="O449" s="73">
        <f>_xlfn.XLOOKUP(Supplier_Perf_Table[[#This Row],[Currency]],'Comments 2'!$C$4:$C$16,'Comments 2'!$D$4:$D$16)</f>
        <v>1</v>
      </c>
      <c r="P449" s="69">
        <f>IFERROR(Supplier_Perf_Table[[#This Row],[Unit_Cost]]*Supplier_Perf_Table[[#This Row],[Dollar Equivalent]],"")</f>
        <v>499.4</v>
      </c>
      <c r="Q449" s="75">
        <v>100</v>
      </c>
      <c r="R449" s="1">
        <v>49940</v>
      </c>
      <c r="S449" s="75">
        <f>Supplier_Perf_Table[[#This Row],[Unit_Cost]]*Supplier_Perf_Table[[#This Row],[Order_Quantity]]</f>
        <v>49940</v>
      </c>
      <c r="T449" s="75">
        <f>IFERROR(Supplier_Perf_Table[[#This Row],[Dollar Equivalent]]*Supplier_Perf_Table[[#This Row],[Ordered_Value]],"")</f>
        <v>49940</v>
      </c>
      <c r="U449" s="75">
        <v>7</v>
      </c>
      <c r="V449" s="7">
        <v>7.0000000000000007E-2</v>
      </c>
      <c r="W449" s="75">
        <v>5</v>
      </c>
      <c r="X449" s="55">
        <f>IFERROR(Supplier_Perf_Table[[#This Row],[Actual_Delivery_Date]]-Supplier_Perf_Table[[#This Row],[Order Date]],"")</f>
        <v>5</v>
      </c>
      <c r="Y449" s="75">
        <v>10</v>
      </c>
      <c r="Z449" s="56">
        <f>IFERROR(Supplier_Perf_Table[[#This Row],[Expected Delivery_Date]]-Supplier_Perf_Table[[#This Row],[Order Date]],"")</f>
        <v>10</v>
      </c>
      <c r="AA449" s="56">
        <f>Supplier_Perf_Table[[#This Row],[Calculated_Lead_Time2]]-Supplier_Perf_Table[[#This Row],[Calculated_Expected_Lead_Time]]</f>
        <v>-5</v>
      </c>
      <c r="AB449" s="75">
        <v>-5</v>
      </c>
      <c r="AC449" s="63" t="s">
        <v>87</v>
      </c>
      <c r="AD449" s="63" t="s">
        <v>366</v>
      </c>
      <c r="AE449" s="63" t="s">
        <v>127</v>
      </c>
      <c r="AF449" s="63" t="s">
        <v>190</v>
      </c>
      <c r="AG449" s="63" t="s">
        <v>3088</v>
      </c>
      <c r="AH449" s="63" t="s">
        <v>3112</v>
      </c>
      <c r="AI449" s="63" t="s">
        <v>191</v>
      </c>
      <c r="AJ449" s="63" t="s">
        <v>373</v>
      </c>
      <c r="AK449" s="83">
        <v>2.2999999999999998</v>
      </c>
      <c r="AL449" s="63" t="s">
        <v>184</v>
      </c>
      <c r="AM449" s="63" t="s">
        <v>284</v>
      </c>
      <c r="AN449"/>
    </row>
    <row r="450" spans="1:40" ht="18" customHeight="1">
      <c r="A450" s="1" t="s">
        <v>1494</v>
      </c>
      <c r="B450" s="1" t="s">
        <v>1495</v>
      </c>
      <c r="C450" s="4">
        <v>46083</v>
      </c>
      <c r="D450" s="4">
        <v>46097</v>
      </c>
      <c r="E450" s="4">
        <v>46109</v>
      </c>
      <c r="F450" s="63" t="s">
        <v>90</v>
      </c>
      <c r="G450" s="63" t="s">
        <v>3840</v>
      </c>
      <c r="H450" s="63" t="s">
        <v>133</v>
      </c>
      <c r="I450" s="63" t="s">
        <v>49</v>
      </c>
      <c r="J450" s="63" t="s">
        <v>71</v>
      </c>
      <c r="K450" s="63" t="s">
        <v>1496</v>
      </c>
      <c r="L450" s="63" t="s">
        <v>337</v>
      </c>
      <c r="M450" s="69">
        <v>291.64999999999998</v>
      </c>
      <c r="N450" s="63" t="s">
        <v>38</v>
      </c>
      <c r="O450" s="73">
        <f>_xlfn.XLOOKUP(Supplier_Perf_Table[[#This Row],[Currency]],'Comments 2'!$C$4:$C$16,'Comments 2'!$D$4:$D$16)</f>
        <v>7.7000000000000002E-3</v>
      </c>
      <c r="P450" s="69">
        <f>IFERROR(Supplier_Perf_Table[[#This Row],[Unit_Cost]]*Supplier_Perf_Table[[#This Row],[Dollar Equivalent]],"")</f>
        <v>2.2457050000000001</v>
      </c>
      <c r="Q450" s="75">
        <v>100</v>
      </c>
      <c r="R450" s="1">
        <v>29165</v>
      </c>
      <c r="S450" s="75">
        <f>Supplier_Perf_Table[[#This Row],[Unit_Cost]]*Supplier_Perf_Table[[#This Row],[Order_Quantity]]</f>
        <v>29164.999999999996</v>
      </c>
      <c r="T450" s="75">
        <f>IFERROR(Supplier_Perf_Table[[#This Row],[Dollar Equivalent]]*Supplier_Perf_Table[[#This Row],[Ordered_Value]],"")</f>
        <v>224.57050000000001</v>
      </c>
      <c r="U450" s="75">
        <v>6</v>
      </c>
      <c r="V450" s="7">
        <v>0.06</v>
      </c>
      <c r="W450" s="75">
        <v>26</v>
      </c>
      <c r="X450" s="55">
        <f>IFERROR(Supplier_Perf_Table[[#This Row],[Actual_Delivery_Date]]-Supplier_Perf_Table[[#This Row],[Order Date]],"")</f>
        <v>26</v>
      </c>
      <c r="Y450" s="75">
        <v>14</v>
      </c>
      <c r="Z450" s="56">
        <f>IFERROR(Supplier_Perf_Table[[#This Row],[Expected Delivery_Date]]-Supplier_Perf_Table[[#This Row],[Order Date]],"")</f>
        <v>14</v>
      </c>
      <c r="AA450" s="56">
        <f>Supplier_Perf_Table[[#This Row],[Calculated_Lead_Time2]]-Supplier_Perf_Table[[#This Row],[Calculated_Expected_Lead_Time]]</f>
        <v>12</v>
      </c>
      <c r="AB450" s="75">
        <v>12</v>
      </c>
      <c r="AC450" s="63" t="s">
        <v>39</v>
      </c>
      <c r="AD450" s="63" t="s">
        <v>366</v>
      </c>
      <c r="AE450" s="63" t="s">
        <v>105</v>
      </c>
      <c r="AF450" s="63" t="s">
        <v>106</v>
      </c>
      <c r="AG450" s="63" t="s">
        <v>54</v>
      </c>
      <c r="AH450" s="63" t="s">
        <v>55</v>
      </c>
      <c r="AI450" s="63" t="s">
        <v>56</v>
      </c>
      <c r="AJ450" s="63" t="s">
        <v>183</v>
      </c>
      <c r="AK450" s="83">
        <v>1.9</v>
      </c>
      <c r="AL450" s="63" t="s">
        <v>45</v>
      </c>
      <c r="AM450" s="63" t="s">
        <v>77</v>
      </c>
      <c r="AN450"/>
    </row>
    <row r="451" spans="1:40" ht="18" customHeight="1">
      <c r="A451" s="1" t="s">
        <v>1497</v>
      </c>
      <c r="B451" s="1" t="s">
        <v>1498</v>
      </c>
      <c r="C451" s="4">
        <v>46045</v>
      </c>
      <c r="D451" s="4">
        <v>46048</v>
      </c>
      <c r="E451" s="4">
        <v>46047</v>
      </c>
      <c r="F451" s="63" t="s">
        <v>151</v>
      </c>
      <c r="G451" s="63" t="s">
        <v>3844</v>
      </c>
      <c r="H451" s="63" t="s">
        <v>152</v>
      </c>
      <c r="I451" s="63" t="s">
        <v>178</v>
      </c>
      <c r="J451" s="63" t="s">
        <v>153</v>
      </c>
      <c r="K451" s="63" t="s">
        <v>1499</v>
      </c>
      <c r="L451" s="63" t="s">
        <v>155</v>
      </c>
      <c r="M451" s="69">
        <v>3.67</v>
      </c>
      <c r="N451" s="63" t="s">
        <v>86</v>
      </c>
      <c r="O451" s="73">
        <f>_xlfn.XLOOKUP(Supplier_Perf_Table[[#This Row],[Currency]],'Comments 2'!$C$4:$C$16,'Comments 2'!$D$4:$D$16)</f>
        <v>8.8999999999999996E-2</v>
      </c>
      <c r="P451" s="69">
        <f>IFERROR(Supplier_Perf_Table[[#This Row],[Unit_Cost]]*Supplier_Perf_Table[[#This Row],[Dollar Equivalent]],"")</f>
        <v>0.32662999999999998</v>
      </c>
      <c r="Q451" s="75">
        <v>1500</v>
      </c>
      <c r="R451" s="1">
        <v>5505</v>
      </c>
      <c r="S451" s="75">
        <f>Supplier_Perf_Table[[#This Row],[Unit_Cost]]*Supplier_Perf_Table[[#This Row],[Order_Quantity]]</f>
        <v>5505</v>
      </c>
      <c r="T451" s="75">
        <f>IFERROR(Supplier_Perf_Table[[#This Row],[Dollar Equivalent]]*Supplier_Perf_Table[[#This Row],[Ordered_Value]],"")</f>
        <v>489.94499999999999</v>
      </c>
      <c r="U451" s="75">
        <v>0</v>
      </c>
      <c r="V451" s="7">
        <v>0</v>
      </c>
      <c r="W451" s="75">
        <v>2</v>
      </c>
      <c r="X451" s="55">
        <f>IFERROR(Supplier_Perf_Table[[#This Row],[Actual_Delivery_Date]]-Supplier_Perf_Table[[#This Row],[Order Date]],"")</f>
        <v>2</v>
      </c>
      <c r="Y451" s="75">
        <v>3</v>
      </c>
      <c r="Z451" s="56">
        <f>IFERROR(Supplier_Perf_Table[[#This Row],[Expected Delivery_Date]]-Supplier_Perf_Table[[#This Row],[Order Date]],"")</f>
        <v>3</v>
      </c>
      <c r="AA451" s="56">
        <f>Supplier_Perf_Table[[#This Row],[Calculated_Lead_Time2]]-Supplier_Perf_Table[[#This Row],[Calculated_Expected_Lead_Time]]</f>
        <v>-1</v>
      </c>
      <c r="AB451" s="75">
        <v>-1</v>
      </c>
      <c r="AC451" s="63" t="s">
        <v>270</v>
      </c>
      <c r="AD451" s="63" t="s">
        <v>40</v>
      </c>
      <c r="AE451" s="63" t="s">
        <v>105</v>
      </c>
      <c r="AF451" s="63" t="s">
        <v>66</v>
      </c>
      <c r="AG451" s="63" t="s">
        <v>43</v>
      </c>
      <c r="AH451" s="63" t="s">
        <v>88</v>
      </c>
      <c r="AI451" s="63" t="s">
        <v>138</v>
      </c>
      <c r="AJ451" s="63" t="s">
        <v>138</v>
      </c>
      <c r="AK451" s="83">
        <v>3.6</v>
      </c>
      <c r="AL451" s="63" t="s">
        <v>115</v>
      </c>
      <c r="AM451" s="63" t="s">
        <v>138</v>
      </c>
      <c r="AN451"/>
    </row>
    <row r="452" spans="1:40" ht="18" customHeight="1">
      <c r="A452" s="1" t="s">
        <v>1500</v>
      </c>
      <c r="B452" s="1" t="s">
        <v>1501</v>
      </c>
      <c r="C452" s="4">
        <v>46097</v>
      </c>
      <c r="D452" s="4">
        <v>46109</v>
      </c>
      <c r="E452" s="4">
        <v>46104</v>
      </c>
      <c r="F452" s="63" t="s">
        <v>235</v>
      </c>
      <c r="G452" s="63" t="s">
        <v>3848</v>
      </c>
      <c r="H452" s="63" t="s">
        <v>479</v>
      </c>
      <c r="I452" s="63" t="s">
        <v>70</v>
      </c>
      <c r="J452" s="63" t="s">
        <v>71</v>
      </c>
      <c r="K452" s="63" t="s">
        <v>1502</v>
      </c>
      <c r="L452" s="63" t="s">
        <v>337</v>
      </c>
      <c r="M452" s="69">
        <v>282.47000000000003</v>
      </c>
      <c r="N452" s="63" t="s">
        <v>159</v>
      </c>
      <c r="O452" s="73">
        <f>_xlfn.XLOOKUP(Supplier_Perf_Table[[#This Row],[Currency]],'Comments 2'!$C$4:$C$16,'Comments 2'!$D$4:$D$16)</f>
        <v>7.2999999999999996E-4</v>
      </c>
      <c r="P452" s="69">
        <f>IFERROR(Supplier_Perf_Table[[#This Row],[Unit_Cost]]*Supplier_Perf_Table[[#This Row],[Dollar Equivalent]],"")</f>
        <v>0.2062031</v>
      </c>
      <c r="Q452" s="75">
        <v>500</v>
      </c>
      <c r="R452" s="1">
        <v>141235</v>
      </c>
      <c r="S452" s="75">
        <f>Supplier_Perf_Table[[#This Row],[Unit_Cost]]*Supplier_Perf_Table[[#This Row],[Order_Quantity]]</f>
        <v>141235</v>
      </c>
      <c r="T452" s="75">
        <f>IFERROR(Supplier_Perf_Table[[#This Row],[Dollar Equivalent]]*Supplier_Perf_Table[[#This Row],[Ordered_Value]],"")</f>
        <v>103.10154999999999</v>
      </c>
      <c r="U452" s="75">
        <v>3</v>
      </c>
      <c r="V452" s="7">
        <v>6.0000000000000001E-3</v>
      </c>
      <c r="W452" s="75">
        <v>7</v>
      </c>
      <c r="X452" s="55">
        <f>IFERROR(Supplier_Perf_Table[[#This Row],[Actual_Delivery_Date]]-Supplier_Perf_Table[[#This Row],[Order Date]],"")</f>
        <v>7</v>
      </c>
      <c r="Y452" s="75">
        <v>12</v>
      </c>
      <c r="Z452" s="56">
        <f>IFERROR(Supplier_Perf_Table[[#This Row],[Expected Delivery_Date]]-Supplier_Perf_Table[[#This Row],[Order Date]],"")</f>
        <v>12</v>
      </c>
      <c r="AA452" s="56">
        <f>Supplier_Perf_Table[[#This Row],[Calculated_Lead_Time2]]-Supplier_Perf_Table[[#This Row],[Calculated_Expected_Lead_Time]]</f>
        <v>-5</v>
      </c>
      <c r="AB452" s="75">
        <v>-5</v>
      </c>
      <c r="AC452" s="63" t="s">
        <v>270</v>
      </c>
      <c r="AD452" s="63" t="s">
        <v>40</v>
      </c>
      <c r="AE452" s="63" t="s">
        <v>41</v>
      </c>
      <c r="AF452" s="63" t="s">
        <v>66</v>
      </c>
      <c r="AG452" s="63" t="s">
        <v>43</v>
      </c>
      <c r="AH452" s="63" t="s">
        <v>88</v>
      </c>
      <c r="AI452" s="63" t="s">
        <v>95</v>
      </c>
      <c r="AJ452" s="63" t="s">
        <v>138</v>
      </c>
      <c r="AK452" s="83">
        <v>3.3</v>
      </c>
      <c r="AL452" s="63" t="s">
        <v>108</v>
      </c>
      <c r="AM452" s="63" t="s">
        <v>138</v>
      </c>
      <c r="AN452"/>
    </row>
    <row r="453" spans="1:40" ht="18" customHeight="1">
      <c r="A453" s="1" t="s">
        <v>1503</v>
      </c>
      <c r="B453" s="1" t="s">
        <v>1504</v>
      </c>
      <c r="C453" s="4">
        <v>46144</v>
      </c>
      <c r="D453" s="4">
        <v>46154</v>
      </c>
      <c r="E453" s="4">
        <v>46147</v>
      </c>
      <c r="F453" s="63" t="s">
        <v>215</v>
      </c>
      <c r="G453" s="63" t="s">
        <v>3846</v>
      </c>
      <c r="H453" s="63" t="s">
        <v>152</v>
      </c>
      <c r="I453" s="63" t="s">
        <v>241</v>
      </c>
      <c r="J453" s="63" t="s">
        <v>112</v>
      </c>
      <c r="K453" s="63" t="s">
        <v>1505</v>
      </c>
      <c r="L453" s="63" t="s">
        <v>114</v>
      </c>
      <c r="M453" s="69">
        <v>573.37</v>
      </c>
      <c r="N453" s="63" t="s">
        <v>159</v>
      </c>
      <c r="O453" s="73">
        <f>_xlfn.XLOOKUP(Supplier_Perf_Table[[#This Row],[Currency]],'Comments 2'!$C$4:$C$16,'Comments 2'!$D$4:$D$16)</f>
        <v>7.2999999999999996E-4</v>
      </c>
      <c r="P453" s="69">
        <f>IFERROR(Supplier_Perf_Table[[#This Row],[Unit_Cost]]*Supplier_Perf_Table[[#This Row],[Dollar Equivalent]],"")</f>
        <v>0.41856009999999999</v>
      </c>
      <c r="Q453" s="75">
        <v>150</v>
      </c>
      <c r="R453" s="1">
        <v>86005.5</v>
      </c>
      <c r="S453" s="75">
        <f>Supplier_Perf_Table[[#This Row],[Unit_Cost]]*Supplier_Perf_Table[[#This Row],[Order_Quantity]]</f>
        <v>86005.5</v>
      </c>
      <c r="T453" s="75">
        <f>IFERROR(Supplier_Perf_Table[[#This Row],[Dollar Equivalent]]*Supplier_Perf_Table[[#This Row],[Ordered_Value]],"")</f>
        <v>62.784014999999997</v>
      </c>
      <c r="U453" s="75">
        <v>2</v>
      </c>
      <c r="V453" s="7">
        <v>1.3299999999999999E-2</v>
      </c>
      <c r="W453" s="75">
        <v>3</v>
      </c>
      <c r="X453" s="55">
        <f>IFERROR(Supplier_Perf_Table[[#This Row],[Actual_Delivery_Date]]-Supplier_Perf_Table[[#This Row],[Order Date]],"")</f>
        <v>3</v>
      </c>
      <c r="Y453" s="75">
        <v>10</v>
      </c>
      <c r="Z453" s="56">
        <f>IFERROR(Supplier_Perf_Table[[#This Row],[Expected Delivery_Date]]-Supplier_Perf_Table[[#This Row],[Order Date]],"")</f>
        <v>10</v>
      </c>
      <c r="AA453" s="56">
        <f>Supplier_Perf_Table[[#This Row],[Calculated_Lead_Time2]]-Supplier_Perf_Table[[#This Row],[Calculated_Expected_Lead_Time]]</f>
        <v>-7</v>
      </c>
      <c r="AB453" s="75">
        <v>-7</v>
      </c>
      <c r="AC453" s="63" t="s">
        <v>87</v>
      </c>
      <c r="AD453" s="63" t="s">
        <v>40</v>
      </c>
      <c r="AE453" s="63" t="s">
        <v>146</v>
      </c>
      <c r="AF453" s="63" t="s">
        <v>106</v>
      </c>
      <c r="AG453" s="63" t="s">
        <v>128</v>
      </c>
      <c r="AH453" s="63" t="s">
        <v>3112</v>
      </c>
      <c r="AI453" s="63" t="s">
        <v>191</v>
      </c>
      <c r="AJ453" s="63" t="s">
        <v>138</v>
      </c>
      <c r="AK453" s="83">
        <v>4.4000000000000004</v>
      </c>
      <c r="AL453" s="63" t="s">
        <v>57</v>
      </c>
      <c r="AM453" s="63" t="s">
        <v>130</v>
      </c>
      <c r="AN453"/>
    </row>
    <row r="454" spans="1:40" ht="18" customHeight="1">
      <c r="A454" s="1" t="s">
        <v>1506</v>
      </c>
      <c r="B454" s="1" t="s">
        <v>1507</v>
      </c>
      <c r="C454" s="4">
        <v>46178</v>
      </c>
      <c r="D454" s="4">
        <v>46191</v>
      </c>
      <c r="E454" s="4">
        <v>46191</v>
      </c>
      <c r="F454" s="63" t="s">
        <v>60</v>
      </c>
      <c r="G454" s="63" t="s">
        <v>3837</v>
      </c>
      <c r="H454" s="63" t="s">
        <v>152</v>
      </c>
      <c r="I454" s="63" t="s">
        <v>70</v>
      </c>
      <c r="J454" s="63" t="s">
        <v>62</v>
      </c>
      <c r="K454" s="63" t="s">
        <v>1508</v>
      </c>
      <c r="L454" s="63" t="s">
        <v>225</v>
      </c>
      <c r="M454" s="69">
        <v>769.74</v>
      </c>
      <c r="N454" s="63" t="s">
        <v>65</v>
      </c>
      <c r="O454" s="73">
        <f>_xlfn.XLOOKUP(Supplier_Perf_Table[[#This Row],[Currency]],'Comments 2'!$C$4:$C$16,'Comments 2'!$D$4:$D$16)</f>
        <v>1</v>
      </c>
      <c r="P454" s="69">
        <f>IFERROR(Supplier_Perf_Table[[#This Row],[Unit_Cost]]*Supplier_Perf_Table[[#This Row],[Dollar Equivalent]],"")</f>
        <v>769.74</v>
      </c>
      <c r="Q454" s="75">
        <v>150</v>
      </c>
      <c r="R454" s="1">
        <v>115461</v>
      </c>
      <c r="S454" s="75">
        <f>Supplier_Perf_Table[[#This Row],[Unit_Cost]]*Supplier_Perf_Table[[#This Row],[Order_Quantity]]</f>
        <v>115461</v>
      </c>
      <c r="T454" s="75">
        <f>IFERROR(Supplier_Perf_Table[[#This Row],[Dollar Equivalent]]*Supplier_Perf_Table[[#This Row],[Ordered_Value]],"")</f>
        <v>115461</v>
      </c>
      <c r="U454" s="75">
        <v>0</v>
      </c>
      <c r="V454" s="7">
        <v>0</v>
      </c>
      <c r="W454" s="75">
        <v>13</v>
      </c>
      <c r="X454" s="55">
        <f>IFERROR(Supplier_Perf_Table[[#This Row],[Actual_Delivery_Date]]-Supplier_Perf_Table[[#This Row],[Order Date]],"")</f>
        <v>13</v>
      </c>
      <c r="Y454" s="75">
        <v>13</v>
      </c>
      <c r="Z454" s="56">
        <f>IFERROR(Supplier_Perf_Table[[#This Row],[Expected Delivery_Date]]-Supplier_Perf_Table[[#This Row],[Order Date]],"")</f>
        <v>13</v>
      </c>
      <c r="AA454" s="56">
        <f>Supplier_Perf_Table[[#This Row],[Calculated_Lead_Time2]]-Supplier_Perf_Table[[#This Row],[Calculated_Expected_Lead_Time]]</f>
        <v>0</v>
      </c>
      <c r="AB454" s="75">
        <v>0</v>
      </c>
      <c r="AC454" s="63" t="s">
        <v>87</v>
      </c>
      <c r="AD454" s="63" t="s">
        <v>40</v>
      </c>
      <c r="AE454" s="63" t="s">
        <v>146</v>
      </c>
      <c r="AF454" s="63" t="s">
        <v>3088</v>
      </c>
      <c r="AG454" s="63" t="s">
        <v>43</v>
      </c>
      <c r="AH454" s="63" t="s">
        <v>88</v>
      </c>
      <c r="AI454" s="63" t="s">
        <v>95</v>
      </c>
      <c r="AJ454" s="63" t="s">
        <v>138</v>
      </c>
      <c r="AK454" s="83">
        <v>4.7</v>
      </c>
      <c r="AL454" s="63" t="s">
        <v>76</v>
      </c>
      <c r="AM454" s="63" t="s">
        <v>130</v>
      </c>
      <c r="AN454"/>
    </row>
    <row r="455" spans="1:40" ht="18" customHeight="1">
      <c r="A455" s="1" t="s">
        <v>1509</v>
      </c>
      <c r="B455" s="1" t="s">
        <v>1510</v>
      </c>
      <c r="C455" s="4">
        <v>46031</v>
      </c>
      <c r="D455" s="4">
        <v>46032</v>
      </c>
      <c r="E455" s="4">
        <v>46037</v>
      </c>
      <c r="F455" s="63" t="s">
        <v>151</v>
      </c>
      <c r="G455" s="63" t="s">
        <v>3844</v>
      </c>
      <c r="H455" s="63" t="s">
        <v>152</v>
      </c>
      <c r="I455" s="63" t="s">
        <v>61</v>
      </c>
      <c r="J455" s="63" t="s">
        <v>112</v>
      </c>
      <c r="K455" s="63" t="s">
        <v>1511</v>
      </c>
      <c r="L455" s="63" t="s">
        <v>229</v>
      </c>
      <c r="M455" s="69">
        <v>370.76</v>
      </c>
      <c r="N455" s="63" t="s">
        <v>65</v>
      </c>
      <c r="O455" s="73">
        <f>_xlfn.XLOOKUP(Supplier_Perf_Table[[#This Row],[Currency]],'Comments 2'!$C$4:$C$16,'Comments 2'!$D$4:$D$16)</f>
        <v>1</v>
      </c>
      <c r="P455" s="69">
        <f>IFERROR(Supplier_Perf_Table[[#This Row],[Unit_Cost]]*Supplier_Perf_Table[[#This Row],[Dollar Equivalent]],"")</f>
        <v>370.76</v>
      </c>
      <c r="Q455" s="75">
        <v>750</v>
      </c>
      <c r="R455" s="1">
        <v>278070</v>
      </c>
      <c r="S455" s="75">
        <f>Supplier_Perf_Table[[#This Row],[Unit_Cost]]*Supplier_Perf_Table[[#This Row],[Order_Quantity]]</f>
        <v>278070</v>
      </c>
      <c r="T455" s="75">
        <f>IFERROR(Supplier_Perf_Table[[#This Row],[Dollar Equivalent]]*Supplier_Perf_Table[[#This Row],[Ordered_Value]],"")</f>
        <v>278070</v>
      </c>
      <c r="U455" s="75">
        <v>15</v>
      </c>
      <c r="V455" s="7">
        <v>0.02</v>
      </c>
      <c r="W455" s="75">
        <v>6</v>
      </c>
      <c r="X455" s="55">
        <f>IFERROR(Supplier_Perf_Table[[#This Row],[Actual_Delivery_Date]]-Supplier_Perf_Table[[#This Row],[Order Date]],"")</f>
        <v>6</v>
      </c>
      <c r="Y455" s="75">
        <v>1</v>
      </c>
      <c r="Z455" s="56">
        <f>IFERROR(Supplier_Perf_Table[[#This Row],[Expected Delivery_Date]]-Supplier_Perf_Table[[#This Row],[Order Date]],"")</f>
        <v>1</v>
      </c>
      <c r="AA455" s="56">
        <f>Supplier_Perf_Table[[#This Row],[Calculated_Lead_Time2]]-Supplier_Perf_Table[[#This Row],[Calculated_Expected_Lead_Time]]</f>
        <v>5</v>
      </c>
      <c r="AB455" s="75">
        <v>5</v>
      </c>
      <c r="AC455" s="63" t="s">
        <v>135</v>
      </c>
      <c r="AD455" s="63" t="s">
        <v>40</v>
      </c>
      <c r="AE455" s="63" t="s">
        <v>41</v>
      </c>
      <c r="AF455" s="63" t="s">
        <v>66</v>
      </c>
      <c r="AG455" s="63" t="s">
        <v>3088</v>
      </c>
      <c r="AH455" s="63" t="s">
        <v>3112</v>
      </c>
      <c r="AI455" s="63" t="s">
        <v>95</v>
      </c>
      <c r="AJ455" s="63" t="s">
        <v>138</v>
      </c>
      <c r="AK455" s="83">
        <v>4.8</v>
      </c>
      <c r="AL455" s="63" t="s">
        <v>115</v>
      </c>
      <c r="AM455" s="63" t="s">
        <v>46</v>
      </c>
      <c r="AN455"/>
    </row>
    <row r="456" spans="1:40" ht="18" customHeight="1">
      <c r="A456" s="1" t="s">
        <v>1512</v>
      </c>
      <c r="B456" s="1" t="s">
        <v>1513</v>
      </c>
      <c r="C456" s="4">
        <v>46083</v>
      </c>
      <c r="D456" s="4">
        <v>46090</v>
      </c>
      <c r="E456" s="4">
        <v>46091</v>
      </c>
      <c r="F456" s="63" t="s">
        <v>151</v>
      </c>
      <c r="G456" s="63" t="s">
        <v>3844</v>
      </c>
      <c r="H456" s="63" t="s">
        <v>152</v>
      </c>
      <c r="I456" s="63" t="s">
        <v>70</v>
      </c>
      <c r="J456" s="63" t="s">
        <v>50</v>
      </c>
      <c r="K456" s="63" t="s">
        <v>1514</v>
      </c>
      <c r="L456" s="63" t="s">
        <v>145</v>
      </c>
      <c r="M456" s="69">
        <v>2018.95</v>
      </c>
      <c r="N456" s="63" t="s">
        <v>291</v>
      </c>
      <c r="O456" s="73">
        <f>_xlfn.XLOOKUP(Supplier_Perf_Table[[#This Row],[Currency]],'Comments 2'!$C$4:$C$16,'Comments 2'!$D$4:$D$16)</f>
        <v>7.2999999999999996E-4</v>
      </c>
      <c r="P456" s="69">
        <f>IFERROR(Supplier_Perf_Table[[#This Row],[Unit_Cost]]*Supplier_Perf_Table[[#This Row],[Dollar Equivalent]],"")</f>
        <v>1.4738335</v>
      </c>
      <c r="Q456" s="75">
        <v>200</v>
      </c>
      <c r="R456" s="1">
        <v>403790</v>
      </c>
      <c r="S456" s="75">
        <f>Supplier_Perf_Table[[#This Row],[Unit_Cost]]*Supplier_Perf_Table[[#This Row],[Order_Quantity]]</f>
        <v>403790</v>
      </c>
      <c r="T456" s="75">
        <f>IFERROR(Supplier_Perf_Table[[#This Row],[Dollar Equivalent]]*Supplier_Perf_Table[[#This Row],[Ordered_Value]],"")</f>
        <v>294.76669999999996</v>
      </c>
      <c r="U456" s="75">
        <v>3</v>
      </c>
      <c r="V456" s="7">
        <v>1.4999999999999999E-2</v>
      </c>
      <c r="W456" s="75">
        <v>8</v>
      </c>
      <c r="X456" s="55">
        <f>IFERROR(Supplier_Perf_Table[[#This Row],[Actual_Delivery_Date]]-Supplier_Perf_Table[[#This Row],[Order Date]],"")</f>
        <v>8</v>
      </c>
      <c r="Y456" s="75">
        <v>7</v>
      </c>
      <c r="Z456" s="56">
        <f>IFERROR(Supplier_Perf_Table[[#This Row],[Expected Delivery_Date]]-Supplier_Perf_Table[[#This Row],[Order Date]],"")</f>
        <v>7</v>
      </c>
      <c r="AA456" s="56">
        <f>Supplier_Perf_Table[[#This Row],[Calculated_Lead_Time2]]-Supplier_Perf_Table[[#This Row],[Calculated_Expected_Lead_Time]]</f>
        <v>1</v>
      </c>
      <c r="AB456" s="75">
        <v>1</v>
      </c>
      <c r="AC456" s="63" t="s">
        <v>135</v>
      </c>
      <c r="AD456" s="63" t="s">
        <v>40</v>
      </c>
      <c r="AE456" s="63" t="s">
        <v>146</v>
      </c>
      <c r="AF456" s="63" t="s">
        <v>106</v>
      </c>
      <c r="AG456" s="63" t="s">
        <v>43</v>
      </c>
      <c r="AH456" s="63" t="s">
        <v>129</v>
      </c>
      <c r="AI456" s="63" t="s">
        <v>95</v>
      </c>
      <c r="AJ456" s="63" t="s">
        <v>138</v>
      </c>
      <c r="AK456" s="83">
        <v>4.9000000000000004</v>
      </c>
      <c r="AL456" s="63" t="s">
        <v>108</v>
      </c>
      <c r="AM456" s="63" t="s">
        <v>148</v>
      </c>
      <c r="AN456"/>
    </row>
    <row r="457" spans="1:40" ht="18" customHeight="1">
      <c r="A457" s="1" t="s">
        <v>1515</v>
      </c>
      <c r="B457" s="1" t="s">
        <v>1516</v>
      </c>
      <c r="C457" s="4">
        <v>46035</v>
      </c>
      <c r="D457" s="4">
        <v>46052</v>
      </c>
      <c r="E457" s="4">
        <v>46051</v>
      </c>
      <c r="F457" s="63" t="s">
        <v>142</v>
      </c>
      <c r="G457" s="63" t="s">
        <v>3843</v>
      </c>
      <c r="H457" s="63" t="s">
        <v>169</v>
      </c>
      <c r="I457" s="63" t="s">
        <v>83</v>
      </c>
      <c r="J457" s="63" t="s">
        <v>50</v>
      </c>
      <c r="K457" s="63" t="s">
        <v>1517</v>
      </c>
      <c r="L457" s="63" t="s">
        <v>189</v>
      </c>
      <c r="M457" s="69">
        <v>1256.52</v>
      </c>
      <c r="N457" s="63" t="s">
        <v>159</v>
      </c>
      <c r="O457" s="73">
        <f>_xlfn.XLOOKUP(Supplier_Perf_Table[[#This Row],[Currency]],'Comments 2'!$C$4:$C$16,'Comments 2'!$D$4:$D$16)</f>
        <v>7.2999999999999996E-4</v>
      </c>
      <c r="P457" s="69">
        <f>IFERROR(Supplier_Perf_Table[[#This Row],[Unit_Cost]]*Supplier_Perf_Table[[#This Row],[Dollar Equivalent]],"")</f>
        <v>0.91725959999999995</v>
      </c>
      <c r="Q457" s="75">
        <v>250</v>
      </c>
      <c r="R457" s="1">
        <v>314130</v>
      </c>
      <c r="S457" s="75">
        <f>Supplier_Perf_Table[[#This Row],[Unit_Cost]]*Supplier_Perf_Table[[#This Row],[Order_Quantity]]</f>
        <v>314130</v>
      </c>
      <c r="T457" s="75">
        <f>IFERROR(Supplier_Perf_Table[[#This Row],[Dollar Equivalent]]*Supplier_Perf_Table[[#This Row],[Ordered_Value]],"")</f>
        <v>229.31489999999999</v>
      </c>
      <c r="U457" s="75">
        <v>6</v>
      </c>
      <c r="V457" s="7">
        <v>2.4E-2</v>
      </c>
      <c r="W457" s="75">
        <v>16</v>
      </c>
      <c r="X457" s="55">
        <f>IFERROR(Supplier_Perf_Table[[#This Row],[Actual_Delivery_Date]]-Supplier_Perf_Table[[#This Row],[Order Date]],"")</f>
        <v>16</v>
      </c>
      <c r="Y457" s="75">
        <v>17</v>
      </c>
      <c r="Z457" s="56">
        <f>IFERROR(Supplier_Perf_Table[[#This Row],[Expected Delivery_Date]]-Supplier_Perf_Table[[#This Row],[Order Date]],"")</f>
        <v>17</v>
      </c>
      <c r="AA457" s="56">
        <f>Supplier_Perf_Table[[#This Row],[Calculated_Lead_Time2]]-Supplier_Perf_Table[[#This Row],[Calculated_Expected_Lead_Time]]</f>
        <v>-1</v>
      </c>
      <c r="AB457" s="75">
        <v>-1</v>
      </c>
      <c r="AC457" s="63" t="s">
        <v>87</v>
      </c>
      <c r="AD457" s="63" t="s">
        <v>40</v>
      </c>
      <c r="AE457" s="63" t="s">
        <v>105</v>
      </c>
      <c r="AF457" s="63" t="s">
        <v>106</v>
      </c>
      <c r="AG457" s="63" t="s">
        <v>3088</v>
      </c>
      <c r="AH457" s="63" t="s">
        <v>136</v>
      </c>
      <c r="AI457" s="63" t="s">
        <v>137</v>
      </c>
      <c r="AJ457" s="63" t="s">
        <v>138</v>
      </c>
      <c r="AK457" s="83">
        <v>3.6</v>
      </c>
      <c r="AL457" s="63" t="s">
        <v>139</v>
      </c>
      <c r="AM457" s="63" t="s">
        <v>138</v>
      </c>
      <c r="AN457"/>
    </row>
    <row r="458" spans="1:40" ht="18" customHeight="1">
      <c r="A458" s="1" t="s">
        <v>1518</v>
      </c>
      <c r="B458" s="1" t="s">
        <v>1519</v>
      </c>
      <c r="C458" s="4">
        <v>46131</v>
      </c>
      <c r="D458" s="4">
        <v>46139</v>
      </c>
      <c r="E458" s="4">
        <v>46143</v>
      </c>
      <c r="F458" s="63" t="s">
        <v>151</v>
      </c>
      <c r="G458" s="63" t="s">
        <v>3844</v>
      </c>
      <c r="H458" s="63" t="s">
        <v>152</v>
      </c>
      <c r="I458" s="63" t="s">
        <v>61</v>
      </c>
      <c r="J458" s="63" t="s">
        <v>153</v>
      </c>
      <c r="K458" s="63" t="s">
        <v>1520</v>
      </c>
      <c r="L458" s="63" t="s">
        <v>295</v>
      </c>
      <c r="M458" s="69">
        <v>230.5</v>
      </c>
      <c r="N458" s="63" t="s">
        <v>86</v>
      </c>
      <c r="O458" s="73">
        <f>_xlfn.XLOOKUP(Supplier_Perf_Table[[#This Row],[Currency]],'Comments 2'!$C$4:$C$16,'Comments 2'!$D$4:$D$16)</f>
        <v>8.8999999999999996E-2</v>
      </c>
      <c r="P458" s="69">
        <f>IFERROR(Supplier_Perf_Table[[#This Row],[Unit_Cost]]*Supplier_Perf_Table[[#This Row],[Dollar Equivalent]],"")</f>
        <v>20.514499999999998</v>
      </c>
      <c r="Q458" s="75">
        <v>500</v>
      </c>
      <c r="R458" s="1">
        <v>115250</v>
      </c>
      <c r="S458" s="75">
        <f>Supplier_Perf_Table[[#This Row],[Unit_Cost]]*Supplier_Perf_Table[[#This Row],[Order_Quantity]]</f>
        <v>115250</v>
      </c>
      <c r="T458" s="75">
        <f>IFERROR(Supplier_Perf_Table[[#This Row],[Dollar Equivalent]]*Supplier_Perf_Table[[#This Row],[Ordered_Value]],"")</f>
        <v>10257.25</v>
      </c>
      <c r="U458" s="75">
        <v>5</v>
      </c>
      <c r="V458" s="7">
        <v>0.01</v>
      </c>
      <c r="W458" s="75">
        <v>12</v>
      </c>
      <c r="X458" s="55">
        <f>IFERROR(Supplier_Perf_Table[[#This Row],[Actual_Delivery_Date]]-Supplier_Perf_Table[[#This Row],[Order Date]],"")</f>
        <v>12</v>
      </c>
      <c r="Y458" s="75">
        <v>8</v>
      </c>
      <c r="Z458" s="56">
        <f>IFERROR(Supplier_Perf_Table[[#This Row],[Expected Delivery_Date]]-Supplier_Perf_Table[[#This Row],[Order Date]],"")</f>
        <v>8</v>
      </c>
      <c r="AA458" s="56">
        <f>Supplier_Perf_Table[[#This Row],[Calculated_Lead_Time2]]-Supplier_Perf_Table[[#This Row],[Calculated_Expected_Lead_Time]]</f>
        <v>4</v>
      </c>
      <c r="AB458" s="75">
        <v>4</v>
      </c>
      <c r="AC458" s="63" t="s">
        <v>39</v>
      </c>
      <c r="AD458" s="63" t="s">
        <v>40</v>
      </c>
      <c r="AE458" s="63" t="s">
        <v>105</v>
      </c>
      <c r="AF458" s="63" t="s">
        <v>212</v>
      </c>
      <c r="AG458" s="63" t="s">
        <v>128</v>
      </c>
      <c r="AH458" s="63" t="s">
        <v>3112</v>
      </c>
      <c r="AI458" s="63" t="s">
        <v>191</v>
      </c>
      <c r="AJ458" s="63" t="s">
        <v>138</v>
      </c>
      <c r="AK458" s="83">
        <v>3.6</v>
      </c>
      <c r="AL458" s="63" t="s">
        <v>139</v>
      </c>
      <c r="AM458" s="63" t="s">
        <v>46</v>
      </c>
      <c r="AN458"/>
    </row>
    <row r="459" spans="1:40" ht="18" customHeight="1">
      <c r="A459" s="1" t="s">
        <v>1521</v>
      </c>
      <c r="B459" s="1" t="s">
        <v>1522</v>
      </c>
      <c r="C459" s="4">
        <v>46069</v>
      </c>
      <c r="D459" s="4">
        <v>46081</v>
      </c>
      <c r="E459" s="4">
        <v>46080</v>
      </c>
      <c r="F459" s="63" t="s">
        <v>100</v>
      </c>
      <c r="G459" s="63" t="s">
        <v>3841</v>
      </c>
      <c r="H459" s="63" t="s">
        <v>102</v>
      </c>
      <c r="I459" s="63" t="s">
        <v>241</v>
      </c>
      <c r="J459" s="63" t="s">
        <v>50</v>
      </c>
      <c r="K459" s="63" t="s">
        <v>1523</v>
      </c>
      <c r="L459" s="63" t="s">
        <v>52</v>
      </c>
      <c r="M459" s="69">
        <v>519.58000000000004</v>
      </c>
      <c r="N459" s="63" t="s">
        <v>159</v>
      </c>
      <c r="O459" s="73">
        <f>_xlfn.XLOOKUP(Supplier_Perf_Table[[#This Row],[Currency]],'Comments 2'!$C$4:$C$16,'Comments 2'!$D$4:$D$16)</f>
        <v>7.2999999999999996E-4</v>
      </c>
      <c r="P459" s="69">
        <f>IFERROR(Supplier_Perf_Table[[#This Row],[Unit_Cost]]*Supplier_Perf_Table[[#This Row],[Dollar Equivalent]],"")</f>
        <v>0.3792934</v>
      </c>
      <c r="Q459" s="75">
        <v>300</v>
      </c>
      <c r="R459" s="1">
        <v>155874</v>
      </c>
      <c r="S459" s="75">
        <f>Supplier_Perf_Table[[#This Row],[Unit_Cost]]*Supplier_Perf_Table[[#This Row],[Order_Quantity]]</f>
        <v>155874</v>
      </c>
      <c r="T459" s="75">
        <f>IFERROR(Supplier_Perf_Table[[#This Row],[Dollar Equivalent]]*Supplier_Perf_Table[[#This Row],[Ordered_Value]],"")</f>
        <v>113.78801999999999</v>
      </c>
      <c r="U459" s="75">
        <v>11</v>
      </c>
      <c r="V459" s="7">
        <v>3.6700000000000003E-2</v>
      </c>
      <c r="W459" s="75">
        <v>11</v>
      </c>
      <c r="X459" s="55">
        <f>IFERROR(Supplier_Perf_Table[[#This Row],[Actual_Delivery_Date]]-Supplier_Perf_Table[[#This Row],[Order Date]],"")</f>
        <v>11</v>
      </c>
      <c r="Y459" s="75">
        <v>12</v>
      </c>
      <c r="Z459" s="56">
        <f>IFERROR(Supplier_Perf_Table[[#This Row],[Expected Delivery_Date]]-Supplier_Perf_Table[[#This Row],[Order Date]],"")</f>
        <v>12</v>
      </c>
      <c r="AA459" s="56">
        <f>Supplier_Perf_Table[[#This Row],[Calculated_Lead_Time2]]-Supplier_Perf_Table[[#This Row],[Calculated_Expected_Lead_Time]]</f>
        <v>-1</v>
      </c>
      <c r="AB459" s="75">
        <v>-1</v>
      </c>
      <c r="AC459" s="63" t="s">
        <v>87</v>
      </c>
      <c r="AD459" s="63" t="s">
        <v>40</v>
      </c>
      <c r="AE459" s="63" t="s">
        <v>41</v>
      </c>
      <c r="AF459" s="63" t="s">
        <v>190</v>
      </c>
      <c r="AG459" s="63" t="s">
        <v>43</v>
      </c>
      <c r="AH459" s="63" t="s">
        <v>136</v>
      </c>
      <c r="AI459" s="63" t="s">
        <v>138</v>
      </c>
      <c r="AJ459" s="63" t="s">
        <v>138</v>
      </c>
      <c r="AK459" s="83">
        <v>4</v>
      </c>
      <c r="AL459" s="63" t="s">
        <v>139</v>
      </c>
      <c r="AM459" s="63" t="s">
        <v>138</v>
      </c>
      <c r="AN459"/>
    </row>
    <row r="460" spans="1:40" ht="18" customHeight="1">
      <c r="A460" s="1" t="s">
        <v>1524</v>
      </c>
      <c r="B460" s="1" t="s">
        <v>1525</v>
      </c>
      <c r="C460" s="4">
        <v>46146</v>
      </c>
      <c r="D460" s="4">
        <v>46154</v>
      </c>
      <c r="E460" s="4">
        <v>46152</v>
      </c>
      <c r="F460" s="63" t="s">
        <v>162</v>
      </c>
      <c r="G460" s="63" t="s">
        <v>3847</v>
      </c>
      <c r="H460" s="63" t="s">
        <v>152</v>
      </c>
      <c r="I460" s="63" t="s">
        <v>70</v>
      </c>
      <c r="J460" s="63" t="s">
        <v>163</v>
      </c>
      <c r="K460" s="63" t="s">
        <v>1526</v>
      </c>
      <c r="L460" s="63" t="s">
        <v>165</v>
      </c>
      <c r="M460" s="69">
        <v>1761.18</v>
      </c>
      <c r="N460" s="63" t="s">
        <v>38</v>
      </c>
      <c r="O460" s="73">
        <f>_xlfn.XLOOKUP(Supplier_Perf_Table[[#This Row],[Currency]],'Comments 2'!$C$4:$C$16,'Comments 2'!$D$4:$D$16)</f>
        <v>7.7000000000000002E-3</v>
      </c>
      <c r="P460" s="69">
        <f>IFERROR(Supplier_Perf_Table[[#This Row],[Unit_Cost]]*Supplier_Perf_Table[[#This Row],[Dollar Equivalent]],"")</f>
        <v>13.561086000000001</v>
      </c>
      <c r="Q460" s="75">
        <v>1000</v>
      </c>
      <c r="R460" s="1">
        <v>1761180</v>
      </c>
      <c r="S460" s="75">
        <f>Supplier_Perf_Table[[#This Row],[Unit_Cost]]*Supplier_Perf_Table[[#This Row],[Order_Quantity]]</f>
        <v>1761180</v>
      </c>
      <c r="T460" s="75">
        <f>IFERROR(Supplier_Perf_Table[[#This Row],[Dollar Equivalent]]*Supplier_Perf_Table[[#This Row],[Ordered_Value]],"")</f>
        <v>13561.086000000001</v>
      </c>
      <c r="U460" s="75">
        <v>22</v>
      </c>
      <c r="V460" s="7">
        <v>2.1999999999999999E-2</v>
      </c>
      <c r="W460" s="75">
        <v>6</v>
      </c>
      <c r="X460" s="55">
        <f>IFERROR(Supplier_Perf_Table[[#This Row],[Actual_Delivery_Date]]-Supplier_Perf_Table[[#This Row],[Order Date]],"")</f>
        <v>6</v>
      </c>
      <c r="Y460" s="75">
        <v>8</v>
      </c>
      <c r="Z460" s="56">
        <f>IFERROR(Supplier_Perf_Table[[#This Row],[Expected Delivery_Date]]-Supplier_Perf_Table[[#This Row],[Order Date]],"")</f>
        <v>8</v>
      </c>
      <c r="AA460" s="56">
        <f>Supplier_Perf_Table[[#This Row],[Calculated_Lead_Time2]]-Supplier_Perf_Table[[#This Row],[Calculated_Expected_Lead_Time]]</f>
        <v>-2</v>
      </c>
      <c r="AB460" s="75">
        <v>-2</v>
      </c>
      <c r="AC460" s="63" t="s">
        <v>87</v>
      </c>
      <c r="AD460" s="63" t="s">
        <v>40</v>
      </c>
      <c r="AE460" s="63" t="s">
        <v>146</v>
      </c>
      <c r="AF460" s="63" t="s">
        <v>42</v>
      </c>
      <c r="AG460" s="63" t="s">
        <v>128</v>
      </c>
      <c r="AH460" s="63" t="s">
        <v>3112</v>
      </c>
      <c r="AI460" s="63" t="s">
        <v>56</v>
      </c>
      <c r="AJ460" s="63" t="s">
        <v>138</v>
      </c>
      <c r="AK460" s="83">
        <v>3.2</v>
      </c>
      <c r="AL460" s="63" t="s">
        <v>76</v>
      </c>
      <c r="AM460" s="63" t="s">
        <v>130</v>
      </c>
      <c r="AN460"/>
    </row>
    <row r="461" spans="1:40" ht="18" customHeight="1">
      <c r="A461" s="1" t="s">
        <v>1527</v>
      </c>
      <c r="B461" s="1" t="s">
        <v>1528</v>
      </c>
      <c r="C461" s="4">
        <v>46133</v>
      </c>
      <c r="D461" s="4">
        <v>46147</v>
      </c>
      <c r="E461" s="4">
        <v>46149</v>
      </c>
      <c r="F461" s="63" t="s">
        <v>100</v>
      </c>
      <c r="G461" s="63" t="s">
        <v>3841</v>
      </c>
      <c r="H461" s="63" t="s">
        <v>102</v>
      </c>
      <c r="I461" s="63" t="s">
        <v>83</v>
      </c>
      <c r="J461" s="63" t="s">
        <v>50</v>
      </c>
      <c r="K461" s="63" t="s">
        <v>1529</v>
      </c>
      <c r="L461" s="63" t="s">
        <v>126</v>
      </c>
      <c r="M461" s="69">
        <v>1401.47</v>
      </c>
      <c r="N461" s="63" t="s">
        <v>65</v>
      </c>
      <c r="O461" s="73">
        <f>_xlfn.XLOOKUP(Supplier_Perf_Table[[#This Row],[Currency]],'Comments 2'!$C$4:$C$16,'Comments 2'!$D$4:$D$16)</f>
        <v>1</v>
      </c>
      <c r="P461" s="69">
        <f>IFERROR(Supplier_Perf_Table[[#This Row],[Unit_Cost]]*Supplier_Perf_Table[[#This Row],[Dollar Equivalent]],"")</f>
        <v>1401.47</v>
      </c>
      <c r="Q461" s="75">
        <v>150</v>
      </c>
      <c r="R461" s="1">
        <v>210220.5</v>
      </c>
      <c r="S461" s="75">
        <f>Supplier_Perf_Table[[#This Row],[Unit_Cost]]*Supplier_Perf_Table[[#This Row],[Order_Quantity]]</f>
        <v>210220.5</v>
      </c>
      <c r="T461" s="75">
        <f>IFERROR(Supplier_Perf_Table[[#This Row],[Dollar Equivalent]]*Supplier_Perf_Table[[#This Row],[Ordered_Value]],"")</f>
        <v>210220.5</v>
      </c>
      <c r="U461" s="75">
        <v>-1</v>
      </c>
      <c r="V461" s="7">
        <v>0.04</v>
      </c>
      <c r="W461" s="75">
        <v>16</v>
      </c>
      <c r="X461" s="55">
        <f>IFERROR(Supplier_Perf_Table[[#This Row],[Actual_Delivery_Date]]-Supplier_Perf_Table[[#This Row],[Order Date]],"")</f>
        <v>16</v>
      </c>
      <c r="Y461" s="75">
        <v>14</v>
      </c>
      <c r="Z461" s="56">
        <f>IFERROR(Supplier_Perf_Table[[#This Row],[Expected Delivery_Date]]-Supplier_Perf_Table[[#This Row],[Order Date]],"")</f>
        <v>14</v>
      </c>
      <c r="AA461" s="56">
        <f>Supplier_Perf_Table[[#This Row],[Calculated_Lead_Time2]]-Supplier_Perf_Table[[#This Row],[Calculated_Expected_Lead_Time]]</f>
        <v>2</v>
      </c>
      <c r="AB461" s="75">
        <v>2</v>
      </c>
      <c r="AC461" s="63" t="s">
        <v>166</v>
      </c>
      <c r="AD461" s="63" t="s">
        <v>40</v>
      </c>
      <c r="AE461" s="63" t="s">
        <v>105</v>
      </c>
      <c r="AF461" s="63" t="s">
        <v>106</v>
      </c>
      <c r="AG461" s="63" t="s">
        <v>54</v>
      </c>
      <c r="AH461" s="63" t="s">
        <v>136</v>
      </c>
      <c r="AI461" s="63" t="s">
        <v>138</v>
      </c>
      <c r="AJ461" s="63" t="s">
        <v>138</v>
      </c>
      <c r="AK461" s="83">
        <v>2.6</v>
      </c>
      <c r="AL461" s="63" t="s">
        <v>184</v>
      </c>
      <c r="AM461" s="63" t="s">
        <v>46</v>
      </c>
      <c r="AN461"/>
    </row>
    <row r="462" spans="1:40" ht="18" customHeight="1">
      <c r="A462" s="1" t="s">
        <v>1530</v>
      </c>
      <c r="B462" s="1" t="s">
        <v>1531</v>
      </c>
      <c r="C462" s="4">
        <v>46142</v>
      </c>
      <c r="D462" s="4">
        <v>46163</v>
      </c>
      <c r="E462" s="4">
        <v>46157</v>
      </c>
      <c r="F462" s="63" t="s">
        <v>209</v>
      </c>
      <c r="G462" s="63" t="s">
        <v>3845</v>
      </c>
      <c r="H462" s="63" t="s">
        <v>316</v>
      </c>
      <c r="I462" s="63" t="s">
        <v>83</v>
      </c>
      <c r="J462" s="63" t="s">
        <v>62</v>
      </c>
      <c r="K462" s="63" t="s">
        <v>1532</v>
      </c>
      <c r="L462" s="63" t="s">
        <v>122</v>
      </c>
      <c r="M462" s="69">
        <v>517.79999999999995</v>
      </c>
      <c r="N462" s="63" t="s">
        <v>53</v>
      </c>
      <c r="O462" s="73">
        <f>_xlfn.XLOOKUP(Supplier_Perf_Table[[#This Row],[Currency]],'Comments 2'!$C$4:$C$16,'Comments 2'!$D$4:$D$16)</f>
        <v>6.0999999999999999E-2</v>
      </c>
      <c r="P462" s="69">
        <f>IFERROR(Supplier_Perf_Table[[#This Row],[Unit_Cost]]*Supplier_Perf_Table[[#This Row],[Dollar Equivalent]],"")</f>
        <v>31.585799999999995</v>
      </c>
      <c r="Q462" s="75">
        <v>250</v>
      </c>
      <c r="R462" s="1">
        <v>129450</v>
      </c>
      <c r="S462" s="75">
        <f>Supplier_Perf_Table[[#This Row],[Unit_Cost]]*Supplier_Perf_Table[[#This Row],[Order_Quantity]]</f>
        <v>129449.99999999999</v>
      </c>
      <c r="T462" s="75">
        <f>IFERROR(Supplier_Perf_Table[[#This Row],[Dollar Equivalent]]*Supplier_Perf_Table[[#This Row],[Ordered_Value]],"")</f>
        <v>7896.45</v>
      </c>
      <c r="U462" s="75">
        <v>2</v>
      </c>
      <c r="V462" s="7">
        <v>8.0000000000000002E-3</v>
      </c>
      <c r="W462" s="75">
        <v>15</v>
      </c>
      <c r="X462" s="55">
        <f>IFERROR(Supplier_Perf_Table[[#This Row],[Actual_Delivery_Date]]-Supplier_Perf_Table[[#This Row],[Order Date]],"")</f>
        <v>15</v>
      </c>
      <c r="Y462" s="75" t="s">
        <v>3080</v>
      </c>
      <c r="Z462" s="56">
        <f>IFERROR(Supplier_Perf_Table[[#This Row],[Expected Delivery_Date]]-Supplier_Perf_Table[[#This Row],[Order Date]],"")</f>
        <v>21</v>
      </c>
      <c r="AA462" s="56">
        <f>Supplier_Perf_Table[[#This Row],[Calculated_Lead_Time2]]-Supplier_Perf_Table[[#This Row],[Calculated_Expected_Lead_Time]]</f>
        <v>-6</v>
      </c>
      <c r="AB462" s="75">
        <v>-6</v>
      </c>
      <c r="AC462" s="63" t="s">
        <v>87</v>
      </c>
      <c r="AD462" s="63" t="s">
        <v>40</v>
      </c>
      <c r="AE462" s="63" t="s">
        <v>105</v>
      </c>
      <c r="AF462" s="63" t="s">
        <v>106</v>
      </c>
      <c r="AG462" s="63" t="s">
        <v>128</v>
      </c>
      <c r="AH462" s="63" t="s">
        <v>174</v>
      </c>
      <c r="AI462" s="63" t="s">
        <v>56</v>
      </c>
      <c r="AJ462" s="63" t="s">
        <v>138</v>
      </c>
      <c r="AK462" s="83">
        <v>3</v>
      </c>
      <c r="AL462" s="63" t="s">
        <v>115</v>
      </c>
      <c r="AM462" s="63" t="s">
        <v>138</v>
      </c>
      <c r="AN462"/>
    </row>
    <row r="463" spans="1:40" ht="18" customHeight="1">
      <c r="A463" s="1" t="s">
        <v>1533</v>
      </c>
      <c r="B463" s="1" t="s">
        <v>1534</v>
      </c>
      <c r="C463" s="4">
        <v>46152</v>
      </c>
      <c r="D463" s="4">
        <v>46173</v>
      </c>
      <c r="E463" s="4">
        <v>46169</v>
      </c>
      <c r="F463" s="63" t="s">
        <v>32</v>
      </c>
      <c r="G463" s="63" t="s">
        <v>3835</v>
      </c>
      <c r="H463" s="63" t="s">
        <v>177</v>
      </c>
      <c r="I463" s="63" t="s">
        <v>178</v>
      </c>
      <c r="J463" s="63" t="s">
        <v>35</v>
      </c>
      <c r="K463" s="63" t="s">
        <v>1535</v>
      </c>
      <c r="L463" s="63" t="s">
        <v>180</v>
      </c>
      <c r="M463" s="69">
        <v>3093.92</v>
      </c>
      <c r="N463" s="63" t="s">
        <v>38</v>
      </c>
      <c r="O463" s="73">
        <f>_xlfn.XLOOKUP(Supplier_Perf_Table[[#This Row],[Currency]],'Comments 2'!$C$4:$C$16,'Comments 2'!$D$4:$D$16)</f>
        <v>7.7000000000000002E-3</v>
      </c>
      <c r="P463" s="69">
        <f>IFERROR(Supplier_Perf_Table[[#This Row],[Unit_Cost]]*Supplier_Perf_Table[[#This Row],[Dollar Equivalent]],"")</f>
        <v>23.823184000000001</v>
      </c>
      <c r="Q463" s="75">
        <v>2000</v>
      </c>
      <c r="R463" s="1">
        <v>6187840</v>
      </c>
      <c r="S463" s="75">
        <f>Supplier_Perf_Table[[#This Row],[Unit_Cost]]*Supplier_Perf_Table[[#This Row],[Order_Quantity]]</f>
        <v>6187840</v>
      </c>
      <c r="T463" s="75">
        <f>IFERROR(Supplier_Perf_Table[[#This Row],[Dollar Equivalent]]*Supplier_Perf_Table[[#This Row],[Ordered_Value]],"")</f>
        <v>47646.368000000002</v>
      </c>
      <c r="U463" s="75">
        <v>67</v>
      </c>
      <c r="V463" s="7">
        <v>3.3500000000000002E-2</v>
      </c>
      <c r="W463" s="75" t="s">
        <v>3080</v>
      </c>
      <c r="X463" s="55">
        <f>IFERROR(Supplier_Perf_Table[[#This Row],[Actual_Delivery_Date]]-Supplier_Perf_Table[[#This Row],[Order Date]],"")</f>
        <v>17</v>
      </c>
      <c r="Y463" s="75">
        <v>21</v>
      </c>
      <c r="Z463" s="56">
        <f>IFERROR(Supplier_Perf_Table[[#This Row],[Expected Delivery_Date]]-Supplier_Perf_Table[[#This Row],[Order Date]],"")</f>
        <v>21</v>
      </c>
      <c r="AA463" s="56">
        <f>Supplier_Perf_Table[[#This Row],[Calculated_Lead_Time2]]-Supplier_Perf_Table[[#This Row],[Calculated_Expected_Lead_Time]]</f>
        <v>-4</v>
      </c>
      <c r="AB463" s="75">
        <v>-4</v>
      </c>
      <c r="AC463" s="63" t="s">
        <v>87</v>
      </c>
      <c r="AD463" s="63" t="s">
        <v>40</v>
      </c>
      <c r="AE463" s="63" t="s">
        <v>127</v>
      </c>
      <c r="AF463" s="63" t="s">
        <v>3088</v>
      </c>
      <c r="AG463" s="63" t="s">
        <v>173</v>
      </c>
      <c r="AH463" s="63" t="s">
        <v>129</v>
      </c>
      <c r="AI463" s="63" t="s">
        <v>137</v>
      </c>
      <c r="AJ463" s="63" t="s">
        <v>138</v>
      </c>
      <c r="AK463" s="83">
        <v>4.5</v>
      </c>
      <c r="AL463" s="63" t="s">
        <v>115</v>
      </c>
      <c r="AM463" s="63" t="s">
        <v>130</v>
      </c>
      <c r="AN463"/>
    </row>
    <row r="464" spans="1:40" ht="18" customHeight="1">
      <c r="A464" s="1" t="s">
        <v>1536</v>
      </c>
      <c r="B464" s="1" t="s">
        <v>1537</v>
      </c>
      <c r="C464" s="4">
        <v>46089</v>
      </c>
      <c r="D464" s="4">
        <v>46107</v>
      </c>
      <c r="E464" s="4">
        <v>46098</v>
      </c>
      <c r="F464" s="63" t="s">
        <v>142</v>
      </c>
      <c r="G464" s="63" t="s">
        <v>3843</v>
      </c>
      <c r="H464" s="63" t="s">
        <v>169</v>
      </c>
      <c r="I464" s="63" t="s">
        <v>92</v>
      </c>
      <c r="J464" s="63" t="s">
        <v>50</v>
      </c>
      <c r="K464" s="63" t="s">
        <v>1538</v>
      </c>
      <c r="L464" s="63" t="s">
        <v>189</v>
      </c>
      <c r="M464" s="69">
        <v>3245.49</v>
      </c>
      <c r="N464" s="63" t="s">
        <v>159</v>
      </c>
      <c r="O464" s="73">
        <f>_xlfn.XLOOKUP(Supplier_Perf_Table[[#This Row],[Currency]],'Comments 2'!$C$4:$C$16,'Comments 2'!$D$4:$D$16)</f>
        <v>7.2999999999999996E-4</v>
      </c>
      <c r="P464" s="69">
        <f>IFERROR(Supplier_Perf_Table[[#This Row],[Unit_Cost]]*Supplier_Perf_Table[[#This Row],[Dollar Equivalent]],"")</f>
        <v>2.3692076999999996</v>
      </c>
      <c r="Q464" s="75">
        <v>200</v>
      </c>
      <c r="R464" s="1">
        <v>649098</v>
      </c>
      <c r="S464" s="75">
        <f>Supplier_Perf_Table[[#This Row],[Unit_Cost]]*Supplier_Perf_Table[[#This Row],[Order_Quantity]]</f>
        <v>649098</v>
      </c>
      <c r="T464" s="75">
        <f>IFERROR(Supplier_Perf_Table[[#This Row],[Dollar Equivalent]]*Supplier_Perf_Table[[#This Row],[Ordered_Value]],"")</f>
        <v>473.84153999999995</v>
      </c>
      <c r="U464" s="75">
        <v>5</v>
      </c>
      <c r="V464" s="7">
        <v>2.5000000000000001E-2</v>
      </c>
      <c r="W464" s="75">
        <v>9</v>
      </c>
      <c r="X464" s="55">
        <f>IFERROR(Supplier_Perf_Table[[#This Row],[Actual_Delivery_Date]]-Supplier_Perf_Table[[#This Row],[Order Date]],"")</f>
        <v>9</v>
      </c>
      <c r="Y464" s="75">
        <v>18</v>
      </c>
      <c r="Z464" s="56">
        <f>IFERROR(Supplier_Perf_Table[[#This Row],[Expected Delivery_Date]]-Supplier_Perf_Table[[#This Row],[Order Date]],"")</f>
        <v>18</v>
      </c>
      <c r="AA464" s="56">
        <f>Supplier_Perf_Table[[#This Row],[Calculated_Lead_Time2]]-Supplier_Perf_Table[[#This Row],[Calculated_Expected_Lead_Time]]</f>
        <v>-9</v>
      </c>
      <c r="AB464" s="75">
        <v>-9</v>
      </c>
      <c r="AC464" s="63" t="s">
        <v>87</v>
      </c>
      <c r="AD464" s="63" t="s">
        <v>40</v>
      </c>
      <c r="AE464" s="63" t="s">
        <v>3088</v>
      </c>
      <c r="AF464" s="63" t="s">
        <v>190</v>
      </c>
      <c r="AG464" s="63" t="s">
        <v>173</v>
      </c>
      <c r="AH464" s="63" t="s">
        <v>129</v>
      </c>
      <c r="AI464" s="63" t="s">
        <v>56</v>
      </c>
      <c r="AJ464" s="63" t="s">
        <v>138</v>
      </c>
      <c r="AK464" s="83">
        <v>2.8</v>
      </c>
      <c r="AL464" s="63" t="s">
        <v>184</v>
      </c>
      <c r="AM464" s="63" t="s">
        <v>130</v>
      </c>
      <c r="AN464"/>
    </row>
    <row r="465" spans="1:40" ht="18" customHeight="1">
      <c r="A465" s="1" t="s">
        <v>1539</v>
      </c>
      <c r="B465" s="1" t="s">
        <v>1540</v>
      </c>
      <c r="C465" s="4">
        <v>46161</v>
      </c>
      <c r="D465" s="4">
        <v>46179</v>
      </c>
      <c r="E465" s="4">
        <v>46165</v>
      </c>
      <c r="F465" s="63" t="s">
        <v>235</v>
      </c>
      <c r="G465" s="63" t="s">
        <v>3848</v>
      </c>
      <c r="H465" s="63" t="s">
        <v>479</v>
      </c>
      <c r="I465" s="63" t="s">
        <v>83</v>
      </c>
      <c r="J465" s="63" t="s">
        <v>71</v>
      </c>
      <c r="K465" s="63" t="s">
        <v>1541</v>
      </c>
      <c r="L465" s="63" t="s">
        <v>337</v>
      </c>
      <c r="M465" s="69">
        <v>593.5</v>
      </c>
      <c r="N465" s="63" t="s">
        <v>159</v>
      </c>
      <c r="O465" s="73">
        <f>_xlfn.XLOOKUP(Supplier_Perf_Table[[#This Row],[Currency]],'Comments 2'!$C$4:$C$16,'Comments 2'!$D$4:$D$16)</f>
        <v>7.2999999999999996E-4</v>
      </c>
      <c r="P465" s="69">
        <f>IFERROR(Supplier_Perf_Table[[#This Row],[Unit_Cost]]*Supplier_Perf_Table[[#This Row],[Dollar Equivalent]],"")</f>
        <v>0.433255</v>
      </c>
      <c r="Q465" s="75">
        <v>200</v>
      </c>
      <c r="R465" s="1">
        <v>118700</v>
      </c>
      <c r="S465" s="75">
        <f>Supplier_Perf_Table[[#This Row],[Unit_Cost]]*Supplier_Perf_Table[[#This Row],[Order_Quantity]]</f>
        <v>118700</v>
      </c>
      <c r="T465" s="75">
        <f>IFERROR(Supplier_Perf_Table[[#This Row],[Dollar Equivalent]]*Supplier_Perf_Table[[#This Row],[Ordered_Value]],"")</f>
        <v>86.650999999999996</v>
      </c>
      <c r="U465" s="75">
        <v>7</v>
      </c>
      <c r="V465" s="7">
        <v>3.5000000000000003E-2</v>
      </c>
      <c r="W465" s="75">
        <v>4</v>
      </c>
      <c r="X465" s="55">
        <f>IFERROR(Supplier_Perf_Table[[#This Row],[Actual_Delivery_Date]]-Supplier_Perf_Table[[#This Row],[Order Date]],"")</f>
        <v>4</v>
      </c>
      <c r="Y465" s="75">
        <v>18</v>
      </c>
      <c r="Z465" s="56">
        <f>IFERROR(Supplier_Perf_Table[[#This Row],[Expected Delivery_Date]]-Supplier_Perf_Table[[#This Row],[Order Date]],"")</f>
        <v>18</v>
      </c>
      <c r="AA465" s="56">
        <f>Supplier_Perf_Table[[#This Row],[Calculated_Lead_Time2]]-Supplier_Perf_Table[[#This Row],[Calculated_Expected_Lead_Time]]</f>
        <v>-14</v>
      </c>
      <c r="AB465" s="75">
        <v>-14</v>
      </c>
      <c r="AC465" s="63" t="s">
        <v>87</v>
      </c>
      <c r="AD465" s="63" t="s">
        <v>40</v>
      </c>
      <c r="AE465" s="63" t="s">
        <v>127</v>
      </c>
      <c r="AF465" s="63" t="s">
        <v>106</v>
      </c>
      <c r="AG465" s="63" t="s">
        <v>54</v>
      </c>
      <c r="AH465" s="63" t="s">
        <v>3112</v>
      </c>
      <c r="AI465" s="63" t="s">
        <v>44</v>
      </c>
      <c r="AJ465" s="63" t="s">
        <v>138</v>
      </c>
      <c r="AK465" s="83">
        <v>4.9000000000000004</v>
      </c>
      <c r="AL465" s="63" t="s">
        <v>139</v>
      </c>
      <c r="AM465" s="63" t="s">
        <v>130</v>
      </c>
      <c r="AN465"/>
    </row>
    <row r="466" spans="1:40" ht="18" customHeight="1">
      <c r="A466" s="1" t="s">
        <v>116</v>
      </c>
      <c r="B466" s="1" t="s">
        <v>1542</v>
      </c>
      <c r="C466" s="4">
        <v>46175</v>
      </c>
      <c r="D466" s="4">
        <v>46190</v>
      </c>
      <c r="E466" s="4">
        <v>46194</v>
      </c>
      <c r="F466" s="63" t="s">
        <v>80</v>
      </c>
      <c r="G466" s="63" t="s">
        <v>3839</v>
      </c>
      <c r="H466" s="63" t="s">
        <v>82</v>
      </c>
      <c r="I466" s="63" t="s">
        <v>120</v>
      </c>
      <c r="J466" s="63" t="s">
        <v>62</v>
      </c>
      <c r="K466" s="63" t="s">
        <v>1543</v>
      </c>
      <c r="L466" s="63" t="s">
        <v>64</v>
      </c>
      <c r="M466" s="69">
        <v>830.39</v>
      </c>
      <c r="N466" s="63" t="s">
        <v>53</v>
      </c>
      <c r="O466" s="73">
        <f>_xlfn.XLOOKUP(Supplier_Perf_Table[[#This Row],[Currency]],'Comments 2'!$C$4:$C$16,'Comments 2'!$D$4:$D$16)</f>
        <v>6.0999999999999999E-2</v>
      </c>
      <c r="P466" s="69">
        <f>IFERROR(Supplier_Perf_Table[[#This Row],[Unit_Cost]]*Supplier_Perf_Table[[#This Row],[Dollar Equivalent]],"")</f>
        <v>50.653790000000001</v>
      </c>
      <c r="Q466" s="75">
        <v>50</v>
      </c>
      <c r="R466" s="1">
        <v>41519.5</v>
      </c>
      <c r="S466" s="75">
        <f>Supplier_Perf_Table[[#This Row],[Unit_Cost]]*Supplier_Perf_Table[[#This Row],[Order_Quantity]]</f>
        <v>41519.5</v>
      </c>
      <c r="T466" s="75">
        <f>IFERROR(Supplier_Perf_Table[[#This Row],[Dollar Equivalent]]*Supplier_Perf_Table[[#This Row],[Ordered_Value]],"")</f>
        <v>2532.6895</v>
      </c>
      <c r="U466" s="75">
        <v>1</v>
      </c>
      <c r="V466" s="7">
        <v>0.02</v>
      </c>
      <c r="W466" s="75">
        <v>19</v>
      </c>
      <c r="X466" s="55">
        <f>IFERROR(Supplier_Perf_Table[[#This Row],[Actual_Delivery_Date]]-Supplier_Perf_Table[[#This Row],[Order Date]],"")</f>
        <v>19</v>
      </c>
      <c r="Y466" s="75">
        <v>15</v>
      </c>
      <c r="Z466" s="56">
        <f>IFERROR(Supplier_Perf_Table[[#This Row],[Expected Delivery_Date]]-Supplier_Perf_Table[[#This Row],[Order Date]],"")</f>
        <v>15</v>
      </c>
      <c r="AA466" s="56">
        <f>Supplier_Perf_Table[[#This Row],[Calculated_Lead_Time2]]-Supplier_Perf_Table[[#This Row],[Calculated_Expected_Lead_Time]]</f>
        <v>4</v>
      </c>
      <c r="AB466" s="75">
        <v>4</v>
      </c>
      <c r="AC466" s="63" t="s">
        <v>39</v>
      </c>
      <c r="AD466" s="63" t="s">
        <v>40</v>
      </c>
      <c r="AE466" s="63" t="s">
        <v>105</v>
      </c>
      <c r="AF466" s="63" t="s">
        <v>42</v>
      </c>
      <c r="AG466" s="63" t="s">
        <v>107</v>
      </c>
      <c r="AH466" s="63" t="s">
        <v>88</v>
      </c>
      <c r="AI466" s="63" t="s">
        <v>44</v>
      </c>
      <c r="AJ466" s="63" t="s">
        <v>138</v>
      </c>
      <c r="AK466" s="83">
        <v>2.5</v>
      </c>
      <c r="AL466" s="63" t="s">
        <v>139</v>
      </c>
      <c r="AM466" s="63" t="s">
        <v>46</v>
      </c>
      <c r="AN466"/>
    </row>
    <row r="467" spans="1:40" ht="18" customHeight="1">
      <c r="A467" s="1" t="s">
        <v>1544</v>
      </c>
      <c r="B467" s="1" t="s">
        <v>1545</v>
      </c>
      <c r="C467" s="4">
        <v>46033</v>
      </c>
      <c r="D467" s="4">
        <v>46048</v>
      </c>
      <c r="E467" s="4">
        <v>46046</v>
      </c>
      <c r="F467" s="63" t="s">
        <v>48</v>
      </c>
      <c r="G467" s="63" t="s">
        <v>3836</v>
      </c>
      <c r="H467" s="63" t="s">
        <v>102</v>
      </c>
      <c r="I467" s="63" t="s">
        <v>49</v>
      </c>
      <c r="J467" s="63" t="s">
        <v>50</v>
      </c>
      <c r="K467" s="63" t="s">
        <v>1546</v>
      </c>
      <c r="L467" s="63" t="s">
        <v>145</v>
      </c>
      <c r="M467" s="69">
        <v>1163.08</v>
      </c>
      <c r="N467" s="63" t="s">
        <v>104</v>
      </c>
      <c r="O467" s="73">
        <f>_xlfn.XLOOKUP(Supplier_Perf_Table[[#This Row],[Currency]],'Comments 2'!$C$4:$C$16,'Comments 2'!$D$4:$D$16)</f>
        <v>1.9E-2</v>
      </c>
      <c r="P467" s="69">
        <f>IFERROR(Supplier_Perf_Table[[#This Row],[Unit_Cost]]*Supplier_Perf_Table[[#This Row],[Dollar Equivalent]],"")</f>
        <v>22.098519999999997</v>
      </c>
      <c r="Q467" s="75">
        <v>2000</v>
      </c>
      <c r="R467" s="1">
        <v>2326160</v>
      </c>
      <c r="S467" s="75">
        <f>Supplier_Perf_Table[[#This Row],[Unit_Cost]]*Supplier_Perf_Table[[#This Row],[Order_Quantity]]</f>
        <v>2326160</v>
      </c>
      <c r="T467" s="75">
        <f>IFERROR(Supplier_Perf_Table[[#This Row],[Dollar Equivalent]]*Supplier_Perf_Table[[#This Row],[Ordered_Value]],"")</f>
        <v>44197.04</v>
      </c>
      <c r="U467" s="75">
        <v>3</v>
      </c>
      <c r="V467" s="7">
        <v>1.5E-3</v>
      </c>
      <c r="W467" s="75">
        <v>13</v>
      </c>
      <c r="X467" s="55">
        <f>IFERROR(Supplier_Perf_Table[[#This Row],[Actual_Delivery_Date]]-Supplier_Perf_Table[[#This Row],[Order Date]],"")</f>
        <v>13</v>
      </c>
      <c r="Y467" s="75">
        <v>15</v>
      </c>
      <c r="Z467" s="56">
        <f>IFERROR(Supplier_Perf_Table[[#This Row],[Expected Delivery_Date]]-Supplier_Perf_Table[[#This Row],[Order Date]],"")</f>
        <v>15</v>
      </c>
      <c r="AA467" s="56">
        <f>Supplier_Perf_Table[[#This Row],[Calculated_Lead_Time2]]-Supplier_Perf_Table[[#This Row],[Calculated_Expected_Lead_Time]]</f>
        <v>-2</v>
      </c>
      <c r="AB467" s="75">
        <v>-2</v>
      </c>
      <c r="AC467" s="63" t="s">
        <v>87</v>
      </c>
      <c r="AD467" s="63" t="s">
        <v>3088</v>
      </c>
      <c r="AE467" s="63" t="s">
        <v>105</v>
      </c>
      <c r="AF467" s="63" t="s">
        <v>190</v>
      </c>
      <c r="AG467" s="63" t="s">
        <v>43</v>
      </c>
      <c r="AH467" s="63" t="s">
        <v>129</v>
      </c>
      <c r="AI467" s="63" t="s">
        <v>191</v>
      </c>
      <c r="AJ467" s="63" t="s">
        <v>138</v>
      </c>
      <c r="AK467" s="83">
        <v>3.8</v>
      </c>
      <c r="AL467" s="63" t="s">
        <v>184</v>
      </c>
      <c r="AM467" s="63" t="s">
        <v>138</v>
      </c>
      <c r="AN467"/>
    </row>
    <row r="468" spans="1:40" ht="18" customHeight="1">
      <c r="A468" s="1" t="s">
        <v>1547</v>
      </c>
      <c r="B468" s="1" t="s">
        <v>1548</v>
      </c>
      <c r="C468" s="4">
        <v>46097</v>
      </c>
      <c r="D468" s="4">
        <v>46114</v>
      </c>
      <c r="E468" s="4">
        <v>46117</v>
      </c>
      <c r="F468" s="63" t="s">
        <v>48</v>
      </c>
      <c r="G468" s="63" t="s">
        <v>3836</v>
      </c>
      <c r="H468" s="63" t="s">
        <v>102</v>
      </c>
      <c r="I468" s="63" t="s">
        <v>61</v>
      </c>
      <c r="J468" s="63" t="s">
        <v>50</v>
      </c>
      <c r="K468" s="63" t="s">
        <v>1549</v>
      </c>
      <c r="L468" s="63" t="s">
        <v>189</v>
      </c>
      <c r="M468" s="69">
        <v>1608.57</v>
      </c>
      <c r="N468" s="63" t="s">
        <v>86</v>
      </c>
      <c r="O468" s="73">
        <f>_xlfn.XLOOKUP(Supplier_Perf_Table[[#This Row],[Currency]],'Comments 2'!$C$4:$C$16,'Comments 2'!$D$4:$D$16)</f>
        <v>8.8999999999999996E-2</v>
      </c>
      <c r="P468" s="69">
        <f>IFERROR(Supplier_Perf_Table[[#This Row],[Unit_Cost]]*Supplier_Perf_Table[[#This Row],[Dollar Equivalent]],"")</f>
        <v>143.16272999999998</v>
      </c>
      <c r="Q468" s="75">
        <v>100</v>
      </c>
      <c r="R468" s="1">
        <v>160857</v>
      </c>
      <c r="S468" s="75">
        <f>Supplier_Perf_Table[[#This Row],[Unit_Cost]]*Supplier_Perf_Table[[#This Row],[Order_Quantity]]</f>
        <v>160857</v>
      </c>
      <c r="T468" s="75">
        <f>IFERROR(Supplier_Perf_Table[[#This Row],[Dollar Equivalent]]*Supplier_Perf_Table[[#This Row],[Ordered_Value]],"")</f>
        <v>14316.272999999999</v>
      </c>
      <c r="U468" s="75">
        <v>1</v>
      </c>
      <c r="V468" s="7">
        <v>0.01</v>
      </c>
      <c r="W468" s="75">
        <v>20</v>
      </c>
      <c r="X468" s="55">
        <f>IFERROR(Supplier_Perf_Table[[#This Row],[Actual_Delivery_Date]]-Supplier_Perf_Table[[#This Row],[Order Date]],"")</f>
        <v>20</v>
      </c>
      <c r="Y468" s="75">
        <v>17</v>
      </c>
      <c r="Z468" s="56">
        <f>IFERROR(Supplier_Perf_Table[[#This Row],[Expected Delivery_Date]]-Supplier_Perf_Table[[#This Row],[Order Date]],"")</f>
        <v>17</v>
      </c>
      <c r="AA468" s="56">
        <f>Supplier_Perf_Table[[#This Row],[Calculated_Lead_Time2]]-Supplier_Perf_Table[[#This Row],[Calculated_Expected_Lead_Time]]</f>
        <v>3</v>
      </c>
      <c r="AB468" s="75">
        <v>3</v>
      </c>
      <c r="AC468" s="63" t="s">
        <v>135</v>
      </c>
      <c r="AD468" s="63" t="s">
        <v>40</v>
      </c>
      <c r="AE468" s="63" t="s">
        <v>41</v>
      </c>
      <c r="AF468" s="63" t="s">
        <v>212</v>
      </c>
      <c r="AG468" s="63" t="s">
        <v>43</v>
      </c>
      <c r="AH468" s="63" t="s">
        <v>136</v>
      </c>
      <c r="AI468" s="63" t="s">
        <v>44</v>
      </c>
      <c r="AJ468" s="63" t="s">
        <v>138</v>
      </c>
      <c r="AK468" s="83">
        <v>3</v>
      </c>
      <c r="AL468" s="63" t="s">
        <v>108</v>
      </c>
      <c r="AM468" s="63" t="s">
        <v>386</v>
      </c>
      <c r="AN468"/>
    </row>
    <row r="469" spans="1:40" ht="18" customHeight="1">
      <c r="A469" s="1" t="s">
        <v>1550</v>
      </c>
      <c r="B469" s="1" t="s">
        <v>1551</v>
      </c>
      <c r="C469" s="4">
        <v>46141</v>
      </c>
      <c r="D469" s="4">
        <v>46148</v>
      </c>
      <c r="E469" s="4">
        <v>46145</v>
      </c>
      <c r="F469" s="63" t="s">
        <v>209</v>
      </c>
      <c r="G469" s="63" t="s">
        <v>3845</v>
      </c>
      <c r="H469" s="63" t="s">
        <v>316</v>
      </c>
      <c r="I469" s="63" t="s">
        <v>92</v>
      </c>
      <c r="J469" s="63" t="s">
        <v>112</v>
      </c>
      <c r="K469" s="63" t="s">
        <v>799</v>
      </c>
      <c r="L469" s="63" t="s">
        <v>229</v>
      </c>
      <c r="M469" s="69">
        <v>562.76</v>
      </c>
      <c r="N469" s="63" t="s">
        <v>38</v>
      </c>
      <c r="O469" s="73">
        <f>_xlfn.XLOOKUP(Supplier_Perf_Table[[#This Row],[Currency]],'Comments 2'!$C$4:$C$16,'Comments 2'!$D$4:$D$16)</f>
        <v>7.7000000000000002E-3</v>
      </c>
      <c r="P469" s="69">
        <f>IFERROR(Supplier_Perf_Table[[#This Row],[Unit_Cost]]*Supplier_Perf_Table[[#This Row],[Dollar Equivalent]],"")</f>
        <v>4.3332519999999999</v>
      </c>
      <c r="Q469" s="75">
        <v>1500</v>
      </c>
      <c r="R469" s="1">
        <v>844140</v>
      </c>
      <c r="S469" s="75">
        <f>Supplier_Perf_Table[[#This Row],[Unit_Cost]]*Supplier_Perf_Table[[#This Row],[Order_Quantity]]</f>
        <v>844140</v>
      </c>
      <c r="T469" s="75">
        <f>IFERROR(Supplier_Perf_Table[[#This Row],[Dollar Equivalent]]*Supplier_Perf_Table[[#This Row],[Ordered_Value]],"")</f>
        <v>6499.8780000000006</v>
      </c>
      <c r="U469" s="75">
        <v>54</v>
      </c>
      <c r="V469" s="7">
        <v>3.5999999999999997E-2</v>
      </c>
      <c r="W469" s="75">
        <v>4</v>
      </c>
      <c r="X469" s="55">
        <f>IFERROR(Supplier_Perf_Table[[#This Row],[Actual_Delivery_Date]]-Supplier_Perf_Table[[#This Row],[Order Date]],"")</f>
        <v>4</v>
      </c>
      <c r="Y469" s="75">
        <v>7</v>
      </c>
      <c r="Z469" s="56">
        <f>IFERROR(Supplier_Perf_Table[[#This Row],[Expected Delivery_Date]]-Supplier_Perf_Table[[#This Row],[Order Date]],"")</f>
        <v>7</v>
      </c>
      <c r="AA469" s="56">
        <f>Supplier_Perf_Table[[#This Row],[Calculated_Lead_Time2]]-Supplier_Perf_Table[[#This Row],[Calculated_Expected_Lead_Time]]</f>
        <v>-3</v>
      </c>
      <c r="AB469" s="75">
        <v>-3</v>
      </c>
      <c r="AC469" s="63" t="s">
        <v>87</v>
      </c>
      <c r="AD469" s="63" t="s">
        <v>40</v>
      </c>
      <c r="AE469" s="63" t="s">
        <v>105</v>
      </c>
      <c r="AF469" s="63" t="s">
        <v>212</v>
      </c>
      <c r="AG469" s="63" t="s">
        <v>43</v>
      </c>
      <c r="AH469" s="63" t="s">
        <v>3112</v>
      </c>
      <c r="AI469" s="63" t="s">
        <v>137</v>
      </c>
      <c r="AJ469" s="63" t="s">
        <v>138</v>
      </c>
      <c r="AK469" s="83">
        <v>2.4</v>
      </c>
      <c r="AL469" s="63" t="s">
        <v>115</v>
      </c>
      <c r="AM469" s="63" t="s">
        <v>138</v>
      </c>
      <c r="AN469"/>
    </row>
    <row r="470" spans="1:40" ht="18" customHeight="1">
      <c r="A470" s="1" t="s">
        <v>1552</v>
      </c>
      <c r="B470" s="1" t="s">
        <v>1553</v>
      </c>
      <c r="C470" s="4">
        <v>46026</v>
      </c>
      <c r="D470" s="4">
        <v>46042</v>
      </c>
      <c r="E470" s="4">
        <v>46045</v>
      </c>
      <c r="F470" s="63" t="s">
        <v>142</v>
      </c>
      <c r="G470" s="63" t="s">
        <v>3843</v>
      </c>
      <c r="H470" s="63" t="s">
        <v>169</v>
      </c>
      <c r="I470" s="63" t="s">
        <v>120</v>
      </c>
      <c r="J470" s="63" t="s">
        <v>163</v>
      </c>
      <c r="K470" s="63" t="s">
        <v>1554</v>
      </c>
      <c r="L470" s="63" t="s">
        <v>165</v>
      </c>
      <c r="M470" s="69">
        <v>145.33000000000001</v>
      </c>
      <c r="N470" s="63" t="s">
        <v>38</v>
      </c>
      <c r="O470" s="73">
        <f>_xlfn.XLOOKUP(Supplier_Perf_Table[[#This Row],[Currency]],'Comments 2'!$C$4:$C$16,'Comments 2'!$D$4:$D$16)</f>
        <v>7.7000000000000002E-3</v>
      </c>
      <c r="P470" s="69">
        <f>IFERROR(Supplier_Perf_Table[[#This Row],[Unit_Cost]]*Supplier_Perf_Table[[#This Row],[Dollar Equivalent]],"")</f>
        <v>1.1190410000000002</v>
      </c>
      <c r="Q470" s="75">
        <v>2000</v>
      </c>
      <c r="R470" s="1">
        <v>290660</v>
      </c>
      <c r="S470" s="75">
        <f>Supplier_Perf_Table[[#This Row],[Unit_Cost]]*Supplier_Perf_Table[[#This Row],[Order_Quantity]]</f>
        <v>290660</v>
      </c>
      <c r="T470" s="75">
        <f>IFERROR(Supplier_Perf_Table[[#This Row],[Dollar Equivalent]]*Supplier_Perf_Table[[#This Row],[Ordered_Value]],"")</f>
        <v>2238.0819999999999</v>
      </c>
      <c r="U470" s="75">
        <v>5</v>
      </c>
      <c r="V470" s="7">
        <v>2.5000000000000001E-3</v>
      </c>
      <c r="W470" s="75">
        <v>19</v>
      </c>
      <c r="X470" s="55">
        <f>IFERROR(Supplier_Perf_Table[[#This Row],[Actual_Delivery_Date]]-Supplier_Perf_Table[[#This Row],[Order Date]],"")</f>
        <v>19</v>
      </c>
      <c r="Y470" s="75">
        <v>16</v>
      </c>
      <c r="Z470" s="56">
        <f>IFERROR(Supplier_Perf_Table[[#This Row],[Expected Delivery_Date]]-Supplier_Perf_Table[[#This Row],[Order Date]],"")</f>
        <v>16</v>
      </c>
      <c r="AA470" s="56">
        <f>Supplier_Perf_Table[[#This Row],[Calculated_Lead_Time2]]-Supplier_Perf_Table[[#This Row],[Calculated_Expected_Lead_Time]]</f>
        <v>3</v>
      </c>
      <c r="AB470" s="75">
        <v>3</v>
      </c>
      <c r="AC470" s="63" t="s">
        <v>166</v>
      </c>
      <c r="AD470" s="63" t="s">
        <v>40</v>
      </c>
      <c r="AE470" s="63" t="s">
        <v>105</v>
      </c>
      <c r="AF470" s="63" t="s">
        <v>3088</v>
      </c>
      <c r="AG470" s="63" t="s">
        <v>3088</v>
      </c>
      <c r="AH470" s="63" t="s">
        <v>88</v>
      </c>
      <c r="AI470" s="63" t="s">
        <v>147</v>
      </c>
      <c r="AJ470" s="63" t="s">
        <v>138</v>
      </c>
      <c r="AK470" s="83">
        <v>4.4000000000000004</v>
      </c>
      <c r="AL470" s="63" t="s">
        <v>76</v>
      </c>
      <c r="AM470" s="63" t="s">
        <v>46</v>
      </c>
      <c r="AN470"/>
    </row>
    <row r="471" spans="1:40" ht="18" customHeight="1">
      <c r="A471" s="1" t="s">
        <v>1555</v>
      </c>
      <c r="B471" s="1" t="s">
        <v>1556</v>
      </c>
      <c r="C471" s="4">
        <v>46170</v>
      </c>
      <c r="D471" s="4">
        <v>46177</v>
      </c>
      <c r="E471" s="4">
        <v>46177</v>
      </c>
      <c r="F471" s="63" t="s">
        <v>151</v>
      </c>
      <c r="G471" s="63" t="s">
        <v>3844</v>
      </c>
      <c r="H471" s="63" t="s">
        <v>152</v>
      </c>
      <c r="I471" s="63" t="s">
        <v>34</v>
      </c>
      <c r="J471" s="63" t="s">
        <v>112</v>
      </c>
      <c r="K471" s="63" t="s">
        <v>1557</v>
      </c>
      <c r="L471" s="63" t="s">
        <v>218</v>
      </c>
      <c r="M471" s="69">
        <v>425.12</v>
      </c>
      <c r="N471" s="63" t="s">
        <v>65</v>
      </c>
      <c r="O471" s="73">
        <f>_xlfn.XLOOKUP(Supplier_Perf_Table[[#This Row],[Currency]],'Comments 2'!$C$4:$C$16,'Comments 2'!$D$4:$D$16)</f>
        <v>1</v>
      </c>
      <c r="P471" s="69">
        <f>IFERROR(Supplier_Perf_Table[[#This Row],[Unit_Cost]]*Supplier_Perf_Table[[#This Row],[Dollar Equivalent]],"")</f>
        <v>425.12</v>
      </c>
      <c r="Q471" s="75">
        <v>300</v>
      </c>
      <c r="R471" s="1">
        <v>127536</v>
      </c>
      <c r="S471" s="75">
        <f>Supplier_Perf_Table[[#This Row],[Unit_Cost]]*Supplier_Perf_Table[[#This Row],[Order_Quantity]]</f>
        <v>127536</v>
      </c>
      <c r="T471" s="75">
        <f>IFERROR(Supplier_Perf_Table[[#This Row],[Dollar Equivalent]]*Supplier_Perf_Table[[#This Row],[Ordered_Value]],"")</f>
        <v>127536</v>
      </c>
      <c r="U471" s="75">
        <v>8</v>
      </c>
      <c r="V471" s="7">
        <v>2.6700000000000002E-2</v>
      </c>
      <c r="W471" s="75">
        <v>7</v>
      </c>
      <c r="X471" s="55">
        <f>IFERROR(Supplier_Perf_Table[[#This Row],[Actual_Delivery_Date]]-Supplier_Perf_Table[[#This Row],[Order Date]],"")</f>
        <v>7</v>
      </c>
      <c r="Y471" s="75" t="s">
        <v>3080</v>
      </c>
      <c r="Z471" s="56">
        <f>IFERROR(Supplier_Perf_Table[[#This Row],[Expected Delivery_Date]]-Supplier_Perf_Table[[#This Row],[Order Date]],"")</f>
        <v>7</v>
      </c>
      <c r="AA471" s="56">
        <f>Supplier_Perf_Table[[#This Row],[Calculated_Lead_Time2]]-Supplier_Perf_Table[[#This Row],[Calculated_Expected_Lead_Time]]</f>
        <v>0</v>
      </c>
      <c r="AB471" s="75">
        <v>0</v>
      </c>
      <c r="AC471" s="63" t="s">
        <v>87</v>
      </c>
      <c r="AD471" s="63" t="s">
        <v>40</v>
      </c>
      <c r="AE471" s="63" t="s">
        <v>105</v>
      </c>
      <c r="AF471" s="63" t="s">
        <v>106</v>
      </c>
      <c r="AG471" s="63" t="s">
        <v>173</v>
      </c>
      <c r="AH471" s="63" t="s">
        <v>174</v>
      </c>
      <c r="AI471" s="63" t="s">
        <v>147</v>
      </c>
      <c r="AJ471" s="63" t="s">
        <v>138</v>
      </c>
      <c r="AK471" s="83">
        <v>4.7</v>
      </c>
      <c r="AL471" s="63" t="s">
        <v>76</v>
      </c>
      <c r="AM471" s="63" t="s">
        <v>138</v>
      </c>
      <c r="AN471"/>
    </row>
    <row r="472" spans="1:40" ht="18" customHeight="1">
      <c r="A472" s="1" t="s">
        <v>1558</v>
      </c>
      <c r="B472" s="1" t="s">
        <v>1559</v>
      </c>
      <c r="C472" s="4">
        <v>46106</v>
      </c>
      <c r="D472" s="4">
        <v>46109</v>
      </c>
      <c r="E472" s="4">
        <v>46115</v>
      </c>
      <c r="F472" s="63" t="s">
        <v>209</v>
      </c>
      <c r="G472" s="63" t="s">
        <v>3845</v>
      </c>
      <c r="H472" s="63" t="s">
        <v>316</v>
      </c>
      <c r="I472" s="63" t="s">
        <v>61</v>
      </c>
      <c r="J472" s="63" t="s">
        <v>153</v>
      </c>
      <c r="K472" s="63" t="s">
        <v>1560</v>
      </c>
      <c r="L472" s="63" t="s">
        <v>204</v>
      </c>
      <c r="M472" s="69">
        <v>701.08</v>
      </c>
      <c r="N472" s="63" t="s">
        <v>159</v>
      </c>
      <c r="O472" s="73">
        <f>_xlfn.XLOOKUP(Supplier_Perf_Table[[#This Row],[Currency]],'Comments 2'!$C$4:$C$16,'Comments 2'!$D$4:$D$16)</f>
        <v>7.2999999999999996E-4</v>
      </c>
      <c r="P472" s="69">
        <f>IFERROR(Supplier_Perf_Table[[#This Row],[Unit_Cost]]*Supplier_Perf_Table[[#This Row],[Dollar Equivalent]],"")</f>
        <v>0.51178840000000003</v>
      </c>
      <c r="Q472" s="75">
        <v>250</v>
      </c>
      <c r="R472" s="1">
        <v>175270</v>
      </c>
      <c r="S472" s="75">
        <f>Supplier_Perf_Table[[#This Row],[Unit_Cost]]*Supplier_Perf_Table[[#This Row],[Order_Quantity]]</f>
        <v>175270</v>
      </c>
      <c r="T472" s="75">
        <f>IFERROR(Supplier_Perf_Table[[#This Row],[Dollar Equivalent]]*Supplier_Perf_Table[[#This Row],[Ordered_Value]],"")</f>
        <v>127.94709999999999</v>
      </c>
      <c r="U472" s="75">
        <v>4</v>
      </c>
      <c r="V472" s="7">
        <v>1.6E-2</v>
      </c>
      <c r="W472" s="75">
        <v>9</v>
      </c>
      <c r="X472" s="55">
        <f>IFERROR(Supplier_Perf_Table[[#This Row],[Actual_Delivery_Date]]-Supplier_Perf_Table[[#This Row],[Order Date]],"")</f>
        <v>9</v>
      </c>
      <c r="Y472" s="75">
        <v>3</v>
      </c>
      <c r="Z472" s="56">
        <f>IFERROR(Supplier_Perf_Table[[#This Row],[Expected Delivery_Date]]-Supplier_Perf_Table[[#This Row],[Order Date]],"")</f>
        <v>3</v>
      </c>
      <c r="AA472" s="56">
        <f>Supplier_Perf_Table[[#This Row],[Calculated_Lead_Time2]]-Supplier_Perf_Table[[#This Row],[Calculated_Expected_Lead_Time]]</f>
        <v>6</v>
      </c>
      <c r="AB472" s="75">
        <v>6</v>
      </c>
      <c r="AC472" s="63" t="s">
        <v>205</v>
      </c>
      <c r="AD472" s="63" t="s">
        <v>40</v>
      </c>
      <c r="AE472" s="63" t="s">
        <v>146</v>
      </c>
      <c r="AF472" s="63" t="s">
        <v>66</v>
      </c>
      <c r="AG472" s="63" t="s">
        <v>43</v>
      </c>
      <c r="AH472" s="63" t="s">
        <v>206</v>
      </c>
      <c r="AI472" s="63" t="s">
        <v>56</v>
      </c>
      <c r="AJ472" s="63" t="s">
        <v>138</v>
      </c>
      <c r="AK472" s="83">
        <v>1.6</v>
      </c>
      <c r="AL472" s="63" t="s">
        <v>184</v>
      </c>
      <c r="AM472" s="63" t="s">
        <v>148</v>
      </c>
      <c r="AN472"/>
    </row>
    <row r="473" spans="1:40" ht="18" customHeight="1">
      <c r="A473" s="1" t="s">
        <v>1561</v>
      </c>
      <c r="B473" s="1" t="s">
        <v>1562</v>
      </c>
      <c r="C473" s="4">
        <v>46189</v>
      </c>
      <c r="D473" s="4">
        <v>46201</v>
      </c>
      <c r="E473" s="4">
        <v>46191</v>
      </c>
      <c r="F473" s="63" t="s">
        <v>162</v>
      </c>
      <c r="G473" s="63" t="s">
        <v>3847</v>
      </c>
      <c r="H473" s="63" t="s">
        <v>152</v>
      </c>
      <c r="I473" s="63" t="s">
        <v>70</v>
      </c>
      <c r="J473" s="63" t="s">
        <v>163</v>
      </c>
      <c r="K473" s="63" t="s">
        <v>1563</v>
      </c>
      <c r="L473" s="63" t="s">
        <v>171</v>
      </c>
      <c r="M473" s="69">
        <v>1083.73</v>
      </c>
      <c r="N473" s="63" t="s">
        <v>104</v>
      </c>
      <c r="O473" s="73">
        <f>_xlfn.XLOOKUP(Supplier_Perf_Table[[#This Row],[Currency]],'Comments 2'!$C$4:$C$16,'Comments 2'!$D$4:$D$16)</f>
        <v>1.9E-2</v>
      </c>
      <c r="P473" s="69">
        <f>IFERROR(Supplier_Perf_Table[[#This Row],[Unit_Cost]]*Supplier_Perf_Table[[#This Row],[Dollar Equivalent]],"")</f>
        <v>20.590869999999999</v>
      </c>
      <c r="Q473" s="75">
        <v>750</v>
      </c>
      <c r="R473" s="1">
        <v>812797.5</v>
      </c>
      <c r="S473" s="75">
        <f>Supplier_Perf_Table[[#This Row],[Unit_Cost]]*Supplier_Perf_Table[[#This Row],[Order_Quantity]]</f>
        <v>812797.5</v>
      </c>
      <c r="T473" s="75">
        <f>IFERROR(Supplier_Perf_Table[[#This Row],[Dollar Equivalent]]*Supplier_Perf_Table[[#This Row],[Ordered_Value]],"")</f>
        <v>15443.1525</v>
      </c>
      <c r="U473" s="75">
        <v>23</v>
      </c>
      <c r="V473" s="7">
        <v>3.0700000000000002E-2</v>
      </c>
      <c r="W473" s="75">
        <v>2</v>
      </c>
      <c r="X473" s="55">
        <f>IFERROR(Supplier_Perf_Table[[#This Row],[Actual_Delivery_Date]]-Supplier_Perf_Table[[#This Row],[Order Date]],"")</f>
        <v>2</v>
      </c>
      <c r="Y473" s="75">
        <v>12</v>
      </c>
      <c r="Z473" s="56">
        <f>IFERROR(Supplier_Perf_Table[[#This Row],[Expected Delivery_Date]]-Supplier_Perf_Table[[#This Row],[Order Date]],"")</f>
        <v>12</v>
      </c>
      <c r="AA473" s="56">
        <f>Supplier_Perf_Table[[#This Row],[Calculated_Lead_Time2]]-Supplier_Perf_Table[[#This Row],[Calculated_Expected_Lead_Time]]</f>
        <v>-10</v>
      </c>
      <c r="AB473" s="75">
        <v>-10</v>
      </c>
      <c r="AC473" s="63" t="s">
        <v>270</v>
      </c>
      <c r="AD473" s="63" t="s">
        <v>40</v>
      </c>
      <c r="AE473" s="63" t="s">
        <v>105</v>
      </c>
      <c r="AF473" s="63" t="s">
        <v>106</v>
      </c>
      <c r="AG473" s="63" t="s">
        <v>107</v>
      </c>
      <c r="AH473" s="63" t="s">
        <v>3112</v>
      </c>
      <c r="AI473" s="63" t="s">
        <v>44</v>
      </c>
      <c r="AJ473" s="63" t="s">
        <v>138</v>
      </c>
      <c r="AK473" s="83">
        <v>3.5</v>
      </c>
      <c r="AL473" s="63" t="s">
        <v>184</v>
      </c>
      <c r="AM473" s="63" t="s">
        <v>138</v>
      </c>
      <c r="AN473"/>
    </row>
    <row r="474" spans="1:40" ht="18" customHeight="1">
      <c r="A474" s="63" t="s">
        <v>1564</v>
      </c>
      <c r="B474" s="63" t="s">
        <v>1565</v>
      </c>
      <c r="C474" s="4">
        <v>46132</v>
      </c>
      <c r="D474" s="4">
        <v>46146</v>
      </c>
      <c r="E474" s="4">
        <v>46145</v>
      </c>
      <c r="F474" s="63" t="s">
        <v>60</v>
      </c>
      <c r="G474" s="63" t="s">
        <v>3837</v>
      </c>
      <c r="H474" s="63" t="s">
        <v>152</v>
      </c>
      <c r="I474" s="63" t="s">
        <v>34</v>
      </c>
      <c r="J474" s="63" t="s">
        <v>62</v>
      </c>
      <c r="K474" s="63" t="s">
        <v>1566</v>
      </c>
      <c r="L474" s="63" t="s">
        <v>94</v>
      </c>
      <c r="M474" s="69">
        <v>482.17</v>
      </c>
      <c r="N474" s="63" t="s">
        <v>38</v>
      </c>
      <c r="O474" s="73">
        <f>_xlfn.XLOOKUP(Supplier_Perf_Table[[#This Row],[Currency]],'Comments 2'!$C$4:$C$16,'Comments 2'!$D$4:$D$16)</f>
        <v>7.7000000000000002E-3</v>
      </c>
      <c r="P474" s="69">
        <f>IFERROR(Supplier_Perf_Table[[#This Row],[Unit_Cost]]*Supplier_Perf_Table[[#This Row],[Dollar Equivalent]],"")</f>
        <v>3.7127090000000003</v>
      </c>
      <c r="Q474" s="75">
        <v>1500</v>
      </c>
      <c r="R474" s="1">
        <v>0</v>
      </c>
      <c r="S474" s="75">
        <f>Supplier_Perf_Table[[#This Row],[Unit_Cost]]*Supplier_Perf_Table[[#This Row],[Order_Quantity]]</f>
        <v>723255</v>
      </c>
      <c r="T474" s="75">
        <f>IFERROR(Supplier_Perf_Table[[#This Row],[Dollar Equivalent]]*Supplier_Perf_Table[[#This Row],[Ordered_Value]],"")</f>
        <v>0</v>
      </c>
      <c r="U474" s="75">
        <v>64</v>
      </c>
      <c r="V474" s="7">
        <v>4.2700000000000002E-2</v>
      </c>
      <c r="W474" s="75">
        <v>13</v>
      </c>
      <c r="X474" s="55">
        <f>IFERROR(Supplier_Perf_Table[[#This Row],[Actual_Delivery_Date]]-Supplier_Perf_Table[[#This Row],[Order Date]],"")</f>
        <v>13</v>
      </c>
      <c r="Y474" s="75">
        <v>14</v>
      </c>
      <c r="Z474" s="56">
        <f>IFERROR(Supplier_Perf_Table[[#This Row],[Expected Delivery_Date]]-Supplier_Perf_Table[[#This Row],[Order Date]],"")</f>
        <v>14</v>
      </c>
      <c r="AA474" s="56">
        <f>Supplier_Perf_Table[[#This Row],[Calculated_Lead_Time2]]-Supplier_Perf_Table[[#This Row],[Calculated_Expected_Lead_Time]]</f>
        <v>-1</v>
      </c>
      <c r="AB474" s="75">
        <v>-1</v>
      </c>
      <c r="AC474" s="63" t="s">
        <v>87</v>
      </c>
      <c r="AD474" s="63" t="s">
        <v>366</v>
      </c>
      <c r="AE474" s="63" t="s">
        <v>105</v>
      </c>
      <c r="AF474" s="63" t="s">
        <v>3088</v>
      </c>
      <c r="AG474" s="63" t="s">
        <v>173</v>
      </c>
      <c r="AH474" s="63" t="s">
        <v>3112</v>
      </c>
      <c r="AI474" s="63" t="s">
        <v>147</v>
      </c>
      <c r="AJ474" s="63" t="s">
        <v>373</v>
      </c>
      <c r="AK474" s="83">
        <v>2.1</v>
      </c>
      <c r="AL474" s="63" t="s">
        <v>76</v>
      </c>
      <c r="AM474" s="63" t="s">
        <v>97</v>
      </c>
      <c r="AN474"/>
    </row>
    <row r="475" spans="1:40" ht="18" customHeight="1">
      <c r="A475" s="1" t="s">
        <v>1567</v>
      </c>
      <c r="B475" s="1" t="s">
        <v>1568</v>
      </c>
      <c r="C475" s="4">
        <v>46113</v>
      </c>
      <c r="D475" s="4">
        <v>46126</v>
      </c>
      <c r="E475" s="4">
        <v>46123</v>
      </c>
      <c r="F475" s="63" t="s">
        <v>80</v>
      </c>
      <c r="G475" s="63" t="s">
        <v>3839</v>
      </c>
      <c r="H475" s="63" t="s">
        <v>82</v>
      </c>
      <c r="I475" s="63" t="s">
        <v>34</v>
      </c>
      <c r="J475" s="63" t="s">
        <v>35</v>
      </c>
      <c r="K475" s="63" t="s">
        <v>1569</v>
      </c>
      <c r="L475" s="63" t="s">
        <v>180</v>
      </c>
      <c r="M475" s="69">
        <v>1353.96</v>
      </c>
      <c r="N475" s="63" t="s">
        <v>38</v>
      </c>
      <c r="O475" s="73">
        <f>_xlfn.XLOOKUP(Supplier_Perf_Table[[#This Row],[Currency]],'Comments 2'!$C$4:$C$16,'Comments 2'!$D$4:$D$16)</f>
        <v>7.7000000000000002E-3</v>
      </c>
      <c r="P475" s="69">
        <f>IFERROR(Supplier_Perf_Table[[#This Row],[Unit_Cost]]*Supplier_Perf_Table[[#This Row],[Dollar Equivalent]],"")</f>
        <v>10.425492</v>
      </c>
      <c r="Q475" s="75">
        <v>250</v>
      </c>
      <c r="R475" s="1">
        <v>338490</v>
      </c>
      <c r="S475" s="75">
        <f>Supplier_Perf_Table[[#This Row],[Unit_Cost]]*Supplier_Perf_Table[[#This Row],[Order_Quantity]]</f>
        <v>338490</v>
      </c>
      <c r="T475" s="75">
        <f>IFERROR(Supplier_Perf_Table[[#This Row],[Dollar Equivalent]]*Supplier_Perf_Table[[#This Row],[Ordered_Value]],"")</f>
        <v>2606.373</v>
      </c>
      <c r="U475" s="75">
        <v>3</v>
      </c>
      <c r="V475" s="7">
        <v>1.2E-2</v>
      </c>
      <c r="W475" s="75">
        <v>10</v>
      </c>
      <c r="X475" s="55">
        <f>IFERROR(Supplier_Perf_Table[[#This Row],[Actual_Delivery_Date]]-Supplier_Perf_Table[[#This Row],[Order Date]],"")</f>
        <v>10</v>
      </c>
      <c r="Y475" s="75">
        <v>13</v>
      </c>
      <c r="Z475" s="56">
        <f>IFERROR(Supplier_Perf_Table[[#This Row],[Expected Delivery_Date]]-Supplier_Perf_Table[[#This Row],[Order Date]],"")</f>
        <v>13</v>
      </c>
      <c r="AA475" s="56">
        <f>Supplier_Perf_Table[[#This Row],[Calculated_Lead_Time2]]-Supplier_Perf_Table[[#This Row],[Calculated_Expected_Lead_Time]]</f>
        <v>-3</v>
      </c>
      <c r="AB475" s="75">
        <v>-3</v>
      </c>
      <c r="AC475" s="63" t="s">
        <v>270</v>
      </c>
      <c r="AD475" s="63" t="s">
        <v>40</v>
      </c>
      <c r="AE475" s="63" t="s">
        <v>41</v>
      </c>
      <c r="AF475" s="63" t="s">
        <v>212</v>
      </c>
      <c r="AG475" s="63" t="s">
        <v>173</v>
      </c>
      <c r="AH475" s="63" t="s">
        <v>3112</v>
      </c>
      <c r="AI475" s="63" t="s">
        <v>191</v>
      </c>
      <c r="AJ475" s="63" t="s">
        <v>138</v>
      </c>
      <c r="AK475" s="83">
        <v>4.5999999999999996</v>
      </c>
      <c r="AL475" s="63" t="s">
        <v>45</v>
      </c>
      <c r="AM475" s="63" t="s">
        <v>619</v>
      </c>
      <c r="AN475"/>
    </row>
    <row r="476" spans="1:40" ht="18" customHeight="1">
      <c r="A476" s="1" t="s">
        <v>1570</v>
      </c>
      <c r="B476" s="1" t="s">
        <v>1571</v>
      </c>
      <c r="C476" s="4">
        <v>46200</v>
      </c>
      <c r="D476" s="4">
        <v>46214</v>
      </c>
      <c r="E476" s="4">
        <v>46219</v>
      </c>
      <c r="F476" s="63" t="s">
        <v>142</v>
      </c>
      <c r="G476" s="63" t="s">
        <v>3843</v>
      </c>
      <c r="H476" s="63" t="s">
        <v>169</v>
      </c>
      <c r="I476" s="63" t="s">
        <v>61</v>
      </c>
      <c r="J476" s="63" t="s">
        <v>153</v>
      </c>
      <c r="K476" s="63" t="s">
        <v>1572</v>
      </c>
      <c r="L476" s="63" t="s">
        <v>318</v>
      </c>
      <c r="M476" s="69">
        <v>819.81</v>
      </c>
      <c r="N476" s="63" t="s">
        <v>38</v>
      </c>
      <c r="O476" s="73">
        <f>_xlfn.XLOOKUP(Supplier_Perf_Table[[#This Row],[Currency]],'Comments 2'!$C$4:$C$16,'Comments 2'!$D$4:$D$16)</f>
        <v>7.7000000000000002E-3</v>
      </c>
      <c r="P476" s="69">
        <f>IFERROR(Supplier_Perf_Table[[#This Row],[Unit_Cost]]*Supplier_Perf_Table[[#This Row],[Dollar Equivalent]],"")</f>
        <v>6.3125369999999998</v>
      </c>
      <c r="Q476" s="75">
        <v>50</v>
      </c>
      <c r="R476" s="1">
        <v>40990.5</v>
      </c>
      <c r="S476" s="75">
        <f>Supplier_Perf_Table[[#This Row],[Unit_Cost]]*Supplier_Perf_Table[[#This Row],[Order_Quantity]]</f>
        <v>40990.5</v>
      </c>
      <c r="T476" s="75">
        <f>IFERROR(Supplier_Perf_Table[[#This Row],[Dollar Equivalent]]*Supplier_Perf_Table[[#This Row],[Ordered_Value]],"")</f>
        <v>315.62684999999999</v>
      </c>
      <c r="U476" s="75">
        <v>62</v>
      </c>
      <c r="V476" s="7">
        <v>0</v>
      </c>
      <c r="W476" s="75">
        <v>19</v>
      </c>
      <c r="X476" s="55">
        <f>IFERROR(Supplier_Perf_Table[[#This Row],[Actual_Delivery_Date]]-Supplier_Perf_Table[[#This Row],[Order Date]],"")</f>
        <v>19</v>
      </c>
      <c r="Y476" s="75">
        <v>14</v>
      </c>
      <c r="Z476" s="56">
        <f>IFERROR(Supplier_Perf_Table[[#This Row],[Expected Delivery_Date]]-Supplier_Perf_Table[[#This Row],[Order Date]],"")</f>
        <v>14</v>
      </c>
      <c r="AA476" s="56">
        <f>Supplier_Perf_Table[[#This Row],[Calculated_Lead_Time2]]-Supplier_Perf_Table[[#This Row],[Calculated_Expected_Lead_Time]]</f>
        <v>5</v>
      </c>
      <c r="AB476" s="75">
        <v>5</v>
      </c>
      <c r="AC476" s="63" t="s">
        <v>39</v>
      </c>
      <c r="AD476" s="63" t="s">
        <v>40</v>
      </c>
      <c r="AE476" s="63" t="s">
        <v>41</v>
      </c>
      <c r="AF476" s="63" t="s">
        <v>212</v>
      </c>
      <c r="AG476" s="63" t="s">
        <v>107</v>
      </c>
      <c r="AH476" s="63" t="s">
        <v>3112</v>
      </c>
      <c r="AI476" s="63" t="s">
        <v>147</v>
      </c>
      <c r="AJ476" s="63" t="s">
        <v>138</v>
      </c>
      <c r="AK476" s="83">
        <v>3.6</v>
      </c>
      <c r="AL476" s="63" t="s">
        <v>184</v>
      </c>
      <c r="AM476" s="63" t="s">
        <v>46</v>
      </c>
      <c r="AN476"/>
    </row>
    <row r="477" spans="1:40" ht="18" customHeight="1">
      <c r="A477" s="1" t="s">
        <v>1573</v>
      </c>
      <c r="B477" s="1" t="s">
        <v>1574</v>
      </c>
      <c r="C477" s="4">
        <v>46108</v>
      </c>
      <c r="D477" s="4">
        <v>46111</v>
      </c>
      <c r="E477" s="4">
        <v>46108</v>
      </c>
      <c r="F477" s="63" t="s">
        <v>151</v>
      </c>
      <c r="G477" s="63" t="s">
        <v>3844</v>
      </c>
      <c r="H477" s="63" t="s">
        <v>152</v>
      </c>
      <c r="I477" s="63" t="s">
        <v>83</v>
      </c>
      <c r="J477" s="63" t="s">
        <v>112</v>
      </c>
      <c r="K477" s="63" t="s">
        <v>1575</v>
      </c>
      <c r="L477" s="63" t="s">
        <v>114</v>
      </c>
      <c r="M477" s="69">
        <v>19.14</v>
      </c>
      <c r="N477" s="63" t="s">
        <v>104</v>
      </c>
      <c r="O477" s="73">
        <f>_xlfn.XLOOKUP(Supplier_Perf_Table[[#This Row],[Currency]],'Comments 2'!$C$4:$C$16,'Comments 2'!$D$4:$D$16)</f>
        <v>1.9E-2</v>
      </c>
      <c r="P477" s="69">
        <f>IFERROR(Supplier_Perf_Table[[#This Row],[Unit_Cost]]*Supplier_Perf_Table[[#This Row],[Dollar Equivalent]],"")</f>
        <v>0.36365999999999998</v>
      </c>
      <c r="Q477" s="75">
        <v>1000</v>
      </c>
      <c r="R477" s="1">
        <v>19140</v>
      </c>
      <c r="S477" s="75">
        <f>Supplier_Perf_Table[[#This Row],[Unit_Cost]]*Supplier_Perf_Table[[#This Row],[Order_Quantity]]</f>
        <v>19140</v>
      </c>
      <c r="T477" s="75">
        <f>IFERROR(Supplier_Perf_Table[[#This Row],[Dollar Equivalent]]*Supplier_Perf_Table[[#This Row],[Ordered_Value]],"")</f>
        <v>363.65999999999997</v>
      </c>
      <c r="U477" s="75">
        <v>0</v>
      </c>
      <c r="V477" s="7">
        <v>0</v>
      </c>
      <c r="W477" s="75">
        <v>0</v>
      </c>
      <c r="X477" s="55">
        <f>IFERROR(Supplier_Perf_Table[[#This Row],[Actual_Delivery_Date]]-Supplier_Perf_Table[[#This Row],[Order Date]],"")</f>
        <v>0</v>
      </c>
      <c r="Y477" s="75">
        <v>3</v>
      </c>
      <c r="Z477" s="56">
        <f>IFERROR(Supplier_Perf_Table[[#This Row],[Expected Delivery_Date]]-Supplier_Perf_Table[[#This Row],[Order Date]],"")</f>
        <v>3</v>
      </c>
      <c r="AA477" s="56">
        <f>Supplier_Perf_Table[[#This Row],[Calculated_Lead_Time2]]-Supplier_Perf_Table[[#This Row],[Calculated_Expected_Lead_Time]]</f>
        <v>-3</v>
      </c>
      <c r="AB477" s="75">
        <v>-3</v>
      </c>
      <c r="AC477" s="63" t="s">
        <v>87</v>
      </c>
      <c r="AD477" s="63" t="s">
        <v>40</v>
      </c>
      <c r="AE477" s="63" t="s">
        <v>41</v>
      </c>
      <c r="AF477" s="63" t="s">
        <v>212</v>
      </c>
      <c r="AG477" s="63" t="s">
        <v>3088</v>
      </c>
      <c r="AH477" s="63" t="s">
        <v>129</v>
      </c>
      <c r="AI477" s="63" t="s">
        <v>147</v>
      </c>
      <c r="AJ477" s="63" t="s">
        <v>138</v>
      </c>
      <c r="AK477" s="83">
        <v>4.4000000000000004</v>
      </c>
      <c r="AL477" s="63" t="s">
        <v>108</v>
      </c>
      <c r="AM477" s="63" t="s">
        <v>619</v>
      </c>
      <c r="AN477"/>
    </row>
    <row r="478" spans="1:40" ht="18" customHeight="1">
      <c r="A478" s="1" t="s">
        <v>1576</v>
      </c>
      <c r="B478" s="1" t="s">
        <v>1577</v>
      </c>
      <c r="C478" s="4">
        <v>46067</v>
      </c>
      <c r="D478" s="4">
        <v>46072</v>
      </c>
      <c r="E478" s="4">
        <v>46069</v>
      </c>
      <c r="F478" s="63" t="s">
        <v>215</v>
      </c>
      <c r="G478" s="63" t="s">
        <v>3846</v>
      </c>
      <c r="H478" s="63" t="s">
        <v>152</v>
      </c>
      <c r="I478" s="63" t="s">
        <v>120</v>
      </c>
      <c r="J478" s="63" t="s">
        <v>112</v>
      </c>
      <c r="K478" s="63" t="s">
        <v>1578</v>
      </c>
      <c r="L478" s="63" t="s">
        <v>246</v>
      </c>
      <c r="M478" s="69">
        <v>838.38</v>
      </c>
      <c r="N478" s="63" t="s">
        <v>38</v>
      </c>
      <c r="O478" s="73">
        <f>_xlfn.XLOOKUP(Supplier_Perf_Table[[#This Row],[Currency]],'Comments 2'!$C$4:$C$16,'Comments 2'!$D$4:$D$16)</f>
        <v>7.7000000000000002E-3</v>
      </c>
      <c r="P478" s="69">
        <f>IFERROR(Supplier_Perf_Table[[#This Row],[Unit_Cost]]*Supplier_Perf_Table[[#This Row],[Dollar Equivalent]],"")</f>
        <v>6.4555259999999999</v>
      </c>
      <c r="Q478" s="75">
        <v>50</v>
      </c>
      <c r="R478" s="1">
        <v>41919</v>
      </c>
      <c r="S478" s="75">
        <f>Supplier_Perf_Table[[#This Row],[Unit_Cost]]*Supplier_Perf_Table[[#This Row],[Order_Quantity]]</f>
        <v>41919</v>
      </c>
      <c r="T478" s="75">
        <f>IFERROR(Supplier_Perf_Table[[#This Row],[Dollar Equivalent]]*Supplier_Perf_Table[[#This Row],[Ordered_Value]],"")</f>
        <v>322.77629999999999</v>
      </c>
      <c r="U478" s="75">
        <v>0</v>
      </c>
      <c r="V478" s="7">
        <v>0</v>
      </c>
      <c r="W478" s="75">
        <v>2</v>
      </c>
      <c r="X478" s="55">
        <f>IFERROR(Supplier_Perf_Table[[#This Row],[Actual_Delivery_Date]]-Supplier_Perf_Table[[#This Row],[Order Date]],"")</f>
        <v>2</v>
      </c>
      <c r="Y478" s="75">
        <v>5</v>
      </c>
      <c r="Z478" s="56">
        <f>IFERROR(Supplier_Perf_Table[[#This Row],[Expected Delivery_Date]]-Supplier_Perf_Table[[#This Row],[Order Date]],"")</f>
        <v>5</v>
      </c>
      <c r="AA478" s="56">
        <f>Supplier_Perf_Table[[#This Row],[Calculated_Lead_Time2]]-Supplier_Perf_Table[[#This Row],[Calculated_Expected_Lead_Time]]</f>
        <v>-3</v>
      </c>
      <c r="AB478" s="75">
        <v>-3</v>
      </c>
      <c r="AC478" s="63" t="s">
        <v>270</v>
      </c>
      <c r="AD478" s="63" t="s">
        <v>40</v>
      </c>
      <c r="AE478" s="63" t="s">
        <v>146</v>
      </c>
      <c r="AF478" s="63" t="s">
        <v>3088</v>
      </c>
      <c r="AG478" s="63" t="s">
        <v>3088</v>
      </c>
      <c r="AH478" s="63" t="s">
        <v>88</v>
      </c>
      <c r="AI478" s="63" t="s">
        <v>138</v>
      </c>
      <c r="AJ478" s="63" t="s">
        <v>138</v>
      </c>
      <c r="AK478" s="83">
        <v>3.2</v>
      </c>
      <c r="AL478" s="63" t="s">
        <v>108</v>
      </c>
      <c r="AM478" s="63" t="s">
        <v>130</v>
      </c>
      <c r="AN478"/>
    </row>
    <row r="479" spans="1:40" ht="18" customHeight="1">
      <c r="A479" s="1" t="s">
        <v>1579</v>
      </c>
      <c r="B479" s="1" t="s">
        <v>1580</v>
      </c>
      <c r="C479" s="4">
        <v>46031</v>
      </c>
      <c r="D479" s="4">
        <v>46045</v>
      </c>
      <c r="E479" s="4">
        <v>46048</v>
      </c>
      <c r="F479" s="63" t="s">
        <v>90</v>
      </c>
      <c r="G479" s="63" t="s">
        <v>3840</v>
      </c>
      <c r="H479" s="63" t="s">
        <v>133</v>
      </c>
      <c r="I479" s="63" t="s">
        <v>49</v>
      </c>
      <c r="J479" s="63" t="s">
        <v>71</v>
      </c>
      <c r="K479" s="63" t="s">
        <v>1581</v>
      </c>
      <c r="L479" s="63" t="s">
        <v>73</v>
      </c>
      <c r="M479" s="69">
        <v>692.85</v>
      </c>
      <c r="N479" s="63" t="s">
        <v>53</v>
      </c>
      <c r="O479" s="73">
        <f>_xlfn.XLOOKUP(Supplier_Perf_Table[[#This Row],[Currency]],'Comments 2'!$C$4:$C$16,'Comments 2'!$D$4:$D$16)</f>
        <v>6.0999999999999999E-2</v>
      </c>
      <c r="P479" s="69">
        <f>IFERROR(Supplier_Perf_Table[[#This Row],[Unit_Cost]]*Supplier_Perf_Table[[#This Row],[Dollar Equivalent]],"")</f>
        <v>42.263849999999998</v>
      </c>
      <c r="Q479" s="75">
        <v>500</v>
      </c>
      <c r="R479" s="1">
        <v>346425</v>
      </c>
      <c r="S479" s="75">
        <f>Supplier_Perf_Table[[#This Row],[Unit_Cost]]*Supplier_Perf_Table[[#This Row],[Order_Quantity]]</f>
        <v>346425</v>
      </c>
      <c r="T479" s="75">
        <f>IFERROR(Supplier_Perf_Table[[#This Row],[Dollar Equivalent]]*Supplier_Perf_Table[[#This Row],[Ordered_Value]],"")</f>
        <v>21131.924999999999</v>
      </c>
      <c r="U479" s="75">
        <v>0</v>
      </c>
      <c r="V479" s="7">
        <v>0</v>
      </c>
      <c r="W479" s="75">
        <v>17</v>
      </c>
      <c r="X479" s="55">
        <f>IFERROR(Supplier_Perf_Table[[#This Row],[Actual_Delivery_Date]]-Supplier_Perf_Table[[#This Row],[Order Date]],"")</f>
        <v>17</v>
      </c>
      <c r="Y479" s="75">
        <v>14</v>
      </c>
      <c r="Z479" s="56">
        <f>IFERROR(Supplier_Perf_Table[[#This Row],[Expected Delivery_Date]]-Supplier_Perf_Table[[#This Row],[Order Date]],"")</f>
        <v>14</v>
      </c>
      <c r="AA479" s="56">
        <f>Supplier_Perf_Table[[#This Row],[Calculated_Lead_Time2]]-Supplier_Perf_Table[[#This Row],[Calculated_Expected_Lead_Time]]</f>
        <v>3</v>
      </c>
      <c r="AB479" s="75">
        <v>3</v>
      </c>
      <c r="AC479" s="63" t="s">
        <v>166</v>
      </c>
      <c r="AD479" s="63" t="s">
        <v>40</v>
      </c>
      <c r="AE479" s="63" t="s">
        <v>3088</v>
      </c>
      <c r="AF479" s="63" t="s">
        <v>3088</v>
      </c>
      <c r="AG479" s="63" t="s">
        <v>3088</v>
      </c>
      <c r="AH479" s="63" t="s">
        <v>136</v>
      </c>
      <c r="AI479" s="63" t="s">
        <v>191</v>
      </c>
      <c r="AJ479" s="63" t="s">
        <v>138</v>
      </c>
      <c r="AK479" s="83">
        <v>5</v>
      </c>
      <c r="AL479" s="63" t="s">
        <v>184</v>
      </c>
      <c r="AM479" s="63" t="s">
        <v>148</v>
      </c>
      <c r="AN479"/>
    </row>
    <row r="480" spans="1:40" ht="18" customHeight="1">
      <c r="A480" s="1" t="s">
        <v>1582</v>
      </c>
      <c r="B480" s="1" t="s">
        <v>1583</v>
      </c>
      <c r="C480" s="4">
        <v>46194</v>
      </c>
      <c r="D480" s="4">
        <v>46129</v>
      </c>
      <c r="E480" s="4">
        <v>46218</v>
      </c>
      <c r="F480" s="63" t="s">
        <v>100</v>
      </c>
      <c r="G480" s="63" t="s">
        <v>3841</v>
      </c>
      <c r="H480" s="63" t="s">
        <v>102</v>
      </c>
      <c r="I480" s="63" t="s">
        <v>120</v>
      </c>
      <c r="J480" s="63" t="s">
        <v>50</v>
      </c>
      <c r="K480" s="63" t="s">
        <v>1584</v>
      </c>
      <c r="L480" s="63" t="s">
        <v>52</v>
      </c>
      <c r="M480" s="69">
        <v>1046.44</v>
      </c>
      <c r="N480" s="63" t="s">
        <v>38</v>
      </c>
      <c r="O480" s="73">
        <f>_xlfn.XLOOKUP(Supplier_Perf_Table[[#This Row],[Currency]],'Comments 2'!$C$4:$C$16,'Comments 2'!$D$4:$D$16)</f>
        <v>7.7000000000000002E-3</v>
      </c>
      <c r="P480" s="69">
        <f>IFERROR(Supplier_Perf_Table[[#This Row],[Unit_Cost]]*Supplier_Perf_Table[[#This Row],[Dollar Equivalent]],"")</f>
        <v>8.0575880000000009</v>
      </c>
      <c r="Q480" s="75">
        <v>750</v>
      </c>
      <c r="R480" s="1">
        <v>784830</v>
      </c>
      <c r="S480" s="75">
        <f>Supplier_Perf_Table[[#This Row],[Unit_Cost]]*Supplier_Perf_Table[[#This Row],[Order_Quantity]]</f>
        <v>784830</v>
      </c>
      <c r="T480" s="75">
        <f>IFERROR(Supplier_Perf_Table[[#This Row],[Dollar Equivalent]]*Supplier_Perf_Table[[#This Row],[Ordered_Value]],"")</f>
        <v>6043.1909999999998</v>
      </c>
      <c r="U480" s="75">
        <v>0</v>
      </c>
      <c r="V480" s="7">
        <v>0</v>
      </c>
      <c r="W480" s="75">
        <v>24</v>
      </c>
      <c r="X480" s="55">
        <f>IFERROR(Supplier_Perf_Table[[#This Row],[Actual_Delivery_Date]]-Supplier_Perf_Table[[#This Row],[Order Date]],"")</f>
        <v>24</v>
      </c>
      <c r="Y480" s="75" t="s">
        <v>3080</v>
      </c>
      <c r="Z480" s="56">
        <v>8</v>
      </c>
      <c r="AA480" s="56">
        <f>Supplier_Perf_Table[[#This Row],[Calculated_Lead_Time2]]-Supplier_Perf_Table[[#This Row],[Calculated_Expected_Lead_Time]]</f>
        <v>16</v>
      </c>
      <c r="AB480" s="75">
        <v>8</v>
      </c>
      <c r="AC480" s="63" t="s">
        <v>135</v>
      </c>
      <c r="AD480" s="63" t="s">
        <v>40</v>
      </c>
      <c r="AE480" s="63" t="s">
        <v>105</v>
      </c>
      <c r="AF480" s="63" t="s">
        <v>66</v>
      </c>
      <c r="AG480" s="63" t="s">
        <v>3088</v>
      </c>
      <c r="AH480" s="63" t="s">
        <v>3112</v>
      </c>
      <c r="AI480" s="63" t="s">
        <v>138</v>
      </c>
      <c r="AJ480" s="63" t="s">
        <v>138</v>
      </c>
      <c r="AK480" s="83">
        <v>1.3</v>
      </c>
      <c r="AL480" s="63" t="s">
        <v>45</v>
      </c>
      <c r="AM480" s="63" t="s">
        <v>46</v>
      </c>
      <c r="AN480"/>
    </row>
    <row r="481" spans="1:40" ht="18" customHeight="1">
      <c r="A481" s="63" t="s">
        <v>1585</v>
      </c>
      <c r="B481" s="63" t="s">
        <v>1586</v>
      </c>
      <c r="C481" s="4">
        <v>46197</v>
      </c>
      <c r="D481" s="4">
        <v>46217</v>
      </c>
      <c r="E481" s="4">
        <v>46212</v>
      </c>
      <c r="F481" s="63" t="s">
        <v>142</v>
      </c>
      <c r="G481" s="63" t="s">
        <v>3843</v>
      </c>
      <c r="H481" s="63" t="s">
        <v>169</v>
      </c>
      <c r="I481" s="63" t="s">
        <v>34</v>
      </c>
      <c r="J481" s="63" t="s">
        <v>62</v>
      </c>
      <c r="K481" s="63" t="s">
        <v>1587</v>
      </c>
      <c r="L481" s="63" t="s">
        <v>225</v>
      </c>
      <c r="M481" s="69">
        <v>312.10000000000002</v>
      </c>
      <c r="N481" s="63" t="s">
        <v>104</v>
      </c>
      <c r="O481" s="73">
        <f>_xlfn.XLOOKUP(Supplier_Perf_Table[[#This Row],[Currency]],'Comments 2'!$C$4:$C$16,'Comments 2'!$D$4:$D$16)</f>
        <v>1.9E-2</v>
      </c>
      <c r="P481" s="69">
        <f>IFERROR(Supplier_Perf_Table[[#This Row],[Unit_Cost]]*Supplier_Perf_Table[[#This Row],[Dollar Equivalent]],"")</f>
        <v>5.9298999999999999</v>
      </c>
      <c r="Q481" s="75">
        <v>50</v>
      </c>
      <c r="R481" s="1">
        <v>15605</v>
      </c>
      <c r="S481" s="75">
        <f>Supplier_Perf_Table[[#This Row],[Unit_Cost]]*Supplier_Perf_Table[[#This Row],[Order_Quantity]]</f>
        <v>15605.000000000002</v>
      </c>
      <c r="T481" s="75">
        <f>IFERROR(Supplier_Perf_Table[[#This Row],[Dollar Equivalent]]*Supplier_Perf_Table[[#This Row],[Ordered_Value]],"")</f>
        <v>296.495</v>
      </c>
      <c r="U481" s="75">
        <v>1</v>
      </c>
      <c r="V481" s="7">
        <v>0.02</v>
      </c>
      <c r="W481" s="75">
        <v>15</v>
      </c>
      <c r="X481" s="55">
        <f>IFERROR(Supplier_Perf_Table[[#This Row],[Actual_Delivery_Date]]-Supplier_Perf_Table[[#This Row],[Order Date]],"")</f>
        <v>15</v>
      </c>
      <c r="Y481" s="75">
        <v>20</v>
      </c>
      <c r="Z481" s="56">
        <f>IFERROR(Supplier_Perf_Table[[#This Row],[Expected Delivery_Date]]-Supplier_Perf_Table[[#This Row],[Order Date]],"")</f>
        <v>20</v>
      </c>
      <c r="AA481" s="56">
        <f>Supplier_Perf_Table[[#This Row],[Calculated_Lead_Time2]]-Supplier_Perf_Table[[#This Row],[Calculated_Expected_Lead_Time]]</f>
        <v>-5</v>
      </c>
      <c r="AB481" s="75">
        <v>-5</v>
      </c>
      <c r="AC481" s="63" t="s">
        <v>270</v>
      </c>
      <c r="AD481" s="63" t="s">
        <v>40</v>
      </c>
      <c r="AE481" s="63" t="s">
        <v>127</v>
      </c>
      <c r="AF481" s="63" t="s">
        <v>190</v>
      </c>
      <c r="AG481" s="63" t="s">
        <v>173</v>
      </c>
      <c r="AH481" s="63" t="s">
        <v>174</v>
      </c>
      <c r="AI481" s="63" t="s">
        <v>95</v>
      </c>
      <c r="AJ481" s="63" t="s">
        <v>138</v>
      </c>
      <c r="AK481" s="83">
        <v>3.7</v>
      </c>
      <c r="AL481" s="63" t="s">
        <v>108</v>
      </c>
      <c r="AM481" s="63" t="s">
        <v>130</v>
      </c>
      <c r="AN481"/>
    </row>
    <row r="482" spans="1:40" ht="18" customHeight="1">
      <c r="A482" s="1" t="s">
        <v>1588</v>
      </c>
      <c r="B482" s="1" t="s">
        <v>1589</v>
      </c>
      <c r="C482" s="4">
        <v>46115</v>
      </c>
      <c r="D482" s="4">
        <v>46129</v>
      </c>
      <c r="E482" s="4">
        <v>46144</v>
      </c>
      <c r="F482" s="63" t="s">
        <v>48</v>
      </c>
      <c r="G482" s="63" t="s">
        <v>3836</v>
      </c>
      <c r="H482" s="63" t="s">
        <v>102</v>
      </c>
      <c r="I482" s="63" t="s">
        <v>92</v>
      </c>
      <c r="J482" s="63" t="s">
        <v>112</v>
      </c>
      <c r="K482" s="63" t="s">
        <v>1031</v>
      </c>
      <c r="L482" s="63" t="s">
        <v>246</v>
      </c>
      <c r="M482" s="69">
        <v>164.6</v>
      </c>
      <c r="N482" s="63" t="s">
        <v>159</v>
      </c>
      <c r="O482" s="73">
        <f>_xlfn.XLOOKUP(Supplier_Perf_Table[[#This Row],[Currency]],'Comments 2'!$C$4:$C$16,'Comments 2'!$D$4:$D$16)</f>
        <v>7.2999999999999996E-4</v>
      </c>
      <c r="P482" s="69">
        <f>IFERROR(Supplier_Perf_Table[[#This Row],[Unit_Cost]]*Supplier_Perf_Table[[#This Row],[Dollar Equivalent]],"")</f>
        <v>0.12015799999999999</v>
      </c>
      <c r="Q482" s="75">
        <v>750</v>
      </c>
      <c r="R482" s="1">
        <v>123450</v>
      </c>
      <c r="S482" s="75">
        <f>Supplier_Perf_Table[[#This Row],[Unit_Cost]]*Supplier_Perf_Table[[#This Row],[Order_Quantity]]</f>
        <v>123450</v>
      </c>
      <c r="T482" s="75">
        <f>IFERROR(Supplier_Perf_Table[[#This Row],[Dollar Equivalent]]*Supplier_Perf_Table[[#This Row],[Ordered_Value]],"")</f>
        <v>90.118499999999997</v>
      </c>
      <c r="U482" s="75">
        <v>34</v>
      </c>
      <c r="V482" s="7">
        <v>4.53E-2</v>
      </c>
      <c r="W482" s="75">
        <v>29</v>
      </c>
      <c r="X482" s="55">
        <f>IFERROR(Supplier_Perf_Table[[#This Row],[Actual_Delivery_Date]]-Supplier_Perf_Table[[#This Row],[Order Date]],"")</f>
        <v>29</v>
      </c>
      <c r="Y482" s="75">
        <v>14</v>
      </c>
      <c r="Z482" s="56">
        <f>IFERROR(Supplier_Perf_Table[[#This Row],[Expected Delivery_Date]]-Supplier_Perf_Table[[#This Row],[Order Date]],"")</f>
        <v>14</v>
      </c>
      <c r="AA482" s="56">
        <f>Supplier_Perf_Table[[#This Row],[Calculated_Lead_Time2]]-Supplier_Perf_Table[[#This Row],[Calculated_Expected_Lead_Time]]</f>
        <v>15</v>
      </c>
      <c r="AB482" s="75">
        <v>15</v>
      </c>
      <c r="AC482" s="63" t="s">
        <v>39</v>
      </c>
      <c r="AD482" s="63" t="s">
        <v>420</v>
      </c>
      <c r="AE482" s="63" t="s">
        <v>127</v>
      </c>
      <c r="AF482" s="63" t="s">
        <v>212</v>
      </c>
      <c r="AG482" s="63" t="s">
        <v>128</v>
      </c>
      <c r="AH482" s="63" t="s">
        <v>174</v>
      </c>
      <c r="AI482" s="63" t="s">
        <v>147</v>
      </c>
      <c r="AJ482" s="63" t="s">
        <v>373</v>
      </c>
      <c r="AK482" s="83">
        <v>1.8</v>
      </c>
      <c r="AL482" s="63" t="s">
        <v>115</v>
      </c>
      <c r="AM482" s="63" t="s">
        <v>185</v>
      </c>
      <c r="AN482"/>
    </row>
    <row r="483" spans="1:40" ht="18" customHeight="1">
      <c r="A483" s="1" t="s">
        <v>1590</v>
      </c>
      <c r="B483" s="1" t="s">
        <v>1591</v>
      </c>
      <c r="C483" s="4">
        <v>46134</v>
      </c>
      <c r="D483" s="4">
        <v>46152</v>
      </c>
      <c r="E483" s="4">
        <v>46149</v>
      </c>
      <c r="F483" s="63" t="s">
        <v>118</v>
      </c>
      <c r="G483" s="63" t="s">
        <v>3842</v>
      </c>
      <c r="H483" s="63" t="s">
        <v>301</v>
      </c>
      <c r="I483" s="63" t="s">
        <v>34</v>
      </c>
      <c r="J483" s="63" t="s">
        <v>62</v>
      </c>
      <c r="K483" s="63" t="s">
        <v>1592</v>
      </c>
      <c r="L483" s="63" t="s">
        <v>122</v>
      </c>
      <c r="M483" s="69">
        <v>602.89</v>
      </c>
      <c r="N483" s="63" t="s">
        <v>159</v>
      </c>
      <c r="O483" s="73">
        <f>_xlfn.XLOOKUP(Supplier_Perf_Table[[#This Row],[Currency]],'Comments 2'!$C$4:$C$16,'Comments 2'!$D$4:$D$16)</f>
        <v>7.2999999999999996E-4</v>
      </c>
      <c r="P483" s="69">
        <f>IFERROR(Supplier_Perf_Table[[#This Row],[Unit_Cost]]*Supplier_Perf_Table[[#This Row],[Dollar Equivalent]],"")</f>
        <v>0.44010969999999999</v>
      </c>
      <c r="Q483" s="75">
        <v>150</v>
      </c>
      <c r="R483" s="1">
        <v>90433.5</v>
      </c>
      <c r="S483" s="75">
        <f>Supplier_Perf_Table[[#This Row],[Unit_Cost]]*Supplier_Perf_Table[[#This Row],[Order_Quantity]]</f>
        <v>90433.5</v>
      </c>
      <c r="T483" s="75">
        <f>IFERROR(Supplier_Perf_Table[[#This Row],[Dollar Equivalent]]*Supplier_Perf_Table[[#This Row],[Ordered_Value]],"")</f>
        <v>66.016454999999993</v>
      </c>
      <c r="U483" s="75">
        <v>6</v>
      </c>
      <c r="V483" s="7">
        <v>0.04</v>
      </c>
      <c r="W483" s="75">
        <v>15</v>
      </c>
      <c r="X483" s="55">
        <f>IFERROR(Supplier_Perf_Table[[#This Row],[Actual_Delivery_Date]]-Supplier_Perf_Table[[#This Row],[Order Date]],"")</f>
        <v>15</v>
      </c>
      <c r="Y483" s="75">
        <v>18</v>
      </c>
      <c r="Z483" s="56">
        <f>IFERROR(Supplier_Perf_Table[[#This Row],[Expected Delivery_Date]]-Supplier_Perf_Table[[#This Row],[Order Date]],"")</f>
        <v>18</v>
      </c>
      <c r="AA483" s="56">
        <f>Supplier_Perf_Table[[#This Row],[Calculated_Lead_Time2]]-Supplier_Perf_Table[[#This Row],[Calculated_Expected_Lead_Time]]</f>
        <v>-3</v>
      </c>
      <c r="AB483" s="75">
        <v>-3</v>
      </c>
      <c r="AC483" s="63" t="s">
        <v>87</v>
      </c>
      <c r="AD483" s="63" t="s">
        <v>40</v>
      </c>
      <c r="AE483" s="63" t="s">
        <v>3088</v>
      </c>
      <c r="AF483" s="63" t="s">
        <v>190</v>
      </c>
      <c r="AG483" s="63" t="s">
        <v>54</v>
      </c>
      <c r="AH483" s="63" t="s">
        <v>206</v>
      </c>
      <c r="AI483" s="63" t="s">
        <v>191</v>
      </c>
      <c r="AJ483" s="63" t="s">
        <v>138</v>
      </c>
      <c r="AK483" s="83">
        <v>3.9</v>
      </c>
      <c r="AL483" s="63" t="s">
        <v>115</v>
      </c>
      <c r="AM483" s="63" t="s">
        <v>130</v>
      </c>
      <c r="AN483"/>
    </row>
    <row r="484" spans="1:40" ht="18" customHeight="1">
      <c r="A484" s="1" t="s">
        <v>1593</v>
      </c>
      <c r="B484" s="1" t="s">
        <v>1594</v>
      </c>
      <c r="C484" s="4">
        <v>46113</v>
      </c>
      <c r="D484" s="4">
        <v>46120</v>
      </c>
      <c r="E484" s="4">
        <v>46117</v>
      </c>
      <c r="F484" s="63" t="s">
        <v>162</v>
      </c>
      <c r="G484" s="63" t="s">
        <v>3847</v>
      </c>
      <c r="H484" s="63" t="s">
        <v>152</v>
      </c>
      <c r="I484" s="63" t="s">
        <v>120</v>
      </c>
      <c r="J484" s="63" t="s">
        <v>163</v>
      </c>
      <c r="K484" s="63" t="s">
        <v>1595</v>
      </c>
      <c r="L484" s="63" t="s">
        <v>165</v>
      </c>
      <c r="M484" s="69">
        <v>1248.92</v>
      </c>
      <c r="N484" s="63" t="s">
        <v>104</v>
      </c>
      <c r="O484" s="73">
        <f>_xlfn.XLOOKUP(Supplier_Perf_Table[[#This Row],[Currency]],'Comments 2'!$C$4:$C$16,'Comments 2'!$D$4:$D$16)</f>
        <v>1.9E-2</v>
      </c>
      <c r="P484" s="69">
        <f>IFERROR(Supplier_Perf_Table[[#This Row],[Unit_Cost]]*Supplier_Perf_Table[[#This Row],[Dollar Equivalent]],"")</f>
        <v>23.729480000000002</v>
      </c>
      <c r="Q484" s="75">
        <v>300</v>
      </c>
      <c r="R484" s="1">
        <v>374676</v>
      </c>
      <c r="S484" s="75">
        <f>Supplier_Perf_Table[[#This Row],[Unit_Cost]]*Supplier_Perf_Table[[#This Row],[Order_Quantity]]</f>
        <v>374676</v>
      </c>
      <c r="T484" s="75">
        <f>IFERROR(Supplier_Perf_Table[[#This Row],[Dollar Equivalent]]*Supplier_Perf_Table[[#This Row],[Ordered_Value]],"")</f>
        <v>7118.8440000000001</v>
      </c>
      <c r="U484" s="75">
        <v>0</v>
      </c>
      <c r="V484" s="7">
        <v>0</v>
      </c>
      <c r="W484" s="75">
        <v>4</v>
      </c>
      <c r="X484" s="55">
        <f>IFERROR(Supplier_Perf_Table[[#This Row],[Actual_Delivery_Date]]-Supplier_Perf_Table[[#This Row],[Order Date]],"")</f>
        <v>4</v>
      </c>
      <c r="Y484" s="75">
        <v>7</v>
      </c>
      <c r="Z484" s="56">
        <f>IFERROR(Supplier_Perf_Table[[#This Row],[Expected Delivery_Date]]-Supplier_Perf_Table[[#This Row],[Order Date]],"")</f>
        <v>7</v>
      </c>
      <c r="AA484" s="56">
        <f>Supplier_Perf_Table[[#This Row],[Calculated_Lead_Time2]]-Supplier_Perf_Table[[#This Row],[Calculated_Expected_Lead_Time]]</f>
        <v>-3</v>
      </c>
      <c r="AB484" s="75">
        <v>-3</v>
      </c>
      <c r="AC484" s="63" t="s">
        <v>87</v>
      </c>
      <c r="AD484" s="63" t="s">
        <v>40</v>
      </c>
      <c r="AE484" s="63" t="s">
        <v>41</v>
      </c>
      <c r="AF484" s="63" t="s">
        <v>106</v>
      </c>
      <c r="AG484" s="63" t="s">
        <v>173</v>
      </c>
      <c r="AH484" s="63" t="s">
        <v>129</v>
      </c>
      <c r="AI484" s="63" t="s">
        <v>137</v>
      </c>
      <c r="AJ484" s="63" t="s">
        <v>138</v>
      </c>
      <c r="AK484" s="83">
        <v>2.5</v>
      </c>
      <c r="AL484" s="63" t="s">
        <v>139</v>
      </c>
      <c r="AM484" s="63" t="s">
        <v>138</v>
      </c>
      <c r="AN484"/>
    </row>
    <row r="485" spans="1:40" ht="18" customHeight="1">
      <c r="A485" s="1" t="s">
        <v>1596</v>
      </c>
      <c r="B485" s="1" t="s">
        <v>1597</v>
      </c>
      <c r="C485" s="4">
        <v>46023</v>
      </c>
      <c r="D485" s="4">
        <v>46034</v>
      </c>
      <c r="E485" s="4">
        <v>46039</v>
      </c>
      <c r="F485" s="63" t="s">
        <v>60</v>
      </c>
      <c r="G485" s="63" t="s">
        <v>3837</v>
      </c>
      <c r="H485" s="63" t="s">
        <v>152</v>
      </c>
      <c r="I485" s="63" t="s">
        <v>92</v>
      </c>
      <c r="J485" s="63" t="s">
        <v>35</v>
      </c>
      <c r="K485" s="63" t="s">
        <v>1598</v>
      </c>
      <c r="L485" s="63" t="s">
        <v>37</v>
      </c>
      <c r="M485" s="69">
        <v>747.98</v>
      </c>
      <c r="N485" s="63" t="s">
        <v>38</v>
      </c>
      <c r="O485" s="73">
        <f>_xlfn.XLOOKUP(Supplier_Perf_Table[[#This Row],[Currency]],'Comments 2'!$C$4:$C$16,'Comments 2'!$D$4:$D$16)</f>
        <v>7.7000000000000002E-3</v>
      </c>
      <c r="P485" s="69">
        <f>IFERROR(Supplier_Perf_Table[[#This Row],[Unit_Cost]]*Supplier_Perf_Table[[#This Row],[Dollar Equivalent]],"")</f>
        <v>5.7594460000000005</v>
      </c>
      <c r="Q485" s="75">
        <v>500</v>
      </c>
      <c r="R485" s="1">
        <v>373990</v>
      </c>
      <c r="S485" s="75">
        <f>Supplier_Perf_Table[[#This Row],[Unit_Cost]]*Supplier_Perf_Table[[#This Row],[Order_Quantity]]</f>
        <v>373990</v>
      </c>
      <c r="T485" s="75">
        <f>IFERROR(Supplier_Perf_Table[[#This Row],[Dollar Equivalent]]*Supplier_Perf_Table[[#This Row],[Ordered_Value]],"")</f>
        <v>2879.723</v>
      </c>
      <c r="U485" s="75">
        <v>32</v>
      </c>
      <c r="V485" s="7">
        <v>6.4000000000000001E-2</v>
      </c>
      <c r="W485" s="75">
        <v>16</v>
      </c>
      <c r="X485" s="55">
        <f>IFERROR(Supplier_Perf_Table[[#This Row],[Actual_Delivery_Date]]-Supplier_Perf_Table[[#This Row],[Order Date]],"")</f>
        <v>16</v>
      </c>
      <c r="Y485" s="75">
        <v>11</v>
      </c>
      <c r="Z485" s="56">
        <f>IFERROR(Supplier_Perf_Table[[#This Row],[Expected Delivery_Date]]-Supplier_Perf_Table[[#This Row],[Order Date]],"")</f>
        <v>11</v>
      </c>
      <c r="AA485" s="56">
        <f>Supplier_Perf_Table[[#This Row],[Calculated_Lead_Time2]]-Supplier_Perf_Table[[#This Row],[Calculated_Expected_Lead_Time]]</f>
        <v>5</v>
      </c>
      <c r="AB485" s="75">
        <v>5</v>
      </c>
      <c r="AC485" s="63" t="s">
        <v>135</v>
      </c>
      <c r="AD485" s="63" t="s">
        <v>420</v>
      </c>
      <c r="AE485" s="63" t="s">
        <v>41</v>
      </c>
      <c r="AF485" s="63" t="s">
        <v>66</v>
      </c>
      <c r="AG485" s="63" t="s">
        <v>173</v>
      </c>
      <c r="AH485" s="63" t="s">
        <v>3112</v>
      </c>
      <c r="AI485" s="63" t="s">
        <v>44</v>
      </c>
      <c r="AJ485" s="63" t="s">
        <v>283</v>
      </c>
      <c r="AK485" s="83">
        <v>1.2</v>
      </c>
      <c r="AL485" s="63" t="s">
        <v>45</v>
      </c>
      <c r="AM485" s="63" t="s">
        <v>77</v>
      </c>
      <c r="AN485"/>
    </row>
    <row r="486" spans="1:40" ht="18" customHeight="1">
      <c r="A486" s="1" t="s">
        <v>1599</v>
      </c>
      <c r="B486" s="1" t="s">
        <v>1600</v>
      </c>
      <c r="C486" s="4">
        <v>46159</v>
      </c>
      <c r="D486" s="4">
        <v>46176</v>
      </c>
      <c r="E486" s="4">
        <v>46174</v>
      </c>
      <c r="F486" s="63" t="s">
        <v>90</v>
      </c>
      <c r="G486" s="63" t="s">
        <v>3840</v>
      </c>
      <c r="H486" s="63" t="s">
        <v>133</v>
      </c>
      <c r="I486" s="63" t="s">
        <v>70</v>
      </c>
      <c r="J486" s="63" t="s">
        <v>71</v>
      </c>
      <c r="K486" s="63" t="s">
        <v>1601</v>
      </c>
      <c r="L486" s="63" t="s">
        <v>337</v>
      </c>
      <c r="M486" s="69">
        <v>678.06</v>
      </c>
      <c r="N486" s="63" t="s">
        <v>65</v>
      </c>
      <c r="O486" s="73">
        <f>_xlfn.XLOOKUP(Supplier_Perf_Table[[#This Row],[Currency]],'Comments 2'!$C$4:$C$16,'Comments 2'!$D$4:$D$16)</f>
        <v>1</v>
      </c>
      <c r="P486" s="69">
        <f>IFERROR(Supplier_Perf_Table[[#This Row],[Unit_Cost]]*Supplier_Perf_Table[[#This Row],[Dollar Equivalent]],"")</f>
        <v>678.06</v>
      </c>
      <c r="Q486" s="75">
        <v>1000</v>
      </c>
      <c r="R486" s="1">
        <v>678060</v>
      </c>
      <c r="S486" s="75">
        <f>Supplier_Perf_Table[[#This Row],[Unit_Cost]]*Supplier_Perf_Table[[#This Row],[Order_Quantity]]</f>
        <v>678060</v>
      </c>
      <c r="T486" s="75">
        <f>IFERROR(Supplier_Perf_Table[[#This Row],[Dollar Equivalent]]*Supplier_Perf_Table[[#This Row],[Ordered_Value]],"")</f>
        <v>678060</v>
      </c>
      <c r="U486" s="75">
        <v>57</v>
      </c>
      <c r="V486" s="7">
        <v>5.7000000000000002E-2</v>
      </c>
      <c r="W486" s="75">
        <v>15</v>
      </c>
      <c r="X486" s="55">
        <f>IFERROR(Supplier_Perf_Table[[#This Row],[Actual_Delivery_Date]]-Supplier_Perf_Table[[#This Row],[Order Date]],"")</f>
        <v>15</v>
      </c>
      <c r="Y486" s="75">
        <v>17</v>
      </c>
      <c r="Z486" s="56">
        <f>IFERROR(Supplier_Perf_Table[[#This Row],[Expected Delivery_Date]]-Supplier_Perf_Table[[#This Row],[Order Date]],"")</f>
        <v>17</v>
      </c>
      <c r="AA486" s="56">
        <f>Supplier_Perf_Table[[#This Row],[Calculated_Lead_Time2]]-Supplier_Perf_Table[[#This Row],[Calculated_Expected_Lead_Time]]</f>
        <v>-2</v>
      </c>
      <c r="AB486" s="75">
        <v>-2</v>
      </c>
      <c r="AC486" s="63" t="s">
        <v>87</v>
      </c>
      <c r="AD486" s="63" t="s">
        <v>420</v>
      </c>
      <c r="AE486" s="63" t="s">
        <v>41</v>
      </c>
      <c r="AF486" s="63" t="s">
        <v>42</v>
      </c>
      <c r="AG486" s="63" t="s">
        <v>128</v>
      </c>
      <c r="AH486" s="63" t="s">
        <v>206</v>
      </c>
      <c r="AI486" s="63" t="s">
        <v>44</v>
      </c>
      <c r="AJ486" s="63" t="s">
        <v>75</v>
      </c>
      <c r="AK486" s="83">
        <v>1.8</v>
      </c>
      <c r="AL486" s="63" t="s">
        <v>76</v>
      </c>
      <c r="AM486" s="63" t="s">
        <v>97</v>
      </c>
      <c r="AN486"/>
    </row>
    <row r="487" spans="1:40" ht="18" customHeight="1">
      <c r="A487" s="1" t="s">
        <v>1602</v>
      </c>
      <c r="B487" s="1" t="s">
        <v>1603</v>
      </c>
      <c r="C487" s="4">
        <v>46064</v>
      </c>
      <c r="D487" s="4">
        <v>46071</v>
      </c>
      <c r="E487" s="4">
        <v>46067</v>
      </c>
      <c r="F487" s="63" t="s">
        <v>60</v>
      </c>
      <c r="G487" s="63" t="s">
        <v>3837</v>
      </c>
      <c r="H487" s="63" t="s">
        <v>152</v>
      </c>
      <c r="I487" s="63" t="s">
        <v>120</v>
      </c>
      <c r="J487" s="63" t="s">
        <v>35</v>
      </c>
      <c r="K487" s="63" t="s">
        <v>1604</v>
      </c>
      <c r="L487" s="63" t="s">
        <v>180</v>
      </c>
      <c r="M487" s="69">
        <v>317.04000000000002</v>
      </c>
      <c r="N487" s="63" t="s">
        <v>159</v>
      </c>
      <c r="O487" s="73">
        <f>_xlfn.XLOOKUP(Supplier_Perf_Table[[#This Row],[Currency]],'Comments 2'!$C$4:$C$16,'Comments 2'!$D$4:$D$16)</f>
        <v>7.2999999999999996E-4</v>
      </c>
      <c r="P487" s="69">
        <f>IFERROR(Supplier_Perf_Table[[#This Row],[Unit_Cost]]*Supplier_Perf_Table[[#This Row],[Dollar Equivalent]],"")</f>
        <v>0.23143920000000001</v>
      </c>
      <c r="Q487" s="75">
        <v>50</v>
      </c>
      <c r="R487" s="1" t="s">
        <v>3080</v>
      </c>
      <c r="S487" s="75">
        <f>Supplier_Perf_Table[[#This Row],[Unit_Cost]]*Supplier_Perf_Table[[#This Row],[Order_Quantity]]</f>
        <v>15852.000000000002</v>
      </c>
      <c r="T487" s="75" t="str">
        <f>IFERROR(Supplier_Perf_Table[[#This Row],[Dollar Equivalent]]*Supplier_Perf_Table[[#This Row],[Ordered_Value]],"")</f>
        <v/>
      </c>
      <c r="U487" s="75">
        <v>0</v>
      </c>
      <c r="V487" s="7">
        <v>0</v>
      </c>
      <c r="W487" s="75">
        <v>3</v>
      </c>
      <c r="X487" s="55">
        <f>IFERROR(Supplier_Perf_Table[[#This Row],[Actual_Delivery_Date]]-Supplier_Perf_Table[[#This Row],[Order Date]],"")</f>
        <v>3</v>
      </c>
      <c r="Y487" s="75">
        <v>7</v>
      </c>
      <c r="Z487" s="56">
        <f>IFERROR(Supplier_Perf_Table[[#This Row],[Expected Delivery_Date]]-Supplier_Perf_Table[[#This Row],[Order Date]],"")</f>
        <v>7</v>
      </c>
      <c r="AA487" s="56">
        <f>Supplier_Perf_Table[[#This Row],[Calculated_Lead_Time2]]-Supplier_Perf_Table[[#This Row],[Calculated_Expected_Lead_Time]]</f>
        <v>-4</v>
      </c>
      <c r="AB487" s="75">
        <v>-4</v>
      </c>
      <c r="AC487" s="63" t="s">
        <v>87</v>
      </c>
      <c r="AD487" s="63" t="s">
        <v>40</v>
      </c>
      <c r="AE487" s="63" t="s">
        <v>105</v>
      </c>
      <c r="AF487" s="63" t="s">
        <v>42</v>
      </c>
      <c r="AG487" s="63" t="s">
        <v>43</v>
      </c>
      <c r="AH487" s="63" t="s">
        <v>3112</v>
      </c>
      <c r="AI487" s="63" t="s">
        <v>138</v>
      </c>
      <c r="AJ487" s="63" t="s">
        <v>138</v>
      </c>
      <c r="AK487" s="83">
        <v>2.2999999999999998</v>
      </c>
      <c r="AL487" s="63" t="s">
        <v>184</v>
      </c>
      <c r="AM487" s="63" t="s">
        <v>138</v>
      </c>
      <c r="AN487"/>
    </row>
    <row r="488" spans="1:40" ht="18" customHeight="1">
      <c r="A488" s="1" t="s">
        <v>1605</v>
      </c>
      <c r="B488" s="1" t="s">
        <v>1606</v>
      </c>
      <c r="C488" s="4">
        <v>46117</v>
      </c>
      <c r="D488" s="4">
        <v>46136</v>
      </c>
      <c r="E488" s="4">
        <v>46135</v>
      </c>
      <c r="F488" s="63" t="s">
        <v>32</v>
      </c>
      <c r="G488" s="63" t="s">
        <v>3835</v>
      </c>
      <c r="H488" s="63" t="s">
        <v>177</v>
      </c>
      <c r="I488" s="63" t="s">
        <v>61</v>
      </c>
      <c r="J488" s="63" t="s">
        <v>35</v>
      </c>
      <c r="K488" s="63" t="s">
        <v>1607</v>
      </c>
      <c r="L488" s="63" t="s">
        <v>37</v>
      </c>
      <c r="M488" s="69">
        <v>1774.55</v>
      </c>
      <c r="N488" s="63" t="s">
        <v>65</v>
      </c>
      <c r="O488" s="73">
        <f>_xlfn.XLOOKUP(Supplier_Perf_Table[[#This Row],[Currency]],'Comments 2'!$C$4:$C$16,'Comments 2'!$D$4:$D$16)</f>
        <v>1</v>
      </c>
      <c r="P488" s="69">
        <f>IFERROR(Supplier_Perf_Table[[#This Row],[Unit_Cost]]*Supplier_Perf_Table[[#This Row],[Dollar Equivalent]],"")</f>
        <v>1774.55</v>
      </c>
      <c r="Q488" s="75">
        <v>100</v>
      </c>
      <c r="R488" s="1">
        <v>177455</v>
      </c>
      <c r="S488" s="75">
        <f>Supplier_Perf_Table[[#This Row],[Unit_Cost]]*Supplier_Perf_Table[[#This Row],[Order_Quantity]]</f>
        <v>177455</v>
      </c>
      <c r="T488" s="75">
        <f>IFERROR(Supplier_Perf_Table[[#This Row],[Dollar Equivalent]]*Supplier_Perf_Table[[#This Row],[Ordered_Value]],"")</f>
        <v>177455</v>
      </c>
      <c r="U488" s="75">
        <v>0</v>
      </c>
      <c r="V488" s="7">
        <v>0</v>
      </c>
      <c r="W488" s="75">
        <v>18</v>
      </c>
      <c r="X488" s="55">
        <f>IFERROR(Supplier_Perf_Table[[#This Row],[Actual_Delivery_Date]]-Supplier_Perf_Table[[#This Row],[Order Date]],"")</f>
        <v>18</v>
      </c>
      <c r="Y488" s="75">
        <v>19</v>
      </c>
      <c r="Z488" s="56">
        <f>IFERROR(Supplier_Perf_Table[[#This Row],[Expected Delivery_Date]]-Supplier_Perf_Table[[#This Row],[Order Date]],"")</f>
        <v>19</v>
      </c>
      <c r="AA488" s="56">
        <f>Supplier_Perf_Table[[#This Row],[Calculated_Lead_Time2]]-Supplier_Perf_Table[[#This Row],[Calculated_Expected_Lead_Time]]</f>
        <v>-1</v>
      </c>
      <c r="AB488" s="75">
        <v>-1</v>
      </c>
      <c r="AC488" s="63" t="s">
        <v>87</v>
      </c>
      <c r="AD488" s="63" t="s">
        <v>40</v>
      </c>
      <c r="AE488" s="63" t="s">
        <v>105</v>
      </c>
      <c r="AF488" s="63" t="s">
        <v>212</v>
      </c>
      <c r="AG488" s="63" t="s">
        <v>107</v>
      </c>
      <c r="AH488" s="63" t="s">
        <v>88</v>
      </c>
      <c r="AI488" s="63" t="s">
        <v>138</v>
      </c>
      <c r="AJ488" s="63" t="s">
        <v>138</v>
      </c>
      <c r="AK488" s="83">
        <v>4.3</v>
      </c>
      <c r="AL488" s="63" t="s">
        <v>57</v>
      </c>
      <c r="AM488" s="63" t="s">
        <v>138</v>
      </c>
      <c r="AN488"/>
    </row>
    <row r="489" spans="1:40" ht="18" customHeight="1">
      <c r="A489" s="1" t="s">
        <v>1608</v>
      </c>
      <c r="B489" s="1" t="s">
        <v>1609</v>
      </c>
      <c r="C489" s="4">
        <v>46112</v>
      </c>
      <c r="D489" s="4">
        <v>46130</v>
      </c>
      <c r="E489" s="4">
        <v>46114</v>
      </c>
      <c r="F489" s="63" t="s">
        <v>100</v>
      </c>
      <c r="G489" s="63" t="s">
        <v>3841</v>
      </c>
      <c r="H489" s="63" t="s">
        <v>102</v>
      </c>
      <c r="I489" s="63" t="s">
        <v>49</v>
      </c>
      <c r="J489" s="63" t="s">
        <v>50</v>
      </c>
      <c r="K489" s="63" t="s">
        <v>1610</v>
      </c>
      <c r="L489" s="63" t="s">
        <v>145</v>
      </c>
      <c r="M489" s="69">
        <v>1025.04</v>
      </c>
      <c r="N489" s="63" t="s">
        <v>38</v>
      </c>
      <c r="O489" s="73">
        <f>_xlfn.XLOOKUP(Supplier_Perf_Table[[#This Row],[Currency]],'Comments 2'!$C$4:$C$16,'Comments 2'!$D$4:$D$16)</f>
        <v>7.7000000000000002E-3</v>
      </c>
      <c r="P489" s="69">
        <f>IFERROR(Supplier_Perf_Table[[#This Row],[Unit_Cost]]*Supplier_Perf_Table[[#This Row],[Dollar Equivalent]],"")</f>
        <v>7.8928079999999996</v>
      </c>
      <c r="Q489" s="75">
        <v>200</v>
      </c>
      <c r="R489" s="1">
        <v>205008</v>
      </c>
      <c r="S489" s="75">
        <f>Supplier_Perf_Table[[#This Row],[Unit_Cost]]*Supplier_Perf_Table[[#This Row],[Order_Quantity]]</f>
        <v>205008</v>
      </c>
      <c r="T489" s="75">
        <f>IFERROR(Supplier_Perf_Table[[#This Row],[Dollar Equivalent]]*Supplier_Perf_Table[[#This Row],[Ordered_Value]],"")</f>
        <v>1578.5616</v>
      </c>
      <c r="U489" s="75">
        <v>3</v>
      </c>
      <c r="V489" s="7">
        <v>1.4999999999999999E-2</v>
      </c>
      <c r="W489" s="75">
        <v>2</v>
      </c>
      <c r="X489" s="55">
        <f>IFERROR(Supplier_Perf_Table[[#This Row],[Actual_Delivery_Date]]-Supplier_Perf_Table[[#This Row],[Order Date]],"")</f>
        <v>2</v>
      </c>
      <c r="Y489" s="75">
        <v>18</v>
      </c>
      <c r="Z489" s="56">
        <f>IFERROR(Supplier_Perf_Table[[#This Row],[Expected Delivery_Date]]-Supplier_Perf_Table[[#This Row],[Order Date]],"")</f>
        <v>18</v>
      </c>
      <c r="AA489" s="56">
        <f>Supplier_Perf_Table[[#This Row],[Calculated_Lead_Time2]]-Supplier_Perf_Table[[#This Row],[Calculated_Expected_Lead_Time]]</f>
        <v>-16</v>
      </c>
      <c r="AB489" s="75">
        <v>-16</v>
      </c>
      <c r="AC489" s="63" t="s">
        <v>87</v>
      </c>
      <c r="AD489" s="63" t="s">
        <v>40</v>
      </c>
      <c r="AE489" s="63" t="s">
        <v>41</v>
      </c>
      <c r="AF489" s="63" t="s">
        <v>3088</v>
      </c>
      <c r="AG489" s="63" t="s">
        <v>3088</v>
      </c>
      <c r="AH489" s="63" t="s">
        <v>55</v>
      </c>
      <c r="AI489" s="63" t="s">
        <v>137</v>
      </c>
      <c r="AJ489" s="63" t="s">
        <v>138</v>
      </c>
      <c r="AK489" s="83">
        <v>2.9</v>
      </c>
      <c r="AL489" s="63" t="s">
        <v>115</v>
      </c>
      <c r="AM489" s="63" t="s">
        <v>138</v>
      </c>
      <c r="AN489"/>
    </row>
    <row r="490" spans="1:40" ht="18" customHeight="1">
      <c r="A490" s="1" t="s">
        <v>1611</v>
      </c>
      <c r="B490" s="1" t="s">
        <v>1612</v>
      </c>
      <c r="C490" s="4">
        <v>46066</v>
      </c>
      <c r="D490" s="4">
        <v>46082</v>
      </c>
      <c r="E490" s="4">
        <v>46082</v>
      </c>
      <c r="F490" s="63" t="s">
        <v>48</v>
      </c>
      <c r="G490" s="63" t="s">
        <v>3836</v>
      </c>
      <c r="H490" s="63" t="s">
        <v>102</v>
      </c>
      <c r="I490" s="63" t="s">
        <v>49</v>
      </c>
      <c r="J490" s="63" t="s">
        <v>50</v>
      </c>
      <c r="K490" s="63" t="s">
        <v>1613</v>
      </c>
      <c r="L490" s="63" t="s">
        <v>189</v>
      </c>
      <c r="M490" s="69">
        <v>3073.37</v>
      </c>
      <c r="N490" s="63" t="s">
        <v>38</v>
      </c>
      <c r="O490" s="73">
        <f>_xlfn.XLOOKUP(Supplier_Perf_Table[[#This Row],[Currency]],'Comments 2'!$C$4:$C$16,'Comments 2'!$D$4:$D$16)</f>
        <v>7.7000000000000002E-3</v>
      </c>
      <c r="P490" s="69">
        <f>IFERROR(Supplier_Perf_Table[[#This Row],[Unit_Cost]]*Supplier_Perf_Table[[#This Row],[Dollar Equivalent]],"")</f>
        <v>23.664949</v>
      </c>
      <c r="Q490" s="75">
        <v>75</v>
      </c>
      <c r="R490" s="1">
        <v>230502.75</v>
      </c>
      <c r="S490" s="75">
        <f>Supplier_Perf_Table[[#This Row],[Unit_Cost]]*Supplier_Perf_Table[[#This Row],[Order_Quantity]]</f>
        <v>230502.75</v>
      </c>
      <c r="T490" s="75">
        <f>IFERROR(Supplier_Perf_Table[[#This Row],[Dollar Equivalent]]*Supplier_Perf_Table[[#This Row],[Ordered_Value]],"")</f>
        <v>1774.871175</v>
      </c>
      <c r="U490" s="75">
        <v>4</v>
      </c>
      <c r="V490" s="7">
        <v>5.33E-2</v>
      </c>
      <c r="W490" s="75">
        <v>16</v>
      </c>
      <c r="X490" s="55">
        <f>IFERROR(Supplier_Perf_Table[[#This Row],[Actual_Delivery_Date]]-Supplier_Perf_Table[[#This Row],[Order Date]],"")</f>
        <v>16</v>
      </c>
      <c r="Y490" s="75">
        <v>16</v>
      </c>
      <c r="Z490" s="56">
        <f>IFERROR(Supplier_Perf_Table[[#This Row],[Expected Delivery_Date]]-Supplier_Perf_Table[[#This Row],[Order Date]],"")</f>
        <v>16</v>
      </c>
      <c r="AA490" s="56">
        <f>Supplier_Perf_Table[[#This Row],[Calculated_Lead_Time2]]-Supplier_Perf_Table[[#This Row],[Calculated_Expected_Lead_Time]]</f>
        <v>0</v>
      </c>
      <c r="AB490" s="75">
        <v>0</v>
      </c>
      <c r="AC490" s="63" t="s">
        <v>87</v>
      </c>
      <c r="AD490" s="63" t="s">
        <v>74</v>
      </c>
      <c r="AE490" s="63" t="s">
        <v>3088</v>
      </c>
      <c r="AF490" s="63" t="s">
        <v>212</v>
      </c>
      <c r="AG490" s="63" t="s">
        <v>54</v>
      </c>
      <c r="AH490" s="63" t="s">
        <v>88</v>
      </c>
      <c r="AI490" s="63" t="s">
        <v>191</v>
      </c>
      <c r="AJ490" s="63" t="s">
        <v>283</v>
      </c>
      <c r="AK490" s="83">
        <v>3</v>
      </c>
      <c r="AL490" s="63" t="s">
        <v>139</v>
      </c>
      <c r="AM490" s="63" t="s">
        <v>1614</v>
      </c>
      <c r="AN490"/>
    </row>
    <row r="491" spans="1:40" ht="18" customHeight="1">
      <c r="A491" s="1" t="s">
        <v>1615</v>
      </c>
      <c r="B491" s="1" t="s">
        <v>1616</v>
      </c>
      <c r="C491" s="4">
        <v>46103</v>
      </c>
      <c r="D491" s="4">
        <v>46116</v>
      </c>
      <c r="E491" s="4">
        <v>46118</v>
      </c>
      <c r="F491" s="63" t="s">
        <v>48</v>
      </c>
      <c r="G491" s="63" t="s">
        <v>3836</v>
      </c>
      <c r="H491" s="63" t="s">
        <v>102</v>
      </c>
      <c r="I491" s="63" t="s">
        <v>49</v>
      </c>
      <c r="J491" s="63" t="s">
        <v>50</v>
      </c>
      <c r="K491" s="63" t="s">
        <v>1617</v>
      </c>
      <c r="L491" s="63" t="s">
        <v>189</v>
      </c>
      <c r="M491" s="69">
        <v>733.67</v>
      </c>
      <c r="N491" s="63" t="s">
        <v>65</v>
      </c>
      <c r="O491" s="73">
        <f>_xlfn.XLOOKUP(Supplier_Perf_Table[[#This Row],[Currency]],'Comments 2'!$C$4:$C$16,'Comments 2'!$D$4:$D$16)</f>
        <v>1</v>
      </c>
      <c r="P491" s="69">
        <f>IFERROR(Supplier_Perf_Table[[#This Row],[Unit_Cost]]*Supplier_Perf_Table[[#This Row],[Dollar Equivalent]],"")</f>
        <v>733.67</v>
      </c>
      <c r="Q491" s="75">
        <v>50</v>
      </c>
      <c r="R491" s="1">
        <v>36683.5</v>
      </c>
      <c r="S491" s="75">
        <f>Supplier_Perf_Table[[#This Row],[Unit_Cost]]*Supplier_Perf_Table[[#This Row],[Order_Quantity]]</f>
        <v>36683.5</v>
      </c>
      <c r="T491" s="75">
        <f>IFERROR(Supplier_Perf_Table[[#This Row],[Dollar Equivalent]]*Supplier_Perf_Table[[#This Row],[Ordered_Value]],"")</f>
        <v>36683.5</v>
      </c>
      <c r="U491" s="75">
        <v>1</v>
      </c>
      <c r="V491" s="7">
        <v>0.02</v>
      </c>
      <c r="W491" s="75">
        <v>15</v>
      </c>
      <c r="X491" s="55">
        <f>IFERROR(Supplier_Perf_Table[[#This Row],[Actual_Delivery_Date]]-Supplier_Perf_Table[[#This Row],[Order Date]],"")</f>
        <v>15</v>
      </c>
      <c r="Y491" s="75" t="s">
        <v>3080</v>
      </c>
      <c r="Z491" s="56">
        <f>IFERROR(Supplier_Perf_Table[[#This Row],[Expected Delivery_Date]]-Supplier_Perf_Table[[#This Row],[Order Date]],"")</f>
        <v>13</v>
      </c>
      <c r="AA491" s="56">
        <f>Supplier_Perf_Table[[#This Row],[Calculated_Lead_Time2]]-Supplier_Perf_Table[[#This Row],[Calculated_Expected_Lead_Time]]</f>
        <v>2</v>
      </c>
      <c r="AB491" s="75">
        <v>2</v>
      </c>
      <c r="AC491" s="63" t="s">
        <v>135</v>
      </c>
      <c r="AD491" s="63" t="s">
        <v>40</v>
      </c>
      <c r="AE491" s="63" t="s">
        <v>41</v>
      </c>
      <c r="AF491" s="63" t="s">
        <v>212</v>
      </c>
      <c r="AG491" s="63" t="s">
        <v>3088</v>
      </c>
      <c r="AH491" s="63" t="s">
        <v>129</v>
      </c>
      <c r="AI491" s="63" t="s">
        <v>95</v>
      </c>
      <c r="AJ491" s="63" t="s">
        <v>138</v>
      </c>
      <c r="AK491" s="83">
        <v>3.1</v>
      </c>
      <c r="AL491" s="63" t="s">
        <v>57</v>
      </c>
      <c r="AM491" s="63" t="s">
        <v>46</v>
      </c>
      <c r="AN491"/>
    </row>
    <row r="492" spans="1:40" ht="18" customHeight="1">
      <c r="A492" s="1" t="s">
        <v>1371</v>
      </c>
      <c r="B492" s="1" t="s">
        <v>1618</v>
      </c>
      <c r="C492" s="4">
        <v>46092</v>
      </c>
      <c r="D492" s="4">
        <v>46103</v>
      </c>
      <c r="E492" s="4">
        <v>46099</v>
      </c>
      <c r="F492" s="63" t="s">
        <v>215</v>
      </c>
      <c r="G492" s="63" t="s">
        <v>3846</v>
      </c>
      <c r="H492" s="63" t="s">
        <v>152</v>
      </c>
      <c r="I492" s="63" t="s">
        <v>49</v>
      </c>
      <c r="J492" s="63" t="s">
        <v>112</v>
      </c>
      <c r="K492" s="63" t="s">
        <v>1619</v>
      </c>
      <c r="L492" s="63" t="s">
        <v>246</v>
      </c>
      <c r="M492" s="69">
        <v>385.13</v>
      </c>
      <c r="N492" s="63" t="s">
        <v>65</v>
      </c>
      <c r="O492" s="73">
        <f>_xlfn.XLOOKUP(Supplier_Perf_Table[[#This Row],[Currency]],'Comments 2'!$C$4:$C$16,'Comments 2'!$D$4:$D$16)</f>
        <v>1</v>
      </c>
      <c r="P492" s="69">
        <f>IFERROR(Supplier_Perf_Table[[#This Row],[Unit_Cost]]*Supplier_Perf_Table[[#This Row],[Dollar Equivalent]],"")</f>
        <v>385.13</v>
      </c>
      <c r="Q492" s="75">
        <v>50</v>
      </c>
      <c r="R492" s="1">
        <v>19256.5</v>
      </c>
      <c r="S492" s="75">
        <f>Supplier_Perf_Table[[#This Row],[Unit_Cost]]*Supplier_Perf_Table[[#This Row],[Order_Quantity]]</f>
        <v>19256.5</v>
      </c>
      <c r="T492" s="75">
        <f>IFERROR(Supplier_Perf_Table[[#This Row],[Dollar Equivalent]]*Supplier_Perf_Table[[#This Row],[Ordered_Value]],"")</f>
        <v>19256.5</v>
      </c>
      <c r="U492" s="75">
        <v>4</v>
      </c>
      <c r="V492" s="7">
        <v>0.08</v>
      </c>
      <c r="W492" s="75">
        <v>7</v>
      </c>
      <c r="X492" s="55">
        <f>IFERROR(Supplier_Perf_Table[[#This Row],[Actual_Delivery_Date]]-Supplier_Perf_Table[[#This Row],[Order Date]],"")</f>
        <v>7</v>
      </c>
      <c r="Y492" s="75">
        <v>11</v>
      </c>
      <c r="Z492" s="56">
        <f>IFERROR(Supplier_Perf_Table[[#This Row],[Expected Delivery_Date]]-Supplier_Perf_Table[[#This Row],[Order Date]],"")</f>
        <v>11</v>
      </c>
      <c r="AA492" s="56">
        <f>Supplier_Perf_Table[[#This Row],[Calculated_Lead_Time2]]-Supplier_Perf_Table[[#This Row],[Calculated_Expected_Lead_Time]]</f>
        <v>-4</v>
      </c>
      <c r="AB492" s="75">
        <v>-4</v>
      </c>
      <c r="AC492" s="63" t="s">
        <v>87</v>
      </c>
      <c r="AD492" s="63" t="s">
        <v>74</v>
      </c>
      <c r="AE492" s="63" t="s">
        <v>105</v>
      </c>
      <c r="AF492" s="63" t="s">
        <v>106</v>
      </c>
      <c r="AG492" s="63" t="s">
        <v>43</v>
      </c>
      <c r="AH492" s="63" t="s">
        <v>3112</v>
      </c>
      <c r="AI492" s="63" t="s">
        <v>147</v>
      </c>
      <c r="AJ492" s="63" t="s">
        <v>96</v>
      </c>
      <c r="AK492" s="83">
        <v>2</v>
      </c>
      <c r="AL492" s="63" t="s">
        <v>57</v>
      </c>
      <c r="AM492" s="63" t="s">
        <v>97</v>
      </c>
      <c r="AN492"/>
    </row>
    <row r="493" spans="1:40" ht="18" customHeight="1">
      <c r="A493" s="1" t="s">
        <v>1620</v>
      </c>
      <c r="B493" s="1" t="s">
        <v>1621</v>
      </c>
      <c r="C493" s="4">
        <v>46097</v>
      </c>
      <c r="D493" s="4">
        <v>46116</v>
      </c>
      <c r="E493" s="4">
        <v>46113</v>
      </c>
      <c r="F493" s="63" t="s">
        <v>90</v>
      </c>
      <c r="G493" s="63" t="s">
        <v>3840</v>
      </c>
      <c r="H493" s="63" t="s">
        <v>133</v>
      </c>
      <c r="I493" s="63" t="s">
        <v>92</v>
      </c>
      <c r="J493" s="63" t="s">
        <v>71</v>
      </c>
      <c r="K493" s="63" t="s">
        <v>1622</v>
      </c>
      <c r="L493" s="63" t="s">
        <v>73</v>
      </c>
      <c r="M493" s="69">
        <v>760.7</v>
      </c>
      <c r="N493" s="63" t="s">
        <v>53</v>
      </c>
      <c r="O493" s="73">
        <f>_xlfn.XLOOKUP(Supplier_Perf_Table[[#This Row],[Currency]],'Comments 2'!$C$4:$C$16,'Comments 2'!$D$4:$D$16)</f>
        <v>6.0999999999999999E-2</v>
      </c>
      <c r="P493" s="69">
        <f>IFERROR(Supplier_Perf_Table[[#This Row],[Unit_Cost]]*Supplier_Perf_Table[[#This Row],[Dollar Equivalent]],"")</f>
        <v>46.402700000000003</v>
      </c>
      <c r="Q493" s="75">
        <v>1000</v>
      </c>
      <c r="R493" s="1">
        <v>760700</v>
      </c>
      <c r="S493" s="75">
        <f>Supplier_Perf_Table[[#This Row],[Unit_Cost]]*Supplier_Perf_Table[[#This Row],[Order_Quantity]]</f>
        <v>760700</v>
      </c>
      <c r="T493" s="75">
        <f>IFERROR(Supplier_Perf_Table[[#This Row],[Dollar Equivalent]]*Supplier_Perf_Table[[#This Row],[Ordered_Value]],"")</f>
        <v>46402.7</v>
      </c>
      <c r="U493" s="75">
        <v>63</v>
      </c>
      <c r="V493" s="7">
        <v>6.3E-2</v>
      </c>
      <c r="W493" s="75">
        <v>16</v>
      </c>
      <c r="X493" s="55">
        <f>IFERROR(Supplier_Perf_Table[[#This Row],[Actual_Delivery_Date]]-Supplier_Perf_Table[[#This Row],[Order Date]],"")</f>
        <v>16</v>
      </c>
      <c r="Y493" s="75">
        <v>19</v>
      </c>
      <c r="Z493" s="56">
        <f>IFERROR(Supplier_Perf_Table[[#This Row],[Expected Delivery_Date]]-Supplier_Perf_Table[[#This Row],[Order Date]],"")</f>
        <v>19</v>
      </c>
      <c r="AA493" s="56">
        <f>Supplier_Perf_Table[[#This Row],[Calculated_Lead_Time2]]-Supplier_Perf_Table[[#This Row],[Calculated_Expected_Lead_Time]]</f>
        <v>-3</v>
      </c>
      <c r="AB493" s="75">
        <v>-3</v>
      </c>
      <c r="AC493" s="63" t="s">
        <v>87</v>
      </c>
      <c r="AD493" s="63" t="s">
        <v>74</v>
      </c>
      <c r="AE493" s="63" t="s">
        <v>127</v>
      </c>
      <c r="AF493" s="63" t="s">
        <v>106</v>
      </c>
      <c r="AG493" s="63" t="s">
        <v>173</v>
      </c>
      <c r="AH493" s="63" t="s">
        <v>3112</v>
      </c>
      <c r="AI493" s="63" t="s">
        <v>56</v>
      </c>
      <c r="AJ493" s="63" t="s">
        <v>283</v>
      </c>
      <c r="AK493" s="83">
        <v>1.6</v>
      </c>
      <c r="AL493" s="63" t="s">
        <v>45</v>
      </c>
      <c r="AM493" s="63" t="s">
        <v>284</v>
      </c>
      <c r="AN493"/>
    </row>
    <row r="494" spans="1:40" ht="18" customHeight="1">
      <c r="A494" s="1" t="s">
        <v>1623</v>
      </c>
      <c r="B494" s="1" t="s">
        <v>1624</v>
      </c>
      <c r="C494" s="4">
        <v>46048</v>
      </c>
      <c r="D494" s="4">
        <v>46057</v>
      </c>
      <c r="E494" s="4">
        <v>46064</v>
      </c>
      <c r="F494" s="63" t="s">
        <v>215</v>
      </c>
      <c r="G494" s="63" t="s">
        <v>3846</v>
      </c>
      <c r="H494" s="63" t="s">
        <v>152</v>
      </c>
      <c r="I494" s="63" t="s">
        <v>120</v>
      </c>
      <c r="J494" s="63" t="s">
        <v>112</v>
      </c>
      <c r="K494" s="63" t="s">
        <v>1625</v>
      </c>
      <c r="L494" s="63" t="s">
        <v>229</v>
      </c>
      <c r="M494" s="69">
        <v>343.83</v>
      </c>
      <c r="N494" s="63" t="s">
        <v>159</v>
      </c>
      <c r="O494" s="73">
        <f>_xlfn.XLOOKUP(Supplier_Perf_Table[[#This Row],[Currency]],'Comments 2'!$C$4:$C$16,'Comments 2'!$D$4:$D$16)</f>
        <v>7.2999999999999996E-4</v>
      </c>
      <c r="P494" s="69">
        <f>IFERROR(Supplier_Perf_Table[[#This Row],[Unit_Cost]]*Supplier_Perf_Table[[#This Row],[Dollar Equivalent]],"")</f>
        <v>0.25099589999999999</v>
      </c>
      <c r="Q494" s="75">
        <v>500</v>
      </c>
      <c r="R494" s="1">
        <v>171915</v>
      </c>
      <c r="S494" s="75">
        <f>Supplier_Perf_Table[[#This Row],[Unit_Cost]]*Supplier_Perf_Table[[#This Row],[Order_Quantity]]</f>
        <v>171915</v>
      </c>
      <c r="T494" s="75">
        <f>IFERROR(Supplier_Perf_Table[[#This Row],[Dollar Equivalent]]*Supplier_Perf_Table[[#This Row],[Ordered_Value]],"")</f>
        <v>125.49794999999999</v>
      </c>
      <c r="U494" s="75">
        <v>11</v>
      </c>
      <c r="V494" s="7">
        <v>2.1999999999999999E-2</v>
      </c>
      <c r="W494" s="75">
        <v>16</v>
      </c>
      <c r="X494" s="55">
        <f>IFERROR(Supplier_Perf_Table[[#This Row],[Actual_Delivery_Date]]-Supplier_Perf_Table[[#This Row],[Order Date]],"")</f>
        <v>16</v>
      </c>
      <c r="Y494" s="75">
        <v>9</v>
      </c>
      <c r="Z494" s="56">
        <f>IFERROR(Supplier_Perf_Table[[#This Row],[Expected Delivery_Date]]-Supplier_Perf_Table[[#This Row],[Order Date]],"")</f>
        <v>9</v>
      </c>
      <c r="AA494" s="56">
        <f>Supplier_Perf_Table[[#This Row],[Calculated_Lead_Time2]]-Supplier_Perf_Table[[#This Row],[Calculated_Expected_Lead_Time]]</f>
        <v>7</v>
      </c>
      <c r="AB494" s="75">
        <v>7</v>
      </c>
      <c r="AC494" s="63" t="s">
        <v>39</v>
      </c>
      <c r="AD494" s="63" t="s">
        <v>40</v>
      </c>
      <c r="AE494" s="63" t="s">
        <v>41</v>
      </c>
      <c r="AF494" s="63" t="s">
        <v>212</v>
      </c>
      <c r="AG494" s="63" t="s">
        <v>43</v>
      </c>
      <c r="AH494" s="63" t="s">
        <v>136</v>
      </c>
      <c r="AI494" s="63" t="s">
        <v>191</v>
      </c>
      <c r="AJ494" s="63" t="s">
        <v>138</v>
      </c>
      <c r="AK494" s="83">
        <v>2.7</v>
      </c>
      <c r="AL494" s="63" t="s">
        <v>184</v>
      </c>
      <c r="AM494" s="63" t="s">
        <v>46</v>
      </c>
      <c r="AN494"/>
    </row>
    <row r="495" spans="1:40" ht="18" customHeight="1">
      <c r="A495" s="1" t="s">
        <v>1626</v>
      </c>
      <c r="B495" s="1" t="s">
        <v>1627</v>
      </c>
      <c r="C495" s="4">
        <v>46167</v>
      </c>
      <c r="D495" s="4">
        <v>46178</v>
      </c>
      <c r="E495" s="4">
        <v>46187</v>
      </c>
      <c r="F495" s="63" t="s">
        <v>235</v>
      </c>
      <c r="G495" s="63" t="s">
        <v>3848</v>
      </c>
      <c r="H495" s="63" t="s">
        <v>479</v>
      </c>
      <c r="I495" s="63" t="s">
        <v>241</v>
      </c>
      <c r="J495" s="63" t="s">
        <v>71</v>
      </c>
      <c r="K495" s="63" t="s">
        <v>1628</v>
      </c>
      <c r="L495" s="63" t="s">
        <v>337</v>
      </c>
      <c r="M495" s="69">
        <v>54.75</v>
      </c>
      <c r="N495" s="63" t="s">
        <v>53</v>
      </c>
      <c r="O495" s="73">
        <f>_xlfn.XLOOKUP(Supplier_Perf_Table[[#This Row],[Currency]],'Comments 2'!$C$4:$C$16,'Comments 2'!$D$4:$D$16)</f>
        <v>6.0999999999999999E-2</v>
      </c>
      <c r="P495" s="69">
        <f>IFERROR(Supplier_Perf_Table[[#This Row],[Unit_Cost]]*Supplier_Perf_Table[[#This Row],[Dollar Equivalent]],"")</f>
        <v>3.33975</v>
      </c>
      <c r="Q495" s="75">
        <v>750</v>
      </c>
      <c r="R495" s="1">
        <v>41062.5</v>
      </c>
      <c r="S495" s="75">
        <f>Supplier_Perf_Table[[#This Row],[Unit_Cost]]*Supplier_Perf_Table[[#This Row],[Order_Quantity]]</f>
        <v>41062.5</v>
      </c>
      <c r="T495" s="75">
        <f>IFERROR(Supplier_Perf_Table[[#This Row],[Dollar Equivalent]]*Supplier_Perf_Table[[#This Row],[Ordered_Value]],"")</f>
        <v>2504.8125</v>
      </c>
      <c r="U495" s="75">
        <v>22</v>
      </c>
      <c r="V495" s="7">
        <v>2.93E-2</v>
      </c>
      <c r="W495" s="75">
        <v>20</v>
      </c>
      <c r="X495" s="55">
        <f>IFERROR(Supplier_Perf_Table[[#This Row],[Actual_Delivery_Date]]-Supplier_Perf_Table[[#This Row],[Order Date]],"")</f>
        <v>20</v>
      </c>
      <c r="Y495" s="75">
        <v>11</v>
      </c>
      <c r="Z495" s="56">
        <f>IFERROR(Supplier_Perf_Table[[#This Row],[Expected Delivery_Date]]-Supplier_Perf_Table[[#This Row],[Order Date]],"")</f>
        <v>11</v>
      </c>
      <c r="AA495" s="56">
        <f>Supplier_Perf_Table[[#This Row],[Calculated_Lead_Time2]]-Supplier_Perf_Table[[#This Row],[Calculated_Expected_Lead_Time]]</f>
        <v>9</v>
      </c>
      <c r="AB495" s="75">
        <v>9</v>
      </c>
      <c r="AC495" s="63" t="s">
        <v>39</v>
      </c>
      <c r="AD495" s="63" t="s">
        <v>3088</v>
      </c>
      <c r="AE495" s="63" t="s">
        <v>146</v>
      </c>
      <c r="AF495" s="63" t="s">
        <v>212</v>
      </c>
      <c r="AG495" s="63" t="s">
        <v>54</v>
      </c>
      <c r="AH495" s="63" t="s">
        <v>3112</v>
      </c>
      <c r="AI495" s="63" t="s">
        <v>56</v>
      </c>
      <c r="AJ495" s="63" t="s">
        <v>138</v>
      </c>
      <c r="AK495" s="83">
        <v>2.1</v>
      </c>
      <c r="AL495" s="63" t="s">
        <v>45</v>
      </c>
      <c r="AM495" s="63" t="s">
        <v>148</v>
      </c>
      <c r="AN495"/>
    </row>
    <row r="496" spans="1:40" ht="18" customHeight="1">
      <c r="A496" s="1" t="s">
        <v>1629</v>
      </c>
      <c r="B496" s="1" t="s">
        <v>1630</v>
      </c>
      <c r="C496" s="4">
        <v>46090</v>
      </c>
      <c r="D496" s="4">
        <v>46105</v>
      </c>
      <c r="E496" s="4">
        <v>46104</v>
      </c>
      <c r="F496" s="63" t="s">
        <v>256</v>
      </c>
      <c r="G496" s="63" t="s">
        <v>3849</v>
      </c>
      <c r="H496" s="63" t="s">
        <v>258</v>
      </c>
      <c r="I496" s="63" t="s">
        <v>241</v>
      </c>
      <c r="J496" s="63" t="s">
        <v>153</v>
      </c>
      <c r="K496" s="63" t="s">
        <v>1631</v>
      </c>
      <c r="L496" s="63" t="s">
        <v>204</v>
      </c>
      <c r="M496" s="69">
        <v>582.67999999999995</v>
      </c>
      <c r="N496" s="63" t="s">
        <v>104</v>
      </c>
      <c r="O496" s="73">
        <f>_xlfn.XLOOKUP(Supplier_Perf_Table[[#This Row],[Currency]],'Comments 2'!$C$4:$C$16,'Comments 2'!$D$4:$D$16)</f>
        <v>1.9E-2</v>
      </c>
      <c r="P496" s="69">
        <f>IFERROR(Supplier_Perf_Table[[#This Row],[Unit_Cost]]*Supplier_Perf_Table[[#This Row],[Dollar Equivalent]],"")</f>
        <v>11.070919999999999</v>
      </c>
      <c r="Q496" s="75">
        <v>100</v>
      </c>
      <c r="R496" s="1">
        <v>58268</v>
      </c>
      <c r="S496" s="75">
        <f>Supplier_Perf_Table[[#This Row],[Unit_Cost]]*Supplier_Perf_Table[[#This Row],[Order_Quantity]]</f>
        <v>58267.999999999993</v>
      </c>
      <c r="T496" s="75">
        <f>IFERROR(Supplier_Perf_Table[[#This Row],[Dollar Equivalent]]*Supplier_Perf_Table[[#This Row],[Ordered_Value]],"")</f>
        <v>1107.0919999999999</v>
      </c>
      <c r="U496" s="75">
        <v>5</v>
      </c>
      <c r="V496" s="7">
        <v>0.05</v>
      </c>
      <c r="W496" s="75">
        <v>14</v>
      </c>
      <c r="X496" s="55">
        <f>IFERROR(Supplier_Perf_Table[[#This Row],[Actual_Delivery_Date]]-Supplier_Perf_Table[[#This Row],[Order Date]],"")</f>
        <v>14</v>
      </c>
      <c r="Y496" s="75">
        <v>15</v>
      </c>
      <c r="Z496" s="56">
        <f>IFERROR(Supplier_Perf_Table[[#This Row],[Expected Delivery_Date]]-Supplier_Perf_Table[[#This Row],[Order Date]],"")</f>
        <v>15</v>
      </c>
      <c r="AA496" s="56">
        <f>Supplier_Perf_Table[[#This Row],[Calculated_Lead_Time2]]-Supplier_Perf_Table[[#This Row],[Calculated_Expected_Lead_Time]]</f>
        <v>-1</v>
      </c>
      <c r="AB496" s="75">
        <v>-1</v>
      </c>
      <c r="AC496" s="63" t="s">
        <v>87</v>
      </c>
      <c r="AD496" s="63" t="s">
        <v>74</v>
      </c>
      <c r="AE496" s="63" t="s">
        <v>41</v>
      </c>
      <c r="AF496" s="63" t="s">
        <v>106</v>
      </c>
      <c r="AG496" s="63" t="s">
        <v>54</v>
      </c>
      <c r="AH496" s="63" t="s">
        <v>206</v>
      </c>
      <c r="AI496" s="63" t="s">
        <v>138</v>
      </c>
      <c r="AJ496" s="63" t="s">
        <v>75</v>
      </c>
      <c r="AK496" s="83">
        <v>2.6</v>
      </c>
      <c r="AL496" s="63" t="s">
        <v>45</v>
      </c>
      <c r="AM496" s="63" t="s">
        <v>97</v>
      </c>
      <c r="AN496"/>
    </row>
    <row r="497" spans="1:40" ht="18" customHeight="1">
      <c r="A497" s="1" t="s">
        <v>1632</v>
      </c>
      <c r="B497" s="1" t="s">
        <v>1633</v>
      </c>
      <c r="C497" s="4">
        <v>46036</v>
      </c>
      <c r="D497" s="4">
        <v>46049</v>
      </c>
      <c r="E497" s="4">
        <v>46044</v>
      </c>
      <c r="F497" s="63" t="s">
        <v>80</v>
      </c>
      <c r="G497" s="63" t="s">
        <v>3839</v>
      </c>
      <c r="H497" s="63" t="s">
        <v>82</v>
      </c>
      <c r="I497" s="63" t="s">
        <v>92</v>
      </c>
      <c r="J497" s="63" t="s">
        <v>35</v>
      </c>
      <c r="K497" s="63" t="s">
        <v>1634</v>
      </c>
      <c r="L497" s="63" t="s">
        <v>85</v>
      </c>
      <c r="M497" s="69">
        <v>4327.4799999999996</v>
      </c>
      <c r="N497" s="63" t="s">
        <v>53</v>
      </c>
      <c r="O497" s="73">
        <f>_xlfn.XLOOKUP(Supplier_Perf_Table[[#This Row],[Currency]],'Comments 2'!$C$4:$C$16,'Comments 2'!$D$4:$D$16)</f>
        <v>6.0999999999999999E-2</v>
      </c>
      <c r="P497" s="69">
        <f>IFERROR(Supplier_Perf_Table[[#This Row],[Unit_Cost]]*Supplier_Perf_Table[[#This Row],[Dollar Equivalent]],"")</f>
        <v>263.97627999999997</v>
      </c>
      <c r="Q497" s="75">
        <v>2000</v>
      </c>
      <c r="R497" s="1">
        <v>8654960</v>
      </c>
      <c r="S497" s="75">
        <f>Supplier_Perf_Table[[#This Row],[Unit_Cost]]*Supplier_Perf_Table[[#This Row],[Order_Quantity]]</f>
        <v>8654960</v>
      </c>
      <c r="T497" s="75">
        <f>IFERROR(Supplier_Perf_Table[[#This Row],[Dollar Equivalent]]*Supplier_Perf_Table[[#This Row],[Ordered_Value]],"")</f>
        <v>527952.55999999994</v>
      </c>
      <c r="U497" s="75">
        <v>39</v>
      </c>
      <c r="V497" s="7">
        <v>1.95E-2</v>
      </c>
      <c r="W497" s="75">
        <v>8</v>
      </c>
      <c r="X497" s="55">
        <f>IFERROR(Supplier_Perf_Table[[#This Row],[Actual_Delivery_Date]]-Supplier_Perf_Table[[#This Row],[Order Date]],"")</f>
        <v>8</v>
      </c>
      <c r="Y497" s="75">
        <v>13</v>
      </c>
      <c r="Z497" s="56">
        <f>IFERROR(Supplier_Perf_Table[[#This Row],[Expected Delivery_Date]]-Supplier_Perf_Table[[#This Row],[Order Date]],"")</f>
        <v>13</v>
      </c>
      <c r="AA497" s="56">
        <f>Supplier_Perf_Table[[#This Row],[Calculated_Lead_Time2]]-Supplier_Perf_Table[[#This Row],[Calculated_Expected_Lead_Time]]</f>
        <v>-5</v>
      </c>
      <c r="AB497" s="75">
        <v>-5</v>
      </c>
      <c r="AC497" s="63" t="s">
        <v>270</v>
      </c>
      <c r="AD497" s="63" t="s">
        <v>40</v>
      </c>
      <c r="AE497" s="63" t="s">
        <v>105</v>
      </c>
      <c r="AF497" s="63" t="s">
        <v>106</v>
      </c>
      <c r="AG497" s="63" t="s">
        <v>173</v>
      </c>
      <c r="AH497" s="63" t="s">
        <v>129</v>
      </c>
      <c r="AI497" s="63" t="s">
        <v>137</v>
      </c>
      <c r="AJ497" s="63" t="s">
        <v>138</v>
      </c>
      <c r="AK497" s="83">
        <v>3.8</v>
      </c>
      <c r="AL497" s="63" t="s">
        <v>115</v>
      </c>
      <c r="AM497" s="63" t="s">
        <v>138</v>
      </c>
      <c r="AN497"/>
    </row>
    <row r="498" spans="1:40" ht="18" customHeight="1">
      <c r="A498" s="1" t="s">
        <v>1635</v>
      </c>
      <c r="B498" s="1" t="s">
        <v>1636</v>
      </c>
      <c r="C498" s="4">
        <v>46092</v>
      </c>
      <c r="D498" s="4">
        <v>46111</v>
      </c>
      <c r="E498" s="4">
        <v>46100</v>
      </c>
      <c r="F498" s="63" t="s">
        <v>235</v>
      </c>
      <c r="G498" s="63" t="s">
        <v>3848</v>
      </c>
      <c r="H498" s="63" t="s">
        <v>479</v>
      </c>
      <c r="I498" s="63" t="s">
        <v>120</v>
      </c>
      <c r="J498" s="63" t="s">
        <v>163</v>
      </c>
      <c r="K498" s="63" t="s">
        <v>1637</v>
      </c>
      <c r="L498" s="63" t="s">
        <v>165</v>
      </c>
      <c r="M498" s="69">
        <v>535.71</v>
      </c>
      <c r="N498" s="63" t="s">
        <v>65</v>
      </c>
      <c r="O498" s="73">
        <f>_xlfn.XLOOKUP(Supplier_Perf_Table[[#This Row],[Currency]],'Comments 2'!$C$4:$C$16,'Comments 2'!$D$4:$D$16)</f>
        <v>1</v>
      </c>
      <c r="P498" s="69">
        <f>IFERROR(Supplier_Perf_Table[[#This Row],[Unit_Cost]]*Supplier_Perf_Table[[#This Row],[Dollar Equivalent]],"")</f>
        <v>535.71</v>
      </c>
      <c r="Q498" s="75">
        <v>300</v>
      </c>
      <c r="R498" s="1">
        <v>160713</v>
      </c>
      <c r="S498" s="75">
        <f>Supplier_Perf_Table[[#This Row],[Unit_Cost]]*Supplier_Perf_Table[[#This Row],[Order_Quantity]]</f>
        <v>160713</v>
      </c>
      <c r="T498" s="75">
        <f>IFERROR(Supplier_Perf_Table[[#This Row],[Dollar Equivalent]]*Supplier_Perf_Table[[#This Row],[Ordered_Value]],"")</f>
        <v>160713</v>
      </c>
      <c r="U498" s="75">
        <v>8</v>
      </c>
      <c r="V498" s="7">
        <v>2.6700000000000002E-2</v>
      </c>
      <c r="W498" s="75">
        <v>8</v>
      </c>
      <c r="X498" s="55">
        <f>IFERROR(Supplier_Perf_Table[[#This Row],[Actual_Delivery_Date]]-Supplier_Perf_Table[[#This Row],[Order Date]],"")</f>
        <v>8</v>
      </c>
      <c r="Y498" s="75">
        <v>19</v>
      </c>
      <c r="Z498" s="56">
        <f>IFERROR(Supplier_Perf_Table[[#This Row],[Expected Delivery_Date]]-Supplier_Perf_Table[[#This Row],[Order Date]],"")</f>
        <v>19</v>
      </c>
      <c r="AA498" s="56">
        <f>Supplier_Perf_Table[[#This Row],[Calculated_Lead_Time2]]-Supplier_Perf_Table[[#This Row],[Calculated_Expected_Lead_Time]]</f>
        <v>-11</v>
      </c>
      <c r="AB498" s="75">
        <v>-11</v>
      </c>
      <c r="AC498" s="63" t="s">
        <v>87</v>
      </c>
      <c r="AD498" s="63" t="s">
        <v>40</v>
      </c>
      <c r="AE498" s="63" t="s">
        <v>41</v>
      </c>
      <c r="AF498" s="63" t="s">
        <v>190</v>
      </c>
      <c r="AG498" s="63" t="s">
        <v>107</v>
      </c>
      <c r="AH498" s="63" t="s">
        <v>136</v>
      </c>
      <c r="AI498" s="63" t="s">
        <v>147</v>
      </c>
      <c r="AJ498" s="63" t="s">
        <v>138</v>
      </c>
      <c r="AK498" s="83">
        <v>4.8</v>
      </c>
      <c r="AL498" s="63" t="s">
        <v>184</v>
      </c>
      <c r="AM498" s="63" t="s">
        <v>138</v>
      </c>
      <c r="AN498"/>
    </row>
    <row r="499" spans="1:40" ht="18" customHeight="1">
      <c r="A499" s="1" t="s">
        <v>1638</v>
      </c>
      <c r="B499" s="1" t="s">
        <v>1639</v>
      </c>
      <c r="C499" s="4">
        <v>46148</v>
      </c>
      <c r="D499" s="4">
        <v>46173</v>
      </c>
      <c r="E499" s="4">
        <v>46169</v>
      </c>
      <c r="F499" s="63" t="s">
        <v>118</v>
      </c>
      <c r="G499" s="63" t="s">
        <v>3842</v>
      </c>
      <c r="H499" s="63" t="s">
        <v>301</v>
      </c>
      <c r="I499" s="63" t="s">
        <v>70</v>
      </c>
      <c r="J499" s="63" t="s">
        <v>62</v>
      </c>
      <c r="K499" s="63" t="s">
        <v>1640</v>
      </c>
      <c r="L499" s="63" t="s">
        <v>64</v>
      </c>
      <c r="M499" s="69">
        <v>238.14</v>
      </c>
      <c r="N499" s="63" t="s">
        <v>53</v>
      </c>
      <c r="O499" s="73">
        <f>_xlfn.XLOOKUP(Supplier_Perf_Table[[#This Row],[Currency]],'Comments 2'!$C$4:$C$16,'Comments 2'!$D$4:$D$16)</f>
        <v>6.0999999999999999E-2</v>
      </c>
      <c r="P499" s="69">
        <f>IFERROR(Supplier_Perf_Table[[#This Row],[Unit_Cost]]*Supplier_Perf_Table[[#This Row],[Dollar Equivalent]],"")</f>
        <v>14.526539999999999</v>
      </c>
      <c r="Q499" s="75">
        <v>200</v>
      </c>
      <c r="R499" s="1">
        <v>47628</v>
      </c>
      <c r="S499" s="75">
        <f>Supplier_Perf_Table[[#This Row],[Unit_Cost]]*Supplier_Perf_Table[[#This Row],[Order_Quantity]]</f>
        <v>47628</v>
      </c>
      <c r="T499" s="75">
        <f>IFERROR(Supplier_Perf_Table[[#This Row],[Dollar Equivalent]]*Supplier_Perf_Table[[#This Row],[Ordered_Value]],"")</f>
        <v>2905.308</v>
      </c>
      <c r="U499" s="75">
        <v>7</v>
      </c>
      <c r="V499" s="7">
        <v>3.5000000000000003E-2</v>
      </c>
      <c r="W499" s="75">
        <v>21</v>
      </c>
      <c r="X499" s="55">
        <f>IFERROR(Supplier_Perf_Table[[#This Row],[Actual_Delivery_Date]]-Supplier_Perf_Table[[#This Row],[Order Date]],"")</f>
        <v>21</v>
      </c>
      <c r="Y499" s="75">
        <v>25</v>
      </c>
      <c r="Z499" s="56">
        <f>IFERROR(Supplier_Perf_Table[[#This Row],[Expected Delivery_Date]]-Supplier_Perf_Table[[#This Row],[Order Date]],"")</f>
        <v>25</v>
      </c>
      <c r="AA499" s="56">
        <f>Supplier_Perf_Table[[#This Row],[Calculated_Lead_Time2]]-Supplier_Perf_Table[[#This Row],[Calculated_Expected_Lead_Time]]</f>
        <v>-4</v>
      </c>
      <c r="AB499" s="75">
        <v>-4</v>
      </c>
      <c r="AC499" s="63" t="s">
        <v>87</v>
      </c>
      <c r="AD499" s="63" t="s">
        <v>40</v>
      </c>
      <c r="AE499" s="63" t="s">
        <v>105</v>
      </c>
      <c r="AF499" s="63" t="s">
        <v>106</v>
      </c>
      <c r="AG499" s="63" t="s">
        <v>107</v>
      </c>
      <c r="AH499" s="63" t="s">
        <v>206</v>
      </c>
      <c r="AI499" s="63" t="s">
        <v>44</v>
      </c>
      <c r="AJ499" s="63" t="s">
        <v>138</v>
      </c>
      <c r="AK499" s="83">
        <v>2.8</v>
      </c>
      <c r="AL499" s="63" t="s">
        <v>57</v>
      </c>
      <c r="AM499" s="63" t="s">
        <v>138</v>
      </c>
      <c r="AN499"/>
    </row>
    <row r="500" spans="1:40" ht="18" customHeight="1">
      <c r="A500" s="1" t="s">
        <v>1641</v>
      </c>
      <c r="B500" s="1" t="s">
        <v>1642</v>
      </c>
      <c r="C500" s="4">
        <v>46107</v>
      </c>
      <c r="D500" s="4">
        <v>46128</v>
      </c>
      <c r="E500" s="4">
        <v>46116</v>
      </c>
      <c r="F500" s="63" t="s">
        <v>32</v>
      </c>
      <c r="G500" s="63" t="s">
        <v>3835</v>
      </c>
      <c r="H500" s="63" t="s">
        <v>177</v>
      </c>
      <c r="I500" s="63" t="s">
        <v>120</v>
      </c>
      <c r="J500" s="63" t="s">
        <v>35</v>
      </c>
      <c r="K500" s="63" t="s">
        <v>1643</v>
      </c>
      <c r="L500" s="63" t="s">
        <v>200</v>
      </c>
      <c r="M500" s="69" t="s">
        <v>3080</v>
      </c>
      <c r="N500" s="63" t="s">
        <v>53</v>
      </c>
      <c r="O500" s="73">
        <f>_xlfn.XLOOKUP(Supplier_Perf_Table[[#This Row],[Currency]],'Comments 2'!$C$4:$C$16,'Comments 2'!$D$4:$D$16)</f>
        <v>6.0999999999999999E-2</v>
      </c>
      <c r="P500" s="69" t="str">
        <f>IFERROR(Supplier_Perf_Table[[#This Row],[Unit_Cost]]*Supplier_Perf_Table[[#This Row],[Dollar Equivalent]],"")</f>
        <v/>
      </c>
      <c r="Q500" s="75">
        <v>50</v>
      </c>
      <c r="R500" s="1">
        <v>162056.5</v>
      </c>
      <c r="S500" s="75" t="e">
        <f>Supplier_Perf_Table[[#This Row],[Unit_Cost]]*Supplier_Perf_Table[[#This Row],[Order_Quantity]]</f>
        <v>#VALUE!</v>
      </c>
      <c r="T500" s="75">
        <f>IFERROR(Supplier_Perf_Table[[#This Row],[Dollar Equivalent]]*Supplier_Perf_Table[[#This Row],[Ordered_Value]],"")</f>
        <v>9885.4465</v>
      </c>
      <c r="U500" s="75">
        <v>3</v>
      </c>
      <c r="V500" s="7">
        <v>0.06</v>
      </c>
      <c r="W500" s="75">
        <v>9</v>
      </c>
      <c r="X500" s="55">
        <f>IFERROR(Supplier_Perf_Table[[#This Row],[Actual_Delivery_Date]]-Supplier_Perf_Table[[#This Row],[Order Date]],"")</f>
        <v>9</v>
      </c>
      <c r="Y500" s="75">
        <v>21</v>
      </c>
      <c r="Z500" s="56">
        <f>IFERROR(Supplier_Perf_Table[[#This Row],[Expected Delivery_Date]]-Supplier_Perf_Table[[#This Row],[Order Date]],"")</f>
        <v>21</v>
      </c>
      <c r="AA500" s="56">
        <f>Supplier_Perf_Table[[#This Row],[Calculated_Lead_Time2]]-Supplier_Perf_Table[[#This Row],[Calculated_Expected_Lead_Time]]</f>
        <v>-12</v>
      </c>
      <c r="AB500" s="75">
        <v>-12</v>
      </c>
      <c r="AC500" s="63" t="s">
        <v>87</v>
      </c>
      <c r="AD500" s="63" t="s">
        <v>74</v>
      </c>
      <c r="AE500" s="63" t="s">
        <v>3088</v>
      </c>
      <c r="AF500" s="63" t="s">
        <v>106</v>
      </c>
      <c r="AG500" s="63" t="s">
        <v>128</v>
      </c>
      <c r="AH500" s="63" t="s">
        <v>3112</v>
      </c>
      <c r="AI500" s="63" t="s">
        <v>44</v>
      </c>
      <c r="AJ500" s="63" t="s">
        <v>283</v>
      </c>
      <c r="AK500" s="83">
        <v>1.2</v>
      </c>
      <c r="AL500" s="63" t="s">
        <v>76</v>
      </c>
      <c r="AM500" s="63" t="s">
        <v>284</v>
      </c>
      <c r="AN500"/>
    </row>
    <row r="501" spans="1:40" ht="18" customHeight="1">
      <c r="A501" s="1" t="s">
        <v>1644</v>
      </c>
      <c r="B501" s="1" t="s">
        <v>1645</v>
      </c>
      <c r="C501" s="4">
        <v>46197</v>
      </c>
      <c r="D501" s="4">
        <v>46204</v>
      </c>
      <c r="E501" s="4">
        <v>46203</v>
      </c>
      <c r="F501" s="63" t="s">
        <v>151</v>
      </c>
      <c r="G501" s="63" t="s">
        <v>3844</v>
      </c>
      <c r="H501" s="63" t="s">
        <v>152</v>
      </c>
      <c r="I501" s="63" t="s">
        <v>178</v>
      </c>
      <c r="J501" s="63" t="s">
        <v>112</v>
      </c>
      <c r="K501" s="63" t="s">
        <v>684</v>
      </c>
      <c r="L501" s="63" t="s">
        <v>229</v>
      </c>
      <c r="M501" s="69">
        <v>659.96</v>
      </c>
      <c r="N501" s="63" t="s">
        <v>38</v>
      </c>
      <c r="O501" s="73">
        <f>_xlfn.XLOOKUP(Supplier_Perf_Table[[#This Row],[Currency]],'Comments 2'!$C$4:$C$16,'Comments 2'!$D$4:$D$16)</f>
        <v>7.7000000000000002E-3</v>
      </c>
      <c r="P501" s="69">
        <f>IFERROR(Supplier_Perf_Table[[#This Row],[Unit_Cost]]*Supplier_Perf_Table[[#This Row],[Dollar Equivalent]],"")</f>
        <v>5.0816920000000003</v>
      </c>
      <c r="Q501" s="75">
        <v>1000</v>
      </c>
      <c r="R501" s="1">
        <v>659960</v>
      </c>
      <c r="S501" s="75">
        <f>Supplier_Perf_Table[[#This Row],[Unit_Cost]]*Supplier_Perf_Table[[#This Row],[Order_Quantity]]</f>
        <v>659960</v>
      </c>
      <c r="T501" s="75">
        <f>IFERROR(Supplier_Perf_Table[[#This Row],[Dollar Equivalent]]*Supplier_Perf_Table[[#This Row],[Ordered_Value]],"")</f>
        <v>5081.692</v>
      </c>
      <c r="U501" s="75">
        <v>25</v>
      </c>
      <c r="V501" s="7">
        <v>2.5000000000000001E-2</v>
      </c>
      <c r="W501" s="75">
        <v>6</v>
      </c>
      <c r="X501" s="55">
        <f>IFERROR(Supplier_Perf_Table[[#This Row],[Actual_Delivery_Date]]-Supplier_Perf_Table[[#This Row],[Order Date]],"")</f>
        <v>6</v>
      </c>
      <c r="Y501" s="75">
        <v>7</v>
      </c>
      <c r="Z501" s="56">
        <f>IFERROR(Supplier_Perf_Table[[#This Row],[Expected Delivery_Date]]-Supplier_Perf_Table[[#This Row],[Order Date]],"")</f>
        <v>7</v>
      </c>
      <c r="AA501" s="56">
        <f>Supplier_Perf_Table[[#This Row],[Calculated_Lead_Time2]]-Supplier_Perf_Table[[#This Row],[Calculated_Expected_Lead_Time]]</f>
        <v>-1</v>
      </c>
      <c r="AB501" s="75">
        <v>-1</v>
      </c>
      <c r="AC501" s="63" t="s">
        <v>270</v>
      </c>
      <c r="AD501" s="63" t="s">
        <v>40</v>
      </c>
      <c r="AE501" s="63" t="s">
        <v>105</v>
      </c>
      <c r="AF501" s="63" t="s">
        <v>190</v>
      </c>
      <c r="AG501" s="63" t="s">
        <v>43</v>
      </c>
      <c r="AH501" s="63" t="s">
        <v>129</v>
      </c>
      <c r="AI501" s="63" t="s">
        <v>95</v>
      </c>
      <c r="AJ501" s="63" t="s">
        <v>138</v>
      </c>
      <c r="AK501" s="83">
        <v>3.5</v>
      </c>
      <c r="AL501" s="63" t="s">
        <v>184</v>
      </c>
      <c r="AM501" s="63" t="s">
        <v>138</v>
      </c>
      <c r="AN501"/>
    </row>
    <row r="502" spans="1:40" ht="18" customHeight="1">
      <c r="A502" s="1" t="s">
        <v>1646</v>
      </c>
      <c r="B502" s="1" t="s">
        <v>1647</v>
      </c>
      <c r="C502" s="4">
        <v>46118</v>
      </c>
      <c r="D502" s="4">
        <v>46126</v>
      </c>
      <c r="E502" s="4">
        <v>46130</v>
      </c>
      <c r="F502" s="63" t="s">
        <v>215</v>
      </c>
      <c r="G502" s="63" t="s">
        <v>3846</v>
      </c>
      <c r="H502" s="63" t="s">
        <v>152</v>
      </c>
      <c r="I502" s="63" t="s">
        <v>92</v>
      </c>
      <c r="J502" s="63" t="s">
        <v>112</v>
      </c>
      <c r="K502" s="63" t="s">
        <v>1648</v>
      </c>
      <c r="L502" s="63" t="s">
        <v>114</v>
      </c>
      <c r="M502" s="69">
        <v>495.88</v>
      </c>
      <c r="N502" s="63" t="s">
        <v>65</v>
      </c>
      <c r="O502" s="73">
        <f>_xlfn.XLOOKUP(Supplier_Perf_Table[[#This Row],[Currency]],'Comments 2'!$C$4:$C$16,'Comments 2'!$D$4:$D$16)</f>
        <v>1</v>
      </c>
      <c r="P502" s="69">
        <f>IFERROR(Supplier_Perf_Table[[#This Row],[Unit_Cost]]*Supplier_Perf_Table[[#This Row],[Dollar Equivalent]],"")</f>
        <v>495.88</v>
      </c>
      <c r="Q502" s="75">
        <v>1500</v>
      </c>
      <c r="R502" s="1">
        <v>743820</v>
      </c>
      <c r="S502" s="75">
        <f>Supplier_Perf_Table[[#This Row],[Unit_Cost]]*Supplier_Perf_Table[[#This Row],[Order_Quantity]]</f>
        <v>743820</v>
      </c>
      <c r="T502" s="75">
        <f>IFERROR(Supplier_Perf_Table[[#This Row],[Dollar Equivalent]]*Supplier_Perf_Table[[#This Row],[Ordered_Value]],"")</f>
        <v>743820</v>
      </c>
      <c r="U502" s="75">
        <v>25</v>
      </c>
      <c r="V502" s="7">
        <v>1.67E-2</v>
      </c>
      <c r="W502" s="75">
        <v>12</v>
      </c>
      <c r="X502" s="55">
        <f>IFERROR(Supplier_Perf_Table[[#This Row],[Actual_Delivery_Date]]-Supplier_Perf_Table[[#This Row],[Order Date]],"")</f>
        <v>12</v>
      </c>
      <c r="Y502" s="75">
        <v>8</v>
      </c>
      <c r="Z502" s="56">
        <f>IFERROR(Supplier_Perf_Table[[#This Row],[Expected Delivery_Date]]-Supplier_Perf_Table[[#This Row],[Order Date]],"")</f>
        <v>8</v>
      </c>
      <c r="AA502" s="56">
        <f>Supplier_Perf_Table[[#This Row],[Calculated_Lead_Time2]]-Supplier_Perf_Table[[#This Row],[Calculated_Expected_Lead_Time]]</f>
        <v>4</v>
      </c>
      <c r="AB502" s="75">
        <v>4</v>
      </c>
      <c r="AC502" s="63" t="s">
        <v>39</v>
      </c>
      <c r="AD502" s="63" t="s">
        <v>40</v>
      </c>
      <c r="AE502" s="63" t="s">
        <v>127</v>
      </c>
      <c r="AF502" s="63" t="s">
        <v>106</v>
      </c>
      <c r="AG502" s="63" t="s">
        <v>128</v>
      </c>
      <c r="AH502" s="63" t="s">
        <v>136</v>
      </c>
      <c r="AI502" s="63" t="s">
        <v>191</v>
      </c>
      <c r="AJ502" s="63" t="s">
        <v>138</v>
      </c>
      <c r="AK502" s="83">
        <v>2.2000000000000002</v>
      </c>
      <c r="AL502" s="63" t="s">
        <v>184</v>
      </c>
      <c r="AM502" s="63" t="s">
        <v>148</v>
      </c>
      <c r="AN502"/>
    </row>
    <row r="503" spans="1:40" ht="18" customHeight="1">
      <c r="A503" s="1" t="s">
        <v>1649</v>
      </c>
      <c r="B503" s="1" t="s">
        <v>1650</v>
      </c>
      <c r="C503" s="4">
        <v>46103</v>
      </c>
      <c r="D503" s="4">
        <v>46119</v>
      </c>
      <c r="E503" s="4">
        <v>46120</v>
      </c>
      <c r="F503" s="63" t="s">
        <v>256</v>
      </c>
      <c r="G503" s="63" t="s">
        <v>3849</v>
      </c>
      <c r="H503" s="63" t="s">
        <v>258</v>
      </c>
      <c r="I503" s="63" t="s">
        <v>83</v>
      </c>
      <c r="J503" s="63" t="s">
        <v>153</v>
      </c>
      <c r="K503" s="63" t="s">
        <v>1651</v>
      </c>
      <c r="L503" s="63" t="s">
        <v>318</v>
      </c>
      <c r="M503" s="69">
        <v>122.79</v>
      </c>
      <c r="N503" s="63" t="s">
        <v>38</v>
      </c>
      <c r="O503" s="73">
        <f>_xlfn.XLOOKUP(Supplier_Perf_Table[[#This Row],[Currency]],'Comments 2'!$C$4:$C$16,'Comments 2'!$D$4:$D$16)</f>
        <v>7.7000000000000002E-3</v>
      </c>
      <c r="P503" s="69">
        <f>IFERROR(Supplier_Perf_Table[[#This Row],[Unit_Cost]]*Supplier_Perf_Table[[#This Row],[Dollar Equivalent]],"")</f>
        <v>0.94548300000000007</v>
      </c>
      <c r="Q503" s="75">
        <v>750</v>
      </c>
      <c r="R503" s="1">
        <v>92092.5</v>
      </c>
      <c r="S503" s="75">
        <f>Supplier_Perf_Table[[#This Row],[Unit_Cost]]*Supplier_Perf_Table[[#This Row],[Order_Quantity]]</f>
        <v>92092.5</v>
      </c>
      <c r="T503" s="75">
        <f>IFERROR(Supplier_Perf_Table[[#This Row],[Dollar Equivalent]]*Supplier_Perf_Table[[#This Row],[Ordered_Value]],"")</f>
        <v>709.11225000000002</v>
      </c>
      <c r="U503" s="75">
        <v>17</v>
      </c>
      <c r="V503" s="7">
        <v>2.2700000000000001E-2</v>
      </c>
      <c r="W503" s="75">
        <v>17</v>
      </c>
      <c r="X503" s="55">
        <f>IFERROR(Supplier_Perf_Table[[#This Row],[Actual_Delivery_Date]]-Supplier_Perf_Table[[#This Row],[Order Date]],"")</f>
        <v>17</v>
      </c>
      <c r="Y503" s="75">
        <v>16</v>
      </c>
      <c r="Z503" s="56">
        <f>IFERROR(Supplier_Perf_Table[[#This Row],[Expected Delivery_Date]]-Supplier_Perf_Table[[#This Row],[Order Date]],"")</f>
        <v>16</v>
      </c>
      <c r="AA503" s="56">
        <f>Supplier_Perf_Table[[#This Row],[Calculated_Lead_Time2]]-Supplier_Perf_Table[[#This Row],[Calculated_Expected_Lead_Time]]</f>
        <v>1</v>
      </c>
      <c r="AB503" s="75">
        <v>1</v>
      </c>
      <c r="AC503" s="63" t="s">
        <v>135</v>
      </c>
      <c r="AD503" s="63" t="s">
        <v>40</v>
      </c>
      <c r="AE503" s="63" t="s">
        <v>3088</v>
      </c>
      <c r="AF503" s="63" t="s">
        <v>190</v>
      </c>
      <c r="AG503" s="63" t="s">
        <v>43</v>
      </c>
      <c r="AH503" s="63" t="s">
        <v>3112</v>
      </c>
      <c r="AI503" s="63" t="s">
        <v>138</v>
      </c>
      <c r="AJ503" s="63" t="s">
        <v>138</v>
      </c>
      <c r="AK503" s="83">
        <v>2.8</v>
      </c>
      <c r="AL503" s="63" t="s">
        <v>45</v>
      </c>
      <c r="AM503" s="63" t="s">
        <v>148</v>
      </c>
      <c r="AN503"/>
    </row>
    <row r="504" spans="1:40" ht="18" customHeight="1">
      <c r="A504" s="1" t="s">
        <v>1652</v>
      </c>
      <c r="B504" s="1" t="s">
        <v>1653</v>
      </c>
      <c r="C504" s="4">
        <v>46038</v>
      </c>
      <c r="D504" s="4">
        <v>46055</v>
      </c>
      <c r="E504" s="4">
        <v>46052</v>
      </c>
      <c r="F504" s="63" t="s">
        <v>100</v>
      </c>
      <c r="G504" s="63" t="s">
        <v>3841</v>
      </c>
      <c r="H504" s="63" t="s">
        <v>102</v>
      </c>
      <c r="I504" s="63" t="s">
        <v>49</v>
      </c>
      <c r="J504" s="63" t="s">
        <v>50</v>
      </c>
      <c r="K504" s="63" t="s">
        <v>1654</v>
      </c>
      <c r="L504" s="63" t="s">
        <v>145</v>
      </c>
      <c r="M504" s="69">
        <v>1605.65</v>
      </c>
      <c r="N504" s="63" t="s">
        <v>159</v>
      </c>
      <c r="O504" s="73">
        <f>_xlfn.XLOOKUP(Supplier_Perf_Table[[#This Row],[Currency]],'Comments 2'!$C$4:$C$16,'Comments 2'!$D$4:$D$16)</f>
        <v>7.2999999999999996E-4</v>
      </c>
      <c r="P504" s="69">
        <f>IFERROR(Supplier_Perf_Table[[#This Row],[Unit_Cost]]*Supplier_Perf_Table[[#This Row],[Dollar Equivalent]],"")</f>
        <v>1.1721245</v>
      </c>
      <c r="Q504" s="75">
        <v>2000</v>
      </c>
      <c r="R504" s="1">
        <v>3211300</v>
      </c>
      <c r="S504" s="75">
        <f>Supplier_Perf_Table[[#This Row],[Unit_Cost]]*Supplier_Perf_Table[[#This Row],[Order_Quantity]]</f>
        <v>3211300</v>
      </c>
      <c r="T504" s="75">
        <f>IFERROR(Supplier_Perf_Table[[#This Row],[Dollar Equivalent]]*Supplier_Perf_Table[[#This Row],[Ordered_Value]],"")</f>
        <v>2344.2489999999998</v>
      </c>
      <c r="U504" s="75">
        <v>0</v>
      </c>
      <c r="V504" s="7">
        <v>0</v>
      </c>
      <c r="W504" s="75">
        <v>14</v>
      </c>
      <c r="X504" s="55">
        <f>IFERROR(Supplier_Perf_Table[[#This Row],[Actual_Delivery_Date]]-Supplier_Perf_Table[[#This Row],[Order Date]],"")</f>
        <v>14</v>
      </c>
      <c r="Y504" s="75">
        <v>17</v>
      </c>
      <c r="Z504" s="56">
        <f>IFERROR(Supplier_Perf_Table[[#This Row],[Expected Delivery_Date]]-Supplier_Perf_Table[[#This Row],[Order Date]],"")</f>
        <v>17</v>
      </c>
      <c r="AA504" s="56">
        <f>Supplier_Perf_Table[[#This Row],[Calculated_Lead_Time2]]-Supplier_Perf_Table[[#This Row],[Calculated_Expected_Lead_Time]]</f>
        <v>-3</v>
      </c>
      <c r="AB504" s="75">
        <v>-3</v>
      </c>
      <c r="AC504" s="63" t="s">
        <v>87</v>
      </c>
      <c r="AD504" s="63" t="s">
        <v>40</v>
      </c>
      <c r="AE504" s="63" t="s">
        <v>146</v>
      </c>
      <c r="AF504" s="63" t="s">
        <v>42</v>
      </c>
      <c r="AG504" s="63" t="s">
        <v>107</v>
      </c>
      <c r="AH504" s="63" t="s">
        <v>55</v>
      </c>
      <c r="AI504" s="63" t="s">
        <v>56</v>
      </c>
      <c r="AJ504" s="63" t="s">
        <v>138</v>
      </c>
      <c r="AK504" s="83">
        <v>3.6</v>
      </c>
      <c r="AL504" s="63" t="s">
        <v>57</v>
      </c>
      <c r="AM504" s="63" t="s">
        <v>130</v>
      </c>
      <c r="AN504"/>
    </row>
    <row r="505" spans="1:40" ht="18" customHeight="1">
      <c r="A505" s="1" t="s">
        <v>1655</v>
      </c>
      <c r="B505" s="1" t="s">
        <v>1656</v>
      </c>
      <c r="C505" s="4">
        <v>46039</v>
      </c>
      <c r="D505" s="4">
        <v>46059</v>
      </c>
      <c r="E505" s="4">
        <v>46063</v>
      </c>
      <c r="F505" s="63" t="s">
        <v>256</v>
      </c>
      <c r="G505" s="63" t="s">
        <v>3849</v>
      </c>
      <c r="H505" s="63" t="s">
        <v>258</v>
      </c>
      <c r="I505" s="63" t="s">
        <v>120</v>
      </c>
      <c r="J505" s="63" t="s">
        <v>153</v>
      </c>
      <c r="K505" s="63" t="s">
        <v>1657</v>
      </c>
      <c r="L505" s="63" t="s">
        <v>295</v>
      </c>
      <c r="M505" s="69">
        <v>281.39999999999998</v>
      </c>
      <c r="N505" s="63" t="s">
        <v>65</v>
      </c>
      <c r="O505" s="73">
        <f>_xlfn.XLOOKUP(Supplier_Perf_Table[[#This Row],[Currency]],'Comments 2'!$C$4:$C$16,'Comments 2'!$D$4:$D$16)</f>
        <v>1</v>
      </c>
      <c r="P505" s="69">
        <f>IFERROR(Supplier_Perf_Table[[#This Row],[Unit_Cost]]*Supplier_Perf_Table[[#This Row],[Dollar Equivalent]],"")</f>
        <v>281.39999999999998</v>
      </c>
      <c r="Q505" s="75">
        <v>1500</v>
      </c>
      <c r="R505" s="1">
        <v>422100</v>
      </c>
      <c r="S505" s="75">
        <f>Supplier_Perf_Table[[#This Row],[Unit_Cost]]*Supplier_Perf_Table[[#This Row],[Order_Quantity]]</f>
        <v>422099.99999999994</v>
      </c>
      <c r="T505" s="75">
        <f>IFERROR(Supplier_Perf_Table[[#This Row],[Dollar Equivalent]]*Supplier_Perf_Table[[#This Row],[Ordered_Value]],"")</f>
        <v>422100</v>
      </c>
      <c r="U505" s="75">
        <v>67</v>
      </c>
      <c r="V505" s="7">
        <v>4.4699999999999997E-2</v>
      </c>
      <c r="W505" s="75">
        <v>24</v>
      </c>
      <c r="X505" s="55">
        <f>IFERROR(Supplier_Perf_Table[[#This Row],[Actual_Delivery_Date]]-Supplier_Perf_Table[[#This Row],[Order Date]],"")</f>
        <v>24</v>
      </c>
      <c r="Y505" s="75">
        <v>20</v>
      </c>
      <c r="Z505" s="56">
        <f>IFERROR(Supplier_Perf_Table[[#This Row],[Expected Delivery_Date]]-Supplier_Perf_Table[[#This Row],[Order Date]],"")</f>
        <v>20</v>
      </c>
      <c r="AA505" s="56">
        <f>Supplier_Perf_Table[[#This Row],[Calculated_Lead_Time2]]-Supplier_Perf_Table[[#This Row],[Calculated_Expected_Lead_Time]]</f>
        <v>4</v>
      </c>
      <c r="AB505" s="75"/>
      <c r="AC505" s="63" t="s">
        <v>205</v>
      </c>
      <c r="AD505" s="63" t="s">
        <v>420</v>
      </c>
      <c r="AE505" s="63" t="s">
        <v>146</v>
      </c>
      <c r="AF505" s="63" t="s">
        <v>190</v>
      </c>
      <c r="AG505" s="63" t="s">
        <v>173</v>
      </c>
      <c r="AH505" s="63" t="s">
        <v>55</v>
      </c>
      <c r="AI505" s="63" t="s">
        <v>191</v>
      </c>
      <c r="AJ505" s="63" t="s">
        <v>283</v>
      </c>
      <c r="AK505" s="83">
        <v>2.1</v>
      </c>
      <c r="AL505" s="63" t="s">
        <v>139</v>
      </c>
      <c r="AM505" s="63" t="s">
        <v>185</v>
      </c>
      <c r="AN505"/>
    </row>
    <row r="506" spans="1:40" ht="18" customHeight="1">
      <c r="A506" s="1" t="s">
        <v>1658</v>
      </c>
      <c r="B506" s="1" t="s">
        <v>1659</v>
      </c>
      <c r="C506" s="4">
        <v>46097</v>
      </c>
      <c r="D506" s="4">
        <v>46110</v>
      </c>
      <c r="E506" s="4">
        <v>46108</v>
      </c>
      <c r="F506" s="63" t="s">
        <v>256</v>
      </c>
      <c r="G506" s="63" t="s">
        <v>3849</v>
      </c>
      <c r="H506" s="63" t="s">
        <v>258</v>
      </c>
      <c r="I506" s="63" t="s">
        <v>34</v>
      </c>
      <c r="J506" s="63" t="s">
        <v>153</v>
      </c>
      <c r="K506" s="63" t="s">
        <v>1660</v>
      </c>
      <c r="L506" s="63" t="s">
        <v>155</v>
      </c>
      <c r="M506" s="69">
        <v>738.51</v>
      </c>
      <c r="N506" s="63" t="s">
        <v>53</v>
      </c>
      <c r="O506" s="73">
        <f>_xlfn.XLOOKUP(Supplier_Perf_Table[[#This Row],[Currency]],'Comments 2'!$C$4:$C$16,'Comments 2'!$D$4:$D$16)</f>
        <v>6.0999999999999999E-2</v>
      </c>
      <c r="P506" s="69">
        <f>IFERROR(Supplier_Perf_Table[[#This Row],[Unit_Cost]]*Supplier_Perf_Table[[#This Row],[Dollar Equivalent]],"")</f>
        <v>45.049109999999999</v>
      </c>
      <c r="Q506" s="75">
        <v>75</v>
      </c>
      <c r="R506" s="1">
        <v>55388.25</v>
      </c>
      <c r="S506" s="75">
        <f>Supplier_Perf_Table[[#This Row],[Unit_Cost]]*Supplier_Perf_Table[[#This Row],[Order_Quantity]]</f>
        <v>55388.25</v>
      </c>
      <c r="T506" s="75">
        <f>IFERROR(Supplier_Perf_Table[[#This Row],[Dollar Equivalent]]*Supplier_Perf_Table[[#This Row],[Ordered_Value]],"")</f>
        <v>3378.68325</v>
      </c>
      <c r="U506" s="75">
        <v>0</v>
      </c>
      <c r="V506" s="7">
        <v>0</v>
      </c>
      <c r="W506" s="75">
        <v>11</v>
      </c>
      <c r="X506" s="55">
        <f>IFERROR(Supplier_Perf_Table[[#This Row],[Actual_Delivery_Date]]-Supplier_Perf_Table[[#This Row],[Order Date]],"")</f>
        <v>11</v>
      </c>
      <c r="Y506" s="75">
        <v>13</v>
      </c>
      <c r="Z506" s="56">
        <f>IFERROR(Supplier_Perf_Table[[#This Row],[Expected Delivery_Date]]-Supplier_Perf_Table[[#This Row],[Order Date]],"")</f>
        <v>13</v>
      </c>
      <c r="AA506" s="56">
        <f>Supplier_Perf_Table[[#This Row],[Calculated_Lead_Time2]]-Supplier_Perf_Table[[#This Row],[Calculated_Expected_Lead_Time]]</f>
        <v>-2</v>
      </c>
      <c r="AB506" s="75">
        <v>-2</v>
      </c>
      <c r="AC506" s="63" t="s">
        <v>87</v>
      </c>
      <c r="AD506" s="63" t="s">
        <v>40</v>
      </c>
      <c r="AE506" s="63" t="s">
        <v>127</v>
      </c>
      <c r="AF506" s="63" t="s">
        <v>212</v>
      </c>
      <c r="AG506" s="63" t="s">
        <v>173</v>
      </c>
      <c r="AH506" s="63" t="s">
        <v>129</v>
      </c>
      <c r="AI506" s="63" t="s">
        <v>191</v>
      </c>
      <c r="AJ506" s="63" t="s">
        <v>138</v>
      </c>
      <c r="AK506" s="83">
        <v>2.6</v>
      </c>
      <c r="AL506" s="63" t="s">
        <v>76</v>
      </c>
      <c r="AM506" s="63" t="s">
        <v>130</v>
      </c>
      <c r="AN506"/>
    </row>
    <row r="507" spans="1:40" ht="18" customHeight="1">
      <c r="A507" s="1" t="s">
        <v>1661</v>
      </c>
      <c r="B507" s="1" t="s">
        <v>1662</v>
      </c>
      <c r="C507" s="4">
        <v>46028</v>
      </c>
      <c r="D507" s="4">
        <v>46037</v>
      </c>
      <c r="E507" s="4">
        <v>46036</v>
      </c>
      <c r="F507" s="63" t="s">
        <v>69</v>
      </c>
      <c r="G507" s="63" t="s">
        <v>3838</v>
      </c>
      <c r="H507" s="63" t="s">
        <v>194</v>
      </c>
      <c r="I507" s="63" t="s">
        <v>83</v>
      </c>
      <c r="J507" s="63" t="s">
        <v>112</v>
      </c>
      <c r="K507" s="63" t="s">
        <v>1663</v>
      </c>
      <c r="L507" s="63" t="s">
        <v>218</v>
      </c>
      <c r="M507" s="69">
        <v>101.2</v>
      </c>
      <c r="N507" s="63" t="s">
        <v>86</v>
      </c>
      <c r="O507" s="73">
        <f>_xlfn.XLOOKUP(Supplier_Perf_Table[[#This Row],[Currency]],'Comments 2'!$C$4:$C$16,'Comments 2'!$D$4:$D$16)</f>
        <v>8.8999999999999996E-2</v>
      </c>
      <c r="P507" s="69">
        <f>IFERROR(Supplier_Perf_Table[[#This Row],[Unit_Cost]]*Supplier_Perf_Table[[#This Row],[Dollar Equivalent]],"")</f>
        <v>9.0068000000000001</v>
      </c>
      <c r="Q507" s="75">
        <v>50</v>
      </c>
      <c r="R507" s="1">
        <v>5060</v>
      </c>
      <c r="S507" s="75">
        <f>Supplier_Perf_Table[[#This Row],[Unit_Cost]]*Supplier_Perf_Table[[#This Row],[Order_Quantity]]</f>
        <v>5060</v>
      </c>
      <c r="T507" s="75">
        <f>IFERROR(Supplier_Perf_Table[[#This Row],[Dollar Equivalent]]*Supplier_Perf_Table[[#This Row],[Ordered_Value]],"")</f>
        <v>450.34</v>
      </c>
      <c r="U507" s="75">
        <v>4</v>
      </c>
      <c r="V507" s="7">
        <v>0.08</v>
      </c>
      <c r="W507" s="75">
        <v>8</v>
      </c>
      <c r="X507" s="55">
        <f>IFERROR(Supplier_Perf_Table[[#This Row],[Actual_Delivery_Date]]-Supplier_Perf_Table[[#This Row],[Order Date]],"")</f>
        <v>8</v>
      </c>
      <c r="Y507" s="75">
        <v>9</v>
      </c>
      <c r="Z507" s="56">
        <f>IFERROR(Supplier_Perf_Table[[#This Row],[Expected Delivery_Date]]-Supplier_Perf_Table[[#This Row],[Order Date]],"")</f>
        <v>9</v>
      </c>
      <c r="AA507" s="56">
        <f>Supplier_Perf_Table[[#This Row],[Calculated_Lead_Time2]]-Supplier_Perf_Table[[#This Row],[Calculated_Expected_Lead_Time]]</f>
        <v>-1</v>
      </c>
      <c r="AB507" s="75">
        <v>-1</v>
      </c>
      <c r="AC507" s="63" t="s">
        <v>87</v>
      </c>
      <c r="AD507" s="63" t="s">
        <v>74</v>
      </c>
      <c r="AE507" s="63" t="s">
        <v>105</v>
      </c>
      <c r="AF507" s="63" t="s">
        <v>212</v>
      </c>
      <c r="AG507" s="63" t="s">
        <v>3088</v>
      </c>
      <c r="AH507" s="63" t="s">
        <v>206</v>
      </c>
      <c r="AI507" s="63" t="s">
        <v>137</v>
      </c>
      <c r="AJ507" s="63" t="s">
        <v>283</v>
      </c>
      <c r="AK507" s="83">
        <v>2.4</v>
      </c>
      <c r="AL507" s="63" t="s">
        <v>115</v>
      </c>
      <c r="AM507" s="63" t="s">
        <v>97</v>
      </c>
      <c r="AN507"/>
    </row>
    <row r="508" spans="1:40" ht="18" customHeight="1">
      <c r="A508" s="1" t="s">
        <v>1664</v>
      </c>
      <c r="B508" s="1" t="s">
        <v>1665</v>
      </c>
      <c r="C508" s="4">
        <v>46032</v>
      </c>
      <c r="D508" s="4">
        <v>46045</v>
      </c>
      <c r="E508" s="4">
        <v>46051</v>
      </c>
      <c r="F508" s="63" t="s">
        <v>235</v>
      </c>
      <c r="G508" s="63" t="s">
        <v>3848</v>
      </c>
      <c r="H508" s="63" t="s">
        <v>479</v>
      </c>
      <c r="I508" s="63" t="s">
        <v>61</v>
      </c>
      <c r="J508" s="63" t="s">
        <v>71</v>
      </c>
      <c r="K508" s="63" t="s">
        <v>1666</v>
      </c>
      <c r="L508" s="63" t="s">
        <v>337</v>
      </c>
      <c r="M508" s="69">
        <v>291.94</v>
      </c>
      <c r="N508" s="63" t="s">
        <v>38</v>
      </c>
      <c r="O508" s="73">
        <f>_xlfn.XLOOKUP(Supplier_Perf_Table[[#This Row],[Currency]],'Comments 2'!$C$4:$C$16,'Comments 2'!$D$4:$D$16)</f>
        <v>7.7000000000000002E-3</v>
      </c>
      <c r="P508" s="69">
        <f>IFERROR(Supplier_Perf_Table[[#This Row],[Unit_Cost]]*Supplier_Perf_Table[[#This Row],[Dollar Equivalent]],"")</f>
        <v>2.247938</v>
      </c>
      <c r="Q508" s="75">
        <v>300</v>
      </c>
      <c r="R508" s="1">
        <v>87582</v>
      </c>
      <c r="S508" s="75">
        <f>Supplier_Perf_Table[[#This Row],[Unit_Cost]]*Supplier_Perf_Table[[#This Row],[Order_Quantity]]</f>
        <v>87582</v>
      </c>
      <c r="T508" s="75">
        <f>IFERROR(Supplier_Perf_Table[[#This Row],[Dollar Equivalent]]*Supplier_Perf_Table[[#This Row],[Ordered_Value]],"")</f>
        <v>674.38139999999999</v>
      </c>
      <c r="U508" s="75">
        <v>12</v>
      </c>
      <c r="V508" s="7">
        <v>0.04</v>
      </c>
      <c r="W508" s="75">
        <v>19</v>
      </c>
      <c r="X508" s="55">
        <f>IFERROR(Supplier_Perf_Table[[#This Row],[Actual_Delivery_Date]]-Supplier_Perf_Table[[#This Row],[Order Date]],"")</f>
        <v>19</v>
      </c>
      <c r="Y508" s="75">
        <v>13</v>
      </c>
      <c r="Z508" s="56">
        <f>IFERROR(Supplier_Perf_Table[[#This Row],[Expected Delivery_Date]]-Supplier_Perf_Table[[#This Row],[Order Date]],"")</f>
        <v>13</v>
      </c>
      <c r="AA508" s="56">
        <f>Supplier_Perf_Table[[#This Row],[Calculated_Lead_Time2]]-Supplier_Perf_Table[[#This Row],[Calculated_Expected_Lead_Time]]</f>
        <v>6</v>
      </c>
      <c r="AB508" s="75">
        <v>6</v>
      </c>
      <c r="AC508" s="63" t="s">
        <v>205</v>
      </c>
      <c r="AD508" s="63" t="s">
        <v>40</v>
      </c>
      <c r="AE508" s="63" t="s">
        <v>105</v>
      </c>
      <c r="AF508" s="63" t="s">
        <v>3088</v>
      </c>
      <c r="AG508" s="63" t="s">
        <v>43</v>
      </c>
      <c r="AH508" s="63" t="s">
        <v>55</v>
      </c>
      <c r="AI508" s="63" t="s">
        <v>137</v>
      </c>
      <c r="AJ508" s="63" t="s">
        <v>138</v>
      </c>
      <c r="AK508" s="83">
        <v>6</v>
      </c>
      <c r="AL508" s="63" t="s">
        <v>184</v>
      </c>
      <c r="AM508" s="63" t="s">
        <v>46</v>
      </c>
      <c r="AN508"/>
    </row>
    <row r="509" spans="1:40" ht="18" customHeight="1">
      <c r="A509" s="1" t="s">
        <v>1667</v>
      </c>
      <c r="B509" s="1" t="s">
        <v>1668</v>
      </c>
      <c r="C509" s="4">
        <v>46145</v>
      </c>
      <c r="D509" s="4">
        <v>46152</v>
      </c>
      <c r="E509" s="4">
        <v>46153</v>
      </c>
      <c r="F509" s="63" t="s">
        <v>60</v>
      </c>
      <c r="G509" s="63" t="s">
        <v>3837</v>
      </c>
      <c r="H509" s="63" t="s">
        <v>152</v>
      </c>
      <c r="I509" s="63" t="s">
        <v>83</v>
      </c>
      <c r="J509" s="63" t="s">
        <v>62</v>
      </c>
      <c r="K509" s="63" t="s">
        <v>1669</v>
      </c>
      <c r="L509" s="63" t="s">
        <v>225</v>
      </c>
      <c r="M509" s="69">
        <v>600.37</v>
      </c>
      <c r="N509" s="63" t="s">
        <v>65</v>
      </c>
      <c r="O509" s="73">
        <f>_xlfn.XLOOKUP(Supplier_Perf_Table[[#This Row],[Currency]],'Comments 2'!$C$4:$C$16,'Comments 2'!$D$4:$D$16)</f>
        <v>1</v>
      </c>
      <c r="P509" s="69">
        <f>IFERROR(Supplier_Perf_Table[[#This Row],[Unit_Cost]]*Supplier_Perf_Table[[#This Row],[Dollar Equivalent]],"")</f>
        <v>600.37</v>
      </c>
      <c r="Q509" s="75">
        <v>200</v>
      </c>
      <c r="R509" s="1">
        <v>120074</v>
      </c>
      <c r="S509" s="75">
        <f>Supplier_Perf_Table[[#This Row],[Unit_Cost]]*Supplier_Perf_Table[[#This Row],[Order_Quantity]]</f>
        <v>120074</v>
      </c>
      <c r="T509" s="75">
        <f>IFERROR(Supplier_Perf_Table[[#This Row],[Dollar Equivalent]]*Supplier_Perf_Table[[#This Row],[Ordered_Value]],"")</f>
        <v>120074</v>
      </c>
      <c r="U509" s="75">
        <v>4</v>
      </c>
      <c r="V509" s="7">
        <v>0.02</v>
      </c>
      <c r="W509" s="75">
        <v>8</v>
      </c>
      <c r="X509" s="55">
        <f>IFERROR(Supplier_Perf_Table[[#This Row],[Actual_Delivery_Date]]-Supplier_Perf_Table[[#This Row],[Order Date]],"")</f>
        <v>8</v>
      </c>
      <c r="Y509" s="75">
        <v>7</v>
      </c>
      <c r="Z509" s="56">
        <f>IFERROR(Supplier_Perf_Table[[#This Row],[Expected Delivery_Date]]-Supplier_Perf_Table[[#This Row],[Order Date]],"")</f>
        <v>7</v>
      </c>
      <c r="AA509" s="56">
        <f>Supplier_Perf_Table[[#This Row],[Calculated_Lead_Time2]]-Supplier_Perf_Table[[#This Row],[Calculated_Expected_Lead_Time]]</f>
        <v>1</v>
      </c>
      <c r="AB509" s="75">
        <v>1</v>
      </c>
      <c r="AC509" s="63" t="s">
        <v>135</v>
      </c>
      <c r="AD509" s="63" t="s">
        <v>40</v>
      </c>
      <c r="AE509" s="63" t="s">
        <v>127</v>
      </c>
      <c r="AF509" s="63" t="s">
        <v>3088</v>
      </c>
      <c r="AG509" s="63" t="s">
        <v>107</v>
      </c>
      <c r="AH509" s="63" t="s">
        <v>3112</v>
      </c>
      <c r="AI509" s="63" t="s">
        <v>44</v>
      </c>
      <c r="AJ509" s="63" t="s">
        <v>138</v>
      </c>
      <c r="AK509" s="83">
        <v>4.4000000000000004</v>
      </c>
      <c r="AL509" s="63" t="s">
        <v>76</v>
      </c>
      <c r="AM509" s="63" t="s">
        <v>148</v>
      </c>
      <c r="AN509"/>
    </row>
    <row r="510" spans="1:40" ht="18" customHeight="1">
      <c r="A510" s="1" t="s">
        <v>1670</v>
      </c>
      <c r="B510" s="1" t="s">
        <v>1671</v>
      </c>
      <c r="C510" s="4">
        <v>46177</v>
      </c>
      <c r="D510" s="4">
        <v>46203</v>
      </c>
      <c r="E510" s="4">
        <v>46205</v>
      </c>
      <c r="F510" s="63" t="s">
        <v>118</v>
      </c>
      <c r="G510" s="63" t="s">
        <v>3842</v>
      </c>
      <c r="H510" s="63" t="s">
        <v>301</v>
      </c>
      <c r="I510" s="63" t="s">
        <v>34</v>
      </c>
      <c r="J510" s="63" t="s">
        <v>62</v>
      </c>
      <c r="K510" s="63" t="s">
        <v>1672</v>
      </c>
      <c r="L510" s="63" t="s">
        <v>122</v>
      </c>
      <c r="M510" s="69">
        <v>675.68</v>
      </c>
      <c r="N510" s="63" t="s">
        <v>86</v>
      </c>
      <c r="O510" s="73">
        <f>_xlfn.XLOOKUP(Supplier_Perf_Table[[#This Row],[Currency]],'Comments 2'!$C$4:$C$16,'Comments 2'!$D$4:$D$16)</f>
        <v>8.8999999999999996E-2</v>
      </c>
      <c r="P510" s="69">
        <f>IFERROR(Supplier_Perf_Table[[#This Row],[Unit_Cost]]*Supplier_Perf_Table[[#This Row],[Dollar Equivalent]],"")</f>
        <v>60.135519999999993</v>
      </c>
      <c r="Q510" s="75">
        <v>2000</v>
      </c>
      <c r="R510" s="1">
        <v>1351360</v>
      </c>
      <c r="S510" s="75">
        <f>Supplier_Perf_Table[[#This Row],[Unit_Cost]]*Supplier_Perf_Table[[#This Row],[Order_Quantity]]</f>
        <v>1351360</v>
      </c>
      <c r="T510" s="75">
        <f>IFERROR(Supplier_Perf_Table[[#This Row],[Dollar Equivalent]]*Supplier_Perf_Table[[#This Row],[Ordered_Value]],"")</f>
        <v>120271.03999999999</v>
      </c>
      <c r="U510" s="75">
        <v>14</v>
      </c>
      <c r="V510" s="7">
        <v>7.0000000000000001E-3</v>
      </c>
      <c r="W510" s="75">
        <v>28</v>
      </c>
      <c r="X510" s="55">
        <f>IFERROR(Supplier_Perf_Table[[#This Row],[Actual_Delivery_Date]]-Supplier_Perf_Table[[#This Row],[Order Date]],"")</f>
        <v>28</v>
      </c>
      <c r="Y510" s="75">
        <v>26</v>
      </c>
      <c r="Z510" s="56">
        <f>IFERROR(Supplier_Perf_Table[[#This Row],[Expected Delivery_Date]]-Supplier_Perf_Table[[#This Row],[Order Date]],"")</f>
        <v>26</v>
      </c>
      <c r="AA510" s="56">
        <f>Supplier_Perf_Table[[#This Row],[Calculated_Lead_Time2]]-Supplier_Perf_Table[[#This Row],[Calculated_Expected_Lead_Time]]</f>
        <v>2</v>
      </c>
      <c r="AB510" s="75">
        <v>2</v>
      </c>
      <c r="AC510" s="63" t="s">
        <v>135</v>
      </c>
      <c r="AD510" s="63" t="s">
        <v>40</v>
      </c>
      <c r="AE510" s="63" t="s">
        <v>41</v>
      </c>
      <c r="AF510" s="63" t="s">
        <v>3088</v>
      </c>
      <c r="AG510" s="63" t="s">
        <v>173</v>
      </c>
      <c r="AH510" s="63" t="s">
        <v>3112</v>
      </c>
      <c r="AI510" s="63" t="s">
        <v>95</v>
      </c>
      <c r="AJ510" s="63" t="s">
        <v>138</v>
      </c>
      <c r="AK510" s="83">
        <v>3</v>
      </c>
      <c r="AL510" s="63" t="s">
        <v>108</v>
      </c>
      <c r="AM510" s="63" t="s">
        <v>46</v>
      </c>
      <c r="AN510"/>
    </row>
    <row r="511" spans="1:40" ht="18" customHeight="1">
      <c r="A511" s="1" t="s">
        <v>1673</v>
      </c>
      <c r="B511" s="1" t="s">
        <v>1674</v>
      </c>
      <c r="C511" s="4">
        <v>46072</v>
      </c>
      <c r="D511" s="4">
        <v>46084</v>
      </c>
      <c r="E511" s="4">
        <v>46091</v>
      </c>
      <c r="F511" s="63" t="s">
        <v>80</v>
      </c>
      <c r="G511" s="63" t="s">
        <v>3839</v>
      </c>
      <c r="H511" s="63" t="s">
        <v>82</v>
      </c>
      <c r="I511" s="63" t="s">
        <v>241</v>
      </c>
      <c r="J511" s="63" t="s">
        <v>153</v>
      </c>
      <c r="K511" s="63" t="s">
        <v>1675</v>
      </c>
      <c r="L511" s="63" t="s">
        <v>204</v>
      </c>
      <c r="M511" s="69">
        <v>819.78</v>
      </c>
      <c r="N511" s="63" t="s">
        <v>65</v>
      </c>
      <c r="O511" s="73">
        <f>_xlfn.XLOOKUP(Supplier_Perf_Table[[#This Row],[Currency]],'Comments 2'!$C$4:$C$16,'Comments 2'!$D$4:$D$16)</f>
        <v>1</v>
      </c>
      <c r="P511" s="69">
        <f>IFERROR(Supplier_Perf_Table[[#This Row],[Unit_Cost]]*Supplier_Perf_Table[[#This Row],[Dollar Equivalent]],"")</f>
        <v>819.78</v>
      </c>
      <c r="Q511" s="75">
        <v>75</v>
      </c>
      <c r="R511" s="1">
        <v>61483.5</v>
      </c>
      <c r="S511" s="75">
        <f>Supplier_Perf_Table[[#This Row],[Unit_Cost]]*Supplier_Perf_Table[[#This Row],[Order_Quantity]]</f>
        <v>61483.5</v>
      </c>
      <c r="T511" s="75">
        <f>IFERROR(Supplier_Perf_Table[[#This Row],[Dollar Equivalent]]*Supplier_Perf_Table[[#This Row],[Ordered_Value]],"")</f>
        <v>61483.5</v>
      </c>
      <c r="U511" s="75">
        <v>5</v>
      </c>
      <c r="V511" s="7">
        <v>6.6699999999999995E-2</v>
      </c>
      <c r="W511" s="75">
        <v>19</v>
      </c>
      <c r="X511" s="55">
        <f>IFERROR(Supplier_Perf_Table[[#This Row],[Actual_Delivery_Date]]-Supplier_Perf_Table[[#This Row],[Order Date]],"")</f>
        <v>19</v>
      </c>
      <c r="Y511" s="75">
        <v>12</v>
      </c>
      <c r="Z511" s="56">
        <f>IFERROR(Supplier_Perf_Table[[#This Row],[Expected Delivery_Date]]-Supplier_Perf_Table[[#This Row],[Order Date]],"")</f>
        <v>12</v>
      </c>
      <c r="AA511" s="56">
        <f>Supplier_Perf_Table[[#This Row],[Calculated_Lead_Time2]]-Supplier_Perf_Table[[#This Row],[Calculated_Expected_Lead_Time]]</f>
        <v>7</v>
      </c>
      <c r="AB511" s="75">
        <v>7</v>
      </c>
      <c r="AC511" s="63" t="s">
        <v>135</v>
      </c>
      <c r="AD511" s="63" t="s">
        <v>74</v>
      </c>
      <c r="AE511" s="63" t="s">
        <v>3088</v>
      </c>
      <c r="AF511" s="63" t="s">
        <v>190</v>
      </c>
      <c r="AG511" s="63" t="s">
        <v>43</v>
      </c>
      <c r="AH511" s="63" t="s">
        <v>206</v>
      </c>
      <c r="AI511" s="63" t="s">
        <v>56</v>
      </c>
      <c r="AJ511" s="63" t="s">
        <v>96</v>
      </c>
      <c r="AK511" s="83">
        <v>2.2000000000000002</v>
      </c>
      <c r="AL511" s="63" t="s">
        <v>76</v>
      </c>
      <c r="AM511" s="63" t="s">
        <v>185</v>
      </c>
      <c r="AN511"/>
    </row>
    <row r="512" spans="1:40" ht="18" customHeight="1">
      <c r="A512" s="1" t="s">
        <v>1676</v>
      </c>
      <c r="B512" s="1" t="s">
        <v>1677</v>
      </c>
      <c r="C512" s="4">
        <v>46079</v>
      </c>
      <c r="D512" s="4">
        <v>46091</v>
      </c>
      <c r="E512" s="4">
        <v>46102</v>
      </c>
      <c r="F512" s="63" t="s">
        <v>90</v>
      </c>
      <c r="G512" s="63" t="s">
        <v>3840</v>
      </c>
      <c r="H512" s="63" t="s">
        <v>133</v>
      </c>
      <c r="I512" s="63" t="s">
        <v>178</v>
      </c>
      <c r="J512" s="63" t="s">
        <v>163</v>
      </c>
      <c r="K512" s="63" t="s">
        <v>1678</v>
      </c>
      <c r="L512" s="63" t="s">
        <v>269</v>
      </c>
      <c r="M512" s="69">
        <v>716.28</v>
      </c>
      <c r="N512" s="63" t="s">
        <v>104</v>
      </c>
      <c r="O512" s="73">
        <f>_xlfn.XLOOKUP(Supplier_Perf_Table[[#This Row],[Currency]],'Comments 2'!$C$4:$C$16,'Comments 2'!$D$4:$D$16)</f>
        <v>1.9E-2</v>
      </c>
      <c r="P512" s="69">
        <f>IFERROR(Supplier_Perf_Table[[#This Row],[Unit_Cost]]*Supplier_Perf_Table[[#This Row],[Dollar Equivalent]],"")</f>
        <v>13.609319999999999</v>
      </c>
      <c r="Q512" s="75">
        <v>1500</v>
      </c>
      <c r="R512" s="1">
        <v>1074420</v>
      </c>
      <c r="S512" s="75">
        <f>Supplier_Perf_Table[[#This Row],[Unit_Cost]]*Supplier_Perf_Table[[#This Row],[Order_Quantity]]</f>
        <v>1074420</v>
      </c>
      <c r="T512" s="75">
        <f>IFERROR(Supplier_Perf_Table[[#This Row],[Dollar Equivalent]]*Supplier_Perf_Table[[#This Row],[Ordered_Value]],"")</f>
        <v>20413.98</v>
      </c>
      <c r="U512" s="75">
        <v>32</v>
      </c>
      <c r="V512" s="7">
        <v>2.1299999999999999E-2</v>
      </c>
      <c r="W512" s="75">
        <v>23</v>
      </c>
      <c r="X512" s="55">
        <f>IFERROR(Supplier_Perf_Table[[#This Row],[Actual_Delivery_Date]]-Supplier_Perf_Table[[#This Row],[Order Date]],"")</f>
        <v>23</v>
      </c>
      <c r="Y512" s="75">
        <v>12</v>
      </c>
      <c r="Z512" s="56">
        <f>IFERROR(Supplier_Perf_Table[[#This Row],[Expected Delivery_Date]]-Supplier_Perf_Table[[#This Row],[Order Date]],"")</f>
        <v>12</v>
      </c>
      <c r="AA512" s="56">
        <f>Supplier_Perf_Table[[#This Row],[Calculated_Lead_Time2]]-Supplier_Perf_Table[[#This Row],[Calculated_Expected_Lead_Time]]</f>
        <v>11</v>
      </c>
      <c r="AB512" s="75">
        <v>11</v>
      </c>
      <c r="AC512" s="63" t="s">
        <v>205</v>
      </c>
      <c r="AD512" s="63" t="s">
        <v>649</v>
      </c>
      <c r="AE512" s="63" t="s">
        <v>105</v>
      </c>
      <c r="AF512" s="63" t="s">
        <v>42</v>
      </c>
      <c r="AG512" s="63" t="s">
        <v>173</v>
      </c>
      <c r="AH512" s="63" t="s">
        <v>3112</v>
      </c>
      <c r="AI512" s="63" t="s">
        <v>138</v>
      </c>
      <c r="AJ512" s="63" t="s">
        <v>138</v>
      </c>
      <c r="AK512" s="83">
        <v>3.4</v>
      </c>
      <c r="AL512" s="63" t="s">
        <v>139</v>
      </c>
      <c r="AM512" s="63" t="s">
        <v>46</v>
      </c>
      <c r="AN512"/>
    </row>
    <row r="513" spans="1:40" ht="18" customHeight="1">
      <c r="A513" s="1" t="s">
        <v>1679</v>
      </c>
      <c r="B513" s="1" t="s">
        <v>1680</v>
      </c>
      <c r="C513" s="4">
        <v>46146</v>
      </c>
      <c r="D513" s="4">
        <v>46161</v>
      </c>
      <c r="E513" s="4">
        <v>46160</v>
      </c>
      <c r="F513" s="63" t="s">
        <v>235</v>
      </c>
      <c r="G513" s="63" t="s">
        <v>3848</v>
      </c>
      <c r="H513" s="63" t="s">
        <v>479</v>
      </c>
      <c r="I513" s="63" t="s">
        <v>83</v>
      </c>
      <c r="J513" s="63" t="s">
        <v>71</v>
      </c>
      <c r="K513" s="63" t="s">
        <v>1681</v>
      </c>
      <c r="L513" s="63" t="s">
        <v>73</v>
      </c>
      <c r="M513" s="69">
        <v>663.9</v>
      </c>
      <c r="N513" s="63" t="s">
        <v>38</v>
      </c>
      <c r="O513" s="73">
        <f>_xlfn.XLOOKUP(Supplier_Perf_Table[[#This Row],[Currency]],'Comments 2'!$C$4:$C$16,'Comments 2'!$D$4:$D$16)</f>
        <v>7.7000000000000002E-3</v>
      </c>
      <c r="P513" s="69">
        <f>IFERROR(Supplier_Perf_Table[[#This Row],[Unit_Cost]]*Supplier_Perf_Table[[#This Row],[Dollar Equivalent]],"")</f>
        <v>5.1120299999999999</v>
      </c>
      <c r="Q513" s="75">
        <v>150</v>
      </c>
      <c r="R513" s="1">
        <v>99585</v>
      </c>
      <c r="S513" s="75">
        <f>Supplier_Perf_Table[[#This Row],[Unit_Cost]]*Supplier_Perf_Table[[#This Row],[Order_Quantity]]</f>
        <v>99585</v>
      </c>
      <c r="T513" s="75">
        <f>IFERROR(Supplier_Perf_Table[[#This Row],[Dollar Equivalent]]*Supplier_Perf_Table[[#This Row],[Ordered_Value]],"")</f>
        <v>766.80450000000008</v>
      </c>
      <c r="U513" s="75">
        <v>1</v>
      </c>
      <c r="V513" s="7">
        <v>6.7000000000000002E-3</v>
      </c>
      <c r="W513" s="75">
        <v>14</v>
      </c>
      <c r="X513" s="55">
        <f>IFERROR(Supplier_Perf_Table[[#This Row],[Actual_Delivery_Date]]-Supplier_Perf_Table[[#This Row],[Order Date]],"")</f>
        <v>14</v>
      </c>
      <c r="Y513" s="75">
        <v>15</v>
      </c>
      <c r="Z513" s="56">
        <f>IFERROR(Supplier_Perf_Table[[#This Row],[Expected Delivery_Date]]-Supplier_Perf_Table[[#This Row],[Order Date]],"")</f>
        <v>15</v>
      </c>
      <c r="AA513" s="56">
        <f>Supplier_Perf_Table[[#This Row],[Calculated_Lead_Time2]]-Supplier_Perf_Table[[#This Row],[Calculated_Expected_Lead_Time]]</f>
        <v>-1</v>
      </c>
      <c r="AB513" s="75">
        <v>-1</v>
      </c>
      <c r="AC513" s="63" t="s">
        <v>87</v>
      </c>
      <c r="AD513" s="63" t="s">
        <v>40</v>
      </c>
      <c r="AE513" s="63" t="s">
        <v>105</v>
      </c>
      <c r="AF513" s="63" t="s">
        <v>3088</v>
      </c>
      <c r="AG513" s="63" t="s">
        <v>173</v>
      </c>
      <c r="AH513" s="63" t="s">
        <v>3112</v>
      </c>
      <c r="AI513" s="63" t="s">
        <v>95</v>
      </c>
      <c r="AJ513" s="63" t="s">
        <v>138</v>
      </c>
      <c r="AK513" s="83">
        <v>3</v>
      </c>
      <c r="AL513" s="63" t="s">
        <v>45</v>
      </c>
      <c r="AM513" s="63" t="s">
        <v>619</v>
      </c>
      <c r="AN513"/>
    </row>
    <row r="514" spans="1:40" ht="18" customHeight="1">
      <c r="A514" s="1" t="s">
        <v>1682</v>
      </c>
      <c r="B514" s="1" t="s">
        <v>1683</v>
      </c>
      <c r="C514" s="4">
        <v>46163</v>
      </c>
      <c r="D514" s="4">
        <v>46169</v>
      </c>
      <c r="E514" s="4">
        <v>46179</v>
      </c>
      <c r="F514" s="63" t="s">
        <v>151</v>
      </c>
      <c r="G514" s="63" t="s">
        <v>3844</v>
      </c>
      <c r="H514" s="63" t="s">
        <v>152</v>
      </c>
      <c r="I514" s="63" t="s">
        <v>92</v>
      </c>
      <c r="J514" s="63" t="s">
        <v>112</v>
      </c>
      <c r="K514" s="63" t="s">
        <v>1684</v>
      </c>
      <c r="L514" s="63" t="s">
        <v>246</v>
      </c>
      <c r="M514" s="69" t="s">
        <v>3080</v>
      </c>
      <c r="N514" s="63" t="s">
        <v>65</v>
      </c>
      <c r="O514" s="73">
        <f>_xlfn.XLOOKUP(Supplier_Perf_Table[[#This Row],[Currency]],'Comments 2'!$C$4:$C$16,'Comments 2'!$D$4:$D$16)</f>
        <v>1</v>
      </c>
      <c r="P514" s="69" t="str">
        <f>IFERROR(Supplier_Perf_Table[[#This Row],[Unit_Cost]]*Supplier_Perf_Table[[#This Row],[Dollar Equivalent]],"")</f>
        <v/>
      </c>
      <c r="Q514" s="75">
        <v>300</v>
      </c>
      <c r="R514" s="1">
        <v>13119</v>
      </c>
      <c r="S514" s="75" t="e">
        <f>Supplier_Perf_Table[[#This Row],[Unit_Cost]]*Supplier_Perf_Table[[#This Row],[Order_Quantity]]</f>
        <v>#VALUE!</v>
      </c>
      <c r="T514" s="75">
        <f>IFERROR(Supplier_Perf_Table[[#This Row],[Dollar Equivalent]]*Supplier_Perf_Table[[#This Row],[Ordered_Value]],"")</f>
        <v>13119</v>
      </c>
      <c r="U514" s="75">
        <v>1</v>
      </c>
      <c r="V514" s="7">
        <v>3.3E-3</v>
      </c>
      <c r="W514" s="75">
        <v>16</v>
      </c>
      <c r="X514" s="55">
        <f>IFERROR(Supplier_Perf_Table[[#This Row],[Actual_Delivery_Date]]-Supplier_Perf_Table[[#This Row],[Order Date]],"")</f>
        <v>16</v>
      </c>
      <c r="Y514" s="75">
        <v>6</v>
      </c>
      <c r="Z514" s="56">
        <f>IFERROR(Supplier_Perf_Table[[#This Row],[Expected Delivery_Date]]-Supplier_Perf_Table[[#This Row],[Order Date]],"")</f>
        <v>6</v>
      </c>
      <c r="AA514" s="56">
        <f>Supplier_Perf_Table[[#This Row],[Calculated_Lead_Time2]]-Supplier_Perf_Table[[#This Row],[Calculated_Expected_Lead_Time]]</f>
        <v>10</v>
      </c>
      <c r="AB514" s="75">
        <v>10</v>
      </c>
      <c r="AC514" s="63" t="s">
        <v>39</v>
      </c>
      <c r="AD514" s="63" t="s">
        <v>40</v>
      </c>
      <c r="AE514" s="63" t="s">
        <v>105</v>
      </c>
      <c r="AF514" s="63" t="s">
        <v>3088</v>
      </c>
      <c r="AG514" s="63" t="s">
        <v>128</v>
      </c>
      <c r="AH514" s="63" t="s">
        <v>3112</v>
      </c>
      <c r="AI514" s="63" t="s">
        <v>44</v>
      </c>
      <c r="AJ514" s="63" t="s">
        <v>138</v>
      </c>
      <c r="AK514" s="83">
        <v>2.6</v>
      </c>
      <c r="AL514" s="63" t="s">
        <v>76</v>
      </c>
      <c r="AM514" s="63" t="s">
        <v>46</v>
      </c>
      <c r="AN514"/>
    </row>
    <row r="515" spans="1:40" ht="18" customHeight="1">
      <c r="A515" s="1" t="s">
        <v>1685</v>
      </c>
      <c r="B515" s="1" t="s">
        <v>1686</v>
      </c>
      <c r="C515" s="4">
        <v>46059</v>
      </c>
      <c r="D515" s="4">
        <v>46070</v>
      </c>
      <c r="E515" s="4">
        <v>46076</v>
      </c>
      <c r="F515" s="63" t="s">
        <v>60</v>
      </c>
      <c r="G515" s="63" t="s">
        <v>3837</v>
      </c>
      <c r="H515" s="63" t="s">
        <v>152</v>
      </c>
      <c r="I515" s="63" t="s">
        <v>120</v>
      </c>
      <c r="J515" s="63" t="s">
        <v>62</v>
      </c>
      <c r="K515" s="63" t="s">
        <v>1687</v>
      </c>
      <c r="L515" s="63" t="s">
        <v>122</v>
      </c>
      <c r="M515" s="69">
        <v>208.17</v>
      </c>
      <c r="N515" s="63" t="s">
        <v>53</v>
      </c>
      <c r="O515" s="73">
        <f>_xlfn.XLOOKUP(Supplier_Perf_Table[[#This Row],[Currency]],'Comments 2'!$C$4:$C$16,'Comments 2'!$D$4:$D$16)</f>
        <v>6.0999999999999999E-2</v>
      </c>
      <c r="P515" s="69">
        <f>IFERROR(Supplier_Perf_Table[[#This Row],[Unit_Cost]]*Supplier_Perf_Table[[#This Row],[Dollar Equivalent]],"")</f>
        <v>12.698369999999999</v>
      </c>
      <c r="Q515" s="75">
        <v>50</v>
      </c>
      <c r="R515" s="1">
        <v>10408.5</v>
      </c>
      <c r="S515" s="75">
        <f>Supplier_Perf_Table[[#This Row],[Unit_Cost]]*Supplier_Perf_Table[[#This Row],[Order_Quantity]]</f>
        <v>10408.5</v>
      </c>
      <c r="T515" s="75">
        <f>IFERROR(Supplier_Perf_Table[[#This Row],[Dollar Equivalent]]*Supplier_Perf_Table[[#This Row],[Ordered_Value]],"")</f>
        <v>634.91849999999999</v>
      </c>
      <c r="U515" s="75"/>
      <c r="V515" s="7">
        <v>0.02</v>
      </c>
      <c r="W515" s="75">
        <v>17</v>
      </c>
      <c r="X515" s="55">
        <f>IFERROR(Supplier_Perf_Table[[#This Row],[Actual_Delivery_Date]]-Supplier_Perf_Table[[#This Row],[Order Date]],"")</f>
        <v>17</v>
      </c>
      <c r="Y515" s="75">
        <v>11</v>
      </c>
      <c r="Z515" s="56">
        <f>IFERROR(Supplier_Perf_Table[[#This Row],[Expected Delivery_Date]]-Supplier_Perf_Table[[#This Row],[Order Date]],"")</f>
        <v>11</v>
      </c>
      <c r="AA515" s="56">
        <f>Supplier_Perf_Table[[#This Row],[Calculated_Lead_Time2]]-Supplier_Perf_Table[[#This Row],[Calculated_Expected_Lead_Time]]</f>
        <v>6</v>
      </c>
      <c r="AB515" s="75">
        <v>6</v>
      </c>
      <c r="AC515" s="63" t="s">
        <v>205</v>
      </c>
      <c r="AD515" s="63" t="s">
        <v>40</v>
      </c>
      <c r="AE515" s="63" t="s">
        <v>105</v>
      </c>
      <c r="AF515" s="63" t="s">
        <v>106</v>
      </c>
      <c r="AG515" s="63" t="s">
        <v>3088</v>
      </c>
      <c r="AH515" s="63" t="s">
        <v>136</v>
      </c>
      <c r="AI515" s="63" t="s">
        <v>138</v>
      </c>
      <c r="AJ515" s="63" t="s">
        <v>138</v>
      </c>
      <c r="AK515" s="83">
        <v>3</v>
      </c>
      <c r="AL515" s="63" t="s">
        <v>184</v>
      </c>
      <c r="AM515" s="63" t="s">
        <v>46</v>
      </c>
      <c r="AN515"/>
    </row>
    <row r="516" spans="1:40" ht="18" customHeight="1">
      <c r="A516" s="1" t="s">
        <v>1688</v>
      </c>
      <c r="B516" s="1" t="s">
        <v>1689</v>
      </c>
      <c r="C516" s="4">
        <v>46146</v>
      </c>
      <c r="D516" s="4">
        <v>46158</v>
      </c>
      <c r="E516" s="4">
        <v>46156</v>
      </c>
      <c r="F516" s="63" t="s">
        <v>209</v>
      </c>
      <c r="G516" s="63" t="s">
        <v>3845</v>
      </c>
      <c r="H516" s="63" t="s">
        <v>316</v>
      </c>
      <c r="I516" s="63" t="s">
        <v>70</v>
      </c>
      <c r="J516" s="63" t="s">
        <v>153</v>
      </c>
      <c r="K516" s="63" t="s">
        <v>1690</v>
      </c>
      <c r="L516" s="63" t="s">
        <v>204</v>
      </c>
      <c r="M516" s="69">
        <v>622.16</v>
      </c>
      <c r="N516" s="63" t="s">
        <v>38</v>
      </c>
      <c r="O516" s="73">
        <f>_xlfn.XLOOKUP(Supplier_Perf_Table[[#This Row],[Currency]],'Comments 2'!$C$4:$C$16,'Comments 2'!$D$4:$D$16)</f>
        <v>7.7000000000000002E-3</v>
      </c>
      <c r="P516" s="69">
        <f>IFERROR(Supplier_Perf_Table[[#This Row],[Unit_Cost]]*Supplier_Perf_Table[[#This Row],[Dollar Equivalent]],"")</f>
        <v>4.7906319999999996</v>
      </c>
      <c r="Q516" s="75">
        <v>50</v>
      </c>
      <c r="R516" s="1">
        <v>31108</v>
      </c>
      <c r="S516" s="75">
        <f>Supplier_Perf_Table[[#This Row],[Unit_Cost]]*Supplier_Perf_Table[[#This Row],[Order_Quantity]]</f>
        <v>31108</v>
      </c>
      <c r="T516" s="75">
        <f>IFERROR(Supplier_Perf_Table[[#This Row],[Dollar Equivalent]]*Supplier_Perf_Table[[#This Row],[Ordered_Value]],"")</f>
        <v>239.5316</v>
      </c>
      <c r="U516" s="75">
        <v>2</v>
      </c>
      <c r="V516" s="7">
        <v>0.04</v>
      </c>
      <c r="W516" s="75">
        <v>10</v>
      </c>
      <c r="X516" s="55">
        <f>IFERROR(Supplier_Perf_Table[[#This Row],[Actual_Delivery_Date]]-Supplier_Perf_Table[[#This Row],[Order Date]],"")</f>
        <v>10</v>
      </c>
      <c r="Y516" s="75">
        <v>12</v>
      </c>
      <c r="Z516" s="56">
        <f>IFERROR(Supplier_Perf_Table[[#This Row],[Expected Delivery_Date]]-Supplier_Perf_Table[[#This Row],[Order Date]],"")</f>
        <v>12</v>
      </c>
      <c r="AA516" s="56">
        <f>Supplier_Perf_Table[[#This Row],[Calculated_Lead_Time2]]-Supplier_Perf_Table[[#This Row],[Calculated_Expected_Lead_Time]]</f>
        <v>-2</v>
      </c>
      <c r="AB516" s="75">
        <v>-2</v>
      </c>
      <c r="AC516" s="63" t="s">
        <v>87</v>
      </c>
      <c r="AD516" s="63" t="s">
        <v>40</v>
      </c>
      <c r="AE516" s="63" t="s">
        <v>3088</v>
      </c>
      <c r="AF516" s="63" t="s">
        <v>190</v>
      </c>
      <c r="AG516" s="63" t="s">
        <v>3088</v>
      </c>
      <c r="AH516" s="63" t="s">
        <v>129</v>
      </c>
      <c r="AI516" s="63" t="s">
        <v>191</v>
      </c>
      <c r="AJ516" s="63" t="s">
        <v>138</v>
      </c>
      <c r="AK516" s="83">
        <v>2.5</v>
      </c>
      <c r="AL516" s="63" t="s">
        <v>115</v>
      </c>
      <c r="AM516" s="63" t="s">
        <v>130</v>
      </c>
      <c r="AN516"/>
    </row>
    <row r="517" spans="1:40" ht="18" customHeight="1">
      <c r="A517" s="1" t="s">
        <v>1691</v>
      </c>
      <c r="B517" s="1" t="s">
        <v>1692</v>
      </c>
      <c r="C517" s="4">
        <v>46195</v>
      </c>
      <c r="D517" s="4">
        <v>46202</v>
      </c>
      <c r="E517" s="4">
        <v>46209</v>
      </c>
      <c r="F517" s="63" t="s">
        <v>60</v>
      </c>
      <c r="G517" s="63" t="s">
        <v>3837</v>
      </c>
      <c r="H517" s="63" t="s">
        <v>152</v>
      </c>
      <c r="I517" s="63" t="s">
        <v>49</v>
      </c>
      <c r="J517" s="63" t="s">
        <v>62</v>
      </c>
      <c r="K517" s="63" t="s">
        <v>1693</v>
      </c>
      <c r="L517" s="63" t="s">
        <v>94</v>
      </c>
      <c r="M517" s="69">
        <v>491.25</v>
      </c>
      <c r="N517" s="63" t="s">
        <v>86</v>
      </c>
      <c r="O517" s="73">
        <f>_xlfn.XLOOKUP(Supplier_Perf_Table[[#This Row],[Currency]],'Comments 2'!$C$4:$C$16,'Comments 2'!$D$4:$D$16)</f>
        <v>8.8999999999999996E-2</v>
      </c>
      <c r="P517" s="69">
        <f>IFERROR(Supplier_Perf_Table[[#This Row],[Unit_Cost]]*Supplier_Perf_Table[[#This Row],[Dollar Equivalent]],"")</f>
        <v>43.721249999999998</v>
      </c>
      <c r="Q517" s="75">
        <v>2000</v>
      </c>
      <c r="R517" s="1">
        <v>982500</v>
      </c>
      <c r="S517" s="75">
        <f>Supplier_Perf_Table[[#This Row],[Unit_Cost]]*Supplier_Perf_Table[[#This Row],[Order_Quantity]]</f>
        <v>982500</v>
      </c>
      <c r="T517" s="75">
        <f>IFERROR(Supplier_Perf_Table[[#This Row],[Dollar Equivalent]]*Supplier_Perf_Table[[#This Row],[Ordered_Value]],"")</f>
        <v>87442.5</v>
      </c>
      <c r="U517" s="75">
        <v>47</v>
      </c>
      <c r="V517" s="7">
        <v>2.35E-2</v>
      </c>
      <c r="W517" s="75">
        <v>14</v>
      </c>
      <c r="X517" s="55">
        <f>IFERROR(Supplier_Perf_Table[[#This Row],[Actual_Delivery_Date]]-Supplier_Perf_Table[[#This Row],[Order Date]],"")</f>
        <v>14</v>
      </c>
      <c r="Y517" s="75">
        <v>7</v>
      </c>
      <c r="Z517" s="56">
        <f>IFERROR(Supplier_Perf_Table[[#This Row],[Expected Delivery_Date]]-Supplier_Perf_Table[[#This Row],[Order Date]],"")</f>
        <v>7</v>
      </c>
      <c r="AA517" s="56">
        <f>Supplier_Perf_Table[[#This Row],[Calculated_Lead_Time2]]-Supplier_Perf_Table[[#This Row],[Calculated_Expected_Lead_Time]]</f>
        <v>7</v>
      </c>
      <c r="AB517" s="75">
        <v>7</v>
      </c>
      <c r="AC517" s="63" t="s">
        <v>39</v>
      </c>
      <c r="AD517" s="63" t="s">
        <v>40</v>
      </c>
      <c r="AE517" s="63" t="s">
        <v>146</v>
      </c>
      <c r="AF517" s="63" t="s">
        <v>42</v>
      </c>
      <c r="AG517" s="63" t="s">
        <v>43</v>
      </c>
      <c r="AH517" s="63" t="s">
        <v>55</v>
      </c>
      <c r="AI517" s="63" t="s">
        <v>95</v>
      </c>
      <c r="AJ517" s="63" t="s">
        <v>138</v>
      </c>
      <c r="AK517" s="83">
        <v>1.5</v>
      </c>
      <c r="AL517" s="63" t="s">
        <v>139</v>
      </c>
      <c r="AM517" s="63" t="s">
        <v>148</v>
      </c>
      <c r="AN517"/>
    </row>
    <row r="518" spans="1:40" ht="18" customHeight="1">
      <c r="A518" s="1" t="s">
        <v>1694</v>
      </c>
      <c r="B518" s="1" t="s">
        <v>1695</v>
      </c>
      <c r="C518" s="4">
        <v>46068</v>
      </c>
      <c r="D518" s="4">
        <v>46092</v>
      </c>
      <c r="E518" s="4">
        <v>46092</v>
      </c>
      <c r="F518" s="63" t="s">
        <v>142</v>
      </c>
      <c r="G518" s="63" t="s">
        <v>3843</v>
      </c>
      <c r="H518" s="63" t="s">
        <v>169</v>
      </c>
      <c r="I518" s="63" t="s">
        <v>178</v>
      </c>
      <c r="J518" s="63" t="s">
        <v>50</v>
      </c>
      <c r="K518" s="63" t="s">
        <v>1696</v>
      </c>
      <c r="L518" s="63" t="s">
        <v>145</v>
      </c>
      <c r="M518" s="69">
        <v>4361.2299999999996</v>
      </c>
      <c r="N518" s="63" t="s">
        <v>104</v>
      </c>
      <c r="O518" s="73">
        <f>_xlfn.XLOOKUP(Supplier_Perf_Table[[#This Row],[Currency]],'Comments 2'!$C$4:$C$16,'Comments 2'!$D$4:$D$16)</f>
        <v>1.9E-2</v>
      </c>
      <c r="P518" s="69">
        <f>IFERROR(Supplier_Perf_Table[[#This Row],[Unit_Cost]]*Supplier_Perf_Table[[#This Row],[Dollar Equivalent]],"")</f>
        <v>82.863369999999989</v>
      </c>
      <c r="Q518" s="75">
        <v>1000</v>
      </c>
      <c r="R518" s="1">
        <v>4361230</v>
      </c>
      <c r="S518" s="75">
        <f>Supplier_Perf_Table[[#This Row],[Unit_Cost]]*Supplier_Perf_Table[[#This Row],[Order_Quantity]]</f>
        <v>4361230</v>
      </c>
      <c r="T518" s="75">
        <f>IFERROR(Supplier_Perf_Table[[#This Row],[Dollar Equivalent]]*Supplier_Perf_Table[[#This Row],[Ordered_Value]],"")</f>
        <v>82863.37</v>
      </c>
      <c r="U518" s="75">
        <v>23</v>
      </c>
      <c r="V518" s="7">
        <v>2.3E-2</v>
      </c>
      <c r="W518" s="75">
        <v>24</v>
      </c>
      <c r="X518" s="55">
        <f>IFERROR(Supplier_Perf_Table[[#This Row],[Actual_Delivery_Date]]-Supplier_Perf_Table[[#This Row],[Order Date]],"")</f>
        <v>24</v>
      </c>
      <c r="Y518" s="75">
        <v>24</v>
      </c>
      <c r="Z518" s="56">
        <f>IFERROR(Supplier_Perf_Table[[#This Row],[Expected Delivery_Date]]-Supplier_Perf_Table[[#This Row],[Order Date]],"")</f>
        <v>24</v>
      </c>
      <c r="AA518" s="56">
        <f>Supplier_Perf_Table[[#This Row],[Calculated_Lead_Time2]]-Supplier_Perf_Table[[#This Row],[Calculated_Expected_Lead_Time]]</f>
        <v>0</v>
      </c>
      <c r="AB518" s="75">
        <v>0</v>
      </c>
      <c r="AC518" s="63" t="s">
        <v>87</v>
      </c>
      <c r="AD518" s="63" t="s">
        <v>40</v>
      </c>
      <c r="AE518" s="63" t="s">
        <v>127</v>
      </c>
      <c r="AF518" s="63" t="s">
        <v>42</v>
      </c>
      <c r="AG518" s="63" t="s">
        <v>3088</v>
      </c>
      <c r="AH518" s="63" t="s">
        <v>174</v>
      </c>
      <c r="AI518" s="63" t="s">
        <v>56</v>
      </c>
      <c r="AJ518" s="63" t="s">
        <v>138</v>
      </c>
      <c r="AK518" s="83">
        <v>3.9</v>
      </c>
      <c r="AL518" s="63" t="s">
        <v>108</v>
      </c>
      <c r="AM518" s="63" t="s">
        <v>130</v>
      </c>
      <c r="AN518"/>
    </row>
    <row r="519" spans="1:40" ht="18" customHeight="1">
      <c r="A519" s="1" t="s">
        <v>1697</v>
      </c>
      <c r="B519" s="1" t="s">
        <v>1698</v>
      </c>
      <c r="C519" s="4">
        <v>46158</v>
      </c>
      <c r="D519" s="4">
        <v>46177</v>
      </c>
      <c r="E519" s="4">
        <v>46189</v>
      </c>
      <c r="F519" s="63" t="s">
        <v>118</v>
      </c>
      <c r="G519" s="63" t="s">
        <v>3842</v>
      </c>
      <c r="H519" s="63" t="s">
        <v>301</v>
      </c>
      <c r="I519" s="63" t="s">
        <v>92</v>
      </c>
      <c r="J519" s="63" t="s">
        <v>62</v>
      </c>
      <c r="K519" s="63" t="s">
        <v>1699</v>
      </c>
      <c r="L519" s="63" t="s">
        <v>64</v>
      </c>
      <c r="M519" s="69">
        <v>96.33</v>
      </c>
      <c r="N519" s="63" t="s">
        <v>53</v>
      </c>
      <c r="O519" s="73">
        <f>_xlfn.XLOOKUP(Supplier_Perf_Table[[#This Row],[Currency]],'Comments 2'!$C$4:$C$16,'Comments 2'!$D$4:$D$16)</f>
        <v>6.0999999999999999E-2</v>
      </c>
      <c r="P519" s="69">
        <f>IFERROR(Supplier_Perf_Table[[#This Row],[Unit_Cost]]*Supplier_Perf_Table[[#This Row],[Dollar Equivalent]],"")</f>
        <v>5.8761299999999999</v>
      </c>
      <c r="Q519" s="75">
        <v>200</v>
      </c>
      <c r="R519" s="1">
        <v>19266</v>
      </c>
      <c r="S519" s="75">
        <f>Supplier_Perf_Table[[#This Row],[Unit_Cost]]*Supplier_Perf_Table[[#This Row],[Order_Quantity]]</f>
        <v>19266</v>
      </c>
      <c r="T519" s="75">
        <f>IFERROR(Supplier_Perf_Table[[#This Row],[Dollar Equivalent]]*Supplier_Perf_Table[[#This Row],[Ordered_Value]],"")</f>
        <v>1175.2259999999999</v>
      </c>
      <c r="U519" s="75">
        <v>-1</v>
      </c>
      <c r="V519" s="7">
        <v>0.05</v>
      </c>
      <c r="W519" s="75">
        <v>31</v>
      </c>
      <c r="X519" s="55">
        <f>IFERROR(Supplier_Perf_Table[[#This Row],[Actual_Delivery_Date]]-Supplier_Perf_Table[[#This Row],[Order Date]],"")</f>
        <v>31</v>
      </c>
      <c r="Y519" s="75">
        <v>19</v>
      </c>
      <c r="Z519" s="56">
        <f>IFERROR(Supplier_Perf_Table[[#This Row],[Expected Delivery_Date]]-Supplier_Perf_Table[[#This Row],[Order Date]],"")</f>
        <v>19</v>
      </c>
      <c r="AA519" s="56">
        <f>Supplier_Perf_Table[[#This Row],[Calculated_Lead_Time2]]-Supplier_Perf_Table[[#This Row],[Calculated_Expected_Lead_Time]]</f>
        <v>12</v>
      </c>
      <c r="AB519" s="75">
        <v>12</v>
      </c>
      <c r="AC519" s="63" t="s">
        <v>205</v>
      </c>
      <c r="AD519" s="63" t="s">
        <v>366</v>
      </c>
      <c r="AE519" s="63" t="s">
        <v>105</v>
      </c>
      <c r="AF519" s="63" t="s">
        <v>190</v>
      </c>
      <c r="AG519" s="63" t="s">
        <v>173</v>
      </c>
      <c r="AH519" s="63" t="s">
        <v>136</v>
      </c>
      <c r="AI519" s="63" t="s">
        <v>137</v>
      </c>
      <c r="AJ519" s="63" t="s">
        <v>283</v>
      </c>
      <c r="AK519" s="83">
        <v>1.8</v>
      </c>
      <c r="AL519" s="63" t="s">
        <v>139</v>
      </c>
      <c r="AM519" s="63" t="s">
        <v>77</v>
      </c>
      <c r="AN519"/>
    </row>
    <row r="520" spans="1:40" ht="18" customHeight="1">
      <c r="A520" s="1" t="s">
        <v>1700</v>
      </c>
      <c r="B520" s="1" t="s">
        <v>1701</v>
      </c>
      <c r="C520" s="4">
        <v>46154</v>
      </c>
      <c r="D520" s="4">
        <v>46162</v>
      </c>
      <c r="E520" s="4">
        <v>46174</v>
      </c>
      <c r="F520" s="63" t="s">
        <v>215</v>
      </c>
      <c r="G520" s="63" t="s">
        <v>3846</v>
      </c>
      <c r="H520" s="63" t="s">
        <v>152</v>
      </c>
      <c r="I520" s="63" t="s">
        <v>70</v>
      </c>
      <c r="J520" s="63" t="s">
        <v>112</v>
      </c>
      <c r="K520" s="63" t="s">
        <v>1702</v>
      </c>
      <c r="L520" s="63" t="s">
        <v>114</v>
      </c>
      <c r="M520" s="69">
        <v>246.99</v>
      </c>
      <c r="N520" s="63" t="s">
        <v>159</v>
      </c>
      <c r="O520" s="73">
        <f>_xlfn.XLOOKUP(Supplier_Perf_Table[[#This Row],[Currency]],'Comments 2'!$C$4:$C$16,'Comments 2'!$D$4:$D$16)</f>
        <v>7.2999999999999996E-4</v>
      </c>
      <c r="P520" s="69">
        <f>IFERROR(Supplier_Perf_Table[[#This Row],[Unit_Cost]]*Supplier_Perf_Table[[#This Row],[Dollar Equivalent]],"")</f>
        <v>0.18030270000000001</v>
      </c>
      <c r="Q520" s="75">
        <v>750</v>
      </c>
      <c r="R520" s="1">
        <v>185242.5</v>
      </c>
      <c r="S520" s="75">
        <f>Supplier_Perf_Table[[#This Row],[Unit_Cost]]*Supplier_Perf_Table[[#This Row],[Order_Quantity]]</f>
        <v>185242.5</v>
      </c>
      <c r="T520" s="75">
        <f>IFERROR(Supplier_Perf_Table[[#This Row],[Dollar Equivalent]]*Supplier_Perf_Table[[#This Row],[Ordered_Value]],"")</f>
        <v>135.227025</v>
      </c>
      <c r="U520" s="75">
        <v>37</v>
      </c>
      <c r="V520" s="7">
        <v>4.9299999999999997E-2</v>
      </c>
      <c r="W520" s="75" t="s">
        <v>3080</v>
      </c>
      <c r="X520" s="55">
        <f>IFERROR(Supplier_Perf_Table[[#This Row],[Actual_Delivery_Date]]-Supplier_Perf_Table[[#This Row],[Order Date]],"")</f>
        <v>20</v>
      </c>
      <c r="Y520" s="75">
        <v>8</v>
      </c>
      <c r="Z520" s="56">
        <f>IFERROR(Supplier_Perf_Table[[#This Row],[Expected Delivery_Date]]-Supplier_Perf_Table[[#This Row],[Order Date]],"")</f>
        <v>8</v>
      </c>
      <c r="AA520" s="56">
        <f>Supplier_Perf_Table[[#This Row],[Calculated_Lead_Time2]]-Supplier_Perf_Table[[#This Row],[Calculated_Expected_Lead_Time]]</f>
        <v>12</v>
      </c>
      <c r="AB520" s="75">
        <v>12</v>
      </c>
      <c r="AC520" s="63" t="s">
        <v>135</v>
      </c>
      <c r="AD520" s="63" t="s">
        <v>366</v>
      </c>
      <c r="AE520" s="63" t="s">
        <v>105</v>
      </c>
      <c r="AF520" s="63" t="s">
        <v>190</v>
      </c>
      <c r="AG520" s="63" t="s">
        <v>107</v>
      </c>
      <c r="AH520" s="63" t="s">
        <v>129</v>
      </c>
      <c r="AI520" s="63" t="s">
        <v>56</v>
      </c>
      <c r="AJ520" s="63" t="s">
        <v>96</v>
      </c>
      <c r="AK520" s="83">
        <v>1.9</v>
      </c>
      <c r="AL520" s="63" t="s">
        <v>45</v>
      </c>
      <c r="AM520" s="63" t="s">
        <v>77</v>
      </c>
      <c r="AN520"/>
    </row>
    <row r="521" spans="1:40" ht="18" customHeight="1">
      <c r="A521" s="1" t="s">
        <v>1703</v>
      </c>
      <c r="B521" s="1" t="s">
        <v>1704</v>
      </c>
      <c r="C521" s="4">
        <v>46195</v>
      </c>
      <c r="D521" s="4">
        <v>46203</v>
      </c>
      <c r="E521" s="4">
        <v>46212</v>
      </c>
      <c r="F521" s="63" t="s">
        <v>80</v>
      </c>
      <c r="G521" s="63" t="s">
        <v>3839</v>
      </c>
      <c r="H521" s="63" t="s">
        <v>82</v>
      </c>
      <c r="I521" s="63" t="s">
        <v>92</v>
      </c>
      <c r="J521" s="63" t="s">
        <v>35</v>
      </c>
      <c r="K521" s="63" t="s">
        <v>1705</v>
      </c>
      <c r="L521" s="63" t="s">
        <v>200</v>
      </c>
      <c r="M521" s="69">
        <v>2805.74</v>
      </c>
      <c r="N521" s="63" t="s">
        <v>86</v>
      </c>
      <c r="O521" s="73">
        <f>_xlfn.XLOOKUP(Supplier_Perf_Table[[#This Row],[Currency]],'Comments 2'!$C$4:$C$16,'Comments 2'!$D$4:$D$16)</f>
        <v>8.8999999999999996E-2</v>
      </c>
      <c r="P521" s="69">
        <f>IFERROR(Supplier_Perf_Table[[#This Row],[Unit_Cost]]*Supplier_Perf_Table[[#This Row],[Dollar Equivalent]],"")</f>
        <v>249.71085999999997</v>
      </c>
      <c r="Q521" s="75">
        <v>300</v>
      </c>
      <c r="R521" s="1">
        <v>841722</v>
      </c>
      <c r="S521" s="75">
        <f>Supplier_Perf_Table[[#This Row],[Unit_Cost]]*Supplier_Perf_Table[[#This Row],[Order_Quantity]]</f>
        <v>841721.99999999988</v>
      </c>
      <c r="T521" s="75">
        <f>IFERROR(Supplier_Perf_Table[[#This Row],[Dollar Equivalent]]*Supplier_Perf_Table[[#This Row],[Ordered_Value]],"")</f>
        <v>74913.258000000002</v>
      </c>
      <c r="U521" s="75">
        <v>306</v>
      </c>
      <c r="V521" s="7">
        <v>2.6700000000000002E-2</v>
      </c>
      <c r="W521" s="75">
        <v>17</v>
      </c>
      <c r="X521" s="55">
        <f>IFERROR(Supplier_Perf_Table[[#This Row],[Actual_Delivery_Date]]-Supplier_Perf_Table[[#This Row],[Order Date]],"")</f>
        <v>17</v>
      </c>
      <c r="Y521" s="75">
        <v>8</v>
      </c>
      <c r="Z521" s="56">
        <f>IFERROR(Supplier_Perf_Table[[#This Row],[Expected Delivery_Date]]-Supplier_Perf_Table[[#This Row],[Order Date]],"")</f>
        <v>8</v>
      </c>
      <c r="AA521" s="56">
        <f>Supplier_Perf_Table[[#This Row],[Calculated_Lead_Time2]]-Supplier_Perf_Table[[#This Row],[Calculated_Expected_Lead_Time]]</f>
        <v>9</v>
      </c>
      <c r="AB521" s="75">
        <v>9</v>
      </c>
      <c r="AC521" s="63" t="s">
        <v>205</v>
      </c>
      <c r="AD521" s="63" t="s">
        <v>40</v>
      </c>
      <c r="AE521" s="63" t="s">
        <v>105</v>
      </c>
      <c r="AF521" s="63" t="s">
        <v>190</v>
      </c>
      <c r="AG521" s="63" t="s">
        <v>3088</v>
      </c>
      <c r="AH521" s="63" t="s">
        <v>3112</v>
      </c>
      <c r="AI521" s="63" t="s">
        <v>44</v>
      </c>
      <c r="AJ521" s="63" t="s">
        <v>138</v>
      </c>
      <c r="AK521" s="83">
        <v>1.3</v>
      </c>
      <c r="AL521" s="63" t="s">
        <v>57</v>
      </c>
      <c r="AM521" s="63" t="s">
        <v>46</v>
      </c>
      <c r="AN521"/>
    </row>
    <row r="522" spans="1:40" ht="18" customHeight="1">
      <c r="A522" s="1" t="s">
        <v>1706</v>
      </c>
      <c r="B522" s="1" t="s">
        <v>1707</v>
      </c>
      <c r="C522" s="4">
        <v>46132</v>
      </c>
      <c r="D522" s="4">
        <v>46151</v>
      </c>
      <c r="E522" s="4">
        <v>46148</v>
      </c>
      <c r="F522" s="63" t="s">
        <v>32</v>
      </c>
      <c r="G522" s="63" t="s">
        <v>3835</v>
      </c>
      <c r="H522" s="63" t="s">
        <v>177</v>
      </c>
      <c r="I522" s="63" t="s">
        <v>34</v>
      </c>
      <c r="J522" s="63" t="s">
        <v>35</v>
      </c>
      <c r="K522" s="63" t="s">
        <v>1708</v>
      </c>
      <c r="L522" s="63" t="s">
        <v>85</v>
      </c>
      <c r="M522" s="69">
        <v>1660.89</v>
      </c>
      <c r="N522" s="63" t="s">
        <v>104</v>
      </c>
      <c r="O522" s="73">
        <f>_xlfn.XLOOKUP(Supplier_Perf_Table[[#This Row],[Currency]],'Comments 2'!$C$4:$C$16,'Comments 2'!$D$4:$D$16)</f>
        <v>1.9E-2</v>
      </c>
      <c r="P522" s="69">
        <f>IFERROR(Supplier_Perf_Table[[#This Row],[Unit_Cost]]*Supplier_Perf_Table[[#This Row],[Dollar Equivalent]],"")</f>
        <v>31.556910000000002</v>
      </c>
      <c r="Q522" s="75">
        <v>300</v>
      </c>
      <c r="R522" s="1">
        <v>498267</v>
      </c>
      <c r="S522" s="75">
        <f>Supplier_Perf_Table[[#This Row],[Unit_Cost]]*Supplier_Perf_Table[[#This Row],[Order_Quantity]]</f>
        <v>498267.00000000006</v>
      </c>
      <c r="T522" s="75">
        <f>IFERROR(Supplier_Perf_Table[[#This Row],[Dollar Equivalent]]*Supplier_Perf_Table[[#This Row],[Ordered_Value]],"")</f>
        <v>9467.0730000000003</v>
      </c>
      <c r="U522" s="75">
        <v>11</v>
      </c>
      <c r="V522" s="7">
        <v>3.6700000000000003E-2</v>
      </c>
      <c r="W522" s="75">
        <v>16</v>
      </c>
      <c r="X522" s="55">
        <f>IFERROR(Supplier_Perf_Table[[#This Row],[Actual_Delivery_Date]]-Supplier_Perf_Table[[#This Row],[Order Date]],"")</f>
        <v>16</v>
      </c>
      <c r="Y522" s="75">
        <v>19</v>
      </c>
      <c r="Z522" s="56">
        <f>IFERROR(Supplier_Perf_Table[[#This Row],[Expected Delivery_Date]]-Supplier_Perf_Table[[#This Row],[Order Date]],"")</f>
        <v>19</v>
      </c>
      <c r="AA522" s="56">
        <f>Supplier_Perf_Table[[#This Row],[Calculated_Lead_Time2]]-Supplier_Perf_Table[[#This Row],[Calculated_Expected_Lead_Time]]</f>
        <v>-3</v>
      </c>
      <c r="AB522" s="75">
        <v>-3</v>
      </c>
      <c r="AC522" s="63" t="s">
        <v>270</v>
      </c>
      <c r="AD522" s="63" t="s">
        <v>40</v>
      </c>
      <c r="AE522" s="63" t="s">
        <v>105</v>
      </c>
      <c r="AF522" s="63" t="s">
        <v>212</v>
      </c>
      <c r="AG522" s="63" t="s">
        <v>43</v>
      </c>
      <c r="AH522" s="63" t="s">
        <v>88</v>
      </c>
      <c r="AI522" s="63" t="s">
        <v>56</v>
      </c>
      <c r="AJ522" s="63" t="s">
        <v>138</v>
      </c>
      <c r="AK522" s="83">
        <v>3.7</v>
      </c>
      <c r="AL522" s="63" t="s">
        <v>184</v>
      </c>
      <c r="AM522" s="63" t="s">
        <v>138</v>
      </c>
      <c r="AN522"/>
    </row>
    <row r="523" spans="1:40" ht="18" customHeight="1">
      <c r="A523" s="1" t="s">
        <v>1709</v>
      </c>
      <c r="B523" s="1" t="s">
        <v>1710</v>
      </c>
      <c r="C523" s="4">
        <v>46143</v>
      </c>
      <c r="D523" s="4">
        <v>46156</v>
      </c>
      <c r="E523" s="4">
        <v>46148</v>
      </c>
      <c r="F523" s="63" t="s">
        <v>209</v>
      </c>
      <c r="G523" s="63" t="s">
        <v>3845</v>
      </c>
      <c r="H523" s="63" t="s">
        <v>316</v>
      </c>
      <c r="I523" s="63" t="s">
        <v>92</v>
      </c>
      <c r="J523" s="63" t="s">
        <v>153</v>
      </c>
      <c r="K523" s="63" t="s">
        <v>1711</v>
      </c>
      <c r="L523" s="63" t="s">
        <v>318</v>
      </c>
      <c r="M523" s="69">
        <v>812.9</v>
      </c>
      <c r="N523" s="63" t="s">
        <v>104</v>
      </c>
      <c r="O523" s="73">
        <f>_xlfn.XLOOKUP(Supplier_Perf_Table[[#This Row],[Currency]],'Comments 2'!$C$4:$C$16,'Comments 2'!$D$4:$D$16)</f>
        <v>1.9E-2</v>
      </c>
      <c r="P523" s="69">
        <f>IFERROR(Supplier_Perf_Table[[#This Row],[Unit_Cost]]*Supplier_Perf_Table[[#This Row],[Dollar Equivalent]],"")</f>
        <v>15.4451</v>
      </c>
      <c r="Q523" s="75">
        <v>50</v>
      </c>
      <c r="R523" s="1">
        <v>40645</v>
      </c>
      <c r="S523" s="75">
        <f>Supplier_Perf_Table[[#This Row],[Unit_Cost]]*Supplier_Perf_Table[[#This Row],[Order_Quantity]]</f>
        <v>40645</v>
      </c>
      <c r="T523" s="75">
        <f>IFERROR(Supplier_Perf_Table[[#This Row],[Dollar Equivalent]]*Supplier_Perf_Table[[#This Row],[Ordered_Value]],"")</f>
        <v>772.255</v>
      </c>
      <c r="U523" s="75">
        <v>1</v>
      </c>
      <c r="V523" s="7">
        <v>0.02</v>
      </c>
      <c r="W523" s="75">
        <v>5</v>
      </c>
      <c r="X523" s="55">
        <f>IFERROR(Supplier_Perf_Table[[#This Row],[Actual_Delivery_Date]]-Supplier_Perf_Table[[#This Row],[Order Date]],"")</f>
        <v>5</v>
      </c>
      <c r="Y523" s="75">
        <v>13</v>
      </c>
      <c r="Z523" s="56">
        <f>IFERROR(Supplier_Perf_Table[[#This Row],[Expected Delivery_Date]]-Supplier_Perf_Table[[#This Row],[Order Date]],"")</f>
        <v>13</v>
      </c>
      <c r="AA523" s="56">
        <f>Supplier_Perf_Table[[#This Row],[Calculated_Lead_Time2]]-Supplier_Perf_Table[[#This Row],[Calculated_Expected_Lead_Time]]</f>
        <v>-8</v>
      </c>
      <c r="AB523" s="75">
        <v>-8</v>
      </c>
      <c r="AC523" s="63" t="s">
        <v>270</v>
      </c>
      <c r="AD523" s="63" t="s">
        <v>40</v>
      </c>
      <c r="AE523" s="63" t="s">
        <v>127</v>
      </c>
      <c r="AF523" s="63" t="s">
        <v>42</v>
      </c>
      <c r="AG523" s="63" t="s">
        <v>54</v>
      </c>
      <c r="AH523" s="63" t="s">
        <v>129</v>
      </c>
      <c r="AI523" s="63" t="s">
        <v>44</v>
      </c>
      <c r="AJ523" s="63" t="s">
        <v>138</v>
      </c>
      <c r="AK523" s="83">
        <v>4</v>
      </c>
      <c r="AL523" s="63" t="s">
        <v>108</v>
      </c>
      <c r="AM523" s="63" t="s">
        <v>130</v>
      </c>
      <c r="AN523"/>
    </row>
    <row r="524" spans="1:40" ht="18" customHeight="1">
      <c r="A524" s="1" t="s">
        <v>1712</v>
      </c>
      <c r="B524" s="1" t="s">
        <v>1713</v>
      </c>
      <c r="C524" s="4">
        <v>46171</v>
      </c>
      <c r="D524" s="4">
        <v>46181</v>
      </c>
      <c r="E524" s="4">
        <v>46189</v>
      </c>
      <c r="F524" s="63" t="s">
        <v>100</v>
      </c>
      <c r="G524" s="63" t="s">
        <v>3841</v>
      </c>
      <c r="H524" s="63" t="s">
        <v>102</v>
      </c>
      <c r="I524" s="63" t="s">
        <v>120</v>
      </c>
      <c r="J524" s="63" t="s">
        <v>50</v>
      </c>
      <c r="K524" s="63" t="s">
        <v>1714</v>
      </c>
      <c r="L524" s="63" t="s">
        <v>126</v>
      </c>
      <c r="M524" s="69">
        <v>719.35</v>
      </c>
      <c r="N524" s="63" t="s">
        <v>104</v>
      </c>
      <c r="O524" s="73">
        <f>_xlfn.XLOOKUP(Supplier_Perf_Table[[#This Row],[Currency]],'Comments 2'!$C$4:$C$16,'Comments 2'!$D$4:$D$16)</f>
        <v>1.9E-2</v>
      </c>
      <c r="P524" s="69">
        <f>IFERROR(Supplier_Perf_Table[[#This Row],[Unit_Cost]]*Supplier_Perf_Table[[#This Row],[Dollar Equivalent]],"")</f>
        <v>13.66765</v>
      </c>
      <c r="Q524" s="75">
        <v>300</v>
      </c>
      <c r="R524" s="1">
        <v>215805</v>
      </c>
      <c r="S524" s="75">
        <f>Supplier_Perf_Table[[#This Row],[Unit_Cost]]*Supplier_Perf_Table[[#This Row],[Order_Quantity]]</f>
        <v>215805</v>
      </c>
      <c r="T524" s="75">
        <f>IFERROR(Supplier_Perf_Table[[#This Row],[Dollar Equivalent]]*Supplier_Perf_Table[[#This Row],[Ordered_Value]],"")</f>
        <v>4100.2950000000001</v>
      </c>
      <c r="U524" s="75">
        <v>1</v>
      </c>
      <c r="V524" s="7">
        <v>3.3E-3</v>
      </c>
      <c r="W524" s="75">
        <v>18</v>
      </c>
      <c r="X524" s="55">
        <f>IFERROR(Supplier_Perf_Table[[#This Row],[Actual_Delivery_Date]]-Supplier_Perf_Table[[#This Row],[Order Date]],"")</f>
        <v>18</v>
      </c>
      <c r="Y524" s="75">
        <v>10</v>
      </c>
      <c r="Z524" s="56">
        <f>IFERROR(Supplier_Perf_Table[[#This Row],[Expected Delivery_Date]]-Supplier_Perf_Table[[#This Row],[Order Date]],"")</f>
        <v>10</v>
      </c>
      <c r="AA524" s="56">
        <f>Supplier_Perf_Table[[#This Row],[Calculated_Lead_Time2]]-Supplier_Perf_Table[[#This Row],[Calculated_Expected_Lead_Time]]</f>
        <v>8</v>
      </c>
      <c r="AB524" s="75">
        <v>8</v>
      </c>
      <c r="AC524" s="63" t="s">
        <v>205</v>
      </c>
      <c r="AD524" s="63" t="s">
        <v>40</v>
      </c>
      <c r="AE524" s="63" t="s">
        <v>105</v>
      </c>
      <c r="AF524" s="63" t="s">
        <v>3088</v>
      </c>
      <c r="AG524" s="63" t="s">
        <v>107</v>
      </c>
      <c r="AH524" s="63" t="s">
        <v>136</v>
      </c>
      <c r="AI524" s="63" t="s">
        <v>191</v>
      </c>
      <c r="AJ524" s="63" t="s">
        <v>138</v>
      </c>
      <c r="AK524" s="83">
        <v>2.9</v>
      </c>
      <c r="AL524" s="63" t="s">
        <v>57</v>
      </c>
      <c r="AM524" s="63" t="s">
        <v>46</v>
      </c>
      <c r="AN524"/>
    </row>
    <row r="525" spans="1:40" ht="18" customHeight="1">
      <c r="A525" s="1" t="s">
        <v>1715</v>
      </c>
      <c r="B525" s="1" t="s">
        <v>1716</v>
      </c>
      <c r="C525" s="4">
        <v>46084</v>
      </c>
      <c r="D525" s="4">
        <v>46089</v>
      </c>
      <c r="E525" s="4">
        <v>46103</v>
      </c>
      <c r="F525" s="63" t="s">
        <v>151</v>
      </c>
      <c r="G525" s="63" t="s">
        <v>3844</v>
      </c>
      <c r="H525" s="63" t="s">
        <v>152</v>
      </c>
      <c r="I525" s="63" t="s">
        <v>178</v>
      </c>
      <c r="J525" s="63" t="s">
        <v>62</v>
      </c>
      <c r="K525" s="63" t="s">
        <v>1717</v>
      </c>
      <c r="L525" s="63" t="s">
        <v>64</v>
      </c>
      <c r="M525" s="69">
        <v>598.96</v>
      </c>
      <c r="N525" s="63" t="s">
        <v>159</v>
      </c>
      <c r="O525" s="73">
        <f>_xlfn.XLOOKUP(Supplier_Perf_Table[[#This Row],[Currency]],'Comments 2'!$C$4:$C$16,'Comments 2'!$D$4:$D$16)</f>
        <v>7.2999999999999996E-4</v>
      </c>
      <c r="P525" s="69">
        <f>IFERROR(Supplier_Perf_Table[[#This Row],[Unit_Cost]]*Supplier_Perf_Table[[#This Row],[Dollar Equivalent]],"")</f>
        <v>0.43724079999999999</v>
      </c>
      <c r="Q525" s="75">
        <v>50</v>
      </c>
      <c r="R525" s="1">
        <v>29948</v>
      </c>
      <c r="S525" s="75">
        <f>Supplier_Perf_Table[[#This Row],[Unit_Cost]]*Supplier_Perf_Table[[#This Row],[Order_Quantity]]</f>
        <v>29948</v>
      </c>
      <c r="T525" s="75">
        <f>IFERROR(Supplier_Perf_Table[[#This Row],[Dollar Equivalent]]*Supplier_Perf_Table[[#This Row],[Ordered_Value]],"")</f>
        <v>21.86204</v>
      </c>
      <c r="U525" s="75">
        <v>0</v>
      </c>
      <c r="V525" s="7">
        <v>0</v>
      </c>
      <c r="W525" s="75">
        <v>19</v>
      </c>
      <c r="X525" s="55">
        <f>IFERROR(Supplier_Perf_Table[[#This Row],[Actual_Delivery_Date]]-Supplier_Perf_Table[[#This Row],[Order Date]],"")</f>
        <v>19</v>
      </c>
      <c r="Y525" s="75">
        <v>5</v>
      </c>
      <c r="Z525" s="56">
        <f>IFERROR(Supplier_Perf_Table[[#This Row],[Expected Delivery_Date]]-Supplier_Perf_Table[[#This Row],[Order Date]],"")</f>
        <v>5</v>
      </c>
      <c r="AA525" s="56">
        <f>Supplier_Perf_Table[[#This Row],[Calculated_Lead_Time2]]-Supplier_Perf_Table[[#This Row],[Calculated_Expected_Lead_Time]]</f>
        <v>14</v>
      </c>
      <c r="AB525" s="75">
        <v>14</v>
      </c>
      <c r="AC525" s="63" t="s">
        <v>39</v>
      </c>
      <c r="AD525" s="63" t="s">
        <v>40</v>
      </c>
      <c r="AE525" s="63" t="s">
        <v>105</v>
      </c>
      <c r="AF525" s="63" t="s">
        <v>106</v>
      </c>
      <c r="AG525" s="63" t="s">
        <v>3088</v>
      </c>
      <c r="AH525" s="63" t="s">
        <v>206</v>
      </c>
      <c r="AI525" s="63" t="s">
        <v>137</v>
      </c>
      <c r="AJ525" s="63" t="s">
        <v>138</v>
      </c>
      <c r="AK525" s="83">
        <v>2.6</v>
      </c>
      <c r="AL525" s="63" t="s">
        <v>184</v>
      </c>
      <c r="AM525" s="63" t="s">
        <v>46</v>
      </c>
      <c r="AN525"/>
    </row>
    <row r="526" spans="1:40" ht="18" customHeight="1">
      <c r="A526" s="1" t="s">
        <v>1718</v>
      </c>
      <c r="B526" s="1" t="s">
        <v>1719</v>
      </c>
      <c r="C526" s="4">
        <v>46170</v>
      </c>
      <c r="D526" s="4">
        <v>46188</v>
      </c>
      <c r="E526" s="4">
        <v>46195</v>
      </c>
      <c r="F526" s="63" t="s">
        <v>142</v>
      </c>
      <c r="G526" s="63" t="s">
        <v>3843</v>
      </c>
      <c r="H526" s="63" t="s">
        <v>169</v>
      </c>
      <c r="I526" s="63" t="s">
        <v>241</v>
      </c>
      <c r="J526" s="63" t="s">
        <v>153</v>
      </c>
      <c r="K526" s="63" t="s">
        <v>1720</v>
      </c>
      <c r="L526" s="63" t="s">
        <v>318</v>
      </c>
      <c r="M526" s="69">
        <v>698.91</v>
      </c>
      <c r="N526" s="63" t="s">
        <v>38</v>
      </c>
      <c r="O526" s="73">
        <f>_xlfn.XLOOKUP(Supplier_Perf_Table[[#This Row],[Currency]],'Comments 2'!$C$4:$C$16,'Comments 2'!$D$4:$D$16)</f>
        <v>7.7000000000000002E-3</v>
      </c>
      <c r="P526" s="69">
        <f>IFERROR(Supplier_Perf_Table[[#This Row],[Unit_Cost]]*Supplier_Perf_Table[[#This Row],[Dollar Equivalent]],"")</f>
        <v>5.3816069999999998</v>
      </c>
      <c r="Q526" s="75">
        <v>200</v>
      </c>
      <c r="R526" s="1">
        <v>139782</v>
      </c>
      <c r="S526" s="75">
        <f>Supplier_Perf_Table[[#This Row],[Unit_Cost]]*Supplier_Perf_Table[[#This Row],[Order_Quantity]]</f>
        <v>139782</v>
      </c>
      <c r="T526" s="75">
        <f>IFERROR(Supplier_Perf_Table[[#This Row],[Dollar Equivalent]]*Supplier_Perf_Table[[#This Row],[Ordered_Value]],"")</f>
        <v>1076.3214</v>
      </c>
      <c r="U526" s="75">
        <v>4</v>
      </c>
      <c r="V526" s="7">
        <v>0.02</v>
      </c>
      <c r="W526" s="75">
        <v>25</v>
      </c>
      <c r="X526" s="55">
        <f>IFERROR(Supplier_Perf_Table[[#This Row],[Actual_Delivery_Date]]-Supplier_Perf_Table[[#This Row],[Order Date]],"")</f>
        <v>25</v>
      </c>
      <c r="Y526" s="75">
        <v>18</v>
      </c>
      <c r="Z526" s="56">
        <f>IFERROR(Supplier_Perf_Table[[#This Row],[Expected Delivery_Date]]-Supplier_Perf_Table[[#This Row],[Order Date]],"")</f>
        <v>18</v>
      </c>
      <c r="AA526" s="56">
        <f>Supplier_Perf_Table[[#This Row],[Calculated_Lead_Time2]]-Supplier_Perf_Table[[#This Row],[Calculated_Expected_Lead_Time]]</f>
        <v>7</v>
      </c>
      <c r="AB526" s="75">
        <v>7</v>
      </c>
      <c r="AC526" s="63" t="s">
        <v>135</v>
      </c>
      <c r="AD526" s="63" t="s">
        <v>649</v>
      </c>
      <c r="AE526" s="63" t="s">
        <v>41</v>
      </c>
      <c r="AF526" s="63" t="s">
        <v>106</v>
      </c>
      <c r="AG526" s="63" t="s">
        <v>107</v>
      </c>
      <c r="AH526" s="63" t="s">
        <v>206</v>
      </c>
      <c r="AI526" s="63" t="s">
        <v>95</v>
      </c>
      <c r="AJ526" s="63" t="s">
        <v>138</v>
      </c>
      <c r="AK526" s="83">
        <v>1.7</v>
      </c>
      <c r="AL526" s="63" t="s">
        <v>139</v>
      </c>
      <c r="AM526" s="63" t="s">
        <v>46</v>
      </c>
      <c r="AN526"/>
    </row>
    <row r="527" spans="1:40" ht="18" customHeight="1">
      <c r="A527" s="1" t="s">
        <v>1721</v>
      </c>
      <c r="B527" s="1" t="s">
        <v>1722</v>
      </c>
      <c r="C527" s="4">
        <v>46094</v>
      </c>
      <c r="D527" s="4">
        <v>46107</v>
      </c>
      <c r="E527" s="4">
        <v>46114</v>
      </c>
      <c r="F527" s="63" t="s">
        <v>256</v>
      </c>
      <c r="G527" s="63" t="s">
        <v>3849</v>
      </c>
      <c r="H527" s="63" t="s">
        <v>258</v>
      </c>
      <c r="I527" s="63" t="s">
        <v>178</v>
      </c>
      <c r="J527" s="63" t="s">
        <v>153</v>
      </c>
      <c r="K527" s="63" t="s">
        <v>1074</v>
      </c>
      <c r="L527" s="63" t="s">
        <v>318</v>
      </c>
      <c r="M527" s="69">
        <v>135.96</v>
      </c>
      <c r="N527" s="63" t="s">
        <v>38</v>
      </c>
      <c r="O527" s="73">
        <f>_xlfn.XLOOKUP(Supplier_Perf_Table[[#This Row],[Currency]],'Comments 2'!$C$4:$C$16,'Comments 2'!$D$4:$D$16)</f>
        <v>7.7000000000000002E-3</v>
      </c>
      <c r="P527" s="69">
        <f>IFERROR(Supplier_Perf_Table[[#This Row],[Unit_Cost]]*Supplier_Perf_Table[[#This Row],[Dollar Equivalent]],"")</f>
        <v>1.0468920000000002</v>
      </c>
      <c r="Q527" s="75">
        <v>2000</v>
      </c>
      <c r="R527" s="1">
        <v>271920</v>
      </c>
      <c r="S527" s="75">
        <f>Supplier_Perf_Table[[#This Row],[Unit_Cost]]*Supplier_Perf_Table[[#This Row],[Order_Quantity]]</f>
        <v>271920</v>
      </c>
      <c r="T527" s="75">
        <f>IFERROR(Supplier_Perf_Table[[#This Row],[Dollar Equivalent]]*Supplier_Perf_Table[[#This Row],[Ordered_Value]],"")</f>
        <v>2093.7840000000001</v>
      </c>
      <c r="U527" s="75">
        <v>48</v>
      </c>
      <c r="V527" s="7">
        <v>2.4E-2</v>
      </c>
      <c r="W527" s="75">
        <v>20</v>
      </c>
      <c r="X527" s="55">
        <f>IFERROR(Supplier_Perf_Table[[#This Row],[Actual_Delivery_Date]]-Supplier_Perf_Table[[#This Row],[Order Date]],"")</f>
        <v>20</v>
      </c>
      <c r="Y527" s="75">
        <v>13</v>
      </c>
      <c r="Z527" s="56">
        <f>IFERROR(Supplier_Perf_Table[[#This Row],[Expected Delivery_Date]]-Supplier_Perf_Table[[#This Row],[Order Date]],"")</f>
        <v>13</v>
      </c>
      <c r="AA527" s="56">
        <f>Supplier_Perf_Table[[#This Row],[Calculated_Lead_Time2]]-Supplier_Perf_Table[[#This Row],[Calculated_Expected_Lead_Time]]</f>
        <v>7</v>
      </c>
      <c r="AB527" s="75">
        <v>7</v>
      </c>
      <c r="AC527" s="63" t="s">
        <v>39</v>
      </c>
      <c r="AD527" s="63" t="s">
        <v>40</v>
      </c>
      <c r="AE527" s="63" t="s">
        <v>3088</v>
      </c>
      <c r="AF527" s="63" t="s">
        <v>190</v>
      </c>
      <c r="AG527" s="63" t="s">
        <v>54</v>
      </c>
      <c r="AH527" s="63" t="s">
        <v>88</v>
      </c>
      <c r="AI527" s="63" t="s">
        <v>56</v>
      </c>
      <c r="AJ527" s="63" t="s">
        <v>138</v>
      </c>
      <c r="AK527" s="83">
        <v>2.7</v>
      </c>
      <c r="AL527" s="63" t="s">
        <v>139</v>
      </c>
      <c r="AM527" s="63" t="s">
        <v>148</v>
      </c>
      <c r="AN527"/>
    </row>
    <row r="528" spans="1:40" ht="18" customHeight="1">
      <c r="A528" s="1" t="s">
        <v>1723</v>
      </c>
      <c r="B528" s="1" t="s">
        <v>1724</v>
      </c>
      <c r="C528" s="4">
        <v>46056</v>
      </c>
      <c r="D528" s="4">
        <v>46067</v>
      </c>
      <c r="E528" s="4">
        <v>46078</v>
      </c>
      <c r="F528" s="63" t="s">
        <v>209</v>
      </c>
      <c r="G528" s="63" t="s">
        <v>3845</v>
      </c>
      <c r="H528" s="63" t="s">
        <v>316</v>
      </c>
      <c r="I528" s="63" t="s">
        <v>70</v>
      </c>
      <c r="J528" s="63" t="s">
        <v>153</v>
      </c>
      <c r="K528" s="63" t="s">
        <v>1725</v>
      </c>
      <c r="L528" s="63" t="s">
        <v>318</v>
      </c>
      <c r="M528" s="69">
        <v>549.54999999999995</v>
      </c>
      <c r="N528" s="63" t="s">
        <v>159</v>
      </c>
      <c r="O528" s="73">
        <f>_xlfn.XLOOKUP(Supplier_Perf_Table[[#This Row],[Currency]],'Comments 2'!$C$4:$C$16,'Comments 2'!$D$4:$D$16)</f>
        <v>7.2999999999999996E-4</v>
      </c>
      <c r="P528" s="69">
        <f>IFERROR(Supplier_Perf_Table[[#This Row],[Unit_Cost]]*Supplier_Perf_Table[[#This Row],[Dollar Equivalent]],"")</f>
        <v>0.40117149999999996</v>
      </c>
      <c r="Q528" s="75" t="s">
        <v>3080</v>
      </c>
      <c r="R528" s="1">
        <v>54955</v>
      </c>
      <c r="S528" s="75" t="e">
        <f>Supplier_Perf_Table[[#This Row],[Unit_Cost]]*Supplier_Perf_Table[[#This Row],[Order_Quantity]]</f>
        <v>#VALUE!</v>
      </c>
      <c r="T528" s="75">
        <f>IFERROR(Supplier_Perf_Table[[#This Row],[Dollar Equivalent]]*Supplier_Perf_Table[[#This Row],[Ordered_Value]],"")</f>
        <v>40.117149999999995</v>
      </c>
      <c r="U528" s="75">
        <v>6</v>
      </c>
      <c r="V528" s="7">
        <v>0.06</v>
      </c>
      <c r="W528" s="75">
        <v>22</v>
      </c>
      <c r="X528" s="55">
        <f>IFERROR(Supplier_Perf_Table[[#This Row],[Actual_Delivery_Date]]-Supplier_Perf_Table[[#This Row],[Order Date]],"")</f>
        <v>22</v>
      </c>
      <c r="Y528" s="75">
        <v>11</v>
      </c>
      <c r="Z528" s="56">
        <f>IFERROR(Supplier_Perf_Table[[#This Row],[Expected Delivery_Date]]-Supplier_Perf_Table[[#This Row],[Order Date]],"")</f>
        <v>11</v>
      </c>
      <c r="AA528" s="56">
        <f>Supplier_Perf_Table[[#This Row],[Calculated_Lead_Time2]]-Supplier_Perf_Table[[#This Row],[Calculated_Expected_Lead_Time]]</f>
        <v>11</v>
      </c>
      <c r="AB528" s="75">
        <v>11</v>
      </c>
      <c r="AC528" s="63" t="s">
        <v>205</v>
      </c>
      <c r="AD528" s="63" t="s">
        <v>420</v>
      </c>
      <c r="AE528" s="63" t="s">
        <v>41</v>
      </c>
      <c r="AF528" s="63" t="s">
        <v>42</v>
      </c>
      <c r="AG528" s="63" t="s">
        <v>43</v>
      </c>
      <c r="AH528" s="63" t="s">
        <v>206</v>
      </c>
      <c r="AI528" s="63" t="s">
        <v>147</v>
      </c>
      <c r="AJ528" s="63" t="s">
        <v>283</v>
      </c>
      <c r="AK528" s="83">
        <v>1.8</v>
      </c>
      <c r="AL528" s="63" t="s">
        <v>45</v>
      </c>
      <c r="AM528" s="63" t="s">
        <v>77</v>
      </c>
      <c r="AN528"/>
    </row>
    <row r="529" spans="1:40" ht="18" customHeight="1">
      <c r="A529" s="1" t="s">
        <v>1726</v>
      </c>
      <c r="B529" s="1" t="s">
        <v>1727</v>
      </c>
      <c r="C529" s="4">
        <v>46118</v>
      </c>
      <c r="D529" s="4">
        <v>46139</v>
      </c>
      <c r="E529" s="4">
        <v>46139</v>
      </c>
      <c r="F529" s="63" t="s">
        <v>118</v>
      </c>
      <c r="G529" s="63" t="s">
        <v>3842</v>
      </c>
      <c r="H529" s="63" t="s">
        <v>301</v>
      </c>
      <c r="I529" s="63" t="s">
        <v>178</v>
      </c>
      <c r="J529" s="63" t="s">
        <v>62</v>
      </c>
      <c r="K529" s="63" t="s">
        <v>1728</v>
      </c>
      <c r="L529" s="63" t="s">
        <v>122</v>
      </c>
      <c r="M529" s="69">
        <v>411.03</v>
      </c>
      <c r="N529" s="63" t="s">
        <v>53</v>
      </c>
      <c r="O529" s="73">
        <f>_xlfn.XLOOKUP(Supplier_Perf_Table[[#This Row],[Currency]],'Comments 2'!$C$4:$C$16,'Comments 2'!$D$4:$D$16)</f>
        <v>6.0999999999999999E-2</v>
      </c>
      <c r="P529" s="69">
        <f>IFERROR(Supplier_Perf_Table[[#This Row],[Unit_Cost]]*Supplier_Perf_Table[[#This Row],[Dollar Equivalent]],"")</f>
        <v>25.072829999999996</v>
      </c>
      <c r="Q529" s="75">
        <v>75</v>
      </c>
      <c r="R529" s="1">
        <v>30827.25</v>
      </c>
      <c r="S529" s="75">
        <f>Supplier_Perf_Table[[#This Row],[Unit_Cost]]*Supplier_Perf_Table[[#This Row],[Order_Quantity]]</f>
        <v>30827.249999999996</v>
      </c>
      <c r="T529" s="75">
        <f>IFERROR(Supplier_Perf_Table[[#This Row],[Dollar Equivalent]]*Supplier_Perf_Table[[#This Row],[Ordered_Value]],"")</f>
        <v>1880.46225</v>
      </c>
      <c r="U529" s="75">
        <v>0</v>
      </c>
      <c r="V529" s="7">
        <v>0</v>
      </c>
      <c r="W529" s="75">
        <v>21</v>
      </c>
      <c r="X529" s="55">
        <f>IFERROR(Supplier_Perf_Table[[#This Row],[Actual_Delivery_Date]]-Supplier_Perf_Table[[#This Row],[Order Date]],"")</f>
        <v>21</v>
      </c>
      <c r="Y529" s="75">
        <v>21</v>
      </c>
      <c r="Z529" s="56">
        <f>IFERROR(Supplier_Perf_Table[[#This Row],[Expected Delivery_Date]]-Supplier_Perf_Table[[#This Row],[Order Date]],"")</f>
        <v>21</v>
      </c>
      <c r="AA529" s="56">
        <f>Supplier_Perf_Table[[#This Row],[Calculated_Lead_Time2]]-Supplier_Perf_Table[[#This Row],[Calculated_Expected_Lead_Time]]</f>
        <v>0</v>
      </c>
      <c r="AB529" s="75">
        <v>0</v>
      </c>
      <c r="AC529" s="63" t="s">
        <v>270</v>
      </c>
      <c r="AD529" s="63" t="s">
        <v>40</v>
      </c>
      <c r="AE529" s="63" t="s">
        <v>105</v>
      </c>
      <c r="AF529" s="63" t="s">
        <v>106</v>
      </c>
      <c r="AG529" s="63" t="s">
        <v>128</v>
      </c>
      <c r="AH529" s="63" t="s">
        <v>3112</v>
      </c>
      <c r="AI529" s="63" t="s">
        <v>137</v>
      </c>
      <c r="AJ529" s="63" t="s">
        <v>138</v>
      </c>
      <c r="AK529" s="83">
        <v>4.7</v>
      </c>
      <c r="AL529" s="63" t="s">
        <v>57</v>
      </c>
      <c r="AM529" s="63" t="s">
        <v>138</v>
      </c>
      <c r="AN529"/>
    </row>
    <row r="530" spans="1:40" ht="18" customHeight="1">
      <c r="A530" s="1" t="s">
        <v>1729</v>
      </c>
      <c r="B530" s="1" t="s">
        <v>1730</v>
      </c>
      <c r="C530" s="4">
        <v>46176</v>
      </c>
      <c r="D530" s="4">
        <v>46188</v>
      </c>
      <c r="E530" s="4">
        <v>46184</v>
      </c>
      <c r="F530" s="63" t="s">
        <v>215</v>
      </c>
      <c r="G530" s="63" t="s">
        <v>3846</v>
      </c>
      <c r="H530" s="63" t="s">
        <v>152</v>
      </c>
      <c r="I530" s="63" t="s">
        <v>34</v>
      </c>
      <c r="J530" s="63" t="s">
        <v>153</v>
      </c>
      <c r="K530" s="63" t="s">
        <v>1731</v>
      </c>
      <c r="L530" s="63" t="s">
        <v>318</v>
      </c>
      <c r="M530" s="69">
        <v>192.93</v>
      </c>
      <c r="N530" s="63" t="s">
        <v>104</v>
      </c>
      <c r="O530" s="73">
        <f>_xlfn.XLOOKUP(Supplier_Perf_Table[[#This Row],[Currency]],'Comments 2'!$C$4:$C$16,'Comments 2'!$D$4:$D$16)</f>
        <v>1.9E-2</v>
      </c>
      <c r="P530" s="69">
        <f>IFERROR(Supplier_Perf_Table[[#This Row],[Unit_Cost]]*Supplier_Perf_Table[[#This Row],[Dollar Equivalent]],"")</f>
        <v>3.66567</v>
      </c>
      <c r="Q530" s="75">
        <v>1000</v>
      </c>
      <c r="R530" s="1">
        <v>192930</v>
      </c>
      <c r="S530" s="75">
        <f>Supplier_Perf_Table[[#This Row],[Unit_Cost]]*Supplier_Perf_Table[[#This Row],[Order_Quantity]]</f>
        <v>192930</v>
      </c>
      <c r="T530" s="75">
        <f>IFERROR(Supplier_Perf_Table[[#This Row],[Dollar Equivalent]]*Supplier_Perf_Table[[#This Row],[Ordered_Value]],"")</f>
        <v>3665.67</v>
      </c>
      <c r="U530" s="75">
        <v>19</v>
      </c>
      <c r="V530" s="7">
        <v>1.9E-2</v>
      </c>
      <c r="W530" s="75">
        <v>8</v>
      </c>
      <c r="X530" s="55">
        <f>IFERROR(Supplier_Perf_Table[[#This Row],[Actual_Delivery_Date]]-Supplier_Perf_Table[[#This Row],[Order Date]],"")</f>
        <v>8</v>
      </c>
      <c r="Y530" s="75" t="s">
        <v>3080</v>
      </c>
      <c r="Z530" s="56">
        <f>IFERROR(Supplier_Perf_Table[[#This Row],[Expected Delivery_Date]]-Supplier_Perf_Table[[#This Row],[Order Date]],"")</f>
        <v>12</v>
      </c>
      <c r="AA530" s="56">
        <f>Supplier_Perf_Table[[#This Row],[Calculated_Lead_Time2]]-Supplier_Perf_Table[[#This Row],[Calculated_Expected_Lead_Time]]</f>
        <v>-4</v>
      </c>
      <c r="AB530" s="75">
        <v>-4</v>
      </c>
      <c r="AC530" s="63" t="s">
        <v>87</v>
      </c>
      <c r="AD530" s="63" t="s">
        <v>40</v>
      </c>
      <c r="AE530" s="63" t="s">
        <v>41</v>
      </c>
      <c r="AF530" s="63" t="s">
        <v>42</v>
      </c>
      <c r="AG530" s="63" t="s">
        <v>173</v>
      </c>
      <c r="AH530" s="63" t="s">
        <v>88</v>
      </c>
      <c r="AI530" s="63" t="s">
        <v>95</v>
      </c>
      <c r="AJ530" s="63" t="s">
        <v>138</v>
      </c>
      <c r="AK530" s="83">
        <v>4.2</v>
      </c>
      <c r="AL530" s="63" t="s">
        <v>45</v>
      </c>
      <c r="AM530" s="63" t="s">
        <v>138</v>
      </c>
      <c r="AN530"/>
    </row>
    <row r="531" spans="1:40" ht="18" customHeight="1">
      <c r="A531" s="1" t="s">
        <v>1732</v>
      </c>
      <c r="B531" s="1" t="s">
        <v>1733</v>
      </c>
      <c r="C531" s="4">
        <v>46039</v>
      </c>
      <c r="D531" s="4">
        <v>46050</v>
      </c>
      <c r="E531" s="4">
        <v>46058</v>
      </c>
      <c r="F531" s="63" t="s">
        <v>80</v>
      </c>
      <c r="G531" s="63" t="s">
        <v>3839</v>
      </c>
      <c r="H531" s="63" t="s">
        <v>82</v>
      </c>
      <c r="I531" s="63" t="s">
        <v>49</v>
      </c>
      <c r="J531" s="63" t="s">
        <v>35</v>
      </c>
      <c r="K531" s="63" t="s">
        <v>1734</v>
      </c>
      <c r="L531" s="63" t="s">
        <v>85</v>
      </c>
      <c r="M531" s="69">
        <v>220.83</v>
      </c>
      <c r="N531" s="63" t="s">
        <v>38</v>
      </c>
      <c r="O531" s="73">
        <f>_xlfn.XLOOKUP(Supplier_Perf_Table[[#This Row],[Currency]],'Comments 2'!$C$4:$C$16,'Comments 2'!$D$4:$D$16)</f>
        <v>7.7000000000000002E-3</v>
      </c>
      <c r="P531" s="69">
        <f>IFERROR(Supplier_Perf_Table[[#This Row],[Unit_Cost]]*Supplier_Perf_Table[[#This Row],[Dollar Equivalent]],"")</f>
        <v>1.7003910000000002</v>
      </c>
      <c r="Q531" s="75">
        <v>250</v>
      </c>
      <c r="R531" s="1">
        <v>55207.5</v>
      </c>
      <c r="S531" s="75">
        <f>Supplier_Perf_Table[[#This Row],[Unit_Cost]]*Supplier_Perf_Table[[#This Row],[Order_Quantity]]</f>
        <v>55207.5</v>
      </c>
      <c r="T531" s="75">
        <f>IFERROR(Supplier_Perf_Table[[#This Row],[Dollar Equivalent]]*Supplier_Perf_Table[[#This Row],[Ordered_Value]],"")</f>
        <v>425.09775000000002</v>
      </c>
      <c r="U531" s="75">
        <v>10</v>
      </c>
      <c r="V531" s="7">
        <v>0.04</v>
      </c>
      <c r="W531" s="75">
        <v>19</v>
      </c>
      <c r="X531" s="55">
        <f>IFERROR(Supplier_Perf_Table[[#This Row],[Actual_Delivery_Date]]-Supplier_Perf_Table[[#This Row],[Order Date]],"")</f>
        <v>19</v>
      </c>
      <c r="Y531" s="75">
        <v>11</v>
      </c>
      <c r="Z531" s="56">
        <f>IFERROR(Supplier_Perf_Table[[#This Row],[Expected Delivery_Date]]-Supplier_Perf_Table[[#This Row],[Order Date]],"")</f>
        <v>11</v>
      </c>
      <c r="AA531" s="56">
        <f>Supplier_Perf_Table[[#This Row],[Calculated_Lead_Time2]]-Supplier_Perf_Table[[#This Row],[Calculated_Expected_Lead_Time]]</f>
        <v>8</v>
      </c>
      <c r="AB531" s="75">
        <v>8</v>
      </c>
      <c r="AC531" s="63" t="s">
        <v>205</v>
      </c>
      <c r="AD531" s="63" t="s">
        <v>40</v>
      </c>
      <c r="AE531" s="63" t="s">
        <v>41</v>
      </c>
      <c r="AF531" s="63" t="s">
        <v>42</v>
      </c>
      <c r="AG531" s="63" t="s">
        <v>43</v>
      </c>
      <c r="AH531" s="63" t="s">
        <v>174</v>
      </c>
      <c r="AI531" s="63" t="s">
        <v>56</v>
      </c>
      <c r="AJ531" s="63" t="s">
        <v>138</v>
      </c>
      <c r="AK531" s="83">
        <v>1.5</v>
      </c>
      <c r="AL531" s="63" t="s">
        <v>45</v>
      </c>
      <c r="AM531" s="63" t="s">
        <v>46</v>
      </c>
      <c r="AN531"/>
    </row>
    <row r="532" spans="1:40" ht="18" customHeight="1">
      <c r="A532" s="1" t="s">
        <v>1735</v>
      </c>
      <c r="B532" s="1" t="s">
        <v>1736</v>
      </c>
      <c r="C532" s="4">
        <v>46034</v>
      </c>
      <c r="D532" s="4">
        <v>46039</v>
      </c>
      <c r="E532" s="4">
        <v>46051</v>
      </c>
      <c r="F532" s="63" t="s">
        <v>215</v>
      </c>
      <c r="G532" s="63" t="s">
        <v>3846</v>
      </c>
      <c r="H532" s="63" t="s">
        <v>152</v>
      </c>
      <c r="I532" s="63" t="s">
        <v>70</v>
      </c>
      <c r="J532" s="63" t="s">
        <v>112</v>
      </c>
      <c r="K532" s="63" t="s">
        <v>1737</v>
      </c>
      <c r="L532" s="63" t="s">
        <v>218</v>
      </c>
      <c r="M532" s="69">
        <v>718.24</v>
      </c>
      <c r="N532" s="63" t="s">
        <v>86</v>
      </c>
      <c r="O532" s="73">
        <f>_xlfn.XLOOKUP(Supplier_Perf_Table[[#This Row],[Currency]],'Comments 2'!$C$4:$C$16,'Comments 2'!$D$4:$D$16)</f>
        <v>8.8999999999999996E-2</v>
      </c>
      <c r="P532" s="69">
        <f>IFERROR(Supplier_Perf_Table[[#This Row],[Unit_Cost]]*Supplier_Perf_Table[[#This Row],[Dollar Equivalent]],"")</f>
        <v>63.923359999999995</v>
      </c>
      <c r="Q532" s="75">
        <v>150</v>
      </c>
      <c r="R532" s="1">
        <v>107736</v>
      </c>
      <c r="S532" s="75">
        <f>Supplier_Perf_Table[[#This Row],[Unit_Cost]]*Supplier_Perf_Table[[#This Row],[Order_Quantity]]</f>
        <v>107736</v>
      </c>
      <c r="T532" s="75">
        <f>IFERROR(Supplier_Perf_Table[[#This Row],[Dollar Equivalent]]*Supplier_Perf_Table[[#This Row],[Ordered_Value]],"")</f>
        <v>9588.503999999999</v>
      </c>
      <c r="U532" s="75">
        <v>0</v>
      </c>
      <c r="V532" s="7">
        <v>0</v>
      </c>
      <c r="W532" s="75">
        <v>17</v>
      </c>
      <c r="X532" s="55">
        <f>IFERROR(Supplier_Perf_Table[[#This Row],[Actual_Delivery_Date]]-Supplier_Perf_Table[[#This Row],[Order Date]],"")</f>
        <v>17</v>
      </c>
      <c r="Y532" s="75" t="s">
        <v>3080</v>
      </c>
      <c r="Z532" s="56">
        <f>IFERROR(Supplier_Perf_Table[[#This Row],[Expected Delivery_Date]]-Supplier_Perf_Table[[#This Row],[Order Date]],"")</f>
        <v>5</v>
      </c>
      <c r="AA532" s="56">
        <f>Supplier_Perf_Table[[#This Row],[Calculated_Lead_Time2]]-Supplier_Perf_Table[[#This Row],[Calculated_Expected_Lead_Time]]</f>
        <v>12</v>
      </c>
      <c r="AB532" s="75">
        <v>12</v>
      </c>
      <c r="AC532" s="63" t="s">
        <v>135</v>
      </c>
      <c r="AD532" s="63" t="s">
        <v>40</v>
      </c>
      <c r="AE532" s="63" t="s">
        <v>105</v>
      </c>
      <c r="AF532" s="63" t="s">
        <v>106</v>
      </c>
      <c r="AG532" s="63" t="s">
        <v>173</v>
      </c>
      <c r="AH532" s="63" t="s">
        <v>174</v>
      </c>
      <c r="AI532" s="63" t="s">
        <v>56</v>
      </c>
      <c r="AJ532" s="63" t="s">
        <v>138</v>
      </c>
      <c r="AK532" s="83">
        <v>2.2000000000000002</v>
      </c>
      <c r="AL532" s="63" t="s">
        <v>139</v>
      </c>
      <c r="AM532" s="63" t="s">
        <v>46</v>
      </c>
      <c r="AN532"/>
    </row>
    <row r="533" spans="1:40" ht="18" customHeight="1">
      <c r="A533" s="1" t="s">
        <v>682</v>
      </c>
      <c r="B533" s="1" t="s">
        <v>1738</v>
      </c>
      <c r="C533" s="4">
        <v>46164</v>
      </c>
      <c r="D533" s="4">
        <v>46180</v>
      </c>
      <c r="E533" s="4">
        <v>46178</v>
      </c>
      <c r="F533" s="63" t="s">
        <v>100</v>
      </c>
      <c r="G533" s="63" t="s">
        <v>3841</v>
      </c>
      <c r="H533" s="63" t="s">
        <v>102</v>
      </c>
      <c r="I533" s="63" t="s">
        <v>92</v>
      </c>
      <c r="J533" s="63" t="s">
        <v>50</v>
      </c>
      <c r="K533" s="63" t="s">
        <v>1739</v>
      </c>
      <c r="L533" s="63" t="s">
        <v>189</v>
      </c>
      <c r="M533" s="69">
        <v>762.19</v>
      </c>
      <c r="N533" s="63" t="s">
        <v>159</v>
      </c>
      <c r="O533" s="73">
        <f>_xlfn.XLOOKUP(Supplier_Perf_Table[[#This Row],[Currency]],'Comments 2'!$C$4:$C$16,'Comments 2'!$D$4:$D$16)</f>
        <v>7.2999999999999996E-4</v>
      </c>
      <c r="P533" s="69">
        <f>IFERROR(Supplier_Perf_Table[[#This Row],[Unit_Cost]]*Supplier_Perf_Table[[#This Row],[Dollar Equivalent]],"")</f>
        <v>0.55639870000000002</v>
      </c>
      <c r="Q533" s="75">
        <v>150</v>
      </c>
      <c r="R533" s="1">
        <v>114328.5</v>
      </c>
      <c r="S533" s="75">
        <f>Supplier_Perf_Table[[#This Row],[Unit_Cost]]*Supplier_Perf_Table[[#This Row],[Order_Quantity]]</f>
        <v>114328.50000000001</v>
      </c>
      <c r="T533" s="75">
        <f>IFERROR(Supplier_Perf_Table[[#This Row],[Dollar Equivalent]]*Supplier_Perf_Table[[#This Row],[Ordered_Value]],"")</f>
        <v>83.459804999999989</v>
      </c>
      <c r="U533" s="75">
        <v>9</v>
      </c>
      <c r="V533" s="7">
        <v>0.06</v>
      </c>
      <c r="W533" s="75">
        <v>14</v>
      </c>
      <c r="X533" s="55">
        <f>IFERROR(Supplier_Perf_Table[[#This Row],[Actual_Delivery_Date]]-Supplier_Perf_Table[[#This Row],[Order Date]],"")</f>
        <v>14</v>
      </c>
      <c r="Y533" s="75">
        <v>16</v>
      </c>
      <c r="Z533" s="56">
        <f>IFERROR(Supplier_Perf_Table[[#This Row],[Expected Delivery_Date]]-Supplier_Perf_Table[[#This Row],[Order Date]],"")</f>
        <v>16</v>
      </c>
      <c r="AA533" s="56">
        <f>Supplier_Perf_Table[[#This Row],[Calculated_Lead_Time2]]-Supplier_Perf_Table[[#This Row],[Calculated_Expected_Lead_Time]]</f>
        <v>-2</v>
      </c>
      <c r="AB533" s="75">
        <v>-2</v>
      </c>
      <c r="AC533" s="63" t="s">
        <v>87</v>
      </c>
      <c r="AD533" s="63" t="s">
        <v>420</v>
      </c>
      <c r="AE533" s="63" t="s">
        <v>41</v>
      </c>
      <c r="AF533" s="63" t="s">
        <v>42</v>
      </c>
      <c r="AG533" s="63" t="s">
        <v>173</v>
      </c>
      <c r="AH533" s="63" t="s">
        <v>3112</v>
      </c>
      <c r="AI533" s="63" t="s">
        <v>95</v>
      </c>
      <c r="AJ533" s="63" t="s">
        <v>183</v>
      </c>
      <c r="AK533" s="83">
        <v>2.6</v>
      </c>
      <c r="AL533" s="63" t="s">
        <v>76</v>
      </c>
      <c r="AM533" s="63" t="s">
        <v>97</v>
      </c>
      <c r="AN533"/>
    </row>
    <row r="534" spans="1:40" ht="18" customHeight="1">
      <c r="A534" s="1" t="s">
        <v>1740</v>
      </c>
      <c r="B534" s="1" t="s">
        <v>1741</v>
      </c>
      <c r="C534" s="4">
        <v>46075</v>
      </c>
      <c r="D534" s="4">
        <v>46090</v>
      </c>
      <c r="E534" s="4">
        <v>46087</v>
      </c>
      <c r="F534" s="63" t="s">
        <v>256</v>
      </c>
      <c r="G534" s="63" t="s">
        <v>3849</v>
      </c>
      <c r="H534" s="63" t="s">
        <v>258</v>
      </c>
      <c r="I534" s="63" t="s">
        <v>120</v>
      </c>
      <c r="J534" s="63" t="s">
        <v>153</v>
      </c>
      <c r="K534" s="63" t="s">
        <v>1742</v>
      </c>
      <c r="L534" s="63" t="s">
        <v>295</v>
      </c>
      <c r="M534" s="69">
        <v>263.73</v>
      </c>
      <c r="N534" s="63" t="s">
        <v>65</v>
      </c>
      <c r="O534" s="73">
        <f>_xlfn.XLOOKUP(Supplier_Perf_Table[[#This Row],[Currency]],'Comments 2'!$C$4:$C$16,'Comments 2'!$D$4:$D$16)</f>
        <v>1</v>
      </c>
      <c r="P534" s="69">
        <f>IFERROR(Supplier_Perf_Table[[#This Row],[Unit_Cost]]*Supplier_Perf_Table[[#This Row],[Dollar Equivalent]],"")</f>
        <v>263.73</v>
      </c>
      <c r="Q534" s="75">
        <v>200</v>
      </c>
      <c r="R534" s="1">
        <v>52746</v>
      </c>
      <c r="S534" s="75">
        <f>Supplier_Perf_Table[[#This Row],[Unit_Cost]]*Supplier_Perf_Table[[#This Row],[Order_Quantity]]</f>
        <v>52746</v>
      </c>
      <c r="T534" s="75">
        <f>IFERROR(Supplier_Perf_Table[[#This Row],[Dollar Equivalent]]*Supplier_Perf_Table[[#This Row],[Ordered_Value]],"")</f>
        <v>52746</v>
      </c>
      <c r="U534" s="75">
        <v>19</v>
      </c>
      <c r="V534" s="7">
        <v>9.5000000000000001E-2</v>
      </c>
      <c r="W534" s="75">
        <v>12</v>
      </c>
      <c r="X534" s="55">
        <f>IFERROR(Supplier_Perf_Table[[#This Row],[Actual_Delivery_Date]]-Supplier_Perf_Table[[#This Row],[Order Date]],"")</f>
        <v>12</v>
      </c>
      <c r="Y534" s="75">
        <v>15</v>
      </c>
      <c r="Z534" s="56">
        <f>IFERROR(Supplier_Perf_Table[[#This Row],[Expected Delivery_Date]]-Supplier_Perf_Table[[#This Row],[Order Date]],"")</f>
        <v>15</v>
      </c>
      <c r="AA534" s="56">
        <f>Supplier_Perf_Table[[#This Row],[Calculated_Lead_Time2]]-Supplier_Perf_Table[[#This Row],[Calculated_Expected_Lead_Time]]</f>
        <v>-3</v>
      </c>
      <c r="AB534" s="75">
        <v>-3</v>
      </c>
      <c r="AC534" s="63" t="s">
        <v>270</v>
      </c>
      <c r="AD534" s="63" t="s">
        <v>74</v>
      </c>
      <c r="AE534" s="63" t="s">
        <v>146</v>
      </c>
      <c r="AF534" s="63" t="s">
        <v>106</v>
      </c>
      <c r="AG534" s="63" t="s">
        <v>173</v>
      </c>
      <c r="AH534" s="63" t="s">
        <v>88</v>
      </c>
      <c r="AI534" s="63" t="s">
        <v>147</v>
      </c>
      <c r="AJ534" s="63" t="s">
        <v>96</v>
      </c>
      <c r="AK534" s="83">
        <v>2.6</v>
      </c>
      <c r="AL534" s="63" t="s">
        <v>76</v>
      </c>
      <c r="AM534" s="63" t="s">
        <v>284</v>
      </c>
      <c r="AN534"/>
    </row>
    <row r="535" spans="1:40" ht="18" customHeight="1">
      <c r="A535" s="1" t="s">
        <v>1743</v>
      </c>
      <c r="B535" s="1" t="s">
        <v>1744</v>
      </c>
      <c r="C535" s="4">
        <v>46030</v>
      </c>
      <c r="D535" s="4">
        <v>46047</v>
      </c>
      <c r="E535" s="4">
        <v>46050</v>
      </c>
      <c r="F535" s="63" t="s">
        <v>256</v>
      </c>
      <c r="G535" s="63" t="s">
        <v>3849</v>
      </c>
      <c r="H535" s="63" t="s">
        <v>258</v>
      </c>
      <c r="I535" s="63" t="s">
        <v>92</v>
      </c>
      <c r="J535" s="63" t="s">
        <v>153</v>
      </c>
      <c r="K535" s="63" t="s">
        <v>1745</v>
      </c>
      <c r="L535" s="63" t="s">
        <v>295</v>
      </c>
      <c r="M535" s="69">
        <v>141.79</v>
      </c>
      <c r="N535" s="63" t="s">
        <v>38</v>
      </c>
      <c r="O535" s="73">
        <f>_xlfn.XLOOKUP(Supplier_Perf_Table[[#This Row],[Currency]],'Comments 2'!$C$4:$C$16,'Comments 2'!$D$4:$D$16)</f>
        <v>7.7000000000000002E-3</v>
      </c>
      <c r="P535" s="69">
        <f>IFERROR(Supplier_Perf_Table[[#This Row],[Unit_Cost]]*Supplier_Perf_Table[[#This Row],[Dollar Equivalent]],"")</f>
        <v>1.0917829999999999</v>
      </c>
      <c r="Q535" s="75">
        <v>1000</v>
      </c>
      <c r="R535" s="1">
        <v>141790</v>
      </c>
      <c r="S535" s="75">
        <f>Supplier_Perf_Table[[#This Row],[Unit_Cost]]*Supplier_Perf_Table[[#This Row],[Order_Quantity]]</f>
        <v>141790</v>
      </c>
      <c r="T535" s="75">
        <f>IFERROR(Supplier_Perf_Table[[#This Row],[Dollar Equivalent]]*Supplier_Perf_Table[[#This Row],[Ordered_Value]],"")</f>
        <v>1091.7830000000001</v>
      </c>
      <c r="U535" s="75">
        <v>0</v>
      </c>
      <c r="V535" s="7">
        <v>0</v>
      </c>
      <c r="W535" s="75">
        <v>20</v>
      </c>
      <c r="X535" s="55">
        <f>IFERROR(Supplier_Perf_Table[[#This Row],[Actual_Delivery_Date]]-Supplier_Perf_Table[[#This Row],[Order Date]],"")</f>
        <v>20</v>
      </c>
      <c r="Y535" s="75">
        <v>17</v>
      </c>
      <c r="Z535" s="56">
        <f>IFERROR(Supplier_Perf_Table[[#This Row],[Expected Delivery_Date]]-Supplier_Perf_Table[[#This Row],[Order Date]],"")</f>
        <v>17</v>
      </c>
      <c r="AA535" s="56">
        <f>Supplier_Perf_Table[[#This Row],[Calculated_Lead_Time2]]-Supplier_Perf_Table[[#This Row],[Calculated_Expected_Lead_Time]]</f>
        <v>3</v>
      </c>
      <c r="AB535" s="75">
        <v>3</v>
      </c>
      <c r="AC535" s="63" t="s">
        <v>135</v>
      </c>
      <c r="AD535" s="63" t="s">
        <v>40</v>
      </c>
      <c r="AE535" s="63" t="s">
        <v>3088</v>
      </c>
      <c r="AF535" s="63" t="s">
        <v>212</v>
      </c>
      <c r="AG535" s="63" t="s">
        <v>128</v>
      </c>
      <c r="AH535" s="63" t="s">
        <v>88</v>
      </c>
      <c r="AI535" s="63" t="s">
        <v>44</v>
      </c>
      <c r="AJ535" s="63" t="s">
        <v>138</v>
      </c>
      <c r="AK535" s="83">
        <v>3.3</v>
      </c>
      <c r="AL535" s="63" t="s">
        <v>139</v>
      </c>
      <c r="AM535" s="63" t="s">
        <v>148</v>
      </c>
      <c r="AN535"/>
    </row>
    <row r="536" spans="1:40" ht="18" customHeight="1">
      <c r="A536" s="1" t="s">
        <v>1746</v>
      </c>
      <c r="B536" s="1" t="s">
        <v>1747</v>
      </c>
      <c r="C536" s="4">
        <v>46198</v>
      </c>
      <c r="D536" s="4">
        <v>46208</v>
      </c>
      <c r="E536" s="4">
        <v>46203</v>
      </c>
      <c r="F536" s="63" t="s">
        <v>209</v>
      </c>
      <c r="G536" s="63" t="s">
        <v>3845</v>
      </c>
      <c r="H536" s="63" t="s">
        <v>316</v>
      </c>
      <c r="I536" s="63" t="s">
        <v>241</v>
      </c>
      <c r="J536" s="63" t="s">
        <v>153</v>
      </c>
      <c r="K536" s="63" t="s">
        <v>1748</v>
      </c>
      <c r="L536" s="63" t="s">
        <v>318</v>
      </c>
      <c r="M536" s="69">
        <v>220.51</v>
      </c>
      <c r="N536" s="63" t="s">
        <v>159</v>
      </c>
      <c r="O536" s="73">
        <f>_xlfn.XLOOKUP(Supplier_Perf_Table[[#This Row],[Currency]],'Comments 2'!$C$4:$C$16,'Comments 2'!$D$4:$D$16)</f>
        <v>7.2999999999999996E-4</v>
      </c>
      <c r="P536" s="69">
        <f>IFERROR(Supplier_Perf_Table[[#This Row],[Unit_Cost]]*Supplier_Perf_Table[[#This Row],[Dollar Equivalent]],"")</f>
        <v>0.16097229999999998</v>
      </c>
      <c r="Q536" s="75">
        <v>1000</v>
      </c>
      <c r="R536" s="1" t="s">
        <v>3080</v>
      </c>
      <c r="S536" s="75">
        <f>Supplier_Perf_Table[[#This Row],[Unit_Cost]]*Supplier_Perf_Table[[#This Row],[Order_Quantity]]</f>
        <v>220510</v>
      </c>
      <c r="T536" s="75" t="str">
        <f>IFERROR(Supplier_Perf_Table[[#This Row],[Dollar Equivalent]]*Supplier_Perf_Table[[#This Row],[Ordered_Value]],"")</f>
        <v/>
      </c>
      <c r="U536" s="75">
        <v>49</v>
      </c>
      <c r="V536" s="7">
        <v>4.9000000000000002E-2</v>
      </c>
      <c r="W536" s="75">
        <v>5</v>
      </c>
      <c r="X536" s="55">
        <f>IFERROR(Supplier_Perf_Table[[#This Row],[Actual_Delivery_Date]]-Supplier_Perf_Table[[#This Row],[Order Date]],"")</f>
        <v>5</v>
      </c>
      <c r="Y536" s="75">
        <v>10</v>
      </c>
      <c r="Z536" s="56">
        <f>IFERROR(Supplier_Perf_Table[[#This Row],[Expected Delivery_Date]]-Supplier_Perf_Table[[#This Row],[Order Date]],"")</f>
        <v>10</v>
      </c>
      <c r="AA536" s="56">
        <f>Supplier_Perf_Table[[#This Row],[Calculated_Lead_Time2]]-Supplier_Perf_Table[[#This Row],[Calculated_Expected_Lead_Time]]</f>
        <v>-5</v>
      </c>
      <c r="AB536" s="75">
        <v>-5</v>
      </c>
      <c r="AC536" s="63" t="s">
        <v>87</v>
      </c>
      <c r="AD536" s="63" t="s">
        <v>74</v>
      </c>
      <c r="AE536" s="63" t="s">
        <v>105</v>
      </c>
      <c r="AF536" s="63" t="s">
        <v>106</v>
      </c>
      <c r="AG536" s="63" t="s">
        <v>43</v>
      </c>
      <c r="AH536" s="63" t="s">
        <v>129</v>
      </c>
      <c r="AI536" s="63" t="s">
        <v>44</v>
      </c>
      <c r="AJ536" s="63" t="s">
        <v>183</v>
      </c>
      <c r="AK536" s="83">
        <v>1.2</v>
      </c>
      <c r="AL536" s="63" t="s">
        <v>57</v>
      </c>
      <c r="AM536" s="63" t="s">
        <v>97</v>
      </c>
      <c r="AN536"/>
    </row>
    <row r="537" spans="1:40" ht="18" customHeight="1">
      <c r="A537" s="1" t="s">
        <v>1749</v>
      </c>
      <c r="B537" s="1" t="s">
        <v>1750</v>
      </c>
      <c r="C537" s="4">
        <v>46155</v>
      </c>
      <c r="D537" s="4">
        <v>46161</v>
      </c>
      <c r="E537" s="4">
        <v>46162</v>
      </c>
      <c r="F537" s="63" t="s">
        <v>151</v>
      </c>
      <c r="G537" s="63" t="s">
        <v>3844</v>
      </c>
      <c r="H537" s="63" t="s">
        <v>152</v>
      </c>
      <c r="I537" s="63" t="s">
        <v>92</v>
      </c>
      <c r="J537" s="63" t="s">
        <v>112</v>
      </c>
      <c r="K537" s="63" t="s">
        <v>1751</v>
      </c>
      <c r="L537" s="63" t="s">
        <v>218</v>
      </c>
      <c r="M537" s="69">
        <v>724.01</v>
      </c>
      <c r="N537" s="63" t="s">
        <v>38</v>
      </c>
      <c r="O537" s="73">
        <f>_xlfn.XLOOKUP(Supplier_Perf_Table[[#This Row],[Currency]],'Comments 2'!$C$4:$C$16,'Comments 2'!$D$4:$D$16)</f>
        <v>7.7000000000000002E-3</v>
      </c>
      <c r="P537" s="69">
        <f>IFERROR(Supplier_Perf_Table[[#This Row],[Unit_Cost]]*Supplier_Perf_Table[[#This Row],[Dollar Equivalent]],"")</f>
        <v>5.5748769999999999</v>
      </c>
      <c r="Q537" s="75">
        <v>300</v>
      </c>
      <c r="R537" s="1">
        <v>217203</v>
      </c>
      <c r="S537" s="75">
        <f>Supplier_Perf_Table[[#This Row],[Unit_Cost]]*Supplier_Perf_Table[[#This Row],[Order_Quantity]]</f>
        <v>217203</v>
      </c>
      <c r="T537" s="75">
        <f>IFERROR(Supplier_Perf_Table[[#This Row],[Dollar Equivalent]]*Supplier_Perf_Table[[#This Row],[Ordered_Value]],"")</f>
        <v>1672.4630999999999</v>
      </c>
      <c r="U537" s="75">
        <v>0</v>
      </c>
      <c r="V537" s="7">
        <v>0</v>
      </c>
      <c r="W537" s="75">
        <v>7</v>
      </c>
      <c r="X537" s="55">
        <f>IFERROR(Supplier_Perf_Table[[#This Row],[Actual_Delivery_Date]]-Supplier_Perf_Table[[#This Row],[Order Date]],"")</f>
        <v>7</v>
      </c>
      <c r="Y537" s="75">
        <v>6</v>
      </c>
      <c r="Z537" s="56">
        <f>IFERROR(Supplier_Perf_Table[[#This Row],[Expected Delivery_Date]]-Supplier_Perf_Table[[#This Row],[Order Date]],"")</f>
        <v>6</v>
      </c>
      <c r="AA537" s="56">
        <f>Supplier_Perf_Table[[#This Row],[Calculated_Lead_Time2]]-Supplier_Perf_Table[[#This Row],[Calculated_Expected_Lead_Time]]</f>
        <v>1</v>
      </c>
      <c r="AB537" s="75">
        <v>1</v>
      </c>
      <c r="AC537" s="63" t="s">
        <v>135</v>
      </c>
      <c r="AD537" s="63" t="s">
        <v>40</v>
      </c>
      <c r="AE537" s="63" t="s">
        <v>105</v>
      </c>
      <c r="AF537" s="63" t="s">
        <v>66</v>
      </c>
      <c r="AG537" s="63" t="s">
        <v>43</v>
      </c>
      <c r="AH537" s="63" t="s">
        <v>55</v>
      </c>
      <c r="AI537" s="63" t="s">
        <v>191</v>
      </c>
      <c r="AJ537" s="63" t="s">
        <v>138</v>
      </c>
      <c r="AK537" s="83">
        <v>6</v>
      </c>
      <c r="AL537" s="63" t="s">
        <v>108</v>
      </c>
      <c r="AM537" s="63" t="s">
        <v>46</v>
      </c>
      <c r="AN537"/>
    </row>
    <row r="538" spans="1:40" ht="18" customHeight="1">
      <c r="A538" s="1" t="s">
        <v>1752</v>
      </c>
      <c r="B538" s="1" t="s">
        <v>1753</v>
      </c>
      <c r="C538" s="4">
        <v>46177</v>
      </c>
      <c r="D538" s="4">
        <v>46187</v>
      </c>
      <c r="E538" s="4">
        <v>46190</v>
      </c>
      <c r="F538" s="63" t="s">
        <v>209</v>
      </c>
      <c r="G538" s="63" t="s">
        <v>3845</v>
      </c>
      <c r="H538" s="63" t="s">
        <v>316</v>
      </c>
      <c r="I538" s="63" t="s">
        <v>92</v>
      </c>
      <c r="J538" s="63" t="s">
        <v>153</v>
      </c>
      <c r="K538" s="63" t="s">
        <v>1754</v>
      </c>
      <c r="L538" s="63" t="s">
        <v>204</v>
      </c>
      <c r="M538" s="69">
        <v>277.86</v>
      </c>
      <c r="N538" s="63" t="s">
        <v>104</v>
      </c>
      <c r="O538" s="73">
        <f>_xlfn.XLOOKUP(Supplier_Perf_Table[[#This Row],[Currency]],'Comments 2'!$C$4:$C$16,'Comments 2'!$D$4:$D$16)</f>
        <v>1.9E-2</v>
      </c>
      <c r="P538" s="69">
        <f>IFERROR(Supplier_Perf_Table[[#This Row],[Unit_Cost]]*Supplier_Perf_Table[[#This Row],[Dollar Equivalent]],"")</f>
        <v>5.2793400000000004</v>
      </c>
      <c r="Q538" s="75">
        <v>75</v>
      </c>
      <c r="R538" s="1">
        <v>20839.5</v>
      </c>
      <c r="S538" s="75">
        <f>Supplier_Perf_Table[[#This Row],[Unit_Cost]]*Supplier_Perf_Table[[#This Row],[Order_Quantity]]</f>
        <v>20839.5</v>
      </c>
      <c r="T538" s="75">
        <f>IFERROR(Supplier_Perf_Table[[#This Row],[Dollar Equivalent]]*Supplier_Perf_Table[[#This Row],[Ordered_Value]],"")</f>
        <v>395.95049999999998</v>
      </c>
      <c r="U538" s="75">
        <v>3</v>
      </c>
      <c r="V538" s="7">
        <v>0.04</v>
      </c>
      <c r="W538" s="75">
        <v>13</v>
      </c>
      <c r="X538" s="55">
        <f>IFERROR(Supplier_Perf_Table[[#This Row],[Actual_Delivery_Date]]-Supplier_Perf_Table[[#This Row],[Order Date]],"")</f>
        <v>13</v>
      </c>
      <c r="Y538" s="75">
        <v>10</v>
      </c>
      <c r="Z538" s="56">
        <f>IFERROR(Supplier_Perf_Table[[#This Row],[Expected Delivery_Date]]-Supplier_Perf_Table[[#This Row],[Order Date]],"")</f>
        <v>10</v>
      </c>
      <c r="AA538" s="56">
        <f>Supplier_Perf_Table[[#This Row],[Calculated_Lead_Time2]]-Supplier_Perf_Table[[#This Row],[Calculated_Expected_Lead_Time]]</f>
        <v>3</v>
      </c>
      <c r="AB538" s="75">
        <v>3</v>
      </c>
      <c r="AC538" s="63" t="s">
        <v>135</v>
      </c>
      <c r="AD538" s="63" t="s">
        <v>40</v>
      </c>
      <c r="AE538" s="63" t="s">
        <v>41</v>
      </c>
      <c r="AF538" s="63" t="s">
        <v>42</v>
      </c>
      <c r="AG538" s="63" t="s">
        <v>43</v>
      </c>
      <c r="AH538" s="63" t="s">
        <v>129</v>
      </c>
      <c r="AI538" s="63" t="s">
        <v>138</v>
      </c>
      <c r="AJ538" s="63" t="s">
        <v>138</v>
      </c>
      <c r="AK538" s="83">
        <v>4.0999999999999996</v>
      </c>
      <c r="AL538" s="63" t="s">
        <v>108</v>
      </c>
      <c r="AM538" s="63" t="s">
        <v>46</v>
      </c>
      <c r="AN538"/>
    </row>
    <row r="539" spans="1:40" ht="18" customHeight="1">
      <c r="A539" s="1" t="s">
        <v>1755</v>
      </c>
      <c r="B539" s="1" t="s">
        <v>1756</v>
      </c>
      <c r="C539" s="4">
        <v>46178</v>
      </c>
      <c r="D539" s="4">
        <v>46199</v>
      </c>
      <c r="E539" s="4">
        <v>46191</v>
      </c>
      <c r="F539" s="63" t="s">
        <v>32</v>
      </c>
      <c r="G539" s="63" t="s">
        <v>3835</v>
      </c>
      <c r="H539" s="63" t="s">
        <v>177</v>
      </c>
      <c r="I539" s="63" t="s">
        <v>34</v>
      </c>
      <c r="J539" s="63" t="s">
        <v>35</v>
      </c>
      <c r="K539" s="63" t="s">
        <v>1757</v>
      </c>
      <c r="L539" s="63" t="s">
        <v>37</v>
      </c>
      <c r="M539" s="69">
        <v>1679.32</v>
      </c>
      <c r="N539" s="63" t="s">
        <v>291</v>
      </c>
      <c r="O539" s="73">
        <f>_xlfn.XLOOKUP(Supplier_Perf_Table[[#This Row],[Currency]],'Comments 2'!$C$4:$C$16,'Comments 2'!$D$4:$D$16)</f>
        <v>7.2999999999999996E-4</v>
      </c>
      <c r="P539" s="69">
        <f>IFERROR(Supplier_Perf_Table[[#This Row],[Unit_Cost]]*Supplier_Perf_Table[[#This Row],[Dollar Equivalent]],"")</f>
        <v>1.2259035999999999</v>
      </c>
      <c r="Q539" s="75">
        <v>250</v>
      </c>
      <c r="R539" s="1">
        <v>419830</v>
      </c>
      <c r="S539" s="75">
        <f>Supplier_Perf_Table[[#This Row],[Unit_Cost]]*Supplier_Perf_Table[[#This Row],[Order_Quantity]]</f>
        <v>419830</v>
      </c>
      <c r="T539" s="75">
        <f>IFERROR(Supplier_Perf_Table[[#This Row],[Dollar Equivalent]]*Supplier_Perf_Table[[#This Row],[Ordered_Value]],"")</f>
        <v>306.47589999999997</v>
      </c>
      <c r="U539" s="75">
        <v>16</v>
      </c>
      <c r="V539" s="7">
        <v>6.4000000000000001E-2</v>
      </c>
      <c r="W539" s="75">
        <v>13</v>
      </c>
      <c r="X539" s="55">
        <f>IFERROR(Supplier_Perf_Table[[#This Row],[Actual_Delivery_Date]]-Supplier_Perf_Table[[#This Row],[Order Date]],"")</f>
        <v>13</v>
      </c>
      <c r="Y539" s="75">
        <v>21</v>
      </c>
      <c r="Z539" s="56">
        <f>IFERROR(Supplier_Perf_Table[[#This Row],[Expected Delivery_Date]]-Supplier_Perf_Table[[#This Row],[Order Date]],"")</f>
        <v>21</v>
      </c>
      <c r="AA539" s="56">
        <f>Supplier_Perf_Table[[#This Row],[Calculated_Lead_Time2]]-Supplier_Perf_Table[[#This Row],[Calculated_Expected_Lead_Time]]</f>
        <v>-8</v>
      </c>
      <c r="AB539" s="75">
        <v>-8</v>
      </c>
      <c r="AC539" s="63" t="s">
        <v>87</v>
      </c>
      <c r="AD539" s="63" t="s">
        <v>74</v>
      </c>
      <c r="AE539" s="63" t="s">
        <v>41</v>
      </c>
      <c r="AF539" s="63" t="s">
        <v>3088</v>
      </c>
      <c r="AG539" s="63" t="s">
        <v>3088</v>
      </c>
      <c r="AH539" s="63" t="s">
        <v>129</v>
      </c>
      <c r="AI539" s="63" t="s">
        <v>95</v>
      </c>
      <c r="AJ539" s="63" t="s">
        <v>183</v>
      </c>
      <c r="AK539" s="83">
        <v>1.9</v>
      </c>
      <c r="AL539" s="63" t="s">
        <v>57</v>
      </c>
      <c r="AM539" s="63" t="s">
        <v>1758</v>
      </c>
      <c r="AN539"/>
    </row>
    <row r="540" spans="1:40" ht="18" customHeight="1">
      <c r="A540" s="1" t="s">
        <v>1759</v>
      </c>
      <c r="B540" s="1" t="s">
        <v>1760</v>
      </c>
      <c r="C540" s="4">
        <v>46077</v>
      </c>
      <c r="D540" s="4">
        <v>46096</v>
      </c>
      <c r="E540" s="4">
        <v>46098</v>
      </c>
      <c r="F540" s="63" t="s">
        <v>118</v>
      </c>
      <c r="G540" s="63" t="s">
        <v>3842</v>
      </c>
      <c r="H540" s="63" t="s">
        <v>301</v>
      </c>
      <c r="I540" s="63" t="s">
        <v>70</v>
      </c>
      <c r="J540" s="63" t="s">
        <v>163</v>
      </c>
      <c r="K540" s="63" t="s">
        <v>1761</v>
      </c>
      <c r="L540" s="63" t="s">
        <v>269</v>
      </c>
      <c r="M540" s="69">
        <v>1614.76</v>
      </c>
      <c r="N540" s="63" t="s">
        <v>53</v>
      </c>
      <c r="O540" s="73">
        <f>_xlfn.XLOOKUP(Supplier_Perf_Table[[#This Row],[Currency]],'Comments 2'!$C$4:$C$16,'Comments 2'!$D$4:$D$16)</f>
        <v>6.0999999999999999E-2</v>
      </c>
      <c r="P540" s="69">
        <f>IFERROR(Supplier_Perf_Table[[#This Row],[Unit_Cost]]*Supplier_Perf_Table[[#This Row],[Dollar Equivalent]],"")</f>
        <v>98.500360000000001</v>
      </c>
      <c r="Q540" s="75">
        <v>500</v>
      </c>
      <c r="R540" s="1">
        <v>807380</v>
      </c>
      <c r="S540" s="75">
        <f>Supplier_Perf_Table[[#This Row],[Unit_Cost]]*Supplier_Perf_Table[[#This Row],[Order_Quantity]]</f>
        <v>807380</v>
      </c>
      <c r="T540" s="75">
        <f>IFERROR(Supplier_Perf_Table[[#This Row],[Dollar Equivalent]]*Supplier_Perf_Table[[#This Row],[Ordered_Value]],"")</f>
        <v>49250.18</v>
      </c>
      <c r="U540" s="75">
        <v>0</v>
      </c>
      <c r="V540" s="7">
        <v>0</v>
      </c>
      <c r="W540" s="75">
        <v>21</v>
      </c>
      <c r="X540" s="55">
        <f>IFERROR(Supplier_Perf_Table[[#This Row],[Actual_Delivery_Date]]-Supplier_Perf_Table[[#This Row],[Order Date]],"")</f>
        <v>21</v>
      </c>
      <c r="Y540" s="75">
        <v>19</v>
      </c>
      <c r="Z540" s="56">
        <f>IFERROR(Supplier_Perf_Table[[#This Row],[Expected Delivery_Date]]-Supplier_Perf_Table[[#This Row],[Order Date]],"")</f>
        <v>19</v>
      </c>
      <c r="AA540" s="56">
        <f>Supplier_Perf_Table[[#This Row],[Calculated_Lead_Time2]]-Supplier_Perf_Table[[#This Row],[Calculated_Expected_Lead_Time]]</f>
        <v>2</v>
      </c>
      <c r="AB540" s="75">
        <v>2</v>
      </c>
      <c r="AC540" s="63" t="s">
        <v>135</v>
      </c>
      <c r="AD540" s="63" t="s">
        <v>40</v>
      </c>
      <c r="AE540" s="63" t="s">
        <v>105</v>
      </c>
      <c r="AF540" s="63" t="s">
        <v>106</v>
      </c>
      <c r="AG540" s="63" t="s">
        <v>43</v>
      </c>
      <c r="AH540" s="63" t="s">
        <v>136</v>
      </c>
      <c r="AI540" s="63" t="s">
        <v>147</v>
      </c>
      <c r="AJ540" s="63" t="s">
        <v>138</v>
      </c>
      <c r="AK540" s="83">
        <v>4</v>
      </c>
      <c r="AL540" s="63" t="s">
        <v>45</v>
      </c>
      <c r="AM540" s="63" t="s">
        <v>46</v>
      </c>
      <c r="AN540"/>
    </row>
    <row r="541" spans="1:40" ht="18" customHeight="1">
      <c r="A541" s="1" t="s">
        <v>1762</v>
      </c>
      <c r="B541" s="1" t="s">
        <v>1763</v>
      </c>
      <c r="C541" s="4">
        <v>46110</v>
      </c>
      <c r="D541" s="4">
        <v>46128</v>
      </c>
      <c r="E541" s="4">
        <v>46125</v>
      </c>
      <c r="F541" s="63" t="s">
        <v>256</v>
      </c>
      <c r="G541" s="63" t="s">
        <v>3849</v>
      </c>
      <c r="H541" s="63" t="s">
        <v>258</v>
      </c>
      <c r="I541" s="63" t="s">
        <v>241</v>
      </c>
      <c r="J541" s="63" t="s">
        <v>153</v>
      </c>
      <c r="K541" s="63" t="s">
        <v>1764</v>
      </c>
      <c r="L541" s="63" t="s">
        <v>204</v>
      </c>
      <c r="M541" s="69">
        <v>386.87</v>
      </c>
      <c r="N541" s="63" t="s">
        <v>104</v>
      </c>
      <c r="O541" s="73">
        <f>_xlfn.XLOOKUP(Supplier_Perf_Table[[#This Row],[Currency]],'Comments 2'!$C$4:$C$16,'Comments 2'!$D$4:$D$16)</f>
        <v>1.9E-2</v>
      </c>
      <c r="P541" s="69">
        <f>IFERROR(Supplier_Perf_Table[[#This Row],[Unit_Cost]]*Supplier_Perf_Table[[#This Row],[Dollar Equivalent]],"")</f>
        <v>7.35053</v>
      </c>
      <c r="Q541" s="75">
        <v>75</v>
      </c>
      <c r="R541" s="1">
        <v>29015.25</v>
      </c>
      <c r="S541" s="75">
        <f>Supplier_Perf_Table[[#This Row],[Unit_Cost]]*Supplier_Perf_Table[[#This Row],[Order_Quantity]]</f>
        <v>29015.25</v>
      </c>
      <c r="T541" s="75">
        <f>IFERROR(Supplier_Perf_Table[[#This Row],[Dollar Equivalent]]*Supplier_Perf_Table[[#This Row],[Ordered_Value]],"")</f>
        <v>551.28975000000003</v>
      </c>
      <c r="U541" s="75">
        <v>3</v>
      </c>
      <c r="V541" s="7">
        <v>0.04</v>
      </c>
      <c r="W541" s="75">
        <v>15</v>
      </c>
      <c r="X541" s="55">
        <f>IFERROR(Supplier_Perf_Table[[#This Row],[Actual_Delivery_Date]]-Supplier_Perf_Table[[#This Row],[Order Date]],"")</f>
        <v>15</v>
      </c>
      <c r="Y541" s="75">
        <v>18</v>
      </c>
      <c r="Z541" s="56">
        <f>IFERROR(Supplier_Perf_Table[[#This Row],[Expected Delivery_Date]]-Supplier_Perf_Table[[#This Row],[Order Date]],"")</f>
        <v>18</v>
      </c>
      <c r="AA541" s="56">
        <f>Supplier_Perf_Table[[#This Row],[Calculated_Lead_Time2]]-Supplier_Perf_Table[[#This Row],[Calculated_Expected_Lead_Time]]</f>
        <v>-3</v>
      </c>
      <c r="AB541" s="75">
        <v>-3</v>
      </c>
      <c r="AC541" s="63" t="s">
        <v>87</v>
      </c>
      <c r="AD541" s="63" t="s">
        <v>40</v>
      </c>
      <c r="AE541" s="63" t="s">
        <v>105</v>
      </c>
      <c r="AF541" s="63" t="s">
        <v>212</v>
      </c>
      <c r="AG541" s="63" t="s">
        <v>173</v>
      </c>
      <c r="AH541" s="63" t="s">
        <v>174</v>
      </c>
      <c r="AI541" s="63" t="s">
        <v>138</v>
      </c>
      <c r="AJ541" s="63" t="s">
        <v>138</v>
      </c>
      <c r="AK541" s="83">
        <v>4.7</v>
      </c>
      <c r="AL541" s="63" t="s">
        <v>108</v>
      </c>
      <c r="AM541" s="63" t="s">
        <v>138</v>
      </c>
      <c r="AN541"/>
    </row>
    <row r="542" spans="1:40" ht="18" customHeight="1">
      <c r="A542" s="1" t="s">
        <v>1765</v>
      </c>
      <c r="B542" s="1" t="s">
        <v>1766</v>
      </c>
      <c r="C542" s="4">
        <v>46053</v>
      </c>
      <c r="D542" s="4">
        <v>46071</v>
      </c>
      <c r="E542" s="4">
        <v>46060</v>
      </c>
      <c r="F542" s="63" t="s">
        <v>90</v>
      </c>
      <c r="G542" s="63" t="s">
        <v>3840</v>
      </c>
      <c r="H542" s="63" t="s">
        <v>133</v>
      </c>
      <c r="I542" s="63" t="s">
        <v>120</v>
      </c>
      <c r="J542" s="63" t="s">
        <v>71</v>
      </c>
      <c r="K542" s="63" t="s">
        <v>1767</v>
      </c>
      <c r="L542" s="63" t="s">
        <v>553</v>
      </c>
      <c r="M542" s="69">
        <v>384.98</v>
      </c>
      <c r="N542" s="63" t="s">
        <v>65</v>
      </c>
      <c r="O542" s="73">
        <f>_xlfn.XLOOKUP(Supplier_Perf_Table[[#This Row],[Currency]],'Comments 2'!$C$4:$C$16,'Comments 2'!$D$4:$D$16)</f>
        <v>1</v>
      </c>
      <c r="P542" s="69">
        <f>IFERROR(Supplier_Perf_Table[[#This Row],[Unit_Cost]]*Supplier_Perf_Table[[#This Row],[Dollar Equivalent]],"")</f>
        <v>384.98</v>
      </c>
      <c r="Q542" s="75">
        <v>250</v>
      </c>
      <c r="R542" s="1">
        <v>96245</v>
      </c>
      <c r="S542" s="75">
        <f>Supplier_Perf_Table[[#This Row],[Unit_Cost]]*Supplier_Perf_Table[[#This Row],[Order_Quantity]]</f>
        <v>96245</v>
      </c>
      <c r="T542" s="75">
        <f>IFERROR(Supplier_Perf_Table[[#This Row],[Dollar Equivalent]]*Supplier_Perf_Table[[#This Row],[Ordered_Value]],"")</f>
        <v>96245</v>
      </c>
      <c r="U542" s="75">
        <v>4</v>
      </c>
      <c r="V542" s="7">
        <v>1.6E-2</v>
      </c>
      <c r="W542" s="75">
        <v>7</v>
      </c>
      <c r="X542" s="55">
        <f>IFERROR(Supplier_Perf_Table[[#This Row],[Actual_Delivery_Date]]-Supplier_Perf_Table[[#This Row],[Order Date]],"")</f>
        <v>7</v>
      </c>
      <c r="Y542" s="75">
        <v>18</v>
      </c>
      <c r="Z542" s="56">
        <f>IFERROR(Supplier_Perf_Table[[#This Row],[Expected Delivery_Date]]-Supplier_Perf_Table[[#This Row],[Order Date]],"")</f>
        <v>18</v>
      </c>
      <c r="AA542" s="56">
        <f>Supplier_Perf_Table[[#This Row],[Calculated_Lead_Time2]]-Supplier_Perf_Table[[#This Row],[Calculated_Expected_Lead_Time]]</f>
        <v>-11</v>
      </c>
      <c r="AB542" s="75">
        <v>-11</v>
      </c>
      <c r="AC542" s="63" t="s">
        <v>87</v>
      </c>
      <c r="AD542" s="63" t="s">
        <v>40</v>
      </c>
      <c r="AE542" s="63" t="s">
        <v>105</v>
      </c>
      <c r="AF542" s="63" t="s">
        <v>212</v>
      </c>
      <c r="AG542" s="63" t="s">
        <v>43</v>
      </c>
      <c r="AH542" s="63" t="s">
        <v>88</v>
      </c>
      <c r="AI542" s="63" t="s">
        <v>137</v>
      </c>
      <c r="AJ542" s="63" t="s">
        <v>138</v>
      </c>
      <c r="AK542" s="83">
        <v>4.2</v>
      </c>
      <c r="AL542" s="63" t="s">
        <v>139</v>
      </c>
      <c r="AM542" s="63" t="s">
        <v>138</v>
      </c>
      <c r="AN542"/>
    </row>
    <row r="543" spans="1:40" ht="18" customHeight="1">
      <c r="A543" s="1" t="s">
        <v>1768</v>
      </c>
      <c r="B543" s="1" t="s">
        <v>1769</v>
      </c>
      <c r="C543" s="4">
        <v>46034</v>
      </c>
      <c r="D543" s="4">
        <v>46044</v>
      </c>
      <c r="E543" s="4">
        <v>46048</v>
      </c>
      <c r="F543" s="63" t="s">
        <v>162</v>
      </c>
      <c r="G543" s="63" t="s">
        <v>3847</v>
      </c>
      <c r="H543" s="63" t="s">
        <v>152</v>
      </c>
      <c r="I543" s="63" t="s">
        <v>178</v>
      </c>
      <c r="J543" s="63" t="s">
        <v>163</v>
      </c>
      <c r="K543" s="63" t="s">
        <v>1770</v>
      </c>
      <c r="L543" s="63" t="s">
        <v>269</v>
      </c>
      <c r="M543" s="69">
        <v>2572.96</v>
      </c>
      <c r="N543" s="63" t="s">
        <v>53</v>
      </c>
      <c r="O543" s="73">
        <f>_xlfn.XLOOKUP(Supplier_Perf_Table[[#This Row],[Currency]],'Comments 2'!$C$4:$C$16,'Comments 2'!$D$4:$D$16)</f>
        <v>6.0999999999999999E-2</v>
      </c>
      <c r="P543" s="69">
        <f>IFERROR(Supplier_Perf_Table[[#This Row],[Unit_Cost]]*Supplier_Perf_Table[[#This Row],[Dollar Equivalent]],"")</f>
        <v>156.95056</v>
      </c>
      <c r="Q543" s="75">
        <v>100</v>
      </c>
      <c r="R543" s="1">
        <v>257296</v>
      </c>
      <c r="S543" s="75">
        <f>Supplier_Perf_Table[[#This Row],[Unit_Cost]]*Supplier_Perf_Table[[#This Row],[Order_Quantity]]</f>
        <v>257296</v>
      </c>
      <c r="T543" s="75">
        <f>IFERROR(Supplier_Perf_Table[[#This Row],[Dollar Equivalent]]*Supplier_Perf_Table[[#This Row],[Ordered_Value]],"")</f>
        <v>15695.056</v>
      </c>
      <c r="U543" s="75">
        <v>5</v>
      </c>
      <c r="V543" s="7">
        <v>0.05</v>
      </c>
      <c r="W543" s="75">
        <v>14</v>
      </c>
      <c r="X543" s="55">
        <f>IFERROR(Supplier_Perf_Table[[#This Row],[Actual_Delivery_Date]]-Supplier_Perf_Table[[#This Row],[Order Date]],"")</f>
        <v>14</v>
      </c>
      <c r="Y543" s="75">
        <v>10</v>
      </c>
      <c r="Z543" s="56">
        <f>IFERROR(Supplier_Perf_Table[[#This Row],[Expected Delivery_Date]]-Supplier_Perf_Table[[#This Row],[Order Date]],"")</f>
        <v>10</v>
      </c>
      <c r="AA543" s="56">
        <f>Supplier_Perf_Table[[#This Row],[Calculated_Lead_Time2]]-Supplier_Perf_Table[[#This Row],[Calculated_Expected_Lead_Time]]</f>
        <v>4</v>
      </c>
      <c r="AB543" s="75">
        <v>4</v>
      </c>
      <c r="AC543" s="63" t="s">
        <v>135</v>
      </c>
      <c r="AD543" s="63" t="s">
        <v>74</v>
      </c>
      <c r="AE543" s="63" t="s">
        <v>3088</v>
      </c>
      <c r="AF543" s="63" t="s">
        <v>3088</v>
      </c>
      <c r="AG543" s="63" t="s">
        <v>54</v>
      </c>
      <c r="AH543" s="63" t="s">
        <v>174</v>
      </c>
      <c r="AI543" s="63" t="s">
        <v>138</v>
      </c>
      <c r="AJ543" s="63" t="s">
        <v>96</v>
      </c>
      <c r="AK543" s="83">
        <v>2.1</v>
      </c>
      <c r="AL543" s="63" t="s">
        <v>45</v>
      </c>
      <c r="AM543" s="63" t="s">
        <v>185</v>
      </c>
      <c r="AN543"/>
    </row>
    <row r="544" spans="1:40" ht="18" customHeight="1">
      <c r="A544" s="1" t="s">
        <v>1771</v>
      </c>
      <c r="B544" s="1" t="s">
        <v>1772</v>
      </c>
      <c r="C544" s="4">
        <v>46104</v>
      </c>
      <c r="D544" s="4">
        <v>46122</v>
      </c>
      <c r="E544" s="4">
        <v>46117</v>
      </c>
      <c r="F544" s="63" t="s">
        <v>90</v>
      </c>
      <c r="G544" s="63" t="s">
        <v>3840</v>
      </c>
      <c r="H544" s="63" t="s">
        <v>133</v>
      </c>
      <c r="I544" s="63" t="s">
        <v>120</v>
      </c>
      <c r="J544" s="63" t="s">
        <v>71</v>
      </c>
      <c r="K544" s="63" t="s">
        <v>1496</v>
      </c>
      <c r="L544" s="63" t="s">
        <v>553</v>
      </c>
      <c r="M544" s="69">
        <v>563.04</v>
      </c>
      <c r="N544" s="63" t="s">
        <v>104</v>
      </c>
      <c r="O544" s="73">
        <f>_xlfn.XLOOKUP(Supplier_Perf_Table[[#This Row],[Currency]],'Comments 2'!$C$4:$C$16,'Comments 2'!$D$4:$D$16)</f>
        <v>1.9E-2</v>
      </c>
      <c r="P544" s="69">
        <f>IFERROR(Supplier_Perf_Table[[#This Row],[Unit_Cost]]*Supplier_Perf_Table[[#This Row],[Dollar Equivalent]],"")</f>
        <v>10.697759999999999</v>
      </c>
      <c r="Q544" s="75">
        <v>500</v>
      </c>
      <c r="R544" s="1">
        <v>281520</v>
      </c>
      <c r="S544" s="75">
        <f>Supplier_Perf_Table[[#This Row],[Unit_Cost]]*Supplier_Perf_Table[[#This Row],[Order_Quantity]]</f>
        <v>281520</v>
      </c>
      <c r="T544" s="75">
        <f>IFERROR(Supplier_Perf_Table[[#This Row],[Dollar Equivalent]]*Supplier_Perf_Table[[#This Row],[Ordered_Value]],"")</f>
        <v>5348.88</v>
      </c>
      <c r="U544" s="75">
        <v>1</v>
      </c>
      <c r="V544" s="7">
        <v>2E-3</v>
      </c>
      <c r="W544" s="75">
        <v>13</v>
      </c>
      <c r="X544" s="55">
        <f>IFERROR(Supplier_Perf_Table[[#This Row],[Actual_Delivery_Date]]-Supplier_Perf_Table[[#This Row],[Order Date]],"")</f>
        <v>13</v>
      </c>
      <c r="Y544" s="75">
        <v>18</v>
      </c>
      <c r="Z544" s="56">
        <f>IFERROR(Supplier_Perf_Table[[#This Row],[Expected Delivery_Date]]-Supplier_Perf_Table[[#This Row],[Order Date]],"")</f>
        <v>18</v>
      </c>
      <c r="AA544" s="56">
        <f>Supplier_Perf_Table[[#This Row],[Calculated_Lead_Time2]]-Supplier_Perf_Table[[#This Row],[Calculated_Expected_Lead_Time]]</f>
        <v>-5</v>
      </c>
      <c r="AB544" s="75">
        <v>-5</v>
      </c>
      <c r="AC544" s="63" t="s">
        <v>87</v>
      </c>
      <c r="AD544" s="63" t="s">
        <v>40</v>
      </c>
      <c r="AE544" s="63" t="s">
        <v>105</v>
      </c>
      <c r="AF544" s="63" t="s">
        <v>190</v>
      </c>
      <c r="AG544" s="63" t="s">
        <v>173</v>
      </c>
      <c r="AH544" s="63" t="s">
        <v>3112</v>
      </c>
      <c r="AI544" s="63" t="s">
        <v>95</v>
      </c>
      <c r="AJ544" s="63" t="s">
        <v>138</v>
      </c>
      <c r="AK544" s="83">
        <v>2.7</v>
      </c>
      <c r="AL544" s="63" t="s">
        <v>115</v>
      </c>
      <c r="AM544" s="63" t="s">
        <v>138</v>
      </c>
      <c r="AN544"/>
    </row>
    <row r="545" spans="1:40" ht="18" customHeight="1">
      <c r="A545" s="1" t="s">
        <v>1333</v>
      </c>
      <c r="B545" s="1" t="s">
        <v>1773</v>
      </c>
      <c r="C545" s="4">
        <v>46039</v>
      </c>
      <c r="D545" s="4">
        <v>46048</v>
      </c>
      <c r="E545" s="4">
        <v>46042</v>
      </c>
      <c r="F545" s="63" t="s">
        <v>215</v>
      </c>
      <c r="G545" s="63" t="s">
        <v>3846</v>
      </c>
      <c r="H545" s="63" t="s">
        <v>152</v>
      </c>
      <c r="I545" s="63" t="s">
        <v>61</v>
      </c>
      <c r="J545" s="63" t="s">
        <v>112</v>
      </c>
      <c r="K545" s="63" t="s">
        <v>1774</v>
      </c>
      <c r="L545" s="63" t="s">
        <v>218</v>
      </c>
      <c r="M545" s="69">
        <v>515</v>
      </c>
      <c r="N545" s="63" t="s">
        <v>65</v>
      </c>
      <c r="O545" s="73">
        <f>_xlfn.XLOOKUP(Supplier_Perf_Table[[#This Row],[Currency]],'Comments 2'!$C$4:$C$16,'Comments 2'!$D$4:$D$16)</f>
        <v>1</v>
      </c>
      <c r="P545" s="69">
        <f>IFERROR(Supplier_Perf_Table[[#This Row],[Unit_Cost]]*Supplier_Perf_Table[[#This Row],[Dollar Equivalent]],"")</f>
        <v>515</v>
      </c>
      <c r="Q545" s="75">
        <v>750</v>
      </c>
      <c r="R545" s="1">
        <v>386250</v>
      </c>
      <c r="S545" s="75">
        <f>Supplier_Perf_Table[[#This Row],[Unit_Cost]]*Supplier_Perf_Table[[#This Row],[Order_Quantity]]</f>
        <v>386250</v>
      </c>
      <c r="T545" s="75">
        <f>IFERROR(Supplier_Perf_Table[[#This Row],[Dollar Equivalent]]*Supplier_Perf_Table[[#This Row],[Ordered_Value]],"")</f>
        <v>386250</v>
      </c>
      <c r="U545" s="75">
        <v>0</v>
      </c>
      <c r="V545" s="7">
        <v>0</v>
      </c>
      <c r="W545" s="75">
        <v>3</v>
      </c>
      <c r="X545" s="55">
        <f>IFERROR(Supplier_Perf_Table[[#This Row],[Actual_Delivery_Date]]-Supplier_Perf_Table[[#This Row],[Order Date]],"")</f>
        <v>3</v>
      </c>
      <c r="Y545" s="75">
        <v>9</v>
      </c>
      <c r="Z545" s="56">
        <f>IFERROR(Supplier_Perf_Table[[#This Row],[Expected Delivery_Date]]-Supplier_Perf_Table[[#This Row],[Order Date]],"")</f>
        <v>9</v>
      </c>
      <c r="AA545" s="56">
        <f>Supplier_Perf_Table[[#This Row],[Calculated_Lead_Time2]]-Supplier_Perf_Table[[#This Row],[Calculated_Expected_Lead_Time]]</f>
        <v>-6</v>
      </c>
      <c r="AB545" s="75">
        <v>-6</v>
      </c>
      <c r="AC545" s="63" t="s">
        <v>270</v>
      </c>
      <c r="AD545" s="63" t="s">
        <v>40</v>
      </c>
      <c r="AE545" s="63" t="s">
        <v>105</v>
      </c>
      <c r="AF545" s="63" t="s">
        <v>66</v>
      </c>
      <c r="AG545" s="63" t="s">
        <v>107</v>
      </c>
      <c r="AH545" s="63" t="s">
        <v>129</v>
      </c>
      <c r="AI545" s="63" t="s">
        <v>147</v>
      </c>
      <c r="AJ545" s="63" t="s">
        <v>138</v>
      </c>
      <c r="AK545" s="83">
        <v>4.2</v>
      </c>
      <c r="AL545" s="63" t="s">
        <v>45</v>
      </c>
      <c r="AM545" s="63" t="s">
        <v>138</v>
      </c>
      <c r="AN545"/>
    </row>
    <row r="546" spans="1:40" ht="18" customHeight="1">
      <c r="A546" s="1" t="s">
        <v>1775</v>
      </c>
      <c r="B546" s="1" t="s">
        <v>1776</v>
      </c>
      <c r="C546" s="4">
        <v>46116</v>
      </c>
      <c r="D546" s="4">
        <v>46130</v>
      </c>
      <c r="E546" s="4">
        <v>46131</v>
      </c>
      <c r="F546" s="63" t="s">
        <v>142</v>
      </c>
      <c r="G546" s="63" t="s">
        <v>3843</v>
      </c>
      <c r="H546" s="63" t="s">
        <v>169</v>
      </c>
      <c r="I546" s="63" t="s">
        <v>61</v>
      </c>
      <c r="J546" s="63" t="s">
        <v>50</v>
      </c>
      <c r="K546" s="63" t="s">
        <v>1777</v>
      </c>
      <c r="L546" s="63" t="s">
        <v>145</v>
      </c>
      <c r="M546" s="69">
        <v>1150.71</v>
      </c>
      <c r="N546" s="63" t="s">
        <v>38</v>
      </c>
      <c r="O546" s="73">
        <f>_xlfn.XLOOKUP(Supplier_Perf_Table[[#This Row],[Currency]],'Comments 2'!$C$4:$C$16,'Comments 2'!$D$4:$D$16)</f>
        <v>7.7000000000000002E-3</v>
      </c>
      <c r="P546" s="69">
        <f>IFERROR(Supplier_Perf_Table[[#This Row],[Unit_Cost]]*Supplier_Perf_Table[[#This Row],[Dollar Equivalent]],"")</f>
        <v>8.8604669999999999</v>
      </c>
      <c r="Q546" s="75">
        <v>100</v>
      </c>
      <c r="R546" s="1">
        <v>115071</v>
      </c>
      <c r="S546" s="75">
        <f>Supplier_Perf_Table[[#This Row],[Unit_Cost]]*Supplier_Perf_Table[[#This Row],[Order_Quantity]]</f>
        <v>115071</v>
      </c>
      <c r="T546" s="75">
        <f>IFERROR(Supplier_Perf_Table[[#This Row],[Dollar Equivalent]]*Supplier_Perf_Table[[#This Row],[Ordered_Value]],"")</f>
        <v>886.04669999999999</v>
      </c>
      <c r="U546" s="75">
        <v>3</v>
      </c>
      <c r="V546" s="7">
        <v>0.03</v>
      </c>
      <c r="W546" s="75">
        <v>15</v>
      </c>
      <c r="X546" s="55">
        <f>IFERROR(Supplier_Perf_Table[[#This Row],[Actual_Delivery_Date]]-Supplier_Perf_Table[[#This Row],[Order Date]],"")</f>
        <v>15</v>
      </c>
      <c r="Y546" s="75">
        <v>14</v>
      </c>
      <c r="Z546" s="56">
        <f>IFERROR(Supplier_Perf_Table[[#This Row],[Expected Delivery_Date]]-Supplier_Perf_Table[[#This Row],[Order Date]],"")</f>
        <v>14</v>
      </c>
      <c r="AA546" s="56">
        <f>Supplier_Perf_Table[[#This Row],[Calculated_Lead_Time2]]-Supplier_Perf_Table[[#This Row],[Calculated_Expected_Lead_Time]]</f>
        <v>1</v>
      </c>
      <c r="AB546" s="75">
        <v>1</v>
      </c>
      <c r="AC546" s="63" t="s">
        <v>135</v>
      </c>
      <c r="AD546" s="63" t="s">
        <v>40</v>
      </c>
      <c r="AE546" s="63" t="s">
        <v>41</v>
      </c>
      <c r="AF546" s="63" t="s">
        <v>190</v>
      </c>
      <c r="AG546" s="63" t="s">
        <v>173</v>
      </c>
      <c r="AH546" s="63" t="s">
        <v>129</v>
      </c>
      <c r="AI546" s="63" t="s">
        <v>137</v>
      </c>
      <c r="AJ546" s="63" t="s">
        <v>138</v>
      </c>
      <c r="AK546" s="83">
        <v>4</v>
      </c>
      <c r="AL546" s="63" t="s">
        <v>139</v>
      </c>
      <c r="AM546" s="63" t="s">
        <v>46</v>
      </c>
      <c r="AN546"/>
    </row>
    <row r="547" spans="1:40" ht="18" customHeight="1">
      <c r="A547" s="1" t="s">
        <v>1778</v>
      </c>
      <c r="B547" s="1" t="s">
        <v>1779</v>
      </c>
      <c r="C547" s="4">
        <v>46050</v>
      </c>
      <c r="D547" s="4">
        <v>46129</v>
      </c>
      <c r="E547" s="4">
        <v>46132</v>
      </c>
      <c r="F547" s="63" t="s">
        <v>151</v>
      </c>
      <c r="G547" s="63" t="s">
        <v>3844</v>
      </c>
      <c r="H547" s="63" t="s">
        <v>152</v>
      </c>
      <c r="I547" s="63" t="s">
        <v>34</v>
      </c>
      <c r="J547" s="63" t="s">
        <v>112</v>
      </c>
      <c r="K547" s="63" t="s">
        <v>1780</v>
      </c>
      <c r="L547" s="63" t="s">
        <v>218</v>
      </c>
      <c r="M547" s="69">
        <v>187.86</v>
      </c>
      <c r="N547" s="63" t="s">
        <v>159</v>
      </c>
      <c r="O547" s="73">
        <f>_xlfn.XLOOKUP(Supplier_Perf_Table[[#This Row],[Currency]],'Comments 2'!$C$4:$C$16,'Comments 2'!$D$4:$D$16)</f>
        <v>7.2999999999999996E-4</v>
      </c>
      <c r="P547" s="69">
        <f>IFERROR(Supplier_Perf_Table[[#This Row],[Unit_Cost]]*Supplier_Perf_Table[[#This Row],[Dollar Equivalent]],"")</f>
        <v>0.1371378</v>
      </c>
      <c r="Q547" s="75">
        <v>500</v>
      </c>
      <c r="R547" s="1">
        <v>93930</v>
      </c>
      <c r="S547" s="75">
        <f>Supplier_Perf_Table[[#This Row],[Unit_Cost]]*Supplier_Perf_Table[[#This Row],[Order_Quantity]]</f>
        <v>93930</v>
      </c>
      <c r="T547" s="75">
        <f>IFERROR(Supplier_Perf_Table[[#This Row],[Dollar Equivalent]]*Supplier_Perf_Table[[#This Row],[Ordered_Value]],"")</f>
        <v>68.568899999999999</v>
      </c>
      <c r="U547" s="75">
        <v>0</v>
      </c>
      <c r="V547" s="7">
        <v>0</v>
      </c>
      <c r="W547" s="75">
        <v>6</v>
      </c>
      <c r="X547" s="55">
        <f>IFERROR(Supplier_Perf_Table[[#This Row],[Actual_Delivery_Date]]-Supplier_Perf_Table[[#This Row],[Order Date]],"")</f>
        <v>82</v>
      </c>
      <c r="Y547" s="75" t="s">
        <v>3080</v>
      </c>
      <c r="Z547" s="56">
        <f>IFERROR(Supplier_Perf_Table[[#This Row],[Expected Delivery_Date]]-Supplier_Perf_Table[[#This Row],[Order Date]],"")</f>
        <v>79</v>
      </c>
      <c r="AA547" s="56">
        <f>Supplier_Perf_Table[[#This Row],[Calculated_Lead_Time2]]-Supplier_Perf_Table[[#This Row],[Calculated_Expected_Lead_Time]]</f>
        <v>3</v>
      </c>
      <c r="AB547" s="75">
        <v>3</v>
      </c>
      <c r="AC547" s="63" t="s">
        <v>135</v>
      </c>
      <c r="AD547" s="63" t="s">
        <v>40</v>
      </c>
      <c r="AE547" s="63" t="s">
        <v>3088</v>
      </c>
      <c r="AF547" s="63" t="s">
        <v>106</v>
      </c>
      <c r="AG547" s="63" t="s">
        <v>107</v>
      </c>
      <c r="AH547" s="63" t="s">
        <v>129</v>
      </c>
      <c r="AI547" s="63" t="s">
        <v>137</v>
      </c>
      <c r="AJ547" s="63" t="s">
        <v>138</v>
      </c>
      <c r="AK547" s="83">
        <v>3</v>
      </c>
      <c r="AL547" s="63" t="s">
        <v>115</v>
      </c>
      <c r="AM547" s="63" t="s">
        <v>148</v>
      </c>
      <c r="AN547"/>
    </row>
    <row r="548" spans="1:40" ht="18" customHeight="1">
      <c r="A548" s="1" t="s">
        <v>1781</v>
      </c>
      <c r="B548" s="1" t="s">
        <v>1782</v>
      </c>
      <c r="C548" s="4">
        <v>46184</v>
      </c>
      <c r="D548" s="4">
        <v>46201</v>
      </c>
      <c r="E548" s="4">
        <v>46201</v>
      </c>
      <c r="F548" s="63" t="s">
        <v>256</v>
      </c>
      <c r="G548" s="63" t="s">
        <v>3849</v>
      </c>
      <c r="H548" s="63" t="s">
        <v>258</v>
      </c>
      <c r="I548" s="63" t="s">
        <v>178</v>
      </c>
      <c r="J548" s="63" t="s">
        <v>35</v>
      </c>
      <c r="K548" s="63" t="s">
        <v>1783</v>
      </c>
      <c r="L548" s="63" t="s">
        <v>85</v>
      </c>
      <c r="M548" s="69">
        <v>550.97</v>
      </c>
      <c r="N548" s="63" t="s">
        <v>53</v>
      </c>
      <c r="O548" s="73">
        <f>_xlfn.XLOOKUP(Supplier_Perf_Table[[#This Row],[Currency]],'Comments 2'!$C$4:$C$16,'Comments 2'!$D$4:$D$16)</f>
        <v>6.0999999999999999E-2</v>
      </c>
      <c r="P548" s="69">
        <f>IFERROR(Supplier_Perf_Table[[#This Row],[Unit_Cost]]*Supplier_Perf_Table[[#This Row],[Dollar Equivalent]],"")</f>
        <v>33.609169999999999</v>
      </c>
      <c r="Q548" s="75">
        <v>1500</v>
      </c>
      <c r="R548" s="1">
        <v>826455</v>
      </c>
      <c r="S548" s="75">
        <f>Supplier_Perf_Table[[#This Row],[Unit_Cost]]*Supplier_Perf_Table[[#This Row],[Order_Quantity]]</f>
        <v>826455</v>
      </c>
      <c r="T548" s="75">
        <f>IFERROR(Supplier_Perf_Table[[#This Row],[Dollar Equivalent]]*Supplier_Perf_Table[[#This Row],[Ordered_Value]],"")</f>
        <v>50413.754999999997</v>
      </c>
      <c r="U548" s="75">
        <v>89</v>
      </c>
      <c r="V548" s="7">
        <v>5.9299999999999999E-2</v>
      </c>
      <c r="W548" s="75">
        <v>17</v>
      </c>
      <c r="X548" s="55">
        <f>IFERROR(Supplier_Perf_Table[[#This Row],[Actual_Delivery_Date]]-Supplier_Perf_Table[[#This Row],[Order Date]],"")</f>
        <v>17</v>
      </c>
      <c r="Y548" s="75">
        <v>17</v>
      </c>
      <c r="Z548" s="56">
        <f>IFERROR(Supplier_Perf_Table[[#This Row],[Expected Delivery_Date]]-Supplier_Perf_Table[[#This Row],[Order Date]],"")</f>
        <v>17</v>
      </c>
      <c r="AA548" s="56">
        <f>Supplier_Perf_Table[[#This Row],[Calculated_Lead_Time2]]-Supplier_Perf_Table[[#This Row],[Calculated_Expected_Lead_Time]]</f>
        <v>0</v>
      </c>
      <c r="AB548" s="75">
        <v>0</v>
      </c>
      <c r="AC548" s="63" t="s">
        <v>270</v>
      </c>
      <c r="AD548" s="63" t="s">
        <v>366</v>
      </c>
      <c r="AE548" s="63" t="s">
        <v>41</v>
      </c>
      <c r="AF548" s="63" t="s">
        <v>3088</v>
      </c>
      <c r="AG548" s="63" t="s">
        <v>173</v>
      </c>
      <c r="AH548" s="63" t="s">
        <v>55</v>
      </c>
      <c r="AI548" s="63" t="s">
        <v>138</v>
      </c>
      <c r="AJ548" s="63" t="s">
        <v>373</v>
      </c>
      <c r="AK548" s="83">
        <v>2.7</v>
      </c>
      <c r="AL548" s="63" t="s">
        <v>184</v>
      </c>
      <c r="AM548" s="63" t="s">
        <v>97</v>
      </c>
      <c r="AN548"/>
    </row>
    <row r="549" spans="1:40" ht="18" customHeight="1">
      <c r="A549" s="1" t="s">
        <v>1784</v>
      </c>
      <c r="B549" s="1" t="s">
        <v>1785</v>
      </c>
      <c r="C549" s="4">
        <v>46150</v>
      </c>
      <c r="D549" s="4">
        <v>46162</v>
      </c>
      <c r="E549" s="4">
        <v>46176</v>
      </c>
      <c r="F549" s="63" t="s">
        <v>69</v>
      </c>
      <c r="G549" s="63" t="s">
        <v>3838</v>
      </c>
      <c r="H549" s="63" t="s">
        <v>194</v>
      </c>
      <c r="I549" s="63" t="s">
        <v>34</v>
      </c>
      <c r="J549" s="63" t="s">
        <v>35</v>
      </c>
      <c r="K549" s="63" t="s">
        <v>1786</v>
      </c>
      <c r="L549" s="63" t="s">
        <v>180</v>
      </c>
      <c r="M549" s="69">
        <v>2780.14</v>
      </c>
      <c r="N549" s="63" t="s">
        <v>38</v>
      </c>
      <c r="O549" s="73">
        <f>_xlfn.XLOOKUP(Supplier_Perf_Table[[#This Row],[Currency]],'Comments 2'!$C$4:$C$16,'Comments 2'!$D$4:$D$16)</f>
        <v>7.7000000000000002E-3</v>
      </c>
      <c r="P549" s="69">
        <f>IFERROR(Supplier_Perf_Table[[#This Row],[Unit_Cost]]*Supplier_Perf_Table[[#This Row],[Dollar Equivalent]],"")</f>
        <v>21.407077999999998</v>
      </c>
      <c r="Q549" s="75">
        <v>300</v>
      </c>
      <c r="R549" s="1">
        <v>834042</v>
      </c>
      <c r="S549" s="75">
        <f>Supplier_Perf_Table[[#This Row],[Unit_Cost]]*Supplier_Perf_Table[[#This Row],[Order_Quantity]]</f>
        <v>834042</v>
      </c>
      <c r="T549" s="75">
        <f>IFERROR(Supplier_Perf_Table[[#This Row],[Dollar Equivalent]]*Supplier_Perf_Table[[#This Row],[Ordered_Value]],"")</f>
        <v>6422.1234000000004</v>
      </c>
      <c r="U549" s="75">
        <v>12</v>
      </c>
      <c r="V549" s="7">
        <v>0.04</v>
      </c>
      <c r="W549" s="75">
        <v>26</v>
      </c>
      <c r="X549" s="55">
        <f>IFERROR(Supplier_Perf_Table[[#This Row],[Actual_Delivery_Date]]-Supplier_Perf_Table[[#This Row],[Order Date]],"")</f>
        <v>26</v>
      </c>
      <c r="Y549" s="75">
        <v>12</v>
      </c>
      <c r="Z549" s="56">
        <f>IFERROR(Supplier_Perf_Table[[#This Row],[Expected Delivery_Date]]-Supplier_Perf_Table[[#This Row],[Order Date]],"")</f>
        <v>12</v>
      </c>
      <c r="AA549" s="56">
        <f>Supplier_Perf_Table[[#This Row],[Calculated_Lead_Time2]]-Supplier_Perf_Table[[#This Row],[Calculated_Expected_Lead_Time]]</f>
        <v>14</v>
      </c>
      <c r="AB549" s="75">
        <v>14</v>
      </c>
      <c r="AC549" s="63" t="s">
        <v>205</v>
      </c>
      <c r="AD549" s="63" t="s">
        <v>40</v>
      </c>
      <c r="AE549" s="63" t="s">
        <v>105</v>
      </c>
      <c r="AF549" s="63" t="s">
        <v>42</v>
      </c>
      <c r="AG549" s="63" t="s">
        <v>54</v>
      </c>
      <c r="AH549" s="63" t="s">
        <v>3112</v>
      </c>
      <c r="AI549" s="63" t="s">
        <v>44</v>
      </c>
      <c r="AJ549" s="63" t="s">
        <v>138</v>
      </c>
      <c r="AK549" s="83">
        <v>3</v>
      </c>
      <c r="AL549" s="63" t="s">
        <v>115</v>
      </c>
      <c r="AM549" s="63" t="s">
        <v>386</v>
      </c>
      <c r="AN549"/>
    </row>
    <row r="550" spans="1:40" ht="18" customHeight="1">
      <c r="A550" s="1" t="s">
        <v>1787</v>
      </c>
      <c r="B550" s="1" t="s">
        <v>1788</v>
      </c>
      <c r="C550" s="4">
        <v>46179</v>
      </c>
      <c r="D550" s="4">
        <v>46187</v>
      </c>
      <c r="E550" s="4">
        <v>46183</v>
      </c>
      <c r="F550" s="63" t="s">
        <v>215</v>
      </c>
      <c r="G550" s="63" t="s">
        <v>3846</v>
      </c>
      <c r="H550" s="63" t="s">
        <v>152</v>
      </c>
      <c r="I550" s="63" t="s">
        <v>178</v>
      </c>
      <c r="J550" s="63" t="s">
        <v>112</v>
      </c>
      <c r="K550" s="63" t="s">
        <v>1789</v>
      </c>
      <c r="L550" s="63" t="s">
        <v>114</v>
      </c>
      <c r="M550" s="69">
        <v>307.26</v>
      </c>
      <c r="N550" s="63" t="s">
        <v>65</v>
      </c>
      <c r="O550" s="73">
        <f>_xlfn.XLOOKUP(Supplier_Perf_Table[[#This Row],[Currency]],'Comments 2'!$C$4:$C$16,'Comments 2'!$D$4:$D$16)</f>
        <v>1</v>
      </c>
      <c r="P550" s="69">
        <f>IFERROR(Supplier_Perf_Table[[#This Row],[Unit_Cost]]*Supplier_Perf_Table[[#This Row],[Dollar Equivalent]],"")</f>
        <v>307.26</v>
      </c>
      <c r="Q550" s="75">
        <v>2000</v>
      </c>
      <c r="R550" s="1">
        <v>614520</v>
      </c>
      <c r="S550" s="75">
        <f>Supplier_Perf_Table[[#This Row],[Unit_Cost]]*Supplier_Perf_Table[[#This Row],[Order_Quantity]]</f>
        <v>614520</v>
      </c>
      <c r="T550" s="75">
        <f>IFERROR(Supplier_Perf_Table[[#This Row],[Dollar Equivalent]]*Supplier_Perf_Table[[#This Row],[Ordered_Value]],"")</f>
        <v>614520</v>
      </c>
      <c r="U550" s="75">
        <v>55</v>
      </c>
      <c r="V550" s="7">
        <v>2.75E-2</v>
      </c>
      <c r="W550" s="75">
        <v>4</v>
      </c>
      <c r="X550" s="55">
        <f>IFERROR(Supplier_Perf_Table[[#This Row],[Actual_Delivery_Date]]-Supplier_Perf_Table[[#This Row],[Order Date]],"")</f>
        <v>4</v>
      </c>
      <c r="Y550" s="75">
        <v>8</v>
      </c>
      <c r="Z550" s="56">
        <f>IFERROR(Supplier_Perf_Table[[#This Row],[Expected Delivery_Date]]-Supplier_Perf_Table[[#This Row],[Order Date]],"")</f>
        <v>8</v>
      </c>
      <c r="AA550" s="56">
        <f>Supplier_Perf_Table[[#This Row],[Calculated_Lead_Time2]]-Supplier_Perf_Table[[#This Row],[Calculated_Expected_Lead_Time]]</f>
        <v>-4</v>
      </c>
      <c r="AB550" s="75">
        <v>-4</v>
      </c>
      <c r="AC550" s="63" t="s">
        <v>87</v>
      </c>
      <c r="AD550" s="63" t="s">
        <v>40</v>
      </c>
      <c r="AE550" s="63" t="s">
        <v>41</v>
      </c>
      <c r="AF550" s="63" t="s">
        <v>3088</v>
      </c>
      <c r="AG550" s="63" t="s">
        <v>128</v>
      </c>
      <c r="AH550" s="63" t="s">
        <v>88</v>
      </c>
      <c r="AI550" s="63" t="s">
        <v>44</v>
      </c>
      <c r="AJ550" s="63" t="s">
        <v>138</v>
      </c>
      <c r="AK550" s="83">
        <v>3.3</v>
      </c>
      <c r="AL550" s="63" t="s">
        <v>139</v>
      </c>
      <c r="AM550" s="63" t="s">
        <v>138</v>
      </c>
      <c r="AN550"/>
    </row>
    <row r="551" spans="1:40" ht="18" customHeight="1">
      <c r="A551" s="1" t="s">
        <v>1790</v>
      </c>
      <c r="B551" s="1" t="s">
        <v>1791</v>
      </c>
      <c r="C551" s="4">
        <v>46199</v>
      </c>
      <c r="D551" s="4">
        <v>46200</v>
      </c>
      <c r="E551" s="4">
        <v>46203</v>
      </c>
      <c r="F551" s="63" t="s">
        <v>151</v>
      </c>
      <c r="G551" s="63" t="s">
        <v>3844</v>
      </c>
      <c r="H551" s="63" t="s">
        <v>152</v>
      </c>
      <c r="I551" s="63" t="s">
        <v>61</v>
      </c>
      <c r="J551" s="63" t="s">
        <v>112</v>
      </c>
      <c r="K551" s="63" t="s">
        <v>1792</v>
      </c>
      <c r="L551" s="63" t="s">
        <v>114</v>
      </c>
      <c r="M551" s="69">
        <v>375.82</v>
      </c>
      <c r="N551" s="63" t="s">
        <v>104</v>
      </c>
      <c r="O551" s="73">
        <f>_xlfn.XLOOKUP(Supplier_Perf_Table[[#This Row],[Currency]],'Comments 2'!$C$4:$C$16,'Comments 2'!$D$4:$D$16)</f>
        <v>1.9E-2</v>
      </c>
      <c r="P551" s="69">
        <f>IFERROR(Supplier_Perf_Table[[#This Row],[Unit_Cost]]*Supplier_Perf_Table[[#This Row],[Dollar Equivalent]],"")</f>
        <v>7.1405799999999999</v>
      </c>
      <c r="Q551" s="75">
        <v>2000</v>
      </c>
      <c r="R551" s="1">
        <v>751640</v>
      </c>
      <c r="S551" s="75">
        <f>Supplier_Perf_Table[[#This Row],[Unit_Cost]]*Supplier_Perf_Table[[#This Row],[Order_Quantity]]</f>
        <v>751640</v>
      </c>
      <c r="T551" s="75">
        <f>IFERROR(Supplier_Perf_Table[[#This Row],[Dollar Equivalent]]*Supplier_Perf_Table[[#This Row],[Ordered_Value]],"")</f>
        <v>14281.16</v>
      </c>
      <c r="U551" s="75">
        <v>13</v>
      </c>
      <c r="V551" s="7">
        <v>6.4999999999999997E-3</v>
      </c>
      <c r="W551" s="75">
        <v>4</v>
      </c>
      <c r="X551" s="55">
        <f>IFERROR(Supplier_Perf_Table[[#This Row],[Actual_Delivery_Date]]-Supplier_Perf_Table[[#This Row],[Order Date]],"")</f>
        <v>4</v>
      </c>
      <c r="Y551" s="75">
        <v>1</v>
      </c>
      <c r="Z551" s="56">
        <f>IFERROR(Supplier_Perf_Table[[#This Row],[Expected Delivery_Date]]-Supplier_Perf_Table[[#This Row],[Order Date]],"")</f>
        <v>1</v>
      </c>
      <c r="AA551" s="56">
        <f>Supplier_Perf_Table[[#This Row],[Calculated_Lead_Time2]]-Supplier_Perf_Table[[#This Row],[Calculated_Expected_Lead_Time]]</f>
        <v>3</v>
      </c>
      <c r="AB551" s="75">
        <v>3</v>
      </c>
      <c r="AC551" s="63" t="s">
        <v>166</v>
      </c>
      <c r="AD551" s="63" t="s">
        <v>40</v>
      </c>
      <c r="AE551" s="63" t="s">
        <v>105</v>
      </c>
      <c r="AF551" s="63" t="s">
        <v>3088</v>
      </c>
      <c r="AG551" s="63" t="s">
        <v>43</v>
      </c>
      <c r="AH551" s="63" t="s">
        <v>55</v>
      </c>
      <c r="AI551" s="63" t="s">
        <v>44</v>
      </c>
      <c r="AJ551" s="63" t="s">
        <v>138</v>
      </c>
      <c r="AK551" s="83">
        <v>4.2</v>
      </c>
      <c r="AL551" s="63" t="s">
        <v>76</v>
      </c>
      <c r="AM551" s="63" t="s">
        <v>46</v>
      </c>
      <c r="AN551"/>
    </row>
    <row r="552" spans="1:40" ht="18" customHeight="1">
      <c r="A552" s="1" t="s">
        <v>1793</v>
      </c>
      <c r="B552" s="1" t="s">
        <v>1794</v>
      </c>
      <c r="C552" s="4">
        <v>46114</v>
      </c>
      <c r="D552" s="4">
        <v>46138</v>
      </c>
      <c r="E552" s="4">
        <v>46140</v>
      </c>
      <c r="F552" s="63" t="s">
        <v>90</v>
      </c>
      <c r="G552" s="63" t="s">
        <v>3840</v>
      </c>
      <c r="H552" s="63" t="s">
        <v>133</v>
      </c>
      <c r="I552" s="63" t="s">
        <v>120</v>
      </c>
      <c r="J552" s="63" t="s">
        <v>71</v>
      </c>
      <c r="K552" s="63" t="s">
        <v>1187</v>
      </c>
      <c r="L552" s="63" t="s">
        <v>238</v>
      </c>
      <c r="M552" s="69">
        <v>790.25</v>
      </c>
      <c r="N552" s="63" t="s">
        <v>104</v>
      </c>
      <c r="O552" s="73">
        <f>_xlfn.XLOOKUP(Supplier_Perf_Table[[#This Row],[Currency]],'Comments 2'!$C$4:$C$16,'Comments 2'!$D$4:$D$16)</f>
        <v>1.9E-2</v>
      </c>
      <c r="P552" s="69">
        <f>IFERROR(Supplier_Perf_Table[[#This Row],[Unit_Cost]]*Supplier_Perf_Table[[#This Row],[Dollar Equivalent]],"")</f>
        <v>15.014749999999999</v>
      </c>
      <c r="Q552" s="75">
        <v>100</v>
      </c>
      <c r="R552" s="1">
        <v>79025</v>
      </c>
      <c r="S552" s="75">
        <f>Supplier_Perf_Table[[#This Row],[Unit_Cost]]*Supplier_Perf_Table[[#This Row],[Order_Quantity]]</f>
        <v>79025</v>
      </c>
      <c r="T552" s="75">
        <f>IFERROR(Supplier_Perf_Table[[#This Row],[Dollar Equivalent]]*Supplier_Perf_Table[[#This Row],[Ordered_Value]],"")</f>
        <v>1501.4749999999999</v>
      </c>
      <c r="U552" s="75">
        <v>3</v>
      </c>
      <c r="V552" s="7">
        <v>0.03</v>
      </c>
      <c r="W552" s="75">
        <v>26</v>
      </c>
      <c r="X552" s="55">
        <f>IFERROR(Supplier_Perf_Table[[#This Row],[Actual_Delivery_Date]]-Supplier_Perf_Table[[#This Row],[Order Date]],"")</f>
        <v>26</v>
      </c>
      <c r="Y552" s="75">
        <v>24</v>
      </c>
      <c r="Z552" s="56">
        <f>IFERROR(Supplier_Perf_Table[[#This Row],[Expected Delivery_Date]]-Supplier_Perf_Table[[#This Row],[Order Date]],"")</f>
        <v>24</v>
      </c>
      <c r="AA552" s="56">
        <f>Supplier_Perf_Table[[#This Row],[Calculated_Lead_Time2]]-Supplier_Perf_Table[[#This Row],[Calculated_Expected_Lead_Time]]</f>
        <v>2</v>
      </c>
      <c r="AB552" s="75">
        <v>2</v>
      </c>
      <c r="AC552" s="63" t="s">
        <v>166</v>
      </c>
      <c r="AD552" s="63" t="s">
        <v>40</v>
      </c>
      <c r="AE552" s="63" t="s">
        <v>41</v>
      </c>
      <c r="AF552" s="63" t="s">
        <v>66</v>
      </c>
      <c r="AG552" s="63" t="s">
        <v>173</v>
      </c>
      <c r="AH552" s="63" t="s">
        <v>136</v>
      </c>
      <c r="AI552" s="63" t="s">
        <v>44</v>
      </c>
      <c r="AJ552" s="63" t="s">
        <v>138</v>
      </c>
      <c r="AK552" s="83">
        <v>2.4</v>
      </c>
      <c r="AL552" s="63" t="s">
        <v>45</v>
      </c>
      <c r="AM552" s="63" t="s">
        <v>46</v>
      </c>
      <c r="AN552"/>
    </row>
    <row r="553" spans="1:40" ht="18" customHeight="1">
      <c r="A553" s="1" t="s">
        <v>1795</v>
      </c>
      <c r="B553" s="1" t="s">
        <v>1796</v>
      </c>
      <c r="C553" s="4">
        <v>46034</v>
      </c>
      <c r="D553" s="4">
        <v>46041</v>
      </c>
      <c r="E553" s="4">
        <v>46040</v>
      </c>
      <c r="F553" s="63" t="s">
        <v>215</v>
      </c>
      <c r="G553" s="63" t="s">
        <v>3846</v>
      </c>
      <c r="H553" s="63" t="s">
        <v>152</v>
      </c>
      <c r="I553" s="63" t="s">
        <v>70</v>
      </c>
      <c r="J553" s="63" t="s">
        <v>112</v>
      </c>
      <c r="K553" s="63" t="s">
        <v>1797</v>
      </c>
      <c r="L553" s="63" t="s">
        <v>218</v>
      </c>
      <c r="M553" s="69">
        <v>504.33</v>
      </c>
      <c r="N553" s="63" t="s">
        <v>38</v>
      </c>
      <c r="O553" s="73">
        <f>_xlfn.XLOOKUP(Supplier_Perf_Table[[#This Row],[Currency]],'Comments 2'!$C$4:$C$16,'Comments 2'!$D$4:$D$16)</f>
        <v>7.7000000000000002E-3</v>
      </c>
      <c r="P553" s="69">
        <f>IFERROR(Supplier_Perf_Table[[#This Row],[Unit_Cost]]*Supplier_Perf_Table[[#This Row],[Dollar Equivalent]],"")</f>
        <v>3.8833410000000002</v>
      </c>
      <c r="Q553" s="75">
        <v>50</v>
      </c>
      <c r="R553" s="1">
        <v>25216.5</v>
      </c>
      <c r="S553" s="75">
        <f>Supplier_Perf_Table[[#This Row],[Unit_Cost]]*Supplier_Perf_Table[[#This Row],[Order_Quantity]]</f>
        <v>25216.5</v>
      </c>
      <c r="T553" s="75">
        <f>IFERROR(Supplier_Perf_Table[[#This Row],[Dollar Equivalent]]*Supplier_Perf_Table[[#This Row],[Ordered_Value]],"")</f>
        <v>194.16705000000002</v>
      </c>
      <c r="U553" s="75">
        <v>1</v>
      </c>
      <c r="V553" s="7">
        <v>0.02</v>
      </c>
      <c r="W553" s="75">
        <v>6</v>
      </c>
      <c r="X553" s="55">
        <f>IFERROR(Supplier_Perf_Table[[#This Row],[Actual_Delivery_Date]]-Supplier_Perf_Table[[#This Row],[Order Date]],"")</f>
        <v>6</v>
      </c>
      <c r="Y553" s="75">
        <v>7</v>
      </c>
      <c r="Z553" s="56">
        <f>IFERROR(Supplier_Perf_Table[[#This Row],[Expected Delivery_Date]]-Supplier_Perf_Table[[#This Row],[Order Date]],"")</f>
        <v>7</v>
      </c>
      <c r="AA553" s="56">
        <f>Supplier_Perf_Table[[#This Row],[Calculated_Lead_Time2]]-Supplier_Perf_Table[[#This Row],[Calculated_Expected_Lead_Time]]</f>
        <v>-1</v>
      </c>
      <c r="AB553" s="75">
        <v>-1</v>
      </c>
      <c r="AC553" s="63" t="s">
        <v>270</v>
      </c>
      <c r="AD553" s="63" t="s">
        <v>40</v>
      </c>
      <c r="AE553" s="63" t="s">
        <v>3088</v>
      </c>
      <c r="AF553" s="63" t="s">
        <v>3088</v>
      </c>
      <c r="AG553" s="63" t="s">
        <v>173</v>
      </c>
      <c r="AH553" s="63" t="s">
        <v>88</v>
      </c>
      <c r="AI553" s="63" t="s">
        <v>137</v>
      </c>
      <c r="AJ553" s="63" t="s">
        <v>138</v>
      </c>
      <c r="AK553" s="83">
        <v>3.7</v>
      </c>
      <c r="AL553" s="63" t="s">
        <v>45</v>
      </c>
      <c r="AM553" s="63" t="s">
        <v>130</v>
      </c>
      <c r="AN553"/>
    </row>
    <row r="554" spans="1:40" ht="18" customHeight="1">
      <c r="A554" s="1" t="s">
        <v>1798</v>
      </c>
      <c r="B554" s="1" t="s">
        <v>1799</v>
      </c>
      <c r="C554" s="4">
        <v>46145</v>
      </c>
      <c r="D554" s="4">
        <v>46152</v>
      </c>
      <c r="E554" s="4">
        <v>46169</v>
      </c>
      <c r="F554" s="63" t="s">
        <v>151</v>
      </c>
      <c r="G554" s="63" t="s">
        <v>3844</v>
      </c>
      <c r="H554" s="63" t="s">
        <v>152</v>
      </c>
      <c r="I554" s="63" t="s">
        <v>92</v>
      </c>
      <c r="J554" s="63" t="s">
        <v>112</v>
      </c>
      <c r="K554" s="63" t="s">
        <v>1800</v>
      </c>
      <c r="L554" s="63" t="s">
        <v>218</v>
      </c>
      <c r="M554" s="69">
        <v>335.62</v>
      </c>
      <c r="N554" s="63" t="s">
        <v>65</v>
      </c>
      <c r="O554" s="73">
        <f>_xlfn.XLOOKUP(Supplier_Perf_Table[[#This Row],[Currency]],'Comments 2'!$C$4:$C$16,'Comments 2'!$D$4:$D$16)</f>
        <v>1</v>
      </c>
      <c r="P554" s="69">
        <f>IFERROR(Supplier_Perf_Table[[#This Row],[Unit_Cost]]*Supplier_Perf_Table[[#This Row],[Dollar Equivalent]],"")</f>
        <v>335.62</v>
      </c>
      <c r="Q554" s="75">
        <v>50</v>
      </c>
      <c r="R554" s="1">
        <v>16781</v>
      </c>
      <c r="S554" s="75">
        <f>Supplier_Perf_Table[[#This Row],[Unit_Cost]]*Supplier_Perf_Table[[#This Row],[Order_Quantity]]</f>
        <v>16781</v>
      </c>
      <c r="T554" s="75">
        <f>IFERROR(Supplier_Perf_Table[[#This Row],[Dollar Equivalent]]*Supplier_Perf_Table[[#This Row],[Ordered_Value]],"")</f>
        <v>16781</v>
      </c>
      <c r="U554" s="75">
        <v>3</v>
      </c>
      <c r="V554" s="7">
        <v>0.06</v>
      </c>
      <c r="W554" s="75">
        <v>24</v>
      </c>
      <c r="X554" s="55">
        <f>IFERROR(Supplier_Perf_Table[[#This Row],[Actual_Delivery_Date]]-Supplier_Perf_Table[[#This Row],[Order Date]],"")</f>
        <v>24</v>
      </c>
      <c r="Y554" s="75">
        <v>7</v>
      </c>
      <c r="Z554" s="56">
        <f>IFERROR(Supplier_Perf_Table[[#This Row],[Expected Delivery_Date]]-Supplier_Perf_Table[[#This Row],[Order Date]],"")</f>
        <v>7</v>
      </c>
      <c r="AA554" s="56">
        <f>Supplier_Perf_Table[[#This Row],[Calculated_Lead_Time2]]-Supplier_Perf_Table[[#This Row],[Calculated_Expected_Lead_Time]]</f>
        <v>17</v>
      </c>
      <c r="AB554" s="75">
        <v>17</v>
      </c>
      <c r="AC554" s="63" t="s">
        <v>39</v>
      </c>
      <c r="AD554" s="63" t="s">
        <v>420</v>
      </c>
      <c r="AE554" s="63" t="s">
        <v>41</v>
      </c>
      <c r="AF554" s="63" t="s">
        <v>3088</v>
      </c>
      <c r="AG554" s="63" t="s">
        <v>173</v>
      </c>
      <c r="AH554" s="63" t="s">
        <v>129</v>
      </c>
      <c r="AI554" s="63" t="s">
        <v>44</v>
      </c>
      <c r="AJ554" s="63" t="s">
        <v>96</v>
      </c>
      <c r="AK554" s="83">
        <v>2.1</v>
      </c>
      <c r="AL554" s="63" t="s">
        <v>139</v>
      </c>
      <c r="AM554" s="63" t="s">
        <v>394</v>
      </c>
      <c r="AN554"/>
    </row>
    <row r="555" spans="1:40" ht="18" customHeight="1">
      <c r="A555" s="1" t="s">
        <v>1801</v>
      </c>
      <c r="B555" s="1" t="s">
        <v>1802</v>
      </c>
      <c r="C555" s="4">
        <v>46144</v>
      </c>
      <c r="D555" s="4">
        <v>46160</v>
      </c>
      <c r="E555" s="4">
        <v>46158</v>
      </c>
      <c r="F555" s="63" t="s">
        <v>100</v>
      </c>
      <c r="G555" s="63" t="s">
        <v>3841</v>
      </c>
      <c r="H555" s="63" t="s">
        <v>102</v>
      </c>
      <c r="I555" s="63" t="s">
        <v>34</v>
      </c>
      <c r="J555" s="63" t="s">
        <v>50</v>
      </c>
      <c r="K555" s="63" t="s">
        <v>1803</v>
      </c>
      <c r="L555" s="63" t="s">
        <v>145</v>
      </c>
      <c r="M555" s="69">
        <v>305.42</v>
      </c>
      <c r="N555" s="63" t="s">
        <v>53</v>
      </c>
      <c r="O555" s="73">
        <f>_xlfn.XLOOKUP(Supplier_Perf_Table[[#This Row],[Currency]],'Comments 2'!$C$4:$C$16,'Comments 2'!$D$4:$D$16)</f>
        <v>6.0999999999999999E-2</v>
      </c>
      <c r="P555" s="69">
        <f>IFERROR(Supplier_Perf_Table[[#This Row],[Unit_Cost]]*Supplier_Perf_Table[[#This Row],[Dollar Equivalent]],"")</f>
        <v>18.63062</v>
      </c>
      <c r="Q555" s="75">
        <v>300</v>
      </c>
      <c r="R555" s="1">
        <v>91626</v>
      </c>
      <c r="S555" s="75">
        <f>Supplier_Perf_Table[[#This Row],[Unit_Cost]]*Supplier_Perf_Table[[#This Row],[Order_Quantity]]</f>
        <v>91626</v>
      </c>
      <c r="T555" s="75">
        <f>IFERROR(Supplier_Perf_Table[[#This Row],[Dollar Equivalent]]*Supplier_Perf_Table[[#This Row],[Ordered_Value]],"")</f>
        <v>5589.1859999999997</v>
      </c>
      <c r="U555" s="75">
        <v>314</v>
      </c>
      <c r="V555" s="7">
        <v>3.3300000000000003E-2</v>
      </c>
      <c r="W555" s="75">
        <v>14</v>
      </c>
      <c r="X555" s="55">
        <f>IFERROR(Supplier_Perf_Table[[#This Row],[Actual_Delivery_Date]]-Supplier_Perf_Table[[#This Row],[Order Date]],"")</f>
        <v>14</v>
      </c>
      <c r="Y555" s="75">
        <v>16</v>
      </c>
      <c r="Z555" s="56">
        <f>IFERROR(Supplier_Perf_Table[[#This Row],[Expected Delivery_Date]]-Supplier_Perf_Table[[#This Row],[Order Date]],"")</f>
        <v>16</v>
      </c>
      <c r="AA555" s="56">
        <f>Supplier_Perf_Table[[#This Row],[Calculated_Lead_Time2]]-Supplier_Perf_Table[[#This Row],[Calculated_Expected_Lead_Time]]</f>
        <v>-2</v>
      </c>
      <c r="AB555" s="75">
        <v>-2</v>
      </c>
      <c r="AC555" s="63" t="s">
        <v>87</v>
      </c>
      <c r="AD555" s="63" t="s">
        <v>40</v>
      </c>
      <c r="AE555" s="63" t="s">
        <v>105</v>
      </c>
      <c r="AF555" s="63" t="s">
        <v>212</v>
      </c>
      <c r="AG555" s="63" t="s">
        <v>128</v>
      </c>
      <c r="AH555" s="63" t="s">
        <v>3112</v>
      </c>
      <c r="AI555" s="63" t="s">
        <v>137</v>
      </c>
      <c r="AJ555" s="63" t="s">
        <v>138</v>
      </c>
      <c r="AK555" s="83">
        <v>2.5</v>
      </c>
      <c r="AL555" s="63" t="s">
        <v>115</v>
      </c>
      <c r="AM555" s="63" t="s">
        <v>138</v>
      </c>
      <c r="AN555"/>
    </row>
    <row r="556" spans="1:40" ht="18" customHeight="1">
      <c r="A556" s="1" t="s">
        <v>1804</v>
      </c>
      <c r="B556" s="1" t="s">
        <v>1805</v>
      </c>
      <c r="C556" s="4">
        <v>46067</v>
      </c>
      <c r="D556" s="4">
        <v>46080</v>
      </c>
      <c r="E556" s="4">
        <v>46081</v>
      </c>
      <c r="F556" s="63" t="s">
        <v>80</v>
      </c>
      <c r="G556" s="63" t="s">
        <v>3839</v>
      </c>
      <c r="H556" s="63" t="s">
        <v>82</v>
      </c>
      <c r="I556" s="63" t="s">
        <v>70</v>
      </c>
      <c r="J556" s="63" t="s">
        <v>35</v>
      </c>
      <c r="K556" s="63" t="s">
        <v>1806</v>
      </c>
      <c r="L556" s="63" t="s">
        <v>85</v>
      </c>
      <c r="M556" s="69">
        <v>707.69</v>
      </c>
      <c r="N556" s="63" t="s">
        <v>65</v>
      </c>
      <c r="O556" s="73">
        <f>_xlfn.XLOOKUP(Supplier_Perf_Table[[#This Row],[Currency]],'Comments 2'!$C$4:$C$16,'Comments 2'!$D$4:$D$16)</f>
        <v>1</v>
      </c>
      <c r="P556" s="69">
        <f>IFERROR(Supplier_Perf_Table[[#This Row],[Unit_Cost]]*Supplier_Perf_Table[[#This Row],[Dollar Equivalent]],"")</f>
        <v>707.69</v>
      </c>
      <c r="Q556" s="75">
        <v>500</v>
      </c>
      <c r="R556" s="1">
        <v>353845</v>
      </c>
      <c r="S556" s="75">
        <f>Supplier_Perf_Table[[#This Row],[Unit_Cost]]*Supplier_Perf_Table[[#This Row],[Order_Quantity]]</f>
        <v>353845</v>
      </c>
      <c r="T556" s="75">
        <f>IFERROR(Supplier_Perf_Table[[#This Row],[Dollar Equivalent]]*Supplier_Perf_Table[[#This Row],[Ordered_Value]],"")</f>
        <v>353845</v>
      </c>
      <c r="U556" s="75">
        <v>6</v>
      </c>
      <c r="V556" s="7">
        <v>1.2E-2</v>
      </c>
      <c r="W556" s="75">
        <v>14</v>
      </c>
      <c r="X556" s="55">
        <f>IFERROR(Supplier_Perf_Table[[#This Row],[Actual_Delivery_Date]]-Supplier_Perf_Table[[#This Row],[Order Date]],"")</f>
        <v>14</v>
      </c>
      <c r="Y556" s="75">
        <v>13</v>
      </c>
      <c r="Z556" s="56">
        <f>IFERROR(Supplier_Perf_Table[[#This Row],[Expected Delivery_Date]]-Supplier_Perf_Table[[#This Row],[Order Date]],"")</f>
        <v>13</v>
      </c>
      <c r="AA556" s="56">
        <f>Supplier_Perf_Table[[#This Row],[Calculated_Lead_Time2]]-Supplier_Perf_Table[[#This Row],[Calculated_Expected_Lead_Time]]</f>
        <v>1</v>
      </c>
      <c r="AB556" s="75">
        <v>1</v>
      </c>
      <c r="AC556" s="63" t="s">
        <v>135</v>
      </c>
      <c r="AD556" s="63" t="s">
        <v>40</v>
      </c>
      <c r="AE556" s="63" t="s">
        <v>41</v>
      </c>
      <c r="AF556" s="63" t="s">
        <v>66</v>
      </c>
      <c r="AG556" s="63" t="s">
        <v>43</v>
      </c>
      <c r="AH556" s="63" t="s">
        <v>3112</v>
      </c>
      <c r="AI556" s="63" t="s">
        <v>191</v>
      </c>
      <c r="AJ556" s="63" t="s">
        <v>138</v>
      </c>
      <c r="AK556" s="83">
        <v>2.5</v>
      </c>
      <c r="AL556" s="63" t="s">
        <v>57</v>
      </c>
      <c r="AM556" s="63" t="s">
        <v>46</v>
      </c>
      <c r="AN556"/>
    </row>
    <row r="557" spans="1:40" ht="18" customHeight="1">
      <c r="A557" s="1" t="s">
        <v>1807</v>
      </c>
      <c r="B557" s="1" t="s">
        <v>1808</v>
      </c>
      <c r="C557" s="4">
        <v>46091</v>
      </c>
      <c r="D557" s="4">
        <v>46102</v>
      </c>
      <c r="E557" s="4">
        <v>46102</v>
      </c>
      <c r="F557" s="63" t="s">
        <v>215</v>
      </c>
      <c r="G557" s="63" t="s">
        <v>3846</v>
      </c>
      <c r="H557" s="63" t="s">
        <v>152</v>
      </c>
      <c r="I557" s="63" t="s">
        <v>120</v>
      </c>
      <c r="J557" s="63" t="s">
        <v>50</v>
      </c>
      <c r="K557" s="63" t="s">
        <v>1809</v>
      </c>
      <c r="L557" s="63" t="s">
        <v>126</v>
      </c>
      <c r="M557" s="69">
        <v>4690.57</v>
      </c>
      <c r="N557" s="63" t="s">
        <v>53</v>
      </c>
      <c r="O557" s="73">
        <f>_xlfn.XLOOKUP(Supplier_Perf_Table[[#This Row],[Currency]],'Comments 2'!$C$4:$C$16,'Comments 2'!$D$4:$D$16)</f>
        <v>6.0999999999999999E-2</v>
      </c>
      <c r="P557" s="69">
        <f>IFERROR(Supplier_Perf_Table[[#This Row],[Unit_Cost]]*Supplier_Perf_Table[[#This Row],[Dollar Equivalent]],"")</f>
        <v>286.12476999999996</v>
      </c>
      <c r="Q557" s="75">
        <v>250</v>
      </c>
      <c r="R557" s="1">
        <v>1172642.5</v>
      </c>
      <c r="S557" s="75">
        <f>Supplier_Perf_Table[[#This Row],[Unit_Cost]]*Supplier_Perf_Table[[#This Row],[Order_Quantity]]</f>
        <v>1172642.5</v>
      </c>
      <c r="T557" s="75">
        <f>IFERROR(Supplier_Perf_Table[[#This Row],[Dollar Equivalent]]*Supplier_Perf_Table[[#This Row],[Ordered_Value]],"")</f>
        <v>71531.192500000005</v>
      </c>
      <c r="U557" s="75">
        <v>0</v>
      </c>
      <c r="V557" s="7">
        <v>0</v>
      </c>
      <c r="W557" s="75">
        <v>11</v>
      </c>
      <c r="X557" s="55">
        <f>IFERROR(Supplier_Perf_Table[[#This Row],[Actual_Delivery_Date]]-Supplier_Perf_Table[[#This Row],[Order Date]],"")</f>
        <v>11</v>
      </c>
      <c r="Y557" s="75">
        <v>11</v>
      </c>
      <c r="Z557" s="56">
        <f>IFERROR(Supplier_Perf_Table[[#This Row],[Expected Delivery_Date]]-Supplier_Perf_Table[[#This Row],[Order Date]],"")</f>
        <v>11</v>
      </c>
      <c r="AA557" s="56">
        <f>Supplier_Perf_Table[[#This Row],[Calculated_Lead_Time2]]-Supplier_Perf_Table[[#This Row],[Calculated_Expected_Lead_Time]]</f>
        <v>0</v>
      </c>
      <c r="AB557" s="75">
        <v>0</v>
      </c>
      <c r="AC557" s="63" t="s">
        <v>87</v>
      </c>
      <c r="AD557" s="63" t="s">
        <v>40</v>
      </c>
      <c r="AE557" s="63" t="s">
        <v>127</v>
      </c>
      <c r="AF557" s="63" t="s">
        <v>190</v>
      </c>
      <c r="AG557" s="63" t="s">
        <v>3088</v>
      </c>
      <c r="AH557" s="63" t="s">
        <v>3112</v>
      </c>
      <c r="AI557" s="63" t="s">
        <v>56</v>
      </c>
      <c r="AJ557" s="63" t="s">
        <v>138</v>
      </c>
      <c r="AK557" s="83">
        <v>3.3</v>
      </c>
      <c r="AL557" s="63" t="s">
        <v>139</v>
      </c>
      <c r="AM557" s="63" t="s">
        <v>130</v>
      </c>
      <c r="AN557"/>
    </row>
    <row r="558" spans="1:40" ht="18" customHeight="1">
      <c r="A558" s="1" t="s">
        <v>1810</v>
      </c>
      <c r="B558" s="1" t="s">
        <v>1811</v>
      </c>
      <c r="C558" s="4">
        <v>46066</v>
      </c>
      <c r="D558" s="4">
        <v>46078</v>
      </c>
      <c r="E558" s="4">
        <v>46081</v>
      </c>
      <c r="F558" s="63" t="s">
        <v>80</v>
      </c>
      <c r="G558" s="63" t="s">
        <v>3839</v>
      </c>
      <c r="H558" s="63" t="s">
        <v>82</v>
      </c>
      <c r="I558" s="63" t="s">
        <v>92</v>
      </c>
      <c r="J558" s="63" t="s">
        <v>35</v>
      </c>
      <c r="K558" s="63" t="s">
        <v>1812</v>
      </c>
      <c r="L558" s="63" t="s">
        <v>37</v>
      </c>
      <c r="M558" s="69">
        <v>507.86</v>
      </c>
      <c r="N558" s="63" t="s">
        <v>38</v>
      </c>
      <c r="O558" s="73">
        <f>_xlfn.XLOOKUP(Supplier_Perf_Table[[#This Row],[Currency]],'Comments 2'!$C$4:$C$16,'Comments 2'!$D$4:$D$16)</f>
        <v>7.7000000000000002E-3</v>
      </c>
      <c r="P558" s="69">
        <f>IFERROR(Supplier_Perf_Table[[#This Row],[Unit_Cost]]*Supplier_Perf_Table[[#This Row],[Dollar Equivalent]],"")</f>
        <v>3.9105220000000003</v>
      </c>
      <c r="Q558" s="75" t="s">
        <v>3080</v>
      </c>
      <c r="R558" s="1">
        <v>507860</v>
      </c>
      <c r="S558" s="75" t="e">
        <f>Supplier_Perf_Table[[#This Row],[Unit_Cost]]*Supplier_Perf_Table[[#This Row],[Order_Quantity]]</f>
        <v>#VALUE!</v>
      </c>
      <c r="T558" s="75">
        <f>IFERROR(Supplier_Perf_Table[[#This Row],[Dollar Equivalent]]*Supplier_Perf_Table[[#This Row],[Ordered_Value]],"")</f>
        <v>3910.5219999999999</v>
      </c>
      <c r="U558" s="75">
        <v>34</v>
      </c>
      <c r="V558" s="7">
        <v>3.4000000000000002E-2</v>
      </c>
      <c r="W558" s="75">
        <v>15</v>
      </c>
      <c r="X558" s="55">
        <f>IFERROR(Supplier_Perf_Table[[#This Row],[Actual_Delivery_Date]]-Supplier_Perf_Table[[#This Row],[Order Date]],"")</f>
        <v>15</v>
      </c>
      <c r="Y558" s="75">
        <v>12</v>
      </c>
      <c r="Z558" s="56">
        <f>IFERROR(Supplier_Perf_Table[[#This Row],[Expected Delivery_Date]]-Supplier_Perf_Table[[#This Row],[Order Date]],"")</f>
        <v>12</v>
      </c>
      <c r="AA558" s="56">
        <f>Supplier_Perf_Table[[#This Row],[Calculated_Lead_Time2]]-Supplier_Perf_Table[[#This Row],[Calculated_Expected_Lead_Time]]</f>
        <v>3</v>
      </c>
      <c r="AB558" s="75">
        <v>3</v>
      </c>
      <c r="AC558" s="63" t="s">
        <v>135</v>
      </c>
      <c r="AD558" s="63" t="s">
        <v>40</v>
      </c>
      <c r="AE558" s="63" t="s">
        <v>105</v>
      </c>
      <c r="AF558" s="63" t="s">
        <v>42</v>
      </c>
      <c r="AG558" s="63" t="s">
        <v>107</v>
      </c>
      <c r="AH558" s="63" t="s">
        <v>3112</v>
      </c>
      <c r="AI558" s="63" t="s">
        <v>147</v>
      </c>
      <c r="AJ558" s="63" t="s">
        <v>138</v>
      </c>
      <c r="AK558" s="83">
        <v>2.2000000000000002</v>
      </c>
      <c r="AL558" s="63" t="s">
        <v>76</v>
      </c>
      <c r="AM558" s="63" t="s">
        <v>46</v>
      </c>
      <c r="AN558"/>
    </row>
    <row r="559" spans="1:40" ht="18" customHeight="1">
      <c r="A559" s="1" t="s">
        <v>1813</v>
      </c>
      <c r="B559" s="1" t="s">
        <v>1814</v>
      </c>
      <c r="C559" s="4">
        <v>46162</v>
      </c>
      <c r="D559" s="4">
        <v>46172</v>
      </c>
      <c r="E559" s="4">
        <v>46183</v>
      </c>
      <c r="F559" s="63" t="s">
        <v>69</v>
      </c>
      <c r="G559" s="63" t="s">
        <v>3838</v>
      </c>
      <c r="H559" s="63" t="s">
        <v>194</v>
      </c>
      <c r="I559" s="63" t="s">
        <v>70</v>
      </c>
      <c r="J559" s="63" t="s">
        <v>112</v>
      </c>
      <c r="K559" s="63" t="s">
        <v>1815</v>
      </c>
      <c r="L559" s="63" t="s">
        <v>246</v>
      </c>
      <c r="M559" s="69">
        <v>513.38</v>
      </c>
      <c r="N559" s="63" t="s">
        <v>38</v>
      </c>
      <c r="O559" s="73">
        <f>_xlfn.XLOOKUP(Supplier_Perf_Table[[#This Row],[Currency]],'Comments 2'!$C$4:$C$16,'Comments 2'!$D$4:$D$16)</f>
        <v>7.7000000000000002E-3</v>
      </c>
      <c r="P559" s="69">
        <f>IFERROR(Supplier_Perf_Table[[#This Row],[Unit_Cost]]*Supplier_Perf_Table[[#This Row],[Dollar Equivalent]],"")</f>
        <v>3.9530259999999999</v>
      </c>
      <c r="Q559" s="75">
        <v>1000</v>
      </c>
      <c r="R559" s="1">
        <v>513380</v>
      </c>
      <c r="S559" s="75">
        <f>Supplier_Perf_Table[[#This Row],[Unit_Cost]]*Supplier_Perf_Table[[#This Row],[Order_Quantity]]</f>
        <v>513380</v>
      </c>
      <c r="T559" s="75">
        <f>IFERROR(Supplier_Perf_Table[[#This Row],[Dollar Equivalent]]*Supplier_Perf_Table[[#This Row],[Ordered_Value]],"")</f>
        <v>3953.0260000000003</v>
      </c>
      <c r="U559" s="75">
        <v>40</v>
      </c>
      <c r="V559" s="7">
        <v>0.04</v>
      </c>
      <c r="W559" s="75">
        <v>21</v>
      </c>
      <c r="X559" s="55">
        <f>IFERROR(Supplier_Perf_Table[[#This Row],[Actual_Delivery_Date]]-Supplier_Perf_Table[[#This Row],[Order Date]],"")</f>
        <v>21</v>
      </c>
      <c r="Y559" s="75">
        <v>10</v>
      </c>
      <c r="Z559" s="56">
        <f>IFERROR(Supplier_Perf_Table[[#This Row],[Expected Delivery_Date]]-Supplier_Perf_Table[[#This Row],[Order Date]],"")</f>
        <v>10</v>
      </c>
      <c r="AA559" s="56">
        <f>Supplier_Perf_Table[[#This Row],[Calculated_Lead_Time2]]-Supplier_Perf_Table[[#This Row],[Calculated_Expected_Lead_Time]]</f>
        <v>11</v>
      </c>
      <c r="AB559" s="75">
        <v>11</v>
      </c>
      <c r="AC559" s="63" t="s">
        <v>39</v>
      </c>
      <c r="AD559" s="63" t="s">
        <v>40</v>
      </c>
      <c r="AE559" s="63" t="s">
        <v>105</v>
      </c>
      <c r="AF559" s="63" t="s">
        <v>212</v>
      </c>
      <c r="AG559" s="63" t="s">
        <v>54</v>
      </c>
      <c r="AH559" s="63" t="s">
        <v>3112</v>
      </c>
      <c r="AI559" s="63" t="s">
        <v>137</v>
      </c>
      <c r="AJ559" s="63" t="s">
        <v>138</v>
      </c>
      <c r="AK559" s="83">
        <v>1.3</v>
      </c>
      <c r="AL559" s="63" t="s">
        <v>76</v>
      </c>
      <c r="AM559" s="63" t="s">
        <v>46</v>
      </c>
      <c r="AN559"/>
    </row>
    <row r="560" spans="1:40" ht="18" customHeight="1">
      <c r="A560" s="1" t="s">
        <v>1816</v>
      </c>
      <c r="B560" s="1" t="s">
        <v>1817</v>
      </c>
      <c r="C560" s="4">
        <v>46180</v>
      </c>
      <c r="D560" s="4">
        <v>46198</v>
      </c>
      <c r="E560" s="4">
        <v>46199</v>
      </c>
      <c r="F560" s="63" t="s">
        <v>235</v>
      </c>
      <c r="G560" s="63" t="s">
        <v>3848</v>
      </c>
      <c r="H560" s="63" t="s">
        <v>479</v>
      </c>
      <c r="I560" s="63" t="s">
        <v>83</v>
      </c>
      <c r="J560" s="63" t="s">
        <v>71</v>
      </c>
      <c r="K560" s="63" t="s">
        <v>1818</v>
      </c>
      <c r="L560" s="63" t="s">
        <v>238</v>
      </c>
      <c r="M560" s="69">
        <v>190.4</v>
      </c>
      <c r="N560" s="63" t="s">
        <v>65</v>
      </c>
      <c r="O560" s="73">
        <f>_xlfn.XLOOKUP(Supplier_Perf_Table[[#This Row],[Currency]],'Comments 2'!$C$4:$C$16,'Comments 2'!$D$4:$D$16)</f>
        <v>1</v>
      </c>
      <c r="P560" s="69">
        <f>IFERROR(Supplier_Perf_Table[[#This Row],[Unit_Cost]]*Supplier_Perf_Table[[#This Row],[Dollar Equivalent]],"")</f>
        <v>190.4</v>
      </c>
      <c r="Q560" s="75">
        <v>150</v>
      </c>
      <c r="R560" s="1">
        <v>28560</v>
      </c>
      <c r="S560" s="75">
        <f>Supplier_Perf_Table[[#This Row],[Unit_Cost]]*Supplier_Perf_Table[[#This Row],[Order_Quantity]]</f>
        <v>28560</v>
      </c>
      <c r="T560" s="75">
        <f>IFERROR(Supplier_Perf_Table[[#This Row],[Dollar Equivalent]]*Supplier_Perf_Table[[#This Row],[Ordered_Value]],"")</f>
        <v>28560</v>
      </c>
      <c r="U560" s="75">
        <v>0</v>
      </c>
      <c r="V560" s="7">
        <v>0</v>
      </c>
      <c r="W560" s="75">
        <v>19</v>
      </c>
      <c r="X560" s="55">
        <f>IFERROR(Supplier_Perf_Table[[#This Row],[Actual_Delivery_Date]]-Supplier_Perf_Table[[#This Row],[Order Date]],"")</f>
        <v>19</v>
      </c>
      <c r="Y560" s="75">
        <v>18</v>
      </c>
      <c r="Z560" s="56">
        <f>IFERROR(Supplier_Perf_Table[[#This Row],[Expected Delivery_Date]]-Supplier_Perf_Table[[#This Row],[Order Date]],"")</f>
        <v>18</v>
      </c>
      <c r="AA560" s="56">
        <f>Supplier_Perf_Table[[#This Row],[Calculated_Lead_Time2]]-Supplier_Perf_Table[[#This Row],[Calculated_Expected_Lead_Time]]</f>
        <v>1</v>
      </c>
      <c r="AB560" s="75">
        <v>1</v>
      </c>
      <c r="AC560" s="63" t="s">
        <v>166</v>
      </c>
      <c r="AD560" s="63" t="s">
        <v>40</v>
      </c>
      <c r="AE560" s="63" t="s">
        <v>105</v>
      </c>
      <c r="AF560" s="63" t="s">
        <v>190</v>
      </c>
      <c r="AG560" s="63" t="s">
        <v>43</v>
      </c>
      <c r="AH560" s="63" t="s">
        <v>206</v>
      </c>
      <c r="AI560" s="63" t="s">
        <v>147</v>
      </c>
      <c r="AJ560" s="63" t="s">
        <v>138</v>
      </c>
      <c r="AK560" s="83">
        <v>4.5</v>
      </c>
      <c r="AL560" s="63" t="s">
        <v>57</v>
      </c>
      <c r="AM560" s="63" t="s">
        <v>46</v>
      </c>
      <c r="AN560"/>
    </row>
    <row r="561" spans="1:40" ht="18" customHeight="1">
      <c r="A561" s="1" t="s">
        <v>1819</v>
      </c>
      <c r="B561" s="1" t="s">
        <v>1820</v>
      </c>
      <c r="C561" s="4">
        <v>46025</v>
      </c>
      <c r="D561" s="4">
        <v>46036</v>
      </c>
      <c r="E561" s="4">
        <v>46030</v>
      </c>
      <c r="F561" s="63" t="s">
        <v>80</v>
      </c>
      <c r="G561" s="63" t="s">
        <v>3839</v>
      </c>
      <c r="H561" s="63" t="s">
        <v>82</v>
      </c>
      <c r="I561" s="63" t="s">
        <v>178</v>
      </c>
      <c r="J561" s="63" t="s">
        <v>112</v>
      </c>
      <c r="K561" s="63" t="s">
        <v>1821</v>
      </c>
      <c r="L561" s="63" t="s">
        <v>246</v>
      </c>
      <c r="M561" s="69">
        <v>52.83</v>
      </c>
      <c r="N561" s="63" t="s">
        <v>104</v>
      </c>
      <c r="O561" s="73">
        <f>_xlfn.XLOOKUP(Supplier_Perf_Table[[#This Row],[Currency]],'Comments 2'!$C$4:$C$16,'Comments 2'!$D$4:$D$16)</f>
        <v>1.9E-2</v>
      </c>
      <c r="P561" s="69">
        <f>IFERROR(Supplier_Perf_Table[[#This Row],[Unit_Cost]]*Supplier_Perf_Table[[#This Row],[Dollar Equivalent]],"")</f>
        <v>1.0037700000000001</v>
      </c>
      <c r="Q561" s="75">
        <v>75</v>
      </c>
      <c r="R561" s="1">
        <v>3962.25</v>
      </c>
      <c r="S561" s="75">
        <f>Supplier_Perf_Table[[#This Row],[Unit_Cost]]*Supplier_Perf_Table[[#This Row],[Order_Quantity]]</f>
        <v>3962.25</v>
      </c>
      <c r="T561" s="75">
        <f>IFERROR(Supplier_Perf_Table[[#This Row],[Dollar Equivalent]]*Supplier_Perf_Table[[#This Row],[Ordered_Value]],"")</f>
        <v>75.282749999999993</v>
      </c>
      <c r="U561" s="75">
        <v>0</v>
      </c>
      <c r="V561" s="7">
        <v>0</v>
      </c>
      <c r="W561" s="75">
        <v>5</v>
      </c>
      <c r="X561" s="55">
        <f>IFERROR(Supplier_Perf_Table[[#This Row],[Actual_Delivery_Date]]-Supplier_Perf_Table[[#This Row],[Order Date]],"")</f>
        <v>5</v>
      </c>
      <c r="Y561" s="75">
        <v>11</v>
      </c>
      <c r="Z561" s="56">
        <f>IFERROR(Supplier_Perf_Table[[#This Row],[Expected Delivery_Date]]-Supplier_Perf_Table[[#This Row],[Order Date]],"")</f>
        <v>11</v>
      </c>
      <c r="AA561" s="56">
        <f>Supplier_Perf_Table[[#This Row],[Calculated_Lead_Time2]]-Supplier_Perf_Table[[#This Row],[Calculated_Expected_Lead_Time]]</f>
        <v>-6</v>
      </c>
      <c r="AB561" s="75">
        <v>-6</v>
      </c>
      <c r="AC561" s="63" t="s">
        <v>87</v>
      </c>
      <c r="AD561" s="63" t="s">
        <v>40</v>
      </c>
      <c r="AE561" s="63" t="s">
        <v>105</v>
      </c>
      <c r="AF561" s="63" t="s">
        <v>190</v>
      </c>
      <c r="AG561" s="63" t="s">
        <v>107</v>
      </c>
      <c r="AH561" s="63" t="s">
        <v>136</v>
      </c>
      <c r="AI561" s="63" t="s">
        <v>138</v>
      </c>
      <c r="AJ561" s="63" t="s">
        <v>138</v>
      </c>
      <c r="AK561" s="83">
        <v>4.7</v>
      </c>
      <c r="AL561" s="63" t="s">
        <v>57</v>
      </c>
      <c r="AM561" s="63" t="s">
        <v>138</v>
      </c>
      <c r="AN561"/>
    </row>
    <row r="562" spans="1:40" ht="18" customHeight="1">
      <c r="A562" s="1" t="s">
        <v>1822</v>
      </c>
      <c r="B562" s="1" t="s">
        <v>1823</v>
      </c>
      <c r="C562" s="4">
        <v>46089</v>
      </c>
      <c r="D562" s="4">
        <v>46115</v>
      </c>
      <c r="E562" s="4">
        <v>46113</v>
      </c>
      <c r="F562" s="63" t="s">
        <v>32</v>
      </c>
      <c r="G562" s="63" t="s">
        <v>3835</v>
      </c>
      <c r="H562" s="63" t="s">
        <v>177</v>
      </c>
      <c r="I562" s="63" t="s">
        <v>178</v>
      </c>
      <c r="J562" s="63" t="s">
        <v>112</v>
      </c>
      <c r="K562" s="63" t="s">
        <v>1824</v>
      </c>
      <c r="L562" s="63" t="s">
        <v>114</v>
      </c>
      <c r="M562" s="69">
        <v>60.88</v>
      </c>
      <c r="N562" s="63" t="s">
        <v>38</v>
      </c>
      <c r="O562" s="73">
        <f>_xlfn.XLOOKUP(Supplier_Perf_Table[[#This Row],[Currency]],'Comments 2'!$C$4:$C$16,'Comments 2'!$D$4:$D$16)</f>
        <v>7.7000000000000002E-3</v>
      </c>
      <c r="P562" s="69">
        <f>IFERROR(Supplier_Perf_Table[[#This Row],[Unit_Cost]]*Supplier_Perf_Table[[#This Row],[Dollar Equivalent]],"")</f>
        <v>0.46877600000000003</v>
      </c>
      <c r="Q562" s="75">
        <v>50</v>
      </c>
      <c r="R562" s="1">
        <v>3044</v>
      </c>
      <c r="S562" s="75">
        <f>Supplier_Perf_Table[[#This Row],[Unit_Cost]]*Supplier_Perf_Table[[#This Row],[Order_Quantity]]</f>
        <v>3044</v>
      </c>
      <c r="T562" s="75">
        <f>IFERROR(Supplier_Perf_Table[[#This Row],[Dollar Equivalent]]*Supplier_Perf_Table[[#This Row],[Ordered_Value]],"")</f>
        <v>23.438800000000001</v>
      </c>
      <c r="U562" s="75">
        <v>4</v>
      </c>
      <c r="V562" s="7">
        <v>0.08</v>
      </c>
      <c r="W562" s="75">
        <v>24</v>
      </c>
      <c r="X562" s="55">
        <f>IFERROR(Supplier_Perf_Table[[#This Row],[Actual_Delivery_Date]]-Supplier_Perf_Table[[#This Row],[Order Date]],"")</f>
        <v>24</v>
      </c>
      <c r="Y562" s="75">
        <v>26</v>
      </c>
      <c r="Z562" s="56">
        <f>IFERROR(Supplier_Perf_Table[[#This Row],[Expected Delivery_Date]]-Supplier_Perf_Table[[#This Row],[Order Date]],"")</f>
        <v>26</v>
      </c>
      <c r="AA562" s="56">
        <f>Supplier_Perf_Table[[#This Row],[Calculated_Lead_Time2]]-Supplier_Perf_Table[[#This Row],[Calculated_Expected_Lead_Time]]</f>
        <v>-2</v>
      </c>
      <c r="AB562" s="75">
        <v>-2</v>
      </c>
      <c r="AC562" s="63" t="s">
        <v>87</v>
      </c>
      <c r="AD562" s="63" t="s">
        <v>74</v>
      </c>
      <c r="AE562" s="63" t="s">
        <v>105</v>
      </c>
      <c r="AF562" s="63" t="s">
        <v>106</v>
      </c>
      <c r="AG562" s="63" t="s">
        <v>173</v>
      </c>
      <c r="AH562" s="63" t="s">
        <v>55</v>
      </c>
      <c r="AI562" s="63" t="s">
        <v>44</v>
      </c>
      <c r="AJ562" s="63" t="s">
        <v>283</v>
      </c>
      <c r="AK562" s="83">
        <v>3</v>
      </c>
      <c r="AL562" s="63" t="s">
        <v>57</v>
      </c>
      <c r="AM562" s="63" t="s">
        <v>97</v>
      </c>
      <c r="AN562"/>
    </row>
    <row r="563" spans="1:40" ht="18" customHeight="1">
      <c r="A563" s="1" t="s">
        <v>1825</v>
      </c>
      <c r="B563" s="1" t="s">
        <v>1826</v>
      </c>
      <c r="C563" s="4">
        <v>46055</v>
      </c>
      <c r="D563" s="4">
        <v>46071</v>
      </c>
      <c r="E563" s="4">
        <v>46062</v>
      </c>
      <c r="F563" s="63" t="s">
        <v>256</v>
      </c>
      <c r="G563" s="63" t="s">
        <v>3849</v>
      </c>
      <c r="H563" s="63" t="s">
        <v>258</v>
      </c>
      <c r="I563" s="63" t="s">
        <v>61</v>
      </c>
      <c r="J563" s="63" t="s">
        <v>50</v>
      </c>
      <c r="K563" s="63" t="s">
        <v>1827</v>
      </c>
      <c r="L563" s="63" t="s">
        <v>52</v>
      </c>
      <c r="M563" s="69">
        <v>984.79</v>
      </c>
      <c r="N563" s="63" t="s">
        <v>159</v>
      </c>
      <c r="O563" s="73">
        <f>_xlfn.XLOOKUP(Supplier_Perf_Table[[#This Row],[Currency]],'Comments 2'!$C$4:$C$16,'Comments 2'!$D$4:$D$16)</f>
        <v>7.2999999999999996E-4</v>
      </c>
      <c r="P563" s="69">
        <f>IFERROR(Supplier_Perf_Table[[#This Row],[Unit_Cost]]*Supplier_Perf_Table[[#This Row],[Dollar Equivalent]],"")</f>
        <v>0.71889669999999994</v>
      </c>
      <c r="Q563" s="75">
        <v>1500</v>
      </c>
      <c r="R563" s="1">
        <v>1477185</v>
      </c>
      <c r="S563" s="75">
        <f>Supplier_Perf_Table[[#This Row],[Unit_Cost]]*Supplier_Perf_Table[[#This Row],[Order_Quantity]]</f>
        <v>1477185</v>
      </c>
      <c r="T563" s="75">
        <f>IFERROR(Supplier_Perf_Table[[#This Row],[Dollar Equivalent]]*Supplier_Perf_Table[[#This Row],[Ordered_Value]],"")</f>
        <v>1078.3450499999999</v>
      </c>
      <c r="U563" s="75">
        <v>38</v>
      </c>
      <c r="V563" s="7">
        <v>2.53E-2</v>
      </c>
      <c r="W563" s="75">
        <v>7</v>
      </c>
      <c r="X563" s="55">
        <f>IFERROR(Supplier_Perf_Table[[#This Row],[Actual_Delivery_Date]]-Supplier_Perf_Table[[#This Row],[Order Date]],"")</f>
        <v>7</v>
      </c>
      <c r="Y563" s="75">
        <v>16</v>
      </c>
      <c r="Z563" s="56">
        <f>IFERROR(Supplier_Perf_Table[[#This Row],[Expected Delivery_Date]]-Supplier_Perf_Table[[#This Row],[Order Date]],"")</f>
        <v>16</v>
      </c>
      <c r="AA563" s="56">
        <f>Supplier_Perf_Table[[#This Row],[Calculated_Lead_Time2]]-Supplier_Perf_Table[[#This Row],[Calculated_Expected_Lead_Time]]</f>
        <v>-9</v>
      </c>
      <c r="AB563" s="75">
        <v>-9</v>
      </c>
      <c r="AC563" s="63" t="s">
        <v>87</v>
      </c>
      <c r="AD563" s="63" t="s">
        <v>40</v>
      </c>
      <c r="AE563" s="63" t="s">
        <v>127</v>
      </c>
      <c r="AF563" s="63" t="s">
        <v>66</v>
      </c>
      <c r="AG563" s="63" t="s">
        <v>43</v>
      </c>
      <c r="AH563" s="63" t="s">
        <v>88</v>
      </c>
      <c r="AI563" s="63" t="s">
        <v>138</v>
      </c>
      <c r="AJ563" s="63" t="s">
        <v>138</v>
      </c>
      <c r="AK563" s="83">
        <v>3.1</v>
      </c>
      <c r="AL563" s="63" t="s">
        <v>57</v>
      </c>
      <c r="AM563" s="63" t="s">
        <v>130</v>
      </c>
      <c r="AN563"/>
    </row>
    <row r="564" spans="1:40" ht="18" customHeight="1">
      <c r="A564" s="1" t="s">
        <v>1828</v>
      </c>
      <c r="B564" s="1" t="s">
        <v>1829</v>
      </c>
      <c r="C564" s="4">
        <v>46184</v>
      </c>
      <c r="D564" s="4">
        <v>46192</v>
      </c>
      <c r="E564" s="4">
        <v>46186</v>
      </c>
      <c r="F564" s="63" t="s">
        <v>151</v>
      </c>
      <c r="G564" s="63" t="s">
        <v>3844</v>
      </c>
      <c r="H564" s="63" t="s">
        <v>152</v>
      </c>
      <c r="I564" s="63" t="s">
        <v>178</v>
      </c>
      <c r="J564" s="63" t="s">
        <v>112</v>
      </c>
      <c r="K564" s="63" t="s">
        <v>1830</v>
      </c>
      <c r="L564" s="63" t="s">
        <v>229</v>
      </c>
      <c r="M564" s="69">
        <v>295.25</v>
      </c>
      <c r="N564" s="63" t="s">
        <v>104</v>
      </c>
      <c r="O564" s="73">
        <f>_xlfn.XLOOKUP(Supplier_Perf_Table[[#This Row],[Currency]],'Comments 2'!$C$4:$C$16,'Comments 2'!$D$4:$D$16)</f>
        <v>1.9E-2</v>
      </c>
      <c r="P564" s="69">
        <f>IFERROR(Supplier_Perf_Table[[#This Row],[Unit_Cost]]*Supplier_Perf_Table[[#This Row],[Dollar Equivalent]],"")</f>
        <v>5.60975</v>
      </c>
      <c r="Q564" s="75">
        <v>50</v>
      </c>
      <c r="R564" s="1">
        <v>14762.5</v>
      </c>
      <c r="S564" s="75">
        <f>Supplier_Perf_Table[[#This Row],[Unit_Cost]]*Supplier_Perf_Table[[#This Row],[Order_Quantity]]</f>
        <v>14762.5</v>
      </c>
      <c r="T564" s="75">
        <f>IFERROR(Supplier_Perf_Table[[#This Row],[Dollar Equivalent]]*Supplier_Perf_Table[[#This Row],[Ordered_Value]],"")</f>
        <v>280.48750000000001</v>
      </c>
      <c r="U564" s="75">
        <v>0</v>
      </c>
      <c r="V564" s="7">
        <v>0</v>
      </c>
      <c r="W564" s="75">
        <v>2</v>
      </c>
      <c r="X564" s="55">
        <f>IFERROR(Supplier_Perf_Table[[#This Row],[Actual_Delivery_Date]]-Supplier_Perf_Table[[#This Row],[Order Date]],"")</f>
        <v>2</v>
      </c>
      <c r="Y564" s="75" t="s">
        <v>3080</v>
      </c>
      <c r="Z564" s="56">
        <f>IFERROR(Supplier_Perf_Table[[#This Row],[Expected Delivery_Date]]-Supplier_Perf_Table[[#This Row],[Order Date]],"")</f>
        <v>8</v>
      </c>
      <c r="AA564" s="56">
        <f>Supplier_Perf_Table[[#This Row],[Calculated_Lead_Time2]]-Supplier_Perf_Table[[#This Row],[Calculated_Expected_Lead_Time]]</f>
        <v>-6</v>
      </c>
      <c r="AB564" s="75">
        <v>-6</v>
      </c>
      <c r="AC564" s="63" t="s">
        <v>87</v>
      </c>
      <c r="AD564" s="63" t="s">
        <v>3088</v>
      </c>
      <c r="AE564" s="63" t="s">
        <v>105</v>
      </c>
      <c r="AF564" s="63" t="s">
        <v>3088</v>
      </c>
      <c r="AG564" s="63" t="s">
        <v>54</v>
      </c>
      <c r="AH564" s="63" t="s">
        <v>136</v>
      </c>
      <c r="AI564" s="63" t="s">
        <v>138</v>
      </c>
      <c r="AJ564" s="63" t="s">
        <v>138</v>
      </c>
      <c r="AK564" s="83">
        <v>3.9</v>
      </c>
      <c r="AL564" s="63" t="s">
        <v>139</v>
      </c>
      <c r="AM564" s="63" t="s">
        <v>138</v>
      </c>
      <c r="AN564"/>
    </row>
    <row r="565" spans="1:40" ht="18" customHeight="1">
      <c r="A565" s="1" t="s">
        <v>1831</v>
      </c>
      <c r="B565" s="1" t="s">
        <v>1832</v>
      </c>
      <c r="C565" s="4">
        <v>46060</v>
      </c>
      <c r="D565" s="4">
        <v>46077</v>
      </c>
      <c r="E565" s="4">
        <v>46083</v>
      </c>
      <c r="F565" s="63" t="s">
        <v>90</v>
      </c>
      <c r="G565" s="63" t="s">
        <v>3840</v>
      </c>
      <c r="H565" s="63" t="s">
        <v>133</v>
      </c>
      <c r="I565" s="63" t="s">
        <v>61</v>
      </c>
      <c r="J565" s="63" t="s">
        <v>71</v>
      </c>
      <c r="K565" s="63" t="s">
        <v>1833</v>
      </c>
      <c r="L565" s="63" t="s">
        <v>73</v>
      </c>
      <c r="M565" s="69">
        <v>207.66</v>
      </c>
      <c r="N565" s="63" t="s">
        <v>86</v>
      </c>
      <c r="O565" s="73">
        <f>_xlfn.XLOOKUP(Supplier_Perf_Table[[#This Row],[Currency]],'Comments 2'!$C$4:$C$16,'Comments 2'!$D$4:$D$16)</f>
        <v>8.8999999999999996E-2</v>
      </c>
      <c r="P565" s="69">
        <f>IFERROR(Supplier_Perf_Table[[#This Row],[Unit_Cost]]*Supplier_Perf_Table[[#This Row],[Dollar Equivalent]],"")</f>
        <v>18.481739999999999</v>
      </c>
      <c r="Q565" s="75">
        <v>250</v>
      </c>
      <c r="R565" s="1">
        <v>0</v>
      </c>
      <c r="S565" s="75">
        <f>Supplier_Perf_Table[[#This Row],[Unit_Cost]]*Supplier_Perf_Table[[#This Row],[Order_Quantity]]</f>
        <v>51915</v>
      </c>
      <c r="T565" s="75">
        <f>IFERROR(Supplier_Perf_Table[[#This Row],[Dollar Equivalent]]*Supplier_Perf_Table[[#This Row],[Ordered_Value]],"")</f>
        <v>0</v>
      </c>
      <c r="U565" s="75">
        <v>15</v>
      </c>
      <c r="V565" s="7">
        <v>0.06</v>
      </c>
      <c r="W565" s="75">
        <v>23</v>
      </c>
      <c r="X565" s="55">
        <f>IFERROR(Supplier_Perf_Table[[#This Row],[Actual_Delivery_Date]]-Supplier_Perf_Table[[#This Row],[Order Date]],"")</f>
        <v>23</v>
      </c>
      <c r="Y565" s="75">
        <v>17</v>
      </c>
      <c r="Z565" s="56">
        <f>IFERROR(Supplier_Perf_Table[[#This Row],[Expected Delivery_Date]]-Supplier_Perf_Table[[#This Row],[Order Date]],"")</f>
        <v>17</v>
      </c>
      <c r="AA565" s="56">
        <f>Supplier_Perf_Table[[#This Row],[Calculated_Lead_Time2]]-Supplier_Perf_Table[[#This Row],[Calculated_Expected_Lead_Time]]</f>
        <v>6</v>
      </c>
      <c r="AB565" s="75">
        <v>6</v>
      </c>
      <c r="AC565" s="63" t="s">
        <v>135</v>
      </c>
      <c r="AD565" s="63" t="s">
        <v>74</v>
      </c>
      <c r="AE565" s="63" t="s">
        <v>3088</v>
      </c>
      <c r="AF565" s="63" t="s">
        <v>212</v>
      </c>
      <c r="AG565" s="63" t="s">
        <v>3088</v>
      </c>
      <c r="AH565" s="63" t="s">
        <v>136</v>
      </c>
      <c r="AI565" s="63" t="s">
        <v>137</v>
      </c>
      <c r="AJ565" s="63" t="s">
        <v>283</v>
      </c>
      <c r="AK565" s="83">
        <v>1.5</v>
      </c>
      <c r="AL565" s="63" t="s">
        <v>76</v>
      </c>
      <c r="AM565" s="63" t="s">
        <v>185</v>
      </c>
      <c r="AN565"/>
    </row>
    <row r="566" spans="1:40" ht="18" customHeight="1">
      <c r="A566" s="1" t="s">
        <v>1834</v>
      </c>
      <c r="B566" s="1" t="s">
        <v>1835</v>
      </c>
      <c r="C566" s="4">
        <v>46054</v>
      </c>
      <c r="D566" s="4">
        <v>46068</v>
      </c>
      <c r="E566" s="4">
        <v>46069</v>
      </c>
      <c r="F566" s="63" t="s">
        <v>100</v>
      </c>
      <c r="G566" s="63" t="s">
        <v>3841</v>
      </c>
      <c r="H566" s="63" t="s">
        <v>102</v>
      </c>
      <c r="I566" s="63" t="s">
        <v>83</v>
      </c>
      <c r="J566" s="63" t="s">
        <v>50</v>
      </c>
      <c r="K566" s="63" t="s">
        <v>1836</v>
      </c>
      <c r="L566" s="63" t="s">
        <v>52</v>
      </c>
      <c r="M566" s="69">
        <v>1830.14</v>
      </c>
      <c r="N566" s="63" t="s">
        <v>86</v>
      </c>
      <c r="O566" s="73">
        <f>_xlfn.XLOOKUP(Supplier_Perf_Table[[#This Row],[Currency]],'Comments 2'!$C$4:$C$16,'Comments 2'!$D$4:$D$16)</f>
        <v>8.8999999999999996E-2</v>
      </c>
      <c r="P566" s="69">
        <f>IFERROR(Supplier_Perf_Table[[#This Row],[Unit_Cost]]*Supplier_Perf_Table[[#This Row],[Dollar Equivalent]],"")</f>
        <v>162.88246000000001</v>
      </c>
      <c r="Q566" s="75">
        <v>250</v>
      </c>
      <c r="R566" s="1">
        <v>457535</v>
      </c>
      <c r="S566" s="75">
        <f>Supplier_Perf_Table[[#This Row],[Unit_Cost]]*Supplier_Perf_Table[[#This Row],[Order_Quantity]]</f>
        <v>457535</v>
      </c>
      <c r="T566" s="75">
        <f>IFERROR(Supplier_Perf_Table[[#This Row],[Dollar Equivalent]]*Supplier_Perf_Table[[#This Row],[Ordered_Value]],"")</f>
        <v>40720.614999999998</v>
      </c>
      <c r="U566" s="75">
        <v>13</v>
      </c>
      <c r="V566" s="7">
        <v>5.1999999999999998E-2</v>
      </c>
      <c r="W566" s="75" t="s">
        <v>3080</v>
      </c>
      <c r="X566" s="55">
        <f>IFERROR(Supplier_Perf_Table[[#This Row],[Actual_Delivery_Date]]-Supplier_Perf_Table[[#This Row],[Order Date]],"")</f>
        <v>15</v>
      </c>
      <c r="Y566" s="75">
        <v>14</v>
      </c>
      <c r="Z566" s="56">
        <f>IFERROR(Supplier_Perf_Table[[#This Row],[Expected Delivery_Date]]-Supplier_Perf_Table[[#This Row],[Order Date]],"")</f>
        <v>14</v>
      </c>
      <c r="AA566" s="56">
        <f>Supplier_Perf_Table[[#This Row],[Calculated_Lead_Time2]]-Supplier_Perf_Table[[#This Row],[Calculated_Expected_Lead_Time]]</f>
        <v>1</v>
      </c>
      <c r="AB566" s="75">
        <v>1</v>
      </c>
      <c r="AC566" s="63" t="s">
        <v>166</v>
      </c>
      <c r="AD566" s="63" t="s">
        <v>74</v>
      </c>
      <c r="AE566" s="63" t="s">
        <v>41</v>
      </c>
      <c r="AF566" s="63" t="s">
        <v>212</v>
      </c>
      <c r="AG566" s="63" t="s">
        <v>107</v>
      </c>
      <c r="AH566" s="63" t="s">
        <v>174</v>
      </c>
      <c r="AI566" s="63" t="s">
        <v>56</v>
      </c>
      <c r="AJ566" s="63" t="s">
        <v>75</v>
      </c>
      <c r="AK566" s="83">
        <v>2.4</v>
      </c>
      <c r="AL566" s="63" t="s">
        <v>108</v>
      </c>
      <c r="AM566" s="63" t="s">
        <v>77</v>
      </c>
      <c r="AN566"/>
    </row>
    <row r="567" spans="1:40" ht="18" customHeight="1">
      <c r="A567" s="1" t="s">
        <v>1837</v>
      </c>
      <c r="B567" s="1" t="s">
        <v>1838</v>
      </c>
      <c r="C567" s="4">
        <v>46156</v>
      </c>
      <c r="D567" s="4">
        <v>46168</v>
      </c>
      <c r="E567" s="4">
        <v>46177</v>
      </c>
      <c r="F567" s="63" t="s">
        <v>100</v>
      </c>
      <c r="G567" s="63" t="s">
        <v>3841</v>
      </c>
      <c r="H567" s="63" t="s">
        <v>102</v>
      </c>
      <c r="I567" s="63" t="s">
        <v>70</v>
      </c>
      <c r="J567" s="63" t="s">
        <v>50</v>
      </c>
      <c r="K567" s="63" t="s">
        <v>1839</v>
      </c>
      <c r="L567" s="63" t="s">
        <v>52</v>
      </c>
      <c r="M567" s="69">
        <v>1167.0999999999999</v>
      </c>
      <c r="N567" s="63" t="s">
        <v>65</v>
      </c>
      <c r="O567" s="73">
        <f>_xlfn.XLOOKUP(Supplier_Perf_Table[[#This Row],[Currency]],'Comments 2'!$C$4:$C$16,'Comments 2'!$D$4:$D$16)</f>
        <v>1</v>
      </c>
      <c r="P567" s="69">
        <f>IFERROR(Supplier_Perf_Table[[#This Row],[Unit_Cost]]*Supplier_Perf_Table[[#This Row],[Dollar Equivalent]],"")</f>
        <v>1167.0999999999999</v>
      </c>
      <c r="Q567" s="75">
        <v>100</v>
      </c>
      <c r="R567" s="1">
        <v>116710</v>
      </c>
      <c r="S567" s="75">
        <f>Supplier_Perf_Table[[#This Row],[Unit_Cost]]*Supplier_Perf_Table[[#This Row],[Order_Quantity]]</f>
        <v>116709.99999999999</v>
      </c>
      <c r="T567" s="75">
        <f>IFERROR(Supplier_Perf_Table[[#This Row],[Dollar Equivalent]]*Supplier_Perf_Table[[#This Row],[Ordered_Value]],"")</f>
        <v>116710</v>
      </c>
      <c r="U567" s="75">
        <v>-1</v>
      </c>
      <c r="V567" s="7">
        <v>0.05</v>
      </c>
      <c r="W567" s="75">
        <v>21</v>
      </c>
      <c r="X567" s="55">
        <f>IFERROR(Supplier_Perf_Table[[#This Row],[Actual_Delivery_Date]]-Supplier_Perf_Table[[#This Row],[Order Date]],"")</f>
        <v>21</v>
      </c>
      <c r="Y567" s="75">
        <v>12</v>
      </c>
      <c r="Z567" s="56">
        <f>IFERROR(Supplier_Perf_Table[[#This Row],[Expected Delivery_Date]]-Supplier_Perf_Table[[#This Row],[Order Date]],"")</f>
        <v>12</v>
      </c>
      <c r="AA567" s="56">
        <f>Supplier_Perf_Table[[#This Row],[Calculated_Lead_Time2]]-Supplier_Perf_Table[[#This Row],[Calculated_Expected_Lead_Time]]</f>
        <v>9</v>
      </c>
      <c r="AB567" s="75">
        <v>9</v>
      </c>
      <c r="AC567" s="63" t="s">
        <v>39</v>
      </c>
      <c r="AD567" s="63" t="s">
        <v>74</v>
      </c>
      <c r="AE567" s="63" t="s">
        <v>41</v>
      </c>
      <c r="AF567" s="63" t="s">
        <v>190</v>
      </c>
      <c r="AG567" s="63" t="s">
        <v>3088</v>
      </c>
      <c r="AH567" s="63" t="s">
        <v>55</v>
      </c>
      <c r="AI567" s="63" t="s">
        <v>44</v>
      </c>
      <c r="AJ567" s="63" t="s">
        <v>183</v>
      </c>
      <c r="AK567" s="83">
        <v>1.9</v>
      </c>
      <c r="AL567" s="63" t="s">
        <v>184</v>
      </c>
      <c r="AM567" s="63" t="s">
        <v>77</v>
      </c>
      <c r="AN567"/>
    </row>
    <row r="568" spans="1:40" ht="18" customHeight="1">
      <c r="A568" s="1" t="s">
        <v>1840</v>
      </c>
      <c r="B568" s="1" t="s">
        <v>1841</v>
      </c>
      <c r="C568" s="4">
        <v>46203</v>
      </c>
      <c r="D568" s="4">
        <v>46208</v>
      </c>
      <c r="E568" s="4">
        <v>46212</v>
      </c>
      <c r="F568" s="63" t="s">
        <v>151</v>
      </c>
      <c r="G568" s="63" t="s">
        <v>3844</v>
      </c>
      <c r="H568" s="63" t="s">
        <v>152</v>
      </c>
      <c r="I568" s="63" t="s">
        <v>34</v>
      </c>
      <c r="J568" s="63" t="s">
        <v>112</v>
      </c>
      <c r="K568" s="63" t="s">
        <v>1842</v>
      </c>
      <c r="L568" s="63" t="s">
        <v>246</v>
      </c>
      <c r="M568" s="69">
        <v>393.7</v>
      </c>
      <c r="N568" s="63" t="s">
        <v>65</v>
      </c>
      <c r="O568" s="73">
        <f>_xlfn.XLOOKUP(Supplier_Perf_Table[[#This Row],[Currency]],'Comments 2'!$C$4:$C$16,'Comments 2'!$D$4:$D$16)</f>
        <v>1</v>
      </c>
      <c r="P568" s="69">
        <f>IFERROR(Supplier_Perf_Table[[#This Row],[Unit_Cost]]*Supplier_Perf_Table[[#This Row],[Dollar Equivalent]],"")</f>
        <v>393.7</v>
      </c>
      <c r="Q568" s="75">
        <v>2000</v>
      </c>
      <c r="R568" s="1">
        <v>787400</v>
      </c>
      <c r="S568" s="75">
        <f>Supplier_Perf_Table[[#This Row],[Unit_Cost]]*Supplier_Perf_Table[[#This Row],[Order_Quantity]]</f>
        <v>787400</v>
      </c>
      <c r="T568" s="75">
        <f>IFERROR(Supplier_Perf_Table[[#This Row],[Dollar Equivalent]]*Supplier_Perf_Table[[#This Row],[Ordered_Value]],"")</f>
        <v>787400</v>
      </c>
      <c r="U568" s="75">
        <v>36</v>
      </c>
      <c r="V568" s="7">
        <v>1.7999999999999999E-2</v>
      </c>
      <c r="W568" s="75">
        <v>9</v>
      </c>
      <c r="X568" s="55">
        <f>IFERROR(Supplier_Perf_Table[[#This Row],[Actual_Delivery_Date]]-Supplier_Perf_Table[[#This Row],[Order Date]],"")</f>
        <v>9</v>
      </c>
      <c r="Y568" s="75">
        <v>5</v>
      </c>
      <c r="Z568" s="56">
        <f>IFERROR(Supplier_Perf_Table[[#This Row],[Expected Delivery_Date]]-Supplier_Perf_Table[[#This Row],[Order Date]],"")</f>
        <v>5</v>
      </c>
      <c r="AA568" s="56">
        <f>Supplier_Perf_Table[[#This Row],[Calculated_Lead_Time2]]-Supplier_Perf_Table[[#This Row],[Calculated_Expected_Lead_Time]]</f>
        <v>4</v>
      </c>
      <c r="AB568" s="75">
        <v>4</v>
      </c>
      <c r="AC568" s="63" t="s">
        <v>205</v>
      </c>
      <c r="AD568" s="63" t="s">
        <v>40</v>
      </c>
      <c r="AE568" s="63" t="s">
        <v>127</v>
      </c>
      <c r="AF568" s="63" t="s">
        <v>106</v>
      </c>
      <c r="AG568" s="63" t="s">
        <v>128</v>
      </c>
      <c r="AH568" s="63" t="s">
        <v>174</v>
      </c>
      <c r="AI568" s="63" t="s">
        <v>95</v>
      </c>
      <c r="AJ568" s="63" t="s">
        <v>138</v>
      </c>
      <c r="AK568" s="83">
        <v>4.0999999999999996</v>
      </c>
      <c r="AL568" s="63" t="s">
        <v>184</v>
      </c>
      <c r="AM568" s="63" t="s">
        <v>148</v>
      </c>
      <c r="AN568"/>
    </row>
    <row r="569" spans="1:40" ht="18" customHeight="1">
      <c r="A569" s="1" t="s">
        <v>1843</v>
      </c>
      <c r="B569" s="1" t="s">
        <v>1844</v>
      </c>
      <c r="C569" s="4">
        <v>46048</v>
      </c>
      <c r="D569" s="4">
        <v>46068</v>
      </c>
      <c r="E569" s="4">
        <v>46074</v>
      </c>
      <c r="F569" s="63" t="s">
        <v>32</v>
      </c>
      <c r="G569" s="63" t="s">
        <v>3835</v>
      </c>
      <c r="H569" s="63" t="s">
        <v>177</v>
      </c>
      <c r="I569" s="63" t="s">
        <v>120</v>
      </c>
      <c r="J569" s="63" t="s">
        <v>35</v>
      </c>
      <c r="K569" s="63" t="s">
        <v>637</v>
      </c>
      <c r="L569" s="63" t="s">
        <v>37</v>
      </c>
      <c r="M569" s="69">
        <v>3434.18</v>
      </c>
      <c r="N569" s="63" t="s">
        <v>65</v>
      </c>
      <c r="O569" s="73">
        <f>_xlfn.XLOOKUP(Supplier_Perf_Table[[#This Row],[Currency]],'Comments 2'!$C$4:$C$16,'Comments 2'!$D$4:$D$16)</f>
        <v>1</v>
      </c>
      <c r="P569" s="69">
        <f>IFERROR(Supplier_Perf_Table[[#This Row],[Unit_Cost]]*Supplier_Perf_Table[[#This Row],[Dollar Equivalent]],"")</f>
        <v>3434.18</v>
      </c>
      <c r="Q569" s="75">
        <v>1500</v>
      </c>
      <c r="R569" s="1">
        <v>5151270</v>
      </c>
      <c r="S569" s="75">
        <f>Supplier_Perf_Table[[#This Row],[Unit_Cost]]*Supplier_Perf_Table[[#This Row],[Order_Quantity]]</f>
        <v>5151270</v>
      </c>
      <c r="T569" s="75">
        <f>IFERROR(Supplier_Perf_Table[[#This Row],[Dollar Equivalent]]*Supplier_Perf_Table[[#This Row],[Ordered_Value]],"")</f>
        <v>5151270</v>
      </c>
      <c r="U569" s="75">
        <v>139</v>
      </c>
      <c r="V569" s="7">
        <v>9.2700000000000005E-2</v>
      </c>
      <c r="W569" s="75">
        <v>26</v>
      </c>
      <c r="X569" s="55">
        <f>IFERROR(Supplier_Perf_Table[[#This Row],[Actual_Delivery_Date]]-Supplier_Perf_Table[[#This Row],[Order Date]],"")</f>
        <v>26</v>
      </c>
      <c r="Y569" s="75">
        <v>20</v>
      </c>
      <c r="Z569" s="56">
        <f>IFERROR(Supplier_Perf_Table[[#This Row],[Expected Delivery_Date]]-Supplier_Perf_Table[[#This Row],[Order Date]],"")</f>
        <v>20</v>
      </c>
      <c r="AA569" s="56">
        <f>Supplier_Perf_Table[[#This Row],[Calculated_Lead_Time2]]-Supplier_Perf_Table[[#This Row],[Calculated_Expected_Lead_Time]]</f>
        <v>6</v>
      </c>
      <c r="AB569" s="75"/>
      <c r="AC569" s="63" t="s">
        <v>135</v>
      </c>
      <c r="AD569" s="63" t="s">
        <v>420</v>
      </c>
      <c r="AE569" s="63" t="s">
        <v>41</v>
      </c>
      <c r="AF569" s="63" t="s">
        <v>3088</v>
      </c>
      <c r="AG569" s="63" t="s">
        <v>173</v>
      </c>
      <c r="AH569" s="63" t="s">
        <v>3112</v>
      </c>
      <c r="AI569" s="63" t="s">
        <v>56</v>
      </c>
      <c r="AJ569" s="63" t="s">
        <v>75</v>
      </c>
      <c r="AK569" s="83">
        <v>2.9</v>
      </c>
      <c r="AL569" s="63" t="s">
        <v>115</v>
      </c>
      <c r="AM569" s="63" t="s">
        <v>77</v>
      </c>
      <c r="AN569"/>
    </row>
    <row r="570" spans="1:40" ht="18" customHeight="1">
      <c r="A570" s="1" t="s">
        <v>1845</v>
      </c>
      <c r="B570" s="1" t="s">
        <v>1846</v>
      </c>
      <c r="C570" s="4">
        <v>46137</v>
      </c>
      <c r="D570" s="4">
        <v>46151</v>
      </c>
      <c r="E570" s="4">
        <v>46139</v>
      </c>
      <c r="F570" s="63" t="s">
        <v>215</v>
      </c>
      <c r="G570" s="63" t="s">
        <v>3846</v>
      </c>
      <c r="H570" s="63" t="s">
        <v>152</v>
      </c>
      <c r="I570" s="63" t="s">
        <v>49</v>
      </c>
      <c r="J570" s="63" t="s">
        <v>112</v>
      </c>
      <c r="K570" s="63" t="s">
        <v>1847</v>
      </c>
      <c r="L570" s="63" t="s">
        <v>229</v>
      </c>
      <c r="M570" s="69">
        <v>652.80999999999995</v>
      </c>
      <c r="N570" s="63" t="s">
        <v>104</v>
      </c>
      <c r="O570" s="73">
        <f>_xlfn.XLOOKUP(Supplier_Perf_Table[[#This Row],[Currency]],'Comments 2'!$C$4:$C$16,'Comments 2'!$D$4:$D$16)</f>
        <v>1.9E-2</v>
      </c>
      <c r="P570" s="69">
        <f>IFERROR(Supplier_Perf_Table[[#This Row],[Unit_Cost]]*Supplier_Perf_Table[[#This Row],[Dollar Equivalent]],"")</f>
        <v>12.403389999999998</v>
      </c>
      <c r="Q570" s="75">
        <v>2000</v>
      </c>
      <c r="R570" s="1" t="s">
        <v>3080</v>
      </c>
      <c r="S570" s="75">
        <f>Supplier_Perf_Table[[#This Row],[Unit_Cost]]*Supplier_Perf_Table[[#This Row],[Order_Quantity]]</f>
        <v>1305620</v>
      </c>
      <c r="T570" s="75" t="str">
        <f>IFERROR(Supplier_Perf_Table[[#This Row],[Dollar Equivalent]]*Supplier_Perf_Table[[#This Row],[Ordered_Value]],"")</f>
        <v/>
      </c>
      <c r="U570" s="75">
        <v>-1</v>
      </c>
      <c r="V570" s="7">
        <v>2.9499999999999998E-2</v>
      </c>
      <c r="W570" s="75">
        <v>2</v>
      </c>
      <c r="X570" s="55">
        <f>IFERROR(Supplier_Perf_Table[[#This Row],[Actual_Delivery_Date]]-Supplier_Perf_Table[[#This Row],[Order Date]],"")</f>
        <v>2</v>
      </c>
      <c r="Y570" s="75">
        <v>14</v>
      </c>
      <c r="Z570" s="56">
        <f>IFERROR(Supplier_Perf_Table[[#This Row],[Expected Delivery_Date]]-Supplier_Perf_Table[[#This Row],[Order Date]],"")</f>
        <v>14</v>
      </c>
      <c r="AA570" s="56">
        <f>Supplier_Perf_Table[[#This Row],[Calculated_Lead_Time2]]-Supplier_Perf_Table[[#This Row],[Calculated_Expected_Lead_Time]]</f>
        <v>-12</v>
      </c>
      <c r="AB570" s="75">
        <v>-12</v>
      </c>
      <c r="AC570" s="63" t="s">
        <v>87</v>
      </c>
      <c r="AD570" s="63" t="s">
        <v>40</v>
      </c>
      <c r="AE570" s="63" t="s">
        <v>105</v>
      </c>
      <c r="AF570" s="63" t="s">
        <v>106</v>
      </c>
      <c r="AG570" s="63" t="s">
        <v>173</v>
      </c>
      <c r="AH570" s="63" t="s">
        <v>3112</v>
      </c>
      <c r="AI570" s="63" t="s">
        <v>137</v>
      </c>
      <c r="AJ570" s="63" t="s">
        <v>138</v>
      </c>
      <c r="AK570" s="83">
        <v>3.4</v>
      </c>
      <c r="AL570" s="63" t="s">
        <v>76</v>
      </c>
      <c r="AM570" s="63" t="s">
        <v>138</v>
      </c>
      <c r="AN570"/>
    </row>
    <row r="571" spans="1:40" ht="18" customHeight="1">
      <c r="A571" s="1" t="s">
        <v>1848</v>
      </c>
      <c r="B571" s="1" t="s">
        <v>1849</v>
      </c>
      <c r="C571" s="4">
        <v>46183</v>
      </c>
      <c r="D571" s="4">
        <v>46198</v>
      </c>
      <c r="E571" s="4">
        <v>46209</v>
      </c>
      <c r="F571" s="63" t="s">
        <v>32</v>
      </c>
      <c r="G571" s="63" t="s">
        <v>3835</v>
      </c>
      <c r="H571" s="63" t="s">
        <v>177</v>
      </c>
      <c r="I571" s="63" t="s">
        <v>83</v>
      </c>
      <c r="J571" s="63" t="s">
        <v>35</v>
      </c>
      <c r="K571" s="63" t="s">
        <v>1441</v>
      </c>
      <c r="L571" s="63" t="s">
        <v>180</v>
      </c>
      <c r="M571" s="69">
        <v>945.49</v>
      </c>
      <c r="N571" s="63" t="s">
        <v>86</v>
      </c>
      <c r="O571" s="73">
        <f>_xlfn.XLOOKUP(Supplier_Perf_Table[[#This Row],[Currency]],'Comments 2'!$C$4:$C$16,'Comments 2'!$D$4:$D$16)</f>
        <v>8.8999999999999996E-2</v>
      </c>
      <c r="P571" s="69">
        <f>IFERROR(Supplier_Perf_Table[[#This Row],[Unit_Cost]]*Supplier_Perf_Table[[#This Row],[Dollar Equivalent]],"")</f>
        <v>84.148609999999991</v>
      </c>
      <c r="Q571" s="75">
        <v>150</v>
      </c>
      <c r="R571" s="1">
        <v>141823.5</v>
      </c>
      <c r="S571" s="75">
        <f>Supplier_Perf_Table[[#This Row],[Unit_Cost]]*Supplier_Perf_Table[[#This Row],[Order_Quantity]]</f>
        <v>141823.5</v>
      </c>
      <c r="T571" s="75">
        <f>IFERROR(Supplier_Perf_Table[[#This Row],[Dollar Equivalent]]*Supplier_Perf_Table[[#This Row],[Ordered_Value]],"")</f>
        <v>12622.291499999999</v>
      </c>
      <c r="U571" s="75">
        <v>0</v>
      </c>
      <c r="V571" s="7">
        <v>0</v>
      </c>
      <c r="W571" s="75">
        <v>26</v>
      </c>
      <c r="X571" s="55">
        <f>IFERROR(Supplier_Perf_Table[[#This Row],[Actual_Delivery_Date]]-Supplier_Perf_Table[[#This Row],[Order Date]],"")</f>
        <v>26</v>
      </c>
      <c r="Y571" s="75">
        <v>15</v>
      </c>
      <c r="Z571" s="56">
        <f>IFERROR(Supplier_Perf_Table[[#This Row],[Expected Delivery_Date]]-Supplier_Perf_Table[[#This Row],[Order Date]],"")</f>
        <v>15</v>
      </c>
      <c r="AA571" s="56">
        <f>Supplier_Perf_Table[[#This Row],[Calculated_Lead_Time2]]-Supplier_Perf_Table[[#This Row],[Calculated_Expected_Lead_Time]]</f>
        <v>11</v>
      </c>
      <c r="AB571" s="75">
        <v>11</v>
      </c>
      <c r="AC571" s="63" t="s">
        <v>39</v>
      </c>
      <c r="AD571" s="63" t="s">
        <v>40</v>
      </c>
      <c r="AE571" s="63" t="s">
        <v>41</v>
      </c>
      <c r="AF571" s="63" t="s">
        <v>106</v>
      </c>
      <c r="AG571" s="63" t="s">
        <v>173</v>
      </c>
      <c r="AH571" s="63" t="s">
        <v>129</v>
      </c>
      <c r="AI571" s="63" t="s">
        <v>137</v>
      </c>
      <c r="AJ571" s="63" t="s">
        <v>138</v>
      </c>
      <c r="AK571" s="83">
        <v>2.2999999999999998</v>
      </c>
      <c r="AL571" s="63" t="s">
        <v>76</v>
      </c>
      <c r="AM571" s="63" t="s">
        <v>46</v>
      </c>
      <c r="AN571"/>
    </row>
    <row r="572" spans="1:40" ht="18" customHeight="1">
      <c r="A572" s="1" t="s">
        <v>1850</v>
      </c>
      <c r="B572" s="1" t="s">
        <v>1851</v>
      </c>
      <c r="C572" s="4">
        <v>46173</v>
      </c>
      <c r="D572" s="4">
        <v>46188</v>
      </c>
      <c r="E572" s="4">
        <v>46203</v>
      </c>
      <c r="F572" s="63" t="s">
        <v>90</v>
      </c>
      <c r="G572" s="63" t="s">
        <v>3840</v>
      </c>
      <c r="H572" s="63" t="s">
        <v>133</v>
      </c>
      <c r="I572" s="63" t="s">
        <v>70</v>
      </c>
      <c r="J572" s="63" t="s">
        <v>50</v>
      </c>
      <c r="K572" s="63" t="s">
        <v>1852</v>
      </c>
      <c r="L572" s="63" t="s">
        <v>126</v>
      </c>
      <c r="M572" s="69">
        <v>1699.68</v>
      </c>
      <c r="N572" s="63" t="s">
        <v>38</v>
      </c>
      <c r="O572" s="73">
        <f>_xlfn.XLOOKUP(Supplier_Perf_Table[[#This Row],[Currency]],'Comments 2'!$C$4:$C$16,'Comments 2'!$D$4:$D$16)</f>
        <v>7.7000000000000002E-3</v>
      </c>
      <c r="P572" s="69">
        <f>IFERROR(Supplier_Perf_Table[[#This Row],[Unit_Cost]]*Supplier_Perf_Table[[#This Row],[Dollar Equivalent]],"")</f>
        <v>13.087536</v>
      </c>
      <c r="Q572" s="75">
        <v>1500</v>
      </c>
      <c r="R572" s="1">
        <v>2549520</v>
      </c>
      <c r="S572" s="75">
        <f>Supplier_Perf_Table[[#This Row],[Unit_Cost]]*Supplier_Perf_Table[[#This Row],[Order_Quantity]]</f>
        <v>2549520</v>
      </c>
      <c r="T572" s="75">
        <f>IFERROR(Supplier_Perf_Table[[#This Row],[Dollar Equivalent]]*Supplier_Perf_Table[[#This Row],[Ordered_Value]],"")</f>
        <v>19631.304</v>
      </c>
      <c r="U572" s="75">
        <v>0</v>
      </c>
      <c r="V572" s="7">
        <v>0</v>
      </c>
      <c r="W572" s="75">
        <v>30</v>
      </c>
      <c r="X572" s="55">
        <f>IFERROR(Supplier_Perf_Table[[#This Row],[Actual_Delivery_Date]]-Supplier_Perf_Table[[#This Row],[Order Date]],"")</f>
        <v>30</v>
      </c>
      <c r="Y572" s="75">
        <v>15</v>
      </c>
      <c r="Z572" s="56">
        <f>IFERROR(Supplier_Perf_Table[[#This Row],[Expected Delivery_Date]]-Supplier_Perf_Table[[#This Row],[Order Date]],"")</f>
        <v>15</v>
      </c>
      <c r="AA572" s="56">
        <f>Supplier_Perf_Table[[#This Row],[Calculated_Lead_Time2]]-Supplier_Perf_Table[[#This Row],[Calculated_Expected_Lead_Time]]</f>
        <v>15</v>
      </c>
      <c r="AB572" s="75">
        <v>15</v>
      </c>
      <c r="AC572" s="63" t="s">
        <v>39</v>
      </c>
      <c r="AD572" s="63" t="s">
        <v>40</v>
      </c>
      <c r="AE572" s="63" t="s">
        <v>146</v>
      </c>
      <c r="AF572" s="63" t="s">
        <v>42</v>
      </c>
      <c r="AG572" s="63" t="s">
        <v>3088</v>
      </c>
      <c r="AH572" s="63" t="s">
        <v>3112</v>
      </c>
      <c r="AI572" s="63" t="s">
        <v>137</v>
      </c>
      <c r="AJ572" s="63" t="s">
        <v>138</v>
      </c>
      <c r="AK572" s="83">
        <v>3.2</v>
      </c>
      <c r="AL572" s="63" t="s">
        <v>115</v>
      </c>
      <c r="AM572" s="63" t="s">
        <v>148</v>
      </c>
      <c r="AN572"/>
    </row>
    <row r="573" spans="1:40" ht="18" customHeight="1">
      <c r="A573" s="1" t="s">
        <v>1853</v>
      </c>
      <c r="B573" s="1" t="s">
        <v>1854</v>
      </c>
      <c r="C573" s="4">
        <v>46120</v>
      </c>
      <c r="D573" s="4">
        <v>46143</v>
      </c>
      <c r="E573" s="4">
        <v>46145</v>
      </c>
      <c r="F573" s="63" t="s">
        <v>235</v>
      </c>
      <c r="G573" s="63" t="s">
        <v>3848</v>
      </c>
      <c r="H573" s="63" t="s">
        <v>479</v>
      </c>
      <c r="I573" s="63" t="s">
        <v>120</v>
      </c>
      <c r="J573" s="63" t="s">
        <v>71</v>
      </c>
      <c r="K573" s="63" t="s">
        <v>1855</v>
      </c>
      <c r="L573" s="63" t="s">
        <v>337</v>
      </c>
      <c r="M573" s="69">
        <v>673.85</v>
      </c>
      <c r="N573" s="63" t="s">
        <v>104</v>
      </c>
      <c r="O573" s="73">
        <f>_xlfn.XLOOKUP(Supplier_Perf_Table[[#This Row],[Currency]],'Comments 2'!$C$4:$C$16,'Comments 2'!$D$4:$D$16)</f>
        <v>1.9E-2</v>
      </c>
      <c r="P573" s="69">
        <f>IFERROR(Supplier_Perf_Table[[#This Row],[Unit_Cost]]*Supplier_Perf_Table[[#This Row],[Dollar Equivalent]],"")</f>
        <v>12.80315</v>
      </c>
      <c r="Q573" s="75">
        <v>750</v>
      </c>
      <c r="R573" s="1">
        <v>505387.5</v>
      </c>
      <c r="S573" s="75">
        <f>Supplier_Perf_Table[[#This Row],[Unit_Cost]]*Supplier_Perf_Table[[#This Row],[Order_Quantity]]</f>
        <v>505387.5</v>
      </c>
      <c r="T573" s="75">
        <f>IFERROR(Supplier_Perf_Table[[#This Row],[Dollar Equivalent]]*Supplier_Perf_Table[[#This Row],[Ordered_Value]],"")</f>
        <v>9602.3624999999993</v>
      </c>
      <c r="U573" s="75">
        <v>20</v>
      </c>
      <c r="V573" s="7">
        <v>2.6700000000000002E-2</v>
      </c>
      <c r="W573" s="75">
        <v>25</v>
      </c>
      <c r="X573" s="55">
        <f>IFERROR(Supplier_Perf_Table[[#This Row],[Actual_Delivery_Date]]-Supplier_Perf_Table[[#This Row],[Order Date]],"")</f>
        <v>25</v>
      </c>
      <c r="Y573" s="75">
        <v>23</v>
      </c>
      <c r="Z573" s="56">
        <f>IFERROR(Supplier_Perf_Table[[#This Row],[Expected Delivery_Date]]-Supplier_Perf_Table[[#This Row],[Order Date]],"")</f>
        <v>23</v>
      </c>
      <c r="AA573" s="56">
        <f>Supplier_Perf_Table[[#This Row],[Calculated_Lead_Time2]]-Supplier_Perf_Table[[#This Row],[Calculated_Expected_Lead_Time]]</f>
        <v>2</v>
      </c>
      <c r="AB573" s="75">
        <v>2</v>
      </c>
      <c r="AC573" s="63" t="s">
        <v>135</v>
      </c>
      <c r="AD573" s="63" t="s">
        <v>40</v>
      </c>
      <c r="AE573" s="63" t="s">
        <v>105</v>
      </c>
      <c r="AF573" s="63" t="s">
        <v>212</v>
      </c>
      <c r="AG573" s="63" t="s">
        <v>173</v>
      </c>
      <c r="AH573" s="63" t="s">
        <v>206</v>
      </c>
      <c r="AI573" s="63" t="s">
        <v>138</v>
      </c>
      <c r="AJ573" s="63" t="s">
        <v>138</v>
      </c>
      <c r="AK573" s="83">
        <v>3</v>
      </c>
      <c r="AL573" s="63" t="s">
        <v>45</v>
      </c>
      <c r="AM573" s="63" t="s">
        <v>46</v>
      </c>
      <c r="AN573"/>
    </row>
    <row r="574" spans="1:40" ht="18" customHeight="1">
      <c r="A574" s="1" t="s">
        <v>1856</v>
      </c>
      <c r="B574" s="1" t="s">
        <v>1857</v>
      </c>
      <c r="C574" s="4">
        <v>46187</v>
      </c>
      <c r="D574" s="4">
        <v>46197</v>
      </c>
      <c r="E574" s="4">
        <v>46193</v>
      </c>
      <c r="F574" s="63" t="s">
        <v>151</v>
      </c>
      <c r="G574" s="63" t="s">
        <v>3844</v>
      </c>
      <c r="H574" s="63" t="s">
        <v>152</v>
      </c>
      <c r="I574" s="63" t="s">
        <v>83</v>
      </c>
      <c r="J574" s="63" t="s">
        <v>112</v>
      </c>
      <c r="K574" s="63" t="s">
        <v>1858</v>
      </c>
      <c r="L574" s="63" t="s">
        <v>229</v>
      </c>
      <c r="M574" s="69">
        <v>156.6</v>
      </c>
      <c r="N574" s="63" t="s">
        <v>86</v>
      </c>
      <c r="O574" s="73">
        <f>_xlfn.XLOOKUP(Supplier_Perf_Table[[#This Row],[Currency]],'Comments 2'!$C$4:$C$16,'Comments 2'!$D$4:$D$16)</f>
        <v>8.8999999999999996E-2</v>
      </c>
      <c r="P574" s="69">
        <f>IFERROR(Supplier_Perf_Table[[#This Row],[Unit_Cost]]*Supplier_Perf_Table[[#This Row],[Dollar Equivalent]],"")</f>
        <v>13.937399999999998</v>
      </c>
      <c r="Q574" s="75">
        <v>150</v>
      </c>
      <c r="R574" s="1" t="s">
        <v>3080</v>
      </c>
      <c r="S574" s="75">
        <f>Supplier_Perf_Table[[#This Row],[Unit_Cost]]*Supplier_Perf_Table[[#This Row],[Order_Quantity]]</f>
        <v>23490</v>
      </c>
      <c r="T574" s="75" t="str">
        <f>IFERROR(Supplier_Perf_Table[[#This Row],[Dollar Equivalent]]*Supplier_Perf_Table[[#This Row],[Ordered_Value]],"")</f>
        <v/>
      </c>
      <c r="U574" s="75">
        <v>0</v>
      </c>
      <c r="V574" s="7">
        <v>0</v>
      </c>
      <c r="W574" s="75" t="s">
        <v>3080</v>
      </c>
      <c r="X574" s="55">
        <f>IFERROR(Supplier_Perf_Table[[#This Row],[Actual_Delivery_Date]]-Supplier_Perf_Table[[#This Row],[Order Date]],"")</f>
        <v>6</v>
      </c>
      <c r="Y574" s="75">
        <v>10</v>
      </c>
      <c r="Z574" s="56">
        <f>IFERROR(Supplier_Perf_Table[[#This Row],[Expected Delivery_Date]]-Supplier_Perf_Table[[#This Row],[Order Date]],"")</f>
        <v>10</v>
      </c>
      <c r="AA574" s="56">
        <f>Supplier_Perf_Table[[#This Row],[Calculated_Lead_Time2]]-Supplier_Perf_Table[[#This Row],[Calculated_Expected_Lead_Time]]</f>
        <v>-4</v>
      </c>
      <c r="AB574" s="75">
        <v>-4</v>
      </c>
      <c r="AC574" s="63" t="s">
        <v>270</v>
      </c>
      <c r="AD574" s="63" t="s">
        <v>40</v>
      </c>
      <c r="AE574" s="63" t="s">
        <v>3088</v>
      </c>
      <c r="AF574" s="63" t="s">
        <v>106</v>
      </c>
      <c r="AG574" s="63" t="s">
        <v>43</v>
      </c>
      <c r="AH574" s="63" t="s">
        <v>129</v>
      </c>
      <c r="AI574" s="63" t="s">
        <v>147</v>
      </c>
      <c r="AJ574" s="63" t="s">
        <v>138</v>
      </c>
      <c r="AK574" s="83">
        <v>3.9</v>
      </c>
      <c r="AL574" s="63" t="s">
        <v>76</v>
      </c>
      <c r="AM574" s="63" t="s">
        <v>130</v>
      </c>
      <c r="AN574"/>
    </row>
    <row r="575" spans="1:40" ht="18" customHeight="1">
      <c r="A575" s="1" t="s">
        <v>1859</v>
      </c>
      <c r="B575" s="1" t="s">
        <v>1860</v>
      </c>
      <c r="C575" s="4">
        <v>46177</v>
      </c>
      <c r="D575" s="4">
        <v>46190</v>
      </c>
      <c r="E575" s="4">
        <v>46191</v>
      </c>
      <c r="F575" s="63" t="s">
        <v>69</v>
      </c>
      <c r="G575" s="63" t="s">
        <v>3838</v>
      </c>
      <c r="H575" s="63" t="s">
        <v>194</v>
      </c>
      <c r="I575" s="63" t="s">
        <v>61</v>
      </c>
      <c r="J575" s="63" t="s">
        <v>163</v>
      </c>
      <c r="K575" s="63" t="s">
        <v>1861</v>
      </c>
      <c r="L575" s="63" t="s">
        <v>269</v>
      </c>
      <c r="M575" s="69">
        <v>590.96</v>
      </c>
      <c r="N575" s="63" t="s">
        <v>65</v>
      </c>
      <c r="O575" s="73">
        <f>_xlfn.XLOOKUP(Supplier_Perf_Table[[#This Row],[Currency]],'Comments 2'!$C$4:$C$16,'Comments 2'!$D$4:$D$16)</f>
        <v>1</v>
      </c>
      <c r="P575" s="69">
        <f>IFERROR(Supplier_Perf_Table[[#This Row],[Unit_Cost]]*Supplier_Perf_Table[[#This Row],[Dollar Equivalent]],"")</f>
        <v>590.96</v>
      </c>
      <c r="Q575" s="75">
        <v>500</v>
      </c>
      <c r="R575" s="1">
        <v>295480</v>
      </c>
      <c r="S575" s="75">
        <f>Supplier_Perf_Table[[#This Row],[Unit_Cost]]*Supplier_Perf_Table[[#This Row],[Order_Quantity]]</f>
        <v>295480</v>
      </c>
      <c r="T575" s="75">
        <f>IFERROR(Supplier_Perf_Table[[#This Row],[Dollar Equivalent]]*Supplier_Perf_Table[[#This Row],[Ordered_Value]],"")</f>
        <v>295480</v>
      </c>
      <c r="U575" s="75">
        <v>3</v>
      </c>
      <c r="V575" s="7">
        <v>6.0000000000000001E-3</v>
      </c>
      <c r="W575" s="75">
        <v>14</v>
      </c>
      <c r="X575" s="55">
        <f>IFERROR(Supplier_Perf_Table[[#This Row],[Actual_Delivery_Date]]-Supplier_Perf_Table[[#This Row],[Order Date]],"")</f>
        <v>14</v>
      </c>
      <c r="Y575" s="75">
        <v>13</v>
      </c>
      <c r="Z575" s="56">
        <f>IFERROR(Supplier_Perf_Table[[#This Row],[Expected Delivery_Date]]-Supplier_Perf_Table[[#This Row],[Order Date]],"")</f>
        <v>13</v>
      </c>
      <c r="AA575" s="56">
        <f>Supplier_Perf_Table[[#This Row],[Calculated_Lead_Time2]]-Supplier_Perf_Table[[#This Row],[Calculated_Expected_Lead_Time]]</f>
        <v>1</v>
      </c>
      <c r="AB575" s="75">
        <v>1</v>
      </c>
      <c r="AC575" s="63" t="s">
        <v>166</v>
      </c>
      <c r="AD575" s="63" t="s">
        <v>40</v>
      </c>
      <c r="AE575" s="63" t="s">
        <v>127</v>
      </c>
      <c r="AF575" s="63" t="s">
        <v>42</v>
      </c>
      <c r="AG575" s="63" t="s">
        <v>173</v>
      </c>
      <c r="AH575" s="63" t="s">
        <v>129</v>
      </c>
      <c r="AI575" s="63" t="s">
        <v>44</v>
      </c>
      <c r="AJ575" s="63" t="s">
        <v>138</v>
      </c>
      <c r="AK575" s="83">
        <v>4.7</v>
      </c>
      <c r="AL575" s="63" t="s">
        <v>76</v>
      </c>
      <c r="AM575" s="63" t="s">
        <v>148</v>
      </c>
      <c r="AN575"/>
    </row>
    <row r="576" spans="1:40" ht="18" customHeight="1">
      <c r="A576" s="1" t="s">
        <v>1862</v>
      </c>
      <c r="B576" s="1" t="s">
        <v>1863</v>
      </c>
      <c r="C576" s="4">
        <v>46199</v>
      </c>
      <c r="D576" s="4">
        <v>46220</v>
      </c>
      <c r="E576" s="4">
        <v>46223</v>
      </c>
      <c r="F576" s="63" t="s">
        <v>32</v>
      </c>
      <c r="G576" s="63" t="s">
        <v>3835</v>
      </c>
      <c r="H576" s="63" t="s">
        <v>177</v>
      </c>
      <c r="I576" s="63" t="s">
        <v>34</v>
      </c>
      <c r="J576" s="63" t="s">
        <v>35</v>
      </c>
      <c r="K576" s="63" t="s">
        <v>1864</v>
      </c>
      <c r="L576" s="63" t="s">
        <v>37</v>
      </c>
      <c r="M576" s="69">
        <v>4773.3599999999997</v>
      </c>
      <c r="N576" s="63" t="s">
        <v>86</v>
      </c>
      <c r="O576" s="73">
        <f>_xlfn.XLOOKUP(Supplier_Perf_Table[[#This Row],[Currency]],'Comments 2'!$C$4:$C$16,'Comments 2'!$D$4:$D$16)</f>
        <v>8.8999999999999996E-2</v>
      </c>
      <c r="P576" s="69">
        <f>IFERROR(Supplier_Perf_Table[[#This Row],[Unit_Cost]]*Supplier_Perf_Table[[#This Row],[Dollar Equivalent]],"")</f>
        <v>424.82903999999996</v>
      </c>
      <c r="Q576" s="75">
        <v>100</v>
      </c>
      <c r="R576" s="1">
        <v>477336</v>
      </c>
      <c r="S576" s="75">
        <f>Supplier_Perf_Table[[#This Row],[Unit_Cost]]*Supplier_Perf_Table[[#This Row],[Order_Quantity]]</f>
        <v>477335.99999999994</v>
      </c>
      <c r="T576" s="75">
        <f>IFERROR(Supplier_Perf_Table[[#This Row],[Dollar Equivalent]]*Supplier_Perf_Table[[#This Row],[Ordered_Value]],"")</f>
        <v>42482.903999999995</v>
      </c>
      <c r="U576" s="75">
        <v>4</v>
      </c>
      <c r="V576" s="7">
        <v>0.04</v>
      </c>
      <c r="W576" s="75">
        <v>24</v>
      </c>
      <c r="X576" s="55">
        <f>IFERROR(Supplier_Perf_Table[[#This Row],[Actual_Delivery_Date]]-Supplier_Perf_Table[[#This Row],[Order Date]],"")</f>
        <v>24</v>
      </c>
      <c r="Y576" s="75">
        <v>21</v>
      </c>
      <c r="Z576" s="56">
        <f>IFERROR(Supplier_Perf_Table[[#This Row],[Expected Delivery_Date]]-Supplier_Perf_Table[[#This Row],[Order Date]],"")</f>
        <v>21</v>
      </c>
      <c r="AA576" s="56">
        <f>Supplier_Perf_Table[[#This Row],[Calculated_Lead_Time2]]-Supplier_Perf_Table[[#This Row],[Calculated_Expected_Lead_Time]]</f>
        <v>3</v>
      </c>
      <c r="AB576" s="75">
        <v>3</v>
      </c>
      <c r="AC576" s="63" t="s">
        <v>166</v>
      </c>
      <c r="AD576" s="63" t="s">
        <v>40</v>
      </c>
      <c r="AE576" s="63" t="s">
        <v>105</v>
      </c>
      <c r="AF576" s="63" t="s">
        <v>66</v>
      </c>
      <c r="AG576" s="63" t="s">
        <v>128</v>
      </c>
      <c r="AH576" s="63" t="s">
        <v>129</v>
      </c>
      <c r="AI576" s="63" t="s">
        <v>95</v>
      </c>
      <c r="AJ576" s="63" t="s">
        <v>138</v>
      </c>
      <c r="AK576" s="83">
        <v>3.6</v>
      </c>
      <c r="AL576" s="63" t="s">
        <v>45</v>
      </c>
      <c r="AM576" s="63" t="s">
        <v>46</v>
      </c>
      <c r="AN576"/>
    </row>
    <row r="577" spans="1:40" ht="18" customHeight="1">
      <c r="A577" s="1" t="s">
        <v>1865</v>
      </c>
      <c r="B577" s="1" t="s">
        <v>1866</v>
      </c>
      <c r="C577" s="4">
        <v>46047</v>
      </c>
      <c r="D577" s="4">
        <v>46066</v>
      </c>
      <c r="E577" s="4">
        <v>46070</v>
      </c>
      <c r="F577" s="63" t="s">
        <v>235</v>
      </c>
      <c r="G577" s="63" t="s">
        <v>3848</v>
      </c>
      <c r="H577" s="63" t="s">
        <v>479</v>
      </c>
      <c r="I577" s="63" t="s">
        <v>241</v>
      </c>
      <c r="J577" s="63" t="s">
        <v>71</v>
      </c>
      <c r="K577" s="63" t="s">
        <v>1496</v>
      </c>
      <c r="L577" s="63" t="s">
        <v>553</v>
      </c>
      <c r="M577" s="69">
        <v>177.77</v>
      </c>
      <c r="N577" s="63" t="s">
        <v>86</v>
      </c>
      <c r="O577" s="73">
        <f>_xlfn.XLOOKUP(Supplier_Perf_Table[[#This Row],[Currency]],'Comments 2'!$C$4:$C$16,'Comments 2'!$D$4:$D$16)</f>
        <v>8.8999999999999996E-2</v>
      </c>
      <c r="P577" s="69">
        <f>IFERROR(Supplier_Perf_Table[[#This Row],[Unit_Cost]]*Supplier_Perf_Table[[#This Row],[Dollar Equivalent]],"")</f>
        <v>15.821530000000001</v>
      </c>
      <c r="Q577" s="75">
        <v>1500</v>
      </c>
      <c r="R577" s="1">
        <v>266655</v>
      </c>
      <c r="S577" s="75">
        <f>Supplier_Perf_Table[[#This Row],[Unit_Cost]]*Supplier_Perf_Table[[#This Row],[Order_Quantity]]</f>
        <v>266655</v>
      </c>
      <c r="T577" s="75">
        <f>IFERROR(Supplier_Perf_Table[[#This Row],[Dollar Equivalent]]*Supplier_Perf_Table[[#This Row],[Ordered_Value]],"")</f>
        <v>23732.294999999998</v>
      </c>
      <c r="U577" s="75">
        <v>49</v>
      </c>
      <c r="V577" s="7">
        <v>3.27E-2</v>
      </c>
      <c r="W577" s="75">
        <v>23</v>
      </c>
      <c r="X577" s="55">
        <f>IFERROR(Supplier_Perf_Table[[#This Row],[Actual_Delivery_Date]]-Supplier_Perf_Table[[#This Row],[Order Date]],"")</f>
        <v>23</v>
      </c>
      <c r="Y577" s="75">
        <v>19</v>
      </c>
      <c r="Z577" s="56">
        <f>IFERROR(Supplier_Perf_Table[[#This Row],[Expected Delivery_Date]]-Supplier_Perf_Table[[#This Row],[Order Date]],"")</f>
        <v>19</v>
      </c>
      <c r="AA577" s="56">
        <f>Supplier_Perf_Table[[#This Row],[Calculated_Lead_Time2]]-Supplier_Perf_Table[[#This Row],[Calculated_Expected_Lead_Time]]</f>
        <v>4</v>
      </c>
      <c r="AB577" s="75">
        <v>4</v>
      </c>
      <c r="AC577" s="63" t="s">
        <v>39</v>
      </c>
      <c r="AD577" s="63" t="s">
        <v>40</v>
      </c>
      <c r="AE577" s="63" t="s">
        <v>127</v>
      </c>
      <c r="AF577" s="63" t="s">
        <v>212</v>
      </c>
      <c r="AG577" s="63" t="s">
        <v>3088</v>
      </c>
      <c r="AH577" s="63" t="s">
        <v>3112</v>
      </c>
      <c r="AI577" s="63" t="s">
        <v>147</v>
      </c>
      <c r="AJ577" s="63" t="s">
        <v>138</v>
      </c>
      <c r="AK577" s="83">
        <v>3.8</v>
      </c>
      <c r="AL577" s="63" t="s">
        <v>108</v>
      </c>
      <c r="AM577" s="63" t="s">
        <v>148</v>
      </c>
      <c r="AN577"/>
    </row>
    <row r="578" spans="1:40" ht="18" customHeight="1">
      <c r="A578" s="1" t="s">
        <v>1867</v>
      </c>
      <c r="B578" s="1" t="s">
        <v>1868</v>
      </c>
      <c r="C578" s="4">
        <v>46085</v>
      </c>
      <c r="D578" s="4">
        <v>46094</v>
      </c>
      <c r="E578" s="4">
        <v>46099</v>
      </c>
      <c r="F578" s="63" t="s">
        <v>80</v>
      </c>
      <c r="G578" s="63" t="s">
        <v>3839</v>
      </c>
      <c r="H578" s="63" t="s">
        <v>82</v>
      </c>
      <c r="I578" s="63" t="s">
        <v>178</v>
      </c>
      <c r="J578" s="63" t="s">
        <v>163</v>
      </c>
      <c r="K578" s="63" t="s">
        <v>1869</v>
      </c>
      <c r="L578" s="63" t="s">
        <v>253</v>
      </c>
      <c r="M578" s="69">
        <v>962.32</v>
      </c>
      <c r="N578" s="63" t="s">
        <v>65</v>
      </c>
      <c r="O578" s="73">
        <f>_xlfn.XLOOKUP(Supplier_Perf_Table[[#This Row],[Currency]],'Comments 2'!$C$4:$C$16,'Comments 2'!$D$4:$D$16)</f>
        <v>1</v>
      </c>
      <c r="P578" s="69">
        <f>IFERROR(Supplier_Perf_Table[[#This Row],[Unit_Cost]]*Supplier_Perf_Table[[#This Row],[Dollar Equivalent]],"")</f>
        <v>962.32</v>
      </c>
      <c r="Q578" s="75">
        <v>150</v>
      </c>
      <c r="R578" s="1">
        <v>144348</v>
      </c>
      <c r="S578" s="75">
        <f>Supplier_Perf_Table[[#This Row],[Unit_Cost]]*Supplier_Perf_Table[[#This Row],[Order_Quantity]]</f>
        <v>144348</v>
      </c>
      <c r="T578" s="75">
        <f>IFERROR(Supplier_Perf_Table[[#This Row],[Dollar Equivalent]]*Supplier_Perf_Table[[#This Row],[Ordered_Value]],"")</f>
        <v>144348</v>
      </c>
      <c r="U578" s="75">
        <v>4</v>
      </c>
      <c r="V578" s="7">
        <v>2.6700000000000002E-2</v>
      </c>
      <c r="W578" s="75">
        <v>14</v>
      </c>
      <c r="X578" s="55">
        <f>IFERROR(Supplier_Perf_Table[[#This Row],[Actual_Delivery_Date]]-Supplier_Perf_Table[[#This Row],[Order Date]],"")</f>
        <v>14</v>
      </c>
      <c r="Y578" s="75">
        <v>9</v>
      </c>
      <c r="Z578" s="56">
        <f>IFERROR(Supplier_Perf_Table[[#This Row],[Expected Delivery_Date]]-Supplier_Perf_Table[[#This Row],[Order Date]],"")</f>
        <v>9</v>
      </c>
      <c r="AA578" s="56">
        <f>Supplier_Perf_Table[[#This Row],[Calculated_Lead_Time2]]-Supplier_Perf_Table[[#This Row],[Calculated_Expected_Lead_Time]]</f>
        <v>5</v>
      </c>
      <c r="AB578" s="75">
        <v>5</v>
      </c>
      <c r="AC578" s="63" t="s">
        <v>39</v>
      </c>
      <c r="AD578" s="63" t="s">
        <v>40</v>
      </c>
      <c r="AE578" s="63" t="s">
        <v>41</v>
      </c>
      <c r="AF578" s="63" t="s">
        <v>66</v>
      </c>
      <c r="AG578" s="63" t="s">
        <v>43</v>
      </c>
      <c r="AH578" s="63" t="s">
        <v>3112</v>
      </c>
      <c r="AI578" s="63" t="s">
        <v>137</v>
      </c>
      <c r="AJ578" s="63" t="s">
        <v>138</v>
      </c>
      <c r="AK578" s="83">
        <v>3.2</v>
      </c>
      <c r="AL578" s="63" t="s">
        <v>184</v>
      </c>
      <c r="AM578" s="63" t="s">
        <v>46</v>
      </c>
      <c r="AN578"/>
    </row>
    <row r="579" spans="1:40" ht="18" customHeight="1">
      <c r="A579" s="1" t="s">
        <v>1870</v>
      </c>
      <c r="B579" s="1" t="s">
        <v>1871</v>
      </c>
      <c r="C579" s="4">
        <v>46199</v>
      </c>
      <c r="D579" s="4">
        <v>46220</v>
      </c>
      <c r="E579" s="4">
        <v>46217</v>
      </c>
      <c r="F579" s="63" t="s">
        <v>256</v>
      </c>
      <c r="G579" s="63" t="s">
        <v>3849</v>
      </c>
      <c r="H579" s="63" t="s">
        <v>258</v>
      </c>
      <c r="I579" s="63" t="s">
        <v>61</v>
      </c>
      <c r="J579" s="63" t="s">
        <v>71</v>
      </c>
      <c r="K579" s="63" t="s">
        <v>1872</v>
      </c>
      <c r="L579" s="63" t="s">
        <v>238</v>
      </c>
      <c r="M579" s="69">
        <v>443.57</v>
      </c>
      <c r="N579" s="63" t="s">
        <v>65</v>
      </c>
      <c r="O579" s="73">
        <f>_xlfn.XLOOKUP(Supplier_Perf_Table[[#This Row],[Currency]],'Comments 2'!$C$4:$C$16,'Comments 2'!$D$4:$D$16)</f>
        <v>1</v>
      </c>
      <c r="P579" s="69">
        <f>IFERROR(Supplier_Perf_Table[[#This Row],[Unit_Cost]]*Supplier_Perf_Table[[#This Row],[Dollar Equivalent]],"")</f>
        <v>443.57</v>
      </c>
      <c r="Q579" s="75">
        <v>250</v>
      </c>
      <c r="R579" s="1">
        <v>110892.5</v>
      </c>
      <c r="S579" s="75">
        <f>Supplier_Perf_Table[[#This Row],[Unit_Cost]]*Supplier_Perf_Table[[#This Row],[Order_Quantity]]</f>
        <v>110892.5</v>
      </c>
      <c r="T579" s="75">
        <f>IFERROR(Supplier_Perf_Table[[#This Row],[Dollar Equivalent]]*Supplier_Perf_Table[[#This Row],[Ordered_Value]],"")</f>
        <v>110892.5</v>
      </c>
      <c r="U579" s="75">
        <v>2</v>
      </c>
      <c r="V579" s="7">
        <v>8.0000000000000002E-3</v>
      </c>
      <c r="W579" s="75">
        <v>18</v>
      </c>
      <c r="X579" s="55">
        <f>IFERROR(Supplier_Perf_Table[[#This Row],[Actual_Delivery_Date]]-Supplier_Perf_Table[[#This Row],[Order Date]],"")</f>
        <v>18</v>
      </c>
      <c r="Y579" s="75">
        <v>21</v>
      </c>
      <c r="Z579" s="56">
        <f>IFERROR(Supplier_Perf_Table[[#This Row],[Expected Delivery_Date]]-Supplier_Perf_Table[[#This Row],[Order Date]],"")</f>
        <v>21</v>
      </c>
      <c r="AA579" s="56">
        <f>Supplier_Perf_Table[[#This Row],[Calculated_Lead_Time2]]-Supplier_Perf_Table[[#This Row],[Calculated_Expected_Lead_Time]]</f>
        <v>-3</v>
      </c>
      <c r="AB579" s="75">
        <v>-3</v>
      </c>
      <c r="AC579" s="63" t="s">
        <v>270</v>
      </c>
      <c r="AD579" s="63" t="s">
        <v>40</v>
      </c>
      <c r="AE579" s="63" t="s">
        <v>3088</v>
      </c>
      <c r="AF579" s="63" t="s">
        <v>106</v>
      </c>
      <c r="AG579" s="63" t="s">
        <v>43</v>
      </c>
      <c r="AH579" s="63" t="s">
        <v>3112</v>
      </c>
      <c r="AI579" s="63" t="s">
        <v>138</v>
      </c>
      <c r="AJ579" s="63" t="s">
        <v>138</v>
      </c>
      <c r="AK579" s="83">
        <v>4</v>
      </c>
      <c r="AL579" s="63" t="s">
        <v>184</v>
      </c>
      <c r="AM579" s="63" t="s">
        <v>130</v>
      </c>
      <c r="AN579"/>
    </row>
    <row r="580" spans="1:40" ht="18" customHeight="1">
      <c r="A580" s="1" t="s">
        <v>1873</v>
      </c>
      <c r="B580" s="1" t="s">
        <v>1874</v>
      </c>
      <c r="C580" s="4">
        <v>46070</v>
      </c>
      <c r="D580" s="4">
        <v>46079</v>
      </c>
      <c r="E580" s="4">
        <v>46082</v>
      </c>
      <c r="F580" s="63" t="s">
        <v>209</v>
      </c>
      <c r="G580" s="63" t="s">
        <v>3845</v>
      </c>
      <c r="H580" s="63" t="s">
        <v>316</v>
      </c>
      <c r="I580" s="63" t="s">
        <v>61</v>
      </c>
      <c r="J580" s="63" t="s">
        <v>153</v>
      </c>
      <c r="K580" s="63" t="s">
        <v>1875</v>
      </c>
      <c r="L580" s="63" t="s">
        <v>204</v>
      </c>
      <c r="M580" s="69">
        <v>844.23</v>
      </c>
      <c r="N580" s="63" t="s">
        <v>159</v>
      </c>
      <c r="O580" s="73">
        <f>_xlfn.XLOOKUP(Supplier_Perf_Table[[#This Row],[Currency]],'Comments 2'!$C$4:$C$16,'Comments 2'!$D$4:$D$16)</f>
        <v>7.2999999999999996E-4</v>
      </c>
      <c r="P580" s="69">
        <f>IFERROR(Supplier_Perf_Table[[#This Row],[Unit_Cost]]*Supplier_Perf_Table[[#This Row],[Dollar Equivalent]],"")</f>
        <v>0.6162879</v>
      </c>
      <c r="Q580" s="75">
        <v>1000</v>
      </c>
      <c r="R580" s="1">
        <v>844230</v>
      </c>
      <c r="S580" s="75">
        <f>Supplier_Perf_Table[[#This Row],[Unit_Cost]]*Supplier_Perf_Table[[#This Row],[Order_Quantity]]</f>
        <v>844230</v>
      </c>
      <c r="T580" s="75">
        <f>IFERROR(Supplier_Perf_Table[[#This Row],[Dollar Equivalent]]*Supplier_Perf_Table[[#This Row],[Ordered_Value]],"")</f>
        <v>616.28789999999992</v>
      </c>
      <c r="U580" s="75">
        <v>30</v>
      </c>
      <c r="V580" s="7">
        <v>0.03</v>
      </c>
      <c r="W580" s="75">
        <v>12</v>
      </c>
      <c r="X580" s="55">
        <f>IFERROR(Supplier_Perf_Table[[#This Row],[Actual_Delivery_Date]]-Supplier_Perf_Table[[#This Row],[Order Date]],"")</f>
        <v>12</v>
      </c>
      <c r="Y580" s="75">
        <v>9</v>
      </c>
      <c r="Z580" s="56">
        <f>IFERROR(Supplier_Perf_Table[[#This Row],[Expected Delivery_Date]]-Supplier_Perf_Table[[#This Row],[Order Date]],"")</f>
        <v>9</v>
      </c>
      <c r="AA580" s="56">
        <f>Supplier_Perf_Table[[#This Row],[Calculated_Lead_Time2]]-Supplier_Perf_Table[[#This Row],[Calculated_Expected_Lead_Time]]</f>
        <v>3</v>
      </c>
      <c r="AB580" s="75">
        <v>3</v>
      </c>
      <c r="AC580" s="63" t="s">
        <v>135</v>
      </c>
      <c r="AD580" s="63" t="s">
        <v>40</v>
      </c>
      <c r="AE580" s="63" t="s">
        <v>105</v>
      </c>
      <c r="AF580" s="63" t="s">
        <v>42</v>
      </c>
      <c r="AG580" s="63" t="s">
        <v>3088</v>
      </c>
      <c r="AH580" s="63" t="s">
        <v>3112</v>
      </c>
      <c r="AI580" s="63" t="s">
        <v>191</v>
      </c>
      <c r="AJ580" s="63" t="s">
        <v>138</v>
      </c>
      <c r="AK580" s="83">
        <v>4.5999999999999996</v>
      </c>
      <c r="AL580" s="63" t="s">
        <v>76</v>
      </c>
      <c r="AM580" s="63" t="s">
        <v>46</v>
      </c>
      <c r="AN580"/>
    </row>
    <row r="581" spans="1:40" ht="18" customHeight="1">
      <c r="A581" s="1" t="s">
        <v>1876</v>
      </c>
      <c r="B581" s="1" t="s">
        <v>1877</v>
      </c>
      <c r="C581" s="4">
        <v>46192</v>
      </c>
      <c r="D581" s="4">
        <v>46207</v>
      </c>
      <c r="E581" s="4">
        <v>46205</v>
      </c>
      <c r="F581" s="63" t="s">
        <v>100</v>
      </c>
      <c r="G581" s="63" t="s">
        <v>3841</v>
      </c>
      <c r="H581" s="63" t="s">
        <v>102</v>
      </c>
      <c r="I581" s="63" t="s">
        <v>241</v>
      </c>
      <c r="J581" s="63" t="s">
        <v>50</v>
      </c>
      <c r="K581" s="63" t="s">
        <v>1878</v>
      </c>
      <c r="L581" s="63" t="s">
        <v>52</v>
      </c>
      <c r="M581" s="69">
        <v>572.08000000000004</v>
      </c>
      <c r="N581" s="63" t="s">
        <v>65</v>
      </c>
      <c r="O581" s="73">
        <f>_xlfn.XLOOKUP(Supplier_Perf_Table[[#This Row],[Currency]],'Comments 2'!$C$4:$C$16,'Comments 2'!$D$4:$D$16)</f>
        <v>1</v>
      </c>
      <c r="P581" s="69">
        <f>IFERROR(Supplier_Perf_Table[[#This Row],[Unit_Cost]]*Supplier_Perf_Table[[#This Row],[Dollar Equivalent]],"")</f>
        <v>572.08000000000004</v>
      </c>
      <c r="Q581" s="75">
        <v>75</v>
      </c>
      <c r="R581" s="1">
        <v>42906</v>
      </c>
      <c r="S581" s="75">
        <f>Supplier_Perf_Table[[#This Row],[Unit_Cost]]*Supplier_Perf_Table[[#This Row],[Order_Quantity]]</f>
        <v>42906</v>
      </c>
      <c r="T581" s="75">
        <f>IFERROR(Supplier_Perf_Table[[#This Row],[Dollar Equivalent]]*Supplier_Perf_Table[[#This Row],[Ordered_Value]],"")</f>
        <v>42906</v>
      </c>
      <c r="U581" s="75">
        <v>2</v>
      </c>
      <c r="V581" s="7">
        <v>2.6700000000000002E-2</v>
      </c>
      <c r="W581" s="75">
        <v>13</v>
      </c>
      <c r="X581" s="55">
        <f>IFERROR(Supplier_Perf_Table[[#This Row],[Actual_Delivery_Date]]-Supplier_Perf_Table[[#This Row],[Order Date]],"")</f>
        <v>13</v>
      </c>
      <c r="Y581" s="75">
        <v>15</v>
      </c>
      <c r="Z581" s="56">
        <f>IFERROR(Supplier_Perf_Table[[#This Row],[Expected Delivery_Date]]-Supplier_Perf_Table[[#This Row],[Order Date]],"")</f>
        <v>15</v>
      </c>
      <c r="AA581" s="56">
        <f>Supplier_Perf_Table[[#This Row],[Calculated_Lead_Time2]]-Supplier_Perf_Table[[#This Row],[Calculated_Expected_Lead_Time]]</f>
        <v>-2</v>
      </c>
      <c r="AB581" s="75">
        <v>-2</v>
      </c>
      <c r="AC581" s="63" t="s">
        <v>87</v>
      </c>
      <c r="AD581" s="63" t="s">
        <v>40</v>
      </c>
      <c r="AE581" s="63" t="s">
        <v>41</v>
      </c>
      <c r="AF581" s="63" t="s">
        <v>3088</v>
      </c>
      <c r="AG581" s="63" t="s">
        <v>173</v>
      </c>
      <c r="AH581" s="63" t="s">
        <v>3112</v>
      </c>
      <c r="AI581" s="63" t="s">
        <v>147</v>
      </c>
      <c r="AJ581" s="63" t="s">
        <v>138</v>
      </c>
      <c r="AK581" s="83">
        <v>3</v>
      </c>
      <c r="AL581" s="63" t="s">
        <v>184</v>
      </c>
      <c r="AM581" s="63" t="s">
        <v>138</v>
      </c>
      <c r="AN581"/>
    </row>
    <row r="582" spans="1:40" ht="18" customHeight="1">
      <c r="A582" s="1" t="s">
        <v>1879</v>
      </c>
      <c r="B582" s="1" t="s">
        <v>1880</v>
      </c>
      <c r="C582" s="4">
        <v>46036</v>
      </c>
      <c r="D582" s="4">
        <v>46047</v>
      </c>
      <c r="E582" s="4">
        <v>46046</v>
      </c>
      <c r="F582" s="63" t="s">
        <v>215</v>
      </c>
      <c r="G582" s="63" t="s">
        <v>3846</v>
      </c>
      <c r="H582" s="63" t="s">
        <v>152</v>
      </c>
      <c r="I582" s="63" t="s">
        <v>83</v>
      </c>
      <c r="J582" s="63" t="s">
        <v>153</v>
      </c>
      <c r="K582" s="63" t="s">
        <v>1881</v>
      </c>
      <c r="L582" s="63" t="s">
        <v>318</v>
      </c>
      <c r="M582" s="69">
        <v>678.68</v>
      </c>
      <c r="N582" s="63" t="s">
        <v>104</v>
      </c>
      <c r="O582" s="73">
        <f>_xlfn.XLOOKUP(Supplier_Perf_Table[[#This Row],[Currency]],'Comments 2'!$C$4:$C$16,'Comments 2'!$D$4:$D$16)</f>
        <v>1.9E-2</v>
      </c>
      <c r="P582" s="69">
        <f>IFERROR(Supplier_Perf_Table[[#This Row],[Unit_Cost]]*Supplier_Perf_Table[[#This Row],[Dollar Equivalent]],"")</f>
        <v>12.894919999999999</v>
      </c>
      <c r="Q582" s="75">
        <v>500</v>
      </c>
      <c r="R582" s="1">
        <v>339340</v>
      </c>
      <c r="S582" s="75">
        <f>Supplier_Perf_Table[[#This Row],[Unit_Cost]]*Supplier_Perf_Table[[#This Row],[Order_Quantity]]</f>
        <v>339340</v>
      </c>
      <c r="T582" s="75">
        <f>IFERROR(Supplier_Perf_Table[[#This Row],[Dollar Equivalent]]*Supplier_Perf_Table[[#This Row],[Ordered_Value]],"")</f>
        <v>6447.46</v>
      </c>
      <c r="U582" s="75">
        <v>13</v>
      </c>
      <c r="V582" s="7">
        <v>2.5999999999999999E-2</v>
      </c>
      <c r="W582" s="75">
        <v>10</v>
      </c>
      <c r="X582" s="55">
        <f>IFERROR(Supplier_Perf_Table[[#This Row],[Actual_Delivery_Date]]-Supplier_Perf_Table[[#This Row],[Order Date]],"")</f>
        <v>10</v>
      </c>
      <c r="Y582" s="75">
        <v>11</v>
      </c>
      <c r="Z582" s="56">
        <f>IFERROR(Supplier_Perf_Table[[#This Row],[Expected Delivery_Date]]-Supplier_Perf_Table[[#This Row],[Order Date]],"")</f>
        <v>11</v>
      </c>
      <c r="AA582" s="56">
        <f>Supplier_Perf_Table[[#This Row],[Calculated_Lead_Time2]]-Supplier_Perf_Table[[#This Row],[Calculated_Expected_Lead_Time]]</f>
        <v>-1</v>
      </c>
      <c r="AB582" s="75">
        <v>-1</v>
      </c>
      <c r="AC582" s="63" t="s">
        <v>270</v>
      </c>
      <c r="AD582" s="63" t="s">
        <v>40</v>
      </c>
      <c r="AE582" s="63" t="s">
        <v>146</v>
      </c>
      <c r="AF582" s="63" t="s">
        <v>106</v>
      </c>
      <c r="AG582" s="63" t="s">
        <v>128</v>
      </c>
      <c r="AH582" s="63" t="s">
        <v>88</v>
      </c>
      <c r="AI582" s="63" t="s">
        <v>138</v>
      </c>
      <c r="AJ582" s="63" t="s">
        <v>138</v>
      </c>
      <c r="AK582" s="83">
        <v>4.7</v>
      </c>
      <c r="AL582" s="63" t="s">
        <v>76</v>
      </c>
      <c r="AM582" s="63" t="s">
        <v>130</v>
      </c>
      <c r="AN582"/>
    </row>
    <row r="583" spans="1:40" ht="18" customHeight="1">
      <c r="A583" s="1" t="s">
        <v>1882</v>
      </c>
      <c r="B583" s="1" t="s">
        <v>1883</v>
      </c>
      <c r="C583" s="4">
        <v>46168</v>
      </c>
      <c r="D583" s="4">
        <v>46188</v>
      </c>
      <c r="E583" s="4">
        <v>46192</v>
      </c>
      <c r="F583" s="63" t="s">
        <v>142</v>
      </c>
      <c r="G583" s="63" t="s">
        <v>3843</v>
      </c>
      <c r="H583" s="63" t="s">
        <v>169</v>
      </c>
      <c r="I583" s="63" t="s">
        <v>83</v>
      </c>
      <c r="J583" s="63" t="s">
        <v>50</v>
      </c>
      <c r="K583" s="63" t="s">
        <v>1884</v>
      </c>
      <c r="L583" s="63" t="s">
        <v>189</v>
      </c>
      <c r="M583" s="69">
        <v>2519.85</v>
      </c>
      <c r="N583" s="63" t="s">
        <v>159</v>
      </c>
      <c r="O583" s="73">
        <f>_xlfn.XLOOKUP(Supplier_Perf_Table[[#This Row],[Currency]],'Comments 2'!$C$4:$C$16,'Comments 2'!$D$4:$D$16)</f>
        <v>7.2999999999999996E-4</v>
      </c>
      <c r="P583" s="69">
        <f>IFERROR(Supplier_Perf_Table[[#This Row],[Unit_Cost]]*Supplier_Perf_Table[[#This Row],[Dollar Equivalent]],"")</f>
        <v>1.8394904999999999</v>
      </c>
      <c r="Q583" s="75">
        <v>200</v>
      </c>
      <c r="R583" s="1">
        <v>503970</v>
      </c>
      <c r="S583" s="75">
        <f>Supplier_Perf_Table[[#This Row],[Unit_Cost]]*Supplier_Perf_Table[[#This Row],[Order_Quantity]]</f>
        <v>503970</v>
      </c>
      <c r="T583" s="75">
        <f>IFERROR(Supplier_Perf_Table[[#This Row],[Dollar Equivalent]]*Supplier_Perf_Table[[#This Row],[Ordered_Value]],"")</f>
        <v>367.8981</v>
      </c>
      <c r="U583" s="75">
        <v>4</v>
      </c>
      <c r="V583" s="7">
        <v>0.02</v>
      </c>
      <c r="W583" s="75">
        <v>24</v>
      </c>
      <c r="X583" s="55">
        <f>IFERROR(Supplier_Perf_Table[[#This Row],[Actual_Delivery_Date]]-Supplier_Perf_Table[[#This Row],[Order Date]],"")</f>
        <v>24</v>
      </c>
      <c r="Y583" s="75">
        <v>20</v>
      </c>
      <c r="Z583" s="56">
        <f>IFERROR(Supplier_Perf_Table[[#This Row],[Expected Delivery_Date]]-Supplier_Perf_Table[[#This Row],[Order Date]],"")</f>
        <v>20</v>
      </c>
      <c r="AA583" s="56">
        <f>Supplier_Perf_Table[[#This Row],[Calculated_Lead_Time2]]-Supplier_Perf_Table[[#This Row],[Calculated_Expected_Lead_Time]]</f>
        <v>4</v>
      </c>
      <c r="AB583" s="75">
        <v>4</v>
      </c>
      <c r="AC583" s="63" t="s">
        <v>135</v>
      </c>
      <c r="AD583" s="63" t="s">
        <v>40</v>
      </c>
      <c r="AE583" s="63" t="s">
        <v>105</v>
      </c>
      <c r="AF583" s="63" t="s">
        <v>3088</v>
      </c>
      <c r="AG583" s="63" t="s">
        <v>128</v>
      </c>
      <c r="AH583" s="63" t="s">
        <v>3112</v>
      </c>
      <c r="AI583" s="63" t="s">
        <v>191</v>
      </c>
      <c r="AJ583" s="63" t="s">
        <v>138</v>
      </c>
      <c r="AK583" s="83">
        <v>3.2</v>
      </c>
      <c r="AL583" s="63" t="s">
        <v>108</v>
      </c>
      <c r="AM583" s="63" t="s">
        <v>46</v>
      </c>
      <c r="AN583"/>
    </row>
    <row r="584" spans="1:40" ht="18" customHeight="1">
      <c r="A584" s="1" t="s">
        <v>1885</v>
      </c>
      <c r="B584" s="1" t="s">
        <v>1886</v>
      </c>
      <c r="C584" s="4">
        <v>46177</v>
      </c>
      <c r="D584" s="4">
        <v>46190</v>
      </c>
      <c r="E584" s="4">
        <v>46193</v>
      </c>
      <c r="F584" s="63" t="s">
        <v>100</v>
      </c>
      <c r="G584" s="63" t="s">
        <v>3841</v>
      </c>
      <c r="H584" s="63" t="s">
        <v>102</v>
      </c>
      <c r="I584" s="63" t="s">
        <v>49</v>
      </c>
      <c r="J584" s="63" t="s">
        <v>50</v>
      </c>
      <c r="K584" s="63" t="s">
        <v>1887</v>
      </c>
      <c r="L584" s="63" t="s">
        <v>145</v>
      </c>
      <c r="M584" s="69">
        <v>2113.83</v>
      </c>
      <c r="N584" s="63" t="s">
        <v>53</v>
      </c>
      <c r="O584" s="73">
        <f>_xlfn.XLOOKUP(Supplier_Perf_Table[[#This Row],[Currency]],'Comments 2'!$C$4:$C$16,'Comments 2'!$D$4:$D$16)</f>
        <v>6.0999999999999999E-2</v>
      </c>
      <c r="P584" s="69">
        <f>IFERROR(Supplier_Perf_Table[[#This Row],[Unit_Cost]]*Supplier_Perf_Table[[#This Row],[Dollar Equivalent]],"")</f>
        <v>128.94362999999998</v>
      </c>
      <c r="Q584" s="75">
        <v>750</v>
      </c>
      <c r="R584" s="1">
        <v>1585372.5</v>
      </c>
      <c r="S584" s="75">
        <f>Supplier_Perf_Table[[#This Row],[Unit_Cost]]*Supplier_Perf_Table[[#This Row],[Order_Quantity]]</f>
        <v>1585372.5</v>
      </c>
      <c r="T584" s="75">
        <f>IFERROR(Supplier_Perf_Table[[#This Row],[Dollar Equivalent]]*Supplier_Perf_Table[[#This Row],[Ordered_Value]],"")</f>
        <v>96707.722500000003</v>
      </c>
      <c r="U584" s="75">
        <v>18</v>
      </c>
      <c r="V584" s="7">
        <v>2.4E-2</v>
      </c>
      <c r="W584" s="75">
        <v>16</v>
      </c>
      <c r="X584" s="55">
        <f>IFERROR(Supplier_Perf_Table[[#This Row],[Actual_Delivery_Date]]-Supplier_Perf_Table[[#This Row],[Order Date]],"")</f>
        <v>16</v>
      </c>
      <c r="Y584" s="75">
        <v>13</v>
      </c>
      <c r="Z584" s="56">
        <f>IFERROR(Supplier_Perf_Table[[#This Row],[Expected Delivery_Date]]-Supplier_Perf_Table[[#This Row],[Order Date]],"")</f>
        <v>13</v>
      </c>
      <c r="AA584" s="56">
        <f>Supplier_Perf_Table[[#This Row],[Calculated_Lead_Time2]]-Supplier_Perf_Table[[#This Row],[Calculated_Expected_Lead_Time]]</f>
        <v>3</v>
      </c>
      <c r="AB584" s="75">
        <v>3</v>
      </c>
      <c r="AC584" s="63" t="s">
        <v>166</v>
      </c>
      <c r="AD584" s="63" t="s">
        <v>40</v>
      </c>
      <c r="AE584" s="63" t="s">
        <v>41</v>
      </c>
      <c r="AF584" s="63" t="s">
        <v>106</v>
      </c>
      <c r="AG584" s="63" t="s">
        <v>173</v>
      </c>
      <c r="AH584" s="63" t="s">
        <v>55</v>
      </c>
      <c r="AI584" s="63" t="s">
        <v>137</v>
      </c>
      <c r="AJ584" s="63" t="s">
        <v>138</v>
      </c>
      <c r="AK584" s="83">
        <v>2.6</v>
      </c>
      <c r="AL584" s="63" t="s">
        <v>115</v>
      </c>
      <c r="AM584" s="63" t="s">
        <v>46</v>
      </c>
      <c r="AN584"/>
    </row>
    <row r="585" spans="1:40" ht="18" customHeight="1">
      <c r="A585" s="1" t="s">
        <v>1888</v>
      </c>
      <c r="B585" s="1" t="s">
        <v>1889</v>
      </c>
      <c r="C585" s="4">
        <v>46065</v>
      </c>
      <c r="D585" s="4">
        <v>46079</v>
      </c>
      <c r="E585" s="4">
        <v>46077</v>
      </c>
      <c r="F585" s="63" t="s">
        <v>69</v>
      </c>
      <c r="G585" s="63" t="s">
        <v>3838</v>
      </c>
      <c r="H585" s="63" t="s">
        <v>194</v>
      </c>
      <c r="I585" s="63" t="s">
        <v>61</v>
      </c>
      <c r="J585" s="63" t="s">
        <v>50</v>
      </c>
      <c r="K585" s="63" t="s">
        <v>1890</v>
      </c>
      <c r="L585" s="63" t="s">
        <v>126</v>
      </c>
      <c r="M585" s="69">
        <v>2241.2800000000002</v>
      </c>
      <c r="N585" s="63" t="s">
        <v>38</v>
      </c>
      <c r="O585" s="73">
        <f>_xlfn.XLOOKUP(Supplier_Perf_Table[[#This Row],[Currency]],'Comments 2'!$C$4:$C$16,'Comments 2'!$D$4:$D$16)</f>
        <v>7.7000000000000002E-3</v>
      </c>
      <c r="P585" s="69">
        <f>IFERROR(Supplier_Perf_Table[[#This Row],[Unit_Cost]]*Supplier_Perf_Table[[#This Row],[Dollar Equivalent]],"")</f>
        <v>17.257856000000004</v>
      </c>
      <c r="Q585" s="75">
        <v>250</v>
      </c>
      <c r="R585" s="1">
        <v>560320</v>
      </c>
      <c r="S585" s="75">
        <f>Supplier_Perf_Table[[#This Row],[Unit_Cost]]*Supplier_Perf_Table[[#This Row],[Order_Quantity]]</f>
        <v>560320</v>
      </c>
      <c r="T585" s="75">
        <f>IFERROR(Supplier_Perf_Table[[#This Row],[Dollar Equivalent]]*Supplier_Perf_Table[[#This Row],[Ordered_Value]],"")</f>
        <v>4314.4639999999999</v>
      </c>
      <c r="U585" s="75">
        <v>15</v>
      </c>
      <c r="V585" s="7">
        <v>0.06</v>
      </c>
      <c r="W585" s="75">
        <v>12</v>
      </c>
      <c r="X585" s="55">
        <f>IFERROR(Supplier_Perf_Table[[#This Row],[Actual_Delivery_Date]]-Supplier_Perf_Table[[#This Row],[Order Date]],"")</f>
        <v>12</v>
      </c>
      <c r="Y585" s="75">
        <v>14</v>
      </c>
      <c r="Z585" s="56">
        <f>IFERROR(Supplier_Perf_Table[[#This Row],[Expected Delivery_Date]]-Supplier_Perf_Table[[#This Row],[Order Date]],"")</f>
        <v>14</v>
      </c>
      <c r="AA585" s="56">
        <f>Supplier_Perf_Table[[#This Row],[Calculated_Lead_Time2]]-Supplier_Perf_Table[[#This Row],[Calculated_Expected_Lead_Time]]</f>
        <v>-2</v>
      </c>
      <c r="AB585" s="75">
        <v>-2</v>
      </c>
      <c r="AC585" s="63" t="s">
        <v>270</v>
      </c>
      <c r="AD585" s="63" t="s">
        <v>366</v>
      </c>
      <c r="AE585" s="63" t="s">
        <v>105</v>
      </c>
      <c r="AF585" s="63" t="s">
        <v>106</v>
      </c>
      <c r="AG585" s="63" t="s">
        <v>128</v>
      </c>
      <c r="AH585" s="63" t="s">
        <v>3112</v>
      </c>
      <c r="AI585" s="63" t="s">
        <v>138</v>
      </c>
      <c r="AJ585" s="63" t="s">
        <v>96</v>
      </c>
      <c r="AK585" s="83">
        <v>2.1</v>
      </c>
      <c r="AL585" s="63" t="s">
        <v>45</v>
      </c>
      <c r="AM585" s="63" t="s">
        <v>97</v>
      </c>
      <c r="AN585"/>
    </row>
    <row r="586" spans="1:40" ht="18" customHeight="1">
      <c r="A586" s="1" t="s">
        <v>1891</v>
      </c>
      <c r="B586" s="1" t="s">
        <v>1892</v>
      </c>
      <c r="C586" s="4">
        <v>46033</v>
      </c>
      <c r="D586" s="4">
        <v>46048</v>
      </c>
      <c r="E586" s="4">
        <v>46043</v>
      </c>
      <c r="F586" s="63" t="s">
        <v>69</v>
      </c>
      <c r="G586" s="63" t="s">
        <v>3838</v>
      </c>
      <c r="H586" s="63" t="s">
        <v>194</v>
      </c>
      <c r="I586" s="63" t="s">
        <v>49</v>
      </c>
      <c r="J586" s="63" t="s">
        <v>112</v>
      </c>
      <c r="K586" s="63" t="s">
        <v>1893</v>
      </c>
      <c r="L586" s="63" t="s">
        <v>218</v>
      </c>
      <c r="M586" s="69">
        <v>802.15</v>
      </c>
      <c r="N586" s="63" t="s">
        <v>65</v>
      </c>
      <c r="O586" s="73">
        <f>_xlfn.XLOOKUP(Supplier_Perf_Table[[#This Row],[Currency]],'Comments 2'!$C$4:$C$16,'Comments 2'!$D$4:$D$16)</f>
        <v>1</v>
      </c>
      <c r="P586" s="69">
        <f>IFERROR(Supplier_Perf_Table[[#This Row],[Unit_Cost]]*Supplier_Perf_Table[[#This Row],[Dollar Equivalent]],"")</f>
        <v>802.15</v>
      </c>
      <c r="Q586" s="75">
        <v>300</v>
      </c>
      <c r="R586" s="1">
        <v>240645</v>
      </c>
      <c r="S586" s="75">
        <f>Supplier_Perf_Table[[#This Row],[Unit_Cost]]*Supplier_Perf_Table[[#This Row],[Order_Quantity]]</f>
        <v>240645</v>
      </c>
      <c r="T586" s="75">
        <f>IFERROR(Supplier_Perf_Table[[#This Row],[Dollar Equivalent]]*Supplier_Perf_Table[[#This Row],[Ordered_Value]],"")</f>
        <v>240645</v>
      </c>
      <c r="U586" s="75">
        <v>0</v>
      </c>
      <c r="V586" s="7">
        <v>0</v>
      </c>
      <c r="W586" s="75">
        <v>10</v>
      </c>
      <c r="X586" s="55">
        <f>IFERROR(Supplier_Perf_Table[[#This Row],[Actual_Delivery_Date]]-Supplier_Perf_Table[[#This Row],[Order Date]],"")</f>
        <v>10</v>
      </c>
      <c r="Y586" s="75">
        <v>15</v>
      </c>
      <c r="Z586" s="56">
        <f>IFERROR(Supplier_Perf_Table[[#This Row],[Expected Delivery_Date]]-Supplier_Perf_Table[[#This Row],[Order Date]],"")</f>
        <v>15</v>
      </c>
      <c r="AA586" s="56">
        <f>Supplier_Perf_Table[[#This Row],[Calculated_Lead_Time2]]-Supplier_Perf_Table[[#This Row],[Calculated_Expected_Lead_Time]]</f>
        <v>-5</v>
      </c>
      <c r="AB586" s="75">
        <v>-5</v>
      </c>
      <c r="AC586" s="63" t="s">
        <v>270</v>
      </c>
      <c r="AD586" s="63" t="s">
        <v>40</v>
      </c>
      <c r="AE586" s="63" t="s">
        <v>105</v>
      </c>
      <c r="AF586" s="63" t="s">
        <v>190</v>
      </c>
      <c r="AG586" s="63" t="s">
        <v>173</v>
      </c>
      <c r="AH586" s="63" t="s">
        <v>129</v>
      </c>
      <c r="AI586" s="63" t="s">
        <v>138</v>
      </c>
      <c r="AJ586" s="63" t="s">
        <v>138</v>
      </c>
      <c r="AK586" s="83">
        <v>3.7</v>
      </c>
      <c r="AL586" s="63" t="s">
        <v>139</v>
      </c>
      <c r="AM586" s="63" t="s">
        <v>138</v>
      </c>
      <c r="AN586"/>
    </row>
    <row r="587" spans="1:40" ht="18" customHeight="1">
      <c r="A587" s="1" t="s">
        <v>1894</v>
      </c>
      <c r="B587" s="1" t="s">
        <v>1895</v>
      </c>
      <c r="C587" s="4">
        <v>46153</v>
      </c>
      <c r="D587" s="4">
        <v>46170</v>
      </c>
      <c r="E587" s="4">
        <v>46173</v>
      </c>
      <c r="F587" s="63" t="s">
        <v>142</v>
      </c>
      <c r="G587" s="63" t="s">
        <v>3843</v>
      </c>
      <c r="H587" s="63" t="s">
        <v>169</v>
      </c>
      <c r="I587" s="63" t="s">
        <v>92</v>
      </c>
      <c r="J587" s="63" t="s">
        <v>50</v>
      </c>
      <c r="K587" s="63" t="s">
        <v>1896</v>
      </c>
      <c r="L587" s="63" t="s">
        <v>145</v>
      </c>
      <c r="M587" s="69">
        <v>1741.81</v>
      </c>
      <c r="N587" s="63" t="s">
        <v>104</v>
      </c>
      <c r="O587" s="73">
        <f>_xlfn.XLOOKUP(Supplier_Perf_Table[[#This Row],[Currency]],'Comments 2'!$C$4:$C$16,'Comments 2'!$D$4:$D$16)</f>
        <v>1.9E-2</v>
      </c>
      <c r="P587" s="69">
        <f>IFERROR(Supplier_Perf_Table[[#This Row],[Unit_Cost]]*Supplier_Perf_Table[[#This Row],[Dollar Equivalent]],"")</f>
        <v>33.094389999999997</v>
      </c>
      <c r="Q587" s="75">
        <v>250</v>
      </c>
      <c r="R587" s="1">
        <v>435452.5</v>
      </c>
      <c r="S587" s="75">
        <f>Supplier_Perf_Table[[#This Row],[Unit_Cost]]*Supplier_Perf_Table[[#This Row],[Order_Quantity]]</f>
        <v>435452.5</v>
      </c>
      <c r="T587" s="75">
        <f>IFERROR(Supplier_Perf_Table[[#This Row],[Dollar Equivalent]]*Supplier_Perf_Table[[#This Row],[Ordered_Value]],"")</f>
        <v>8273.5974999999999</v>
      </c>
      <c r="U587" s="75">
        <v>9</v>
      </c>
      <c r="V587" s="7">
        <v>3.5999999999999997E-2</v>
      </c>
      <c r="W587" s="75">
        <v>20</v>
      </c>
      <c r="X587" s="55">
        <f>IFERROR(Supplier_Perf_Table[[#This Row],[Actual_Delivery_Date]]-Supplier_Perf_Table[[#This Row],[Order Date]],"")</f>
        <v>20</v>
      </c>
      <c r="Y587" s="75">
        <v>17</v>
      </c>
      <c r="Z587" s="56">
        <f>IFERROR(Supplier_Perf_Table[[#This Row],[Expected Delivery_Date]]-Supplier_Perf_Table[[#This Row],[Order Date]],"")</f>
        <v>17</v>
      </c>
      <c r="AA587" s="56">
        <f>Supplier_Perf_Table[[#This Row],[Calculated_Lead_Time2]]-Supplier_Perf_Table[[#This Row],[Calculated_Expected_Lead_Time]]</f>
        <v>3</v>
      </c>
      <c r="AB587" s="75">
        <v>3</v>
      </c>
      <c r="AC587" s="63" t="s">
        <v>166</v>
      </c>
      <c r="AD587" s="63" t="s">
        <v>40</v>
      </c>
      <c r="AE587" s="63" t="s">
        <v>41</v>
      </c>
      <c r="AF587" s="63" t="s">
        <v>106</v>
      </c>
      <c r="AG587" s="63" t="s">
        <v>54</v>
      </c>
      <c r="AH587" s="63" t="s">
        <v>3112</v>
      </c>
      <c r="AI587" s="63" t="s">
        <v>147</v>
      </c>
      <c r="AJ587" s="63" t="s">
        <v>138</v>
      </c>
      <c r="AK587" s="83">
        <v>4.2</v>
      </c>
      <c r="AL587" s="63" t="s">
        <v>45</v>
      </c>
      <c r="AM587" s="63" t="s">
        <v>46</v>
      </c>
      <c r="AN587"/>
    </row>
    <row r="588" spans="1:40" ht="18" customHeight="1">
      <c r="A588" s="63" t="s">
        <v>1897</v>
      </c>
      <c r="B588" s="63" t="s">
        <v>1898</v>
      </c>
      <c r="C588" s="4">
        <v>46194</v>
      </c>
      <c r="D588" s="4">
        <v>46205</v>
      </c>
      <c r="E588" s="4">
        <v>46201</v>
      </c>
      <c r="F588" s="63" t="s">
        <v>60</v>
      </c>
      <c r="G588" s="63" t="s">
        <v>3837</v>
      </c>
      <c r="H588" s="63" t="s">
        <v>152</v>
      </c>
      <c r="I588" s="63" t="s">
        <v>178</v>
      </c>
      <c r="J588" s="63" t="s">
        <v>35</v>
      </c>
      <c r="K588" s="63" t="s">
        <v>1899</v>
      </c>
      <c r="L588" s="63" t="s">
        <v>37</v>
      </c>
      <c r="M588" s="69">
        <v>3189.74</v>
      </c>
      <c r="N588" s="63" t="s">
        <v>65</v>
      </c>
      <c r="O588" s="73">
        <f>_xlfn.XLOOKUP(Supplier_Perf_Table[[#This Row],[Currency]],'Comments 2'!$C$4:$C$16,'Comments 2'!$D$4:$D$16)</f>
        <v>1</v>
      </c>
      <c r="P588" s="69">
        <f>IFERROR(Supplier_Perf_Table[[#This Row],[Unit_Cost]]*Supplier_Perf_Table[[#This Row],[Dollar Equivalent]],"")</f>
        <v>3189.74</v>
      </c>
      <c r="Q588" s="75">
        <v>1500</v>
      </c>
      <c r="R588" s="1">
        <v>4784610</v>
      </c>
      <c r="S588" s="75">
        <f>Supplier_Perf_Table[[#This Row],[Unit_Cost]]*Supplier_Perf_Table[[#This Row],[Order_Quantity]]</f>
        <v>4784610</v>
      </c>
      <c r="T588" s="75">
        <f>IFERROR(Supplier_Perf_Table[[#This Row],[Dollar Equivalent]]*Supplier_Perf_Table[[#This Row],[Ordered_Value]],"")</f>
        <v>4784610</v>
      </c>
      <c r="U588" s="75">
        <v>86</v>
      </c>
      <c r="V588" s="7">
        <v>5.7299999999999997E-2</v>
      </c>
      <c r="W588" s="75">
        <v>7</v>
      </c>
      <c r="X588" s="55">
        <f>IFERROR(Supplier_Perf_Table[[#This Row],[Actual_Delivery_Date]]-Supplier_Perf_Table[[#This Row],[Order Date]],"")</f>
        <v>7</v>
      </c>
      <c r="Y588" s="75">
        <v>11</v>
      </c>
      <c r="Z588" s="56">
        <f>IFERROR(Supplier_Perf_Table[[#This Row],[Expected Delivery_Date]]-Supplier_Perf_Table[[#This Row],[Order Date]],"")</f>
        <v>11</v>
      </c>
      <c r="AA588" s="56">
        <f>Supplier_Perf_Table[[#This Row],[Calculated_Lead_Time2]]-Supplier_Perf_Table[[#This Row],[Calculated_Expected_Lead_Time]]</f>
        <v>-4</v>
      </c>
      <c r="AB588" s="75">
        <v>-4</v>
      </c>
      <c r="AC588" s="63" t="s">
        <v>270</v>
      </c>
      <c r="AD588" s="63" t="s">
        <v>420</v>
      </c>
      <c r="AE588" s="63" t="s">
        <v>105</v>
      </c>
      <c r="AF588" s="63" t="s">
        <v>42</v>
      </c>
      <c r="AG588" s="63" t="s">
        <v>43</v>
      </c>
      <c r="AH588" s="63" t="s">
        <v>3112</v>
      </c>
      <c r="AI588" s="63" t="s">
        <v>138</v>
      </c>
      <c r="AJ588" s="63" t="s">
        <v>283</v>
      </c>
      <c r="AK588" s="83">
        <v>1.4</v>
      </c>
      <c r="AL588" s="63" t="s">
        <v>184</v>
      </c>
      <c r="AM588" s="63" t="s">
        <v>97</v>
      </c>
      <c r="AN588"/>
    </row>
    <row r="589" spans="1:40" ht="18" customHeight="1">
      <c r="A589" s="1" t="s">
        <v>1900</v>
      </c>
      <c r="B589" s="1" t="s">
        <v>1901</v>
      </c>
      <c r="C589" s="4">
        <v>46049</v>
      </c>
      <c r="D589" s="4">
        <v>46072</v>
      </c>
      <c r="E589" s="4">
        <v>46076</v>
      </c>
      <c r="F589" s="63" t="s">
        <v>32</v>
      </c>
      <c r="G589" s="63" t="s">
        <v>3835</v>
      </c>
      <c r="H589" s="63" t="s">
        <v>177</v>
      </c>
      <c r="I589" s="63" t="s">
        <v>61</v>
      </c>
      <c r="J589" s="63" t="s">
        <v>35</v>
      </c>
      <c r="K589" s="63" t="s">
        <v>1902</v>
      </c>
      <c r="L589" s="63" t="s">
        <v>200</v>
      </c>
      <c r="M589" s="69">
        <v>1432</v>
      </c>
      <c r="N589" s="63" t="s">
        <v>86</v>
      </c>
      <c r="O589" s="73">
        <f>_xlfn.XLOOKUP(Supplier_Perf_Table[[#This Row],[Currency]],'Comments 2'!$C$4:$C$16,'Comments 2'!$D$4:$D$16)</f>
        <v>8.8999999999999996E-2</v>
      </c>
      <c r="P589" s="69">
        <f>IFERROR(Supplier_Perf_Table[[#This Row],[Unit_Cost]]*Supplier_Perf_Table[[#This Row],[Dollar Equivalent]],"")</f>
        <v>127.44799999999999</v>
      </c>
      <c r="Q589" s="75">
        <v>200</v>
      </c>
      <c r="R589" s="1">
        <v>286400</v>
      </c>
      <c r="S589" s="75">
        <f>Supplier_Perf_Table[[#This Row],[Unit_Cost]]*Supplier_Perf_Table[[#This Row],[Order_Quantity]]</f>
        <v>286400</v>
      </c>
      <c r="T589" s="75">
        <f>IFERROR(Supplier_Perf_Table[[#This Row],[Dollar Equivalent]]*Supplier_Perf_Table[[#This Row],[Ordered_Value]],"")</f>
        <v>25489.599999999999</v>
      </c>
      <c r="U589" s="75">
        <v>8</v>
      </c>
      <c r="V589" s="7">
        <v>0.04</v>
      </c>
      <c r="W589" s="75">
        <v>-5</v>
      </c>
      <c r="X589" s="55">
        <f>IFERROR(Supplier_Perf_Table[[#This Row],[Actual_Delivery_Date]]-Supplier_Perf_Table[[#This Row],[Order Date]],"")</f>
        <v>27</v>
      </c>
      <c r="Y589" s="75">
        <v>23</v>
      </c>
      <c r="Z589" s="56">
        <f>IFERROR(Supplier_Perf_Table[[#This Row],[Expected Delivery_Date]]-Supplier_Perf_Table[[#This Row],[Order Date]],"")</f>
        <v>23</v>
      </c>
      <c r="AA589" s="56">
        <f>Supplier_Perf_Table[[#This Row],[Calculated_Lead_Time2]]-Supplier_Perf_Table[[#This Row],[Calculated_Expected_Lead_Time]]</f>
        <v>4</v>
      </c>
      <c r="AB589" s="75">
        <v>4</v>
      </c>
      <c r="AC589" s="63" t="s">
        <v>39</v>
      </c>
      <c r="AD589" s="63" t="s">
        <v>40</v>
      </c>
      <c r="AE589" s="63" t="s">
        <v>105</v>
      </c>
      <c r="AF589" s="63" t="s">
        <v>106</v>
      </c>
      <c r="AG589" s="63" t="s">
        <v>107</v>
      </c>
      <c r="AH589" s="63" t="s">
        <v>129</v>
      </c>
      <c r="AI589" s="63" t="s">
        <v>147</v>
      </c>
      <c r="AJ589" s="63" t="s">
        <v>138</v>
      </c>
      <c r="AK589" s="83">
        <v>2.1</v>
      </c>
      <c r="AL589" s="63" t="s">
        <v>76</v>
      </c>
      <c r="AM589" s="63" t="s">
        <v>46</v>
      </c>
      <c r="AN589"/>
    </row>
    <row r="590" spans="1:40" ht="18" customHeight="1">
      <c r="A590" s="63" t="s">
        <v>1903</v>
      </c>
      <c r="B590" s="63" t="s">
        <v>1904</v>
      </c>
      <c r="C590" s="4">
        <v>46201</v>
      </c>
      <c r="D590" s="4">
        <v>46216</v>
      </c>
      <c r="E590" s="4">
        <v>46222</v>
      </c>
      <c r="F590" s="63" t="s">
        <v>100</v>
      </c>
      <c r="G590" s="63" t="s">
        <v>3841</v>
      </c>
      <c r="H590" s="63" t="s">
        <v>102</v>
      </c>
      <c r="I590" s="63" t="s">
        <v>178</v>
      </c>
      <c r="J590" s="63" t="s">
        <v>50</v>
      </c>
      <c r="K590" s="63" t="s">
        <v>1905</v>
      </c>
      <c r="L590" s="63" t="s">
        <v>126</v>
      </c>
      <c r="M590" s="69">
        <v>1410.83</v>
      </c>
      <c r="N590" s="63" t="s">
        <v>159</v>
      </c>
      <c r="O590" s="73">
        <f>_xlfn.XLOOKUP(Supplier_Perf_Table[[#This Row],[Currency]],'Comments 2'!$C$4:$C$16,'Comments 2'!$D$4:$D$16)</f>
        <v>7.2999999999999996E-4</v>
      </c>
      <c r="P590" s="69">
        <f>IFERROR(Supplier_Perf_Table[[#This Row],[Unit_Cost]]*Supplier_Perf_Table[[#This Row],[Dollar Equivalent]],"")</f>
        <v>1.0299058999999999</v>
      </c>
      <c r="Q590" s="75">
        <v>2000</v>
      </c>
      <c r="R590" s="1">
        <v>2821660</v>
      </c>
      <c r="S590" s="75">
        <f>Supplier_Perf_Table[[#This Row],[Unit_Cost]]*Supplier_Perf_Table[[#This Row],[Order_Quantity]]</f>
        <v>2821660</v>
      </c>
      <c r="T590" s="75">
        <f>IFERROR(Supplier_Perf_Table[[#This Row],[Dollar Equivalent]]*Supplier_Perf_Table[[#This Row],[Ordered_Value]],"")</f>
        <v>2059.8117999999999</v>
      </c>
      <c r="U590" s="75">
        <v>0</v>
      </c>
      <c r="V590" s="7">
        <v>0</v>
      </c>
      <c r="W590" s="75">
        <v>21</v>
      </c>
      <c r="X590" s="55">
        <f>IFERROR(Supplier_Perf_Table[[#This Row],[Actual_Delivery_Date]]-Supplier_Perf_Table[[#This Row],[Order Date]],"")</f>
        <v>21</v>
      </c>
      <c r="Y590" s="75">
        <v>15</v>
      </c>
      <c r="Z590" s="56">
        <f>IFERROR(Supplier_Perf_Table[[#This Row],[Expected Delivery_Date]]-Supplier_Perf_Table[[#This Row],[Order Date]],"")</f>
        <v>15</v>
      </c>
      <c r="AA590" s="56">
        <f>Supplier_Perf_Table[[#This Row],[Calculated_Lead_Time2]]-Supplier_Perf_Table[[#This Row],[Calculated_Expected_Lead_Time]]</f>
        <v>6</v>
      </c>
      <c r="AB590" s="75">
        <v>6</v>
      </c>
      <c r="AC590" s="63" t="s">
        <v>135</v>
      </c>
      <c r="AD590" s="63" t="s">
        <v>40</v>
      </c>
      <c r="AE590" s="63" t="s">
        <v>105</v>
      </c>
      <c r="AF590" s="63" t="s">
        <v>106</v>
      </c>
      <c r="AG590" s="63" t="s">
        <v>3088</v>
      </c>
      <c r="AH590" s="63" t="s">
        <v>136</v>
      </c>
      <c r="AI590" s="63" t="s">
        <v>191</v>
      </c>
      <c r="AJ590" s="63" t="s">
        <v>138</v>
      </c>
      <c r="AK590" s="83">
        <v>3.2</v>
      </c>
      <c r="AL590" s="63" t="s">
        <v>108</v>
      </c>
      <c r="AM590" s="63" t="s">
        <v>46</v>
      </c>
      <c r="AN590"/>
    </row>
    <row r="591" spans="1:40" ht="18" customHeight="1">
      <c r="A591" s="1" t="s">
        <v>1906</v>
      </c>
      <c r="B591" s="1" t="s">
        <v>1907</v>
      </c>
      <c r="C591" s="4">
        <v>46175</v>
      </c>
      <c r="D591" s="4">
        <v>46190</v>
      </c>
      <c r="E591" s="4">
        <v>46188</v>
      </c>
      <c r="F591" s="63" t="s">
        <v>48</v>
      </c>
      <c r="G591" s="63" t="s">
        <v>3836</v>
      </c>
      <c r="H591" s="63" t="s">
        <v>102</v>
      </c>
      <c r="I591" s="63" t="s">
        <v>70</v>
      </c>
      <c r="J591" s="63" t="s">
        <v>112</v>
      </c>
      <c r="K591" s="63" t="s">
        <v>1684</v>
      </c>
      <c r="L591" s="63" t="s">
        <v>218</v>
      </c>
      <c r="M591" s="69">
        <v>780.1</v>
      </c>
      <c r="N591" s="63" t="s">
        <v>86</v>
      </c>
      <c r="O591" s="73">
        <f>_xlfn.XLOOKUP(Supplier_Perf_Table[[#This Row],[Currency]],'Comments 2'!$C$4:$C$16,'Comments 2'!$D$4:$D$16)</f>
        <v>8.8999999999999996E-2</v>
      </c>
      <c r="P591" s="69">
        <f>IFERROR(Supplier_Perf_Table[[#This Row],[Unit_Cost]]*Supplier_Perf_Table[[#This Row],[Dollar Equivalent]],"")</f>
        <v>69.428899999999999</v>
      </c>
      <c r="Q591" s="75">
        <v>250</v>
      </c>
      <c r="R591" s="1">
        <v>195025</v>
      </c>
      <c r="S591" s="75">
        <f>Supplier_Perf_Table[[#This Row],[Unit_Cost]]*Supplier_Perf_Table[[#This Row],[Order_Quantity]]</f>
        <v>195025</v>
      </c>
      <c r="T591" s="75">
        <f>IFERROR(Supplier_Perf_Table[[#This Row],[Dollar Equivalent]]*Supplier_Perf_Table[[#This Row],[Ordered_Value]],"")</f>
        <v>17357.224999999999</v>
      </c>
      <c r="U591" s="75">
        <v>11</v>
      </c>
      <c r="V591" s="7">
        <v>4.3999999999999997E-2</v>
      </c>
      <c r="W591" s="75">
        <v>13</v>
      </c>
      <c r="X591" s="55">
        <f>IFERROR(Supplier_Perf_Table[[#This Row],[Actual_Delivery_Date]]-Supplier_Perf_Table[[#This Row],[Order Date]],"")</f>
        <v>13</v>
      </c>
      <c r="Y591" s="75">
        <v>15</v>
      </c>
      <c r="Z591" s="56">
        <f>IFERROR(Supplier_Perf_Table[[#This Row],[Expected Delivery_Date]]-Supplier_Perf_Table[[#This Row],[Order Date]],"")</f>
        <v>15</v>
      </c>
      <c r="AA591" s="56">
        <f>Supplier_Perf_Table[[#This Row],[Calculated_Lead_Time2]]-Supplier_Perf_Table[[#This Row],[Calculated_Expected_Lead_Time]]</f>
        <v>-2</v>
      </c>
      <c r="AB591" s="75">
        <v>-2</v>
      </c>
      <c r="AC591" s="63" t="s">
        <v>270</v>
      </c>
      <c r="AD591" s="63" t="s">
        <v>74</v>
      </c>
      <c r="AE591" s="63" t="s">
        <v>41</v>
      </c>
      <c r="AF591" s="63" t="s">
        <v>66</v>
      </c>
      <c r="AG591" s="63" t="s">
        <v>107</v>
      </c>
      <c r="AH591" s="63" t="s">
        <v>3112</v>
      </c>
      <c r="AI591" s="63" t="s">
        <v>138</v>
      </c>
      <c r="AJ591" s="63" t="s">
        <v>283</v>
      </c>
      <c r="AK591" s="83">
        <v>1.5</v>
      </c>
      <c r="AL591" s="63" t="s">
        <v>184</v>
      </c>
      <c r="AM591" s="63" t="s">
        <v>97</v>
      </c>
      <c r="AN591"/>
    </row>
    <row r="592" spans="1:40" ht="18" customHeight="1">
      <c r="A592" s="1" t="s">
        <v>1908</v>
      </c>
      <c r="B592" s="1" t="s">
        <v>1909</v>
      </c>
      <c r="C592" s="4">
        <v>46102</v>
      </c>
      <c r="D592" s="4">
        <v>46122</v>
      </c>
      <c r="E592" s="4">
        <v>46117</v>
      </c>
      <c r="F592" s="63" t="s">
        <v>90</v>
      </c>
      <c r="G592" s="63" t="s">
        <v>3840</v>
      </c>
      <c r="H592" s="63" t="s">
        <v>133</v>
      </c>
      <c r="I592" s="63" t="s">
        <v>70</v>
      </c>
      <c r="J592" s="63" t="s">
        <v>62</v>
      </c>
      <c r="K592" s="63" t="s">
        <v>1669</v>
      </c>
      <c r="L592" s="63" t="s">
        <v>64</v>
      </c>
      <c r="M592" s="69">
        <v>114.82</v>
      </c>
      <c r="N592" s="63" t="s">
        <v>86</v>
      </c>
      <c r="O592" s="73">
        <f>_xlfn.XLOOKUP(Supplier_Perf_Table[[#This Row],[Currency]],'Comments 2'!$C$4:$C$16,'Comments 2'!$D$4:$D$16)</f>
        <v>8.8999999999999996E-2</v>
      </c>
      <c r="P592" s="69">
        <f>IFERROR(Supplier_Perf_Table[[#This Row],[Unit_Cost]]*Supplier_Perf_Table[[#This Row],[Dollar Equivalent]],"")</f>
        <v>10.218979999999998</v>
      </c>
      <c r="Q592" s="75">
        <v>250</v>
      </c>
      <c r="R592" s="1">
        <v>28705</v>
      </c>
      <c r="S592" s="75">
        <f>Supplier_Perf_Table[[#This Row],[Unit_Cost]]*Supplier_Perf_Table[[#This Row],[Order_Quantity]]</f>
        <v>28705</v>
      </c>
      <c r="T592" s="75">
        <f>IFERROR(Supplier_Perf_Table[[#This Row],[Dollar Equivalent]]*Supplier_Perf_Table[[#This Row],[Ordered_Value]],"")</f>
        <v>2554.7449999999999</v>
      </c>
      <c r="U592" s="75">
        <v>8</v>
      </c>
      <c r="V592" s="7">
        <v>3.2000000000000001E-2</v>
      </c>
      <c r="W592" s="75">
        <v>15</v>
      </c>
      <c r="X592" s="55">
        <f>IFERROR(Supplier_Perf_Table[[#This Row],[Actual_Delivery_Date]]-Supplier_Perf_Table[[#This Row],[Order Date]],"")</f>
        <v>15</v>
      </c>
      <c r="Y592" s="75">
        <v>20</v>
      </c>
      <c r="Z592" s="56">
        <f>IFERROR(Supplier_Perf_Table[[#This Row],[Expected Delivery_Date]]-Supplier_Perf_Table[[#This Row],[Order Date]],"")</f>
        <v>20</v>
      </c>
      <c r="AA592" s="56">
        <f>Supplier_Perf_Table[[#This Row],[Calculated_Lead_Time2]]-Supplier_Perf_Table[[#This Row],[Calculated_Expected_Lead_Time]]</f>
        <v>-5</v>
      </c>
      <c r="AB592" s="75">
        <v>-5</v>
      </c>
      <c r="AC592" s="63" t="s">
        <v>87</v>
      </c>
      <c r="AD592" s="63" t="s">
        <v>40</v>
      </c>
      <c r="AE592" s="63" t="s">
        <v>41</v>
      </c>
      <c r="AF592" s="63" t="s">
        <v>66</v>
      </c>
      <c r="AG592" s="63" t="s">
        <v>3088</v>
      </c>
      <c r="AH592" s="63" t="s">
        <v>129</v>
      </c>
      <c r="AI592" s="63" t="s">
        <v>137</v>
      </c>
      <c r="AJ592" s="63" t="s">
        <v>138</v>
      </c>
      <c r="AK592" s="83">
        <v>3.1</v>
      </c>
      <c r="AL592" s="63" t="s">
        <v>184</v>
      </c>
      <c r="AM592" s="63" t="s">
        <v>138</v>
      </c>
      <c r="AN592"/>
    </row>
    <row r="593" spans="1:40" ht="18" customHeight="1">
      <c r="A593" s="1" t="s">
        <v>1910</v>
      </c>
      <c r="B593" s="1" t="s">
        <v>1911</v>
      </c>
      <c r="C593" s="4">
        <v>46144</v>
      </c>
      <c r="D593" s="4">
        <v>46150</v>
      </c>
      <c r="E593" s="4">
        <v>46160</v>
      </c>
      <c r="F593" s="63" t="s">
        <v>162</v>
      </c>
      <c r="G593" s="63" t="s">
        <v>3847</v>
      </c>
      <c r="H593" s="63" t="s">
        <v>152</v>
      </c>
      <c r="I593" s="63" t="s">
        <v>34</v>
      </c>
      <c r="J593" s="63" t="s">
        <v>163</v>
      </c>
      <c r="K593" s="63" t="s">
        <v>1912</v>
      </c>
      <c r="L593" s="63" t="s">
        <v>253</v>
      </c>
      <c r="M593" s="69">
        <v>2099.5500000000002</v>
      </c>
      <c r="N593" s="63" t="s">
        <v>53</v>
      </c>
      <c r="O593" s="73">
        <f>_xlfn.XLOOKUP(Supplier_Perf_Table[[#This Row],[Currency]],'Comments 2'!$C$4:$C$16,'Comments 2'!$D$4:$D$16)</f>
        <v>6.0999999999999999E-2</v>
      </c>
      <c r="P593" s="69">
        <f>IFERROR(Supplier_Perf_Table[[#This Row],[Unit_Cost]]*Supplier_Perf_Table[[#This Row],[Dollar Equivalent]],"")</f>
        <v>128.07255000000001</v>
      </c>
      <c r="Q593" s="75">
        <v>2000</v>
      </c>
      <c r="R593" s="1">
        <v>4199100</v>
      </c>
      <c r="S593" s="75">
        <f>Supplier_Perf_Table[[#This Row],[Unit_Cost]]*Supplier_Perf_Table[[#This Row],[Order_Quantity]]</f>
        <v>4199100</v>
      </c>
      <c r="T593" s="75">
        <f>IFERROR(Supplier_Perf_Table[[#This Row],[Dollar Equivalent]]*Supplier_Perf_Table[[#This Row],[Ordered_Value]],"")</f>
        <v>256145.1</v>
      </c>
      <c r="U593" s="75">
        <v>33</v>
      </c>
      <c r="V593" s="7">
        <v>1.6500000000000001E-2</v>
      </c>
      <c r="W593" s="75">
        <v>16</v>
      </c>
      <c r="X593" s="55">
        <f>IFERROR(Supplier_Perf_Table[[#This Row],[Actual_Delivery_Date]]-Supplier_Perf_Table[[#This Row],[Order Date]],"")</f>
        <v>16</v>
      </c>
      <c r="Y593" s="75">
        <v>6</v>
      </c>
      <c r="Z593" s="56">
        <f>IFERROR(Supplier_Perf_Table[[#This Row],[Expected Delivery_Date]]-Supplier_Perf_Table[[#This Row],[Order Date]],"")</f>
        <v>6</v>
      </c>
      <c r="AA593" s="56">
        <f>Supplier_Perf_Table[[#This Row],[Calculated_Lead_Time2]]-Supplier_Perf_Table[[#This Row],[Calculated_Expected_Lead_Time]]</f>
        <v>10</v>
      </c>
      <c r="AB593" s="75">
        <v>10</v>
      </c>
      <c r="AC593" s="63" t="s">
        <v>39</v>
      </c>
      <c r="AD593" s="63" t="s">
        <v>40</v>
      </c>
      <c r="AE593" s="63" t="s">
        <v>41</v>
      </c>
      <c r="AF593" s="63" t="s">
        <v>66</v>
      </c>
      <c r="AG593" s="63" t="s">
        <v>173</v>
      </c>
      <c r="AH593" s="63" t="s">
        <v>3112</v>
      </c>
      <c r="AI593" s="63" t="s">
        <v>147</v>
      </c>
      <c r="AJ593" s="63" t="s">
        <v>138</v>
      </c>
      <c r="AK593" s="83">
        <v>2.6</v>
      </c>
      <c r="AL593" s="63" t="s">
        <v>139</v>
      </c>
      <c r="AM593" s="63" t="s">
        <v>46</v>
      </c>
      <c r="AN593"/>
    </row>
    <row r="594" spans="1:40" ht="18" customHeight="1">
      <c r="A594" s="1" t="s">
        <v>1913</v>
      </c>
      <c r="B594" s="1" t="s">
        <v>1914</v>
      </c>
      <c r="C594" s="4">
        <v>46104</v>
      </c>
      <c r="D594" s="4">
        <v>46121</v>
      </c>
      <c r="E594" s="4">
        <v>46132</v>
      </c>
      <c r="F594" s="63" t="s">
        <v>118</v>
      </c>
      <c r="G594" s="63" t="s">
        <v>3842</v>
      </c>
      <c r="H594" s="63" t="s">
        <v>301</v>
      </c>
      <c r="I594" s="63" t="s">
        <v>49</v>
      </c>
      <c r="J594" s="63" t="s">
        <v>62</v>
      </c>
      <c r="K594" s="63" t="s">
        <v>1915</v>
      </c>
      <c r="L594" s="63" t="s">
        <v>64</v>
      </c>
      <c r="M594" s="69">
        <v>416.25</v>
      </c>
      <c r="N594" s="63" t="s">
        <v>38</v>
      </c>
      <c r="O594" s="73">
        <f>_xlfn.XLOOKUP(Supplier_Perf_Table[[#This Row],[Currency]],'Comments 2'!$C$4:$C$16,'Comments 2'!$D$4:$D$16)</f>
        <v>7.7000000000000002E-3</v>
      </c>
      <c r="P594" s="69">
        <f>IFERROR(Supplier_Perf_Table[[#This Row],[Unit_Cost]]*Supplier_Perf_Table[[#This Row],[Dollar Equivalent]],"")</f>
        <v>3.2051250000000002</v>
      </c>
      <c r="Q594" s="75">
        <v>1000</v>
      </c>
      <c r="R594" s="1">
        <v>416250</v>
      </c>
      <c r="S594" s="75">
        <f>Supplier_Perf_Table[[#This Row],[Unit_Cost]]*Supplier_Perf_Table[[#This Row],[Order_Quantity]]</f>
        <v>416250</v>
      </c>
      <c r="T594" s="75">
        <f>IFERROR(Supplier_Perf_Table[[#This Row],[Dollar Equivalent]]*Supplier_Perf_Table[[#This Row],[Ordered_Value]],"")</f>
        <v>3205.125</v>
      </c>
      <c r="U594" s="75">
        <v>47</v>
      </c>
      <c r="V594" s="7">
        <v>4.7E-2</v>
      </c>
      <c r="W594" s="75">
        <v>28</v>
      </c>
      <c r="X594" s="55">
        <f>IFERROR(Supplier_Perf_Table[[#This Row],[Actual_Delivery_Date]]-Supplier_Perf_Table[[#This Row],[Order Date]],"")</f>
        <v>28</v>
      </c>
      <c r="Y594" s="75">
        <v>17</v>
      </c>
      <c r="Z594" s="56">
        <f>IFERROR(Supplier_Perf_Table[[#This Row],[Expected Delivery_Date]]-Supplier_Perf_Table[[#This Row],[Order Date]],"")</f>
        <v>17</v>
      </c>
      <c r="AA594" s="56">
        <f>Supplier_Perf_Table[[#This Row],[Calculated_Lead_Time2]]-Supplier_Perf_Table[[#This Row],[Calculated_Expected_Lead_Time]]</f>
        <v>11</v>
      </c>
      <c r="AB594" s="75">
        <v>11</v>
      </c>
      <c r="AC594" s="63" t="s">
        <v>39</v>
      </c>
      <c r="AD594" s="63" t="s">
        <v>366</v>
      </c>
      <c r="AE594" s="63" t="s">
        <v>3088</v>
      </c>
      <c r="AF594" s="63" t="s">
        <v>212</v>
      </c>
      <c r="AG594" s="63" t="s">
        <v>173</v>
      </c>
      <c r="AH594" s="63" t="s">
        <v>136</v>
      </c>
      <c r="AI594" s="63" t="s">
        <v>191</v>
      </c>
      <c r="AJ594" s="63" t="s">
        <v>75</v>
      </c>
      <c r="AK594" s="83">
        <v>3.2</v>
      </c>
      <c r="AL594" s="63" t="s">
        <v>76</v>
      </c>
      <c r="AM594" s="63" t="s">
        <v>185</v>
      </c>
      <c r="AN594"/>
    </row>
    <row r="595" spans="1:40" ht="18" customHeight="1">
      <c r="A595" s="1" t="s">
        <v>1916</v>
      </c>
      <c r="B595" s="1" t="s">
        <v>1917</v>
      </c>
      <c r="C595" s="4">
        <v>46179</v>
      </c>
      <c r="D595" s="4">
        <v>46186</v>
      </c>
      <c r="E595" s="4">
        <v>46200</v>
      </c>
      <c r="F595" s="63" t="s">
        <v>162</v>
      </c>
      <c r="G595" s="63" t="s">
        <v>3847</v>
      </c>
      <c r="H595" s="63" t="s">
        <v>152</v>
      </c>
      <c r="I595" s="63" t="s">
        <v>49</v>
      </c>
      <c r="J595" s="63" t="s">
        <v>35</v>
      </c>
      <c r="K595" s="63" t="s">
        <v>1918</v>
      </c>
      <c r="L595" s="63" t="s">
        <v>180</v>
      </c>
      <c r="M595" s="69">
        <v>1248.51</v>
      </c>
      <c r="N595" s="63" t="s">
        <v>104</v>
      </c>
      <c r="O595" s="73">
        <f>_xlfn.XLOOKUP(Supplier_Perf_Table[[#This Row],[Currency]],'Comments 2'!$C$4:$C$16,'Comments 2'!$D$4:$D$16)</f>
        <v>1.9E-2</v>
      </c>
      <c r="P595" s="69">
        <f>IFERROR(Supplier_Perf_Table[[#This Row],[Unit_Cost]]*Supplier_Perf_Table[[#This Row],[Dollar Equivalent]],"")</f>
        <v>23.721689999999999</v>
      </c>
      <c r="Q595" s="75">
        <v>100</v>
      </c>
      <c r="R595" s="1">
        <v>124851</v>
      </c>
      <c r="S595" s="75">
        <f>Supplier_Perf_Table[[#This Row],[Unit_Cost]]*Supplier_Perf_Table[[#This Row],[Order_Quantity]]</f>
        <v>124851</v>
      </c>
      <c r="T595" s="75">
        <f>IFERROR(Supplier_Perf_Table[[#This Row],[Dollar Equivalent]]*Supplier_Perf_Table[[#This Row],[Ordered_Value]],"")</f>
        <v>2372.1689999999999</v>
      </c>
      <c r="U595" s="75">
        <v>2</v>
      </c>
      <c r="V595" s="7">
        <v>0.02</v>
      </c>
      <c r="W595" s="75">
        <v>21</v>
      </c>
      <c r="X595" s="55">
        <f>IFERROR(Supplier_Perf_Table[[#This Row],[Actual_Delivery_Date]]-Supplier_Perf_Table[[#This Row],[Order Date]],"")</f>
        <v>21</v>
      </c>
      <c r="Y595" s="75">
        <v>7</v>
      </c>
      <c r="Z595" s="56">
        <f>IFERROR(Supplier_Perf_Table[[#This Row],[Expected Delivery_Date]]-Supplier_Perf_Table[[#This Row],[Order Date]],"")</f>
        <v>7</v>
      </c>
      <c r="AA595" s="56">
        <f>Supplier_Perf_Table[[#This Row],[Calculated_Lead_Time2]]-Supplier_Perf_Table[[#This Row],[Calculated_Expected_Lead_Time]]</f>
        <v>14</v>
      </c>
      <c r="AB595" s="75"/>
      <c r="AC595" s="63" t="s">
        <v>205</v>
      </c>
      <c r="AD595" s="63" t="s">
        <v>40</v>
      </c>
      <c r="AE595" s="63" t="s">
        <v>105</v>
      </c>
      <c r="AF595" s="63" t="s">
        <v>212</v>
      </c>
      <c r="AG595" s="63" t="s">
        <v>173</v>
      </c>
      <c r="AH595" s="63" t="s">
        <v>136</v>
      </c>
      <c r="AI595" s="63" t="s">
        <v>137</v>
      </c>
      <c r="AJ595" s="63" t="s">
        <v>138</v>
      </c>
      <c r="AK595" s="83">
        <v>2.1</v>
      </c>
      <c r="AL595" s="63" t="s">
        <v>139</v>
      </c>
      <c r="AM595" s="63" t="s">
        <v>46</v>
      </c>
      <c r="AN595"/>
    </row>
    <row r="596" spans="1:40" ht="18" customHeight="1">
      <c r="A596" s="1" t="s">
        <v>1919</v>
      </c>
      <c r="B596" s="1" t="s">
        <v>1920</v>
      </c>
      <c r="C596" s="4">
        <v>46082</v>
      </c>
      <c r="D596" s="4">
        <v>46098</v>
      </c>
      <c r="E596" s="4">
        <v>46097</v>
      </c>
      <c r="F596" s="63" t="s">
        <v>32</v>
      </c>
      <c r="G596" s="63" t="s">
        <v>3835</v>
      </c>
      <c r="H596" s="63" t="s">
        <v>177</v>
      </c>
      <c r="I596" s="63" t="s">
        <v>241</v>
      </c>
      <c r="J596" s="63" t="s">
        <v>153</v>
      </c>
      <c r="K596" s="63" t="s">
        <v>1921</v>
      </c>
      <c r="L596" s="63" t="s">
        <v>295</v>
      </c>
      <c r="M596" s="69">
        <v>567.71</v>
      </c>
      <c r="N596" s="63" t="s">
        <v>65</v>
      </c>
      <c r="O596" s="73">
        <f>_xlfn.XLOOKUP(Supplier_Perf_Table[[#This Row],[Currency]],'Comments 2'!$C$4:$C$16,'Comments 2'!$D$4:$D$16)</f>
        <v>1</v>
      </c>
      <c r="P596" s="69">
        <f>IFERROR(Supplier_Perf_Table[[#This Row],[Unit_Cost]]*Supplier_Perf_Table[[#This Row],[Dollar Equivalent]],"")</f>
        <v>567.71</v>
      </c>
      <c r="Q596" s="75">
        <v>300</v>
      </c>
      <c r="R596" s="1">
        <v>170313</v>
      </c>
      <c r="S596" s="75">
        <f>Supplier_Perf_Table[[#This Row],[Unit_Cost]]*Supplier_Perf_Table[[#This Row],[Order_Quantity]]</f>
        <v>170313</v>
      </c>
      <c r="T596" s="75">
        <f>IFERROR(Supplier_Perf_Table[[#This Row],[Dollar Equivalent]]*Supplier_Perf_Table[[#This Row],[Ordered_Value]],"")</f>
        <v>170313</v>
      </c>
      <c r="U596" s="75">
        <v>33</v>
      </c>
      <c r="V596" s="7">
        <v>0.11</v>
      </c>
      <c r="W596" s="75">
        <v>15</v>
      </c>
      <c r="X596" s="55">
        <f>IFERROR(Supplier_Perf_Table[[#This Row],[Actual_Delivery_Date]]-Supplier_Perf_Table[[#This Row],[Order Date]],"")</f>
        <v>15</v>
      </c>
      <c r="Y596" s="75">
        <v>16</v>
      </c>
      <c r="Z596" s="56">
        <f>IFERROR(Supplier_Perf_Table[[#This Row],[Expected Delivery_Date]]-Supplier_Perf_Table[[#This Row],[Order Date]],"")</f>
        <v>16</v>
      </c>
      <c r="AA596" s="56">
        <f>Supplier_Perf_Table[[#This Row],[Calculated_Lead_Time2]]-Supplier_Perf_Table[[#This Row],[Calculated_Expected_Lead_Time]]</f>
        <v>-1</v>
      </c>
      <c r="AB596" s="75">
        <v>-1</v>
      </c>
      <c r="AC596" s="63" t="s">
        <v>87</v>
      </c>
      <c r="AD596" s="63" t="s">
        <v>420</v>
      </c>
      <c r="AE596" s="63" t="s">
        <v>41</v>
      </c>
      <c r="AF596" s="63" t="s">
        <v>106</v>
      </c>
      <c r="AG596" s="63" t="s">
        <v>173</v>
      </c>
      <c r="AH596" s="63" t="s">
        <v>136</v>
      </c>
      <c r="AI596" s="63" t="s">
        <v>137</v>
      </c>
      <c r="AJ596" s="63" t="s">
        <v>283</v>
      </c>
      <c r="AK596" s="83">
        <v>1.7</v>
      </c>
      <c r="AL596" s="63" t="s">
        <v>139</v>
      </c>
      <c r="AM596" s="63" t="s">
        <v>97</v>
      </c>
      <c r="AN596"/>
    </row>
    <row r="597" spans="1:40" ht="18" customHeight="1">
      <c r="A597" s="1" t="s">
        <v>1922</v>
      </c>
      <c r="B597" s="1" t="s">
        <v>1923</v>
      </c>
      <c r="C597" s="4">
        <v>46068</v>
      </c>
      <c r="D597" s="4">
        <v>46086</v>
      </c>
      <c r="E597" s="4">
        <v>46097</v>
      </c>
      <c r="F597" s="63" t="s">
        <v>118</v>
      </c>
      <c r="G597" s="63" t="s">
        <v>3842</v>
      </c>
      <c r="H597" s="63" t="s">
        <v>301</v>
      </c>
      <c r="I597" s="63" t="s">
        <v>70</v>
      </c>
      <c r="J597" s="63" t="s">
        <v>62</v>
      </c>
      <c r="K597" s="63" t="s">
        <v>1924</v>
      </c>
      <c r="L597" s="63" t="s">
        <v>225</v>
      </c>
      <c r="M597" s="69">
        <v>418.15</v>
      </c>
      <c r="N597" s="63" t="s">
        <v>86</v>
      </c>
      <c r="O597" s="73">
        <f>_xlfn.XLOOKUP(Supplier_Perf_Table[[#This Row],[Currency]],'Comments 2'!$C$4:$C$16,'Comments 2'!$D$4:$D$16)</f>
        <v>8.8999999999999996E-2</v>
      </c>
      <c r="P597" s="69">
        <f>IFERROR(Supplier_Perf_Table[[#This Row],[Unit_Cost]]*Supplier_Perf_Table[[#This Row],[Dollar Equivalent]],"")</f>
        <v>37.215349999999994</v>
      </c>
      <c r="Q597" s="75">
        <v>2000</v>
      </c>
      <c r="R597" s="1">
        <v>836300</v>
      </c>
      <c r="S597" s="75">
        <f>Supplier_Perf_Table[[#This Row],[Unit_Cost]]*Supplier_Perf_Table[[#This Row],[Order_Quantity]]</f>
        <v>836300</v>
      </c>
      <c r="T597" s="75">
        <f>IFERROR(Supplier_Perf_Table[[#This Row],[Dollar Equivalent]]*Supplier_Perf_Table[[#This Row],[Ordered_Value]],"")</f>
        <v>74430.7</v>
      </c>
      <c r="U597" s="75">
        <v>39</v>
      </c>
      <c r="V597" s="7">
        <v>1.95E-2</v>
      </c>
      <c r="W597" s="75">
        <v>29</v>
      </c>
      <c r="X597" s="55">
        <f>IFERROR(Supplier_Perf_Table[[#This Row],[Actual_Delivery_Date]]-Supplier_Perf_Table[[#This Row],[Order Date]],"")</f>
        <v>29</v>
      </c>
      <c r="Y597" s="75">
        <v>18</v>
      </c>
      <c r="Z597" s="56">
        <f>IFERROR(Supplier_Perf_Table[[#This Row],[Expected Delivery_Date]]-Supplier_Perf_Table[[#This Row],[Order Date]],"")</f>
        <v>18</v>
      </c>
      <c r="AA597" s="56">
        <f>Supplier_Perf_Table[[#This Row],[Calculated_Lead_Time2]]-Supplier_Perf_Table[[#This Row],[Calculated_Expected_Lead_Time]]</f>
        <v>11</v>
      </c>
      <c r="AB597" s="75">
        <v>11</v>
      </c>
      <c r="AC597" s="63" t="s">
        <v>205</v>
      </c>
      <c r="AD597" s="63" t="s">
        <v>40</v>
      </c>
      <c r="AE597" s="63" t="s">
        <v>127</v>
      </c>
      <c r="AF597" s="63" t="s">
        <v>106</v>
      </c>
      <c r="AG597" s="63" t="s">
        <v>128</v>
      </c>
      <c r="AH597" s="63" t="s">
        <v>55</v>
      </c>
      <c r="AI597" s="63" t="s">
        <v>191</v>
      </c>
      <c r="AJ597" s="63" t="s">
        <v>138</v>
      </c>
      <c r="AK597" s="83">
        <v>2</v>
      </c>
      <c r="AL597" s="63" t="s">
        <v>139</v>
      </c>
      <c r="AM597" s="63" t="s">
        <v>148</v>
      </c>
      <c r="AN597"/>
    </row>
    <row r="598" spans="1:40" ht="18" customHeight="1">
      <c r="A598" s="1" t="s">
        <v>1925</v>
      </c>
      <c r="B598" s="1" t="s">
        <v>1926</v>
      </c>
      <c r="C598" s="4">
        <v>46085</v>
      </c>
      <c r="D598" s="4">
        <v>46103</v>
      </c>
      <c r="E598" s="4">
        <v>46112</v>
      </c>
      <c r="F598" s="63" t="s">
        <v>90</v>
      </c>
      <c r="G598" s="63" t="s">
        <v>3840</v>
      </c>
      <c r="H598" s="63" t="s">
        <v>133</v>
      </c>
      <c r="I598" s="63" t="s">
        <v>34</v>
      </c>
      <c r="J598" s="63" t="s">
        <v>71</v>
      </c>
      <c r="K598" s="63" t="s">
        <v>1927</v>
      </c>
      <c r="L598" s="63" t="s">
        <v>73</v>
      </c>
      <c r="M598" s="69">
        <v>684.57</v>
      </c>
      <c r="N598" s="63" t="s">
        <v>86</v>
      </c>
      <c r="O598" s="73">
        <f>_xlfn.XLOOKUP(Supplier_Perf_Table[[#This Row],[Currency]],'Comments 2'!$C$4:$C$16,'Comments 2'!$D$4:$D$16)</f>
        <v>8.8999999999999996E-2</v>
      </c>
      <c r="P598" s="69">
        <f>IFERROR(Supplier_Perf_Table[[#This Row],[Unit_Cost]]*Supplier_Perf_Table[[#This Row],[Dollar Equivalent]],"")</f>
        <v>60.926729999999999</v>
      </c>
      <c r="Q598" s="75">
        <v>75</v>
      </c>
      <c r="R598" s="1" t="s">
        <v>3080</v>
      </c>
      <c r="S598" s="75">
        <f>Supplier_Perf_Table[[#This Row],[Unit_Cost]]*Supplier_Perf_Table[[#This Row],[Order_Quantity]]</f>
        <v>51342.750000000007</v>
      </c>
      <c r="T598" s="75" t="str">
        <f>IFERROR(Supplier_Perf_Table[[#This Row],[Dollar Equivalent]]*Supplier_Perf_Table[[#This Row],[Ordered_Value]],"")</f>
        <v/>
      </c>
      <c r="U598" s="75">
        <v>2</v>
      </c>
      <c r="V598" s="7">
        <v>2.6700000000000002E-2</v>
      </c>
      <c r="W598" s="75">
        <v>27</v>
      </c>
      <c r="X598" s="55">
        <f>IFERROR(Supplier_Perf_Table[[#This Row],[Actual_Delivery_Date]]-Supplier_Perf_Table[[#This Row],[Order Date]],"")</f>
        <v>27</v>
      </c>
      <c r="Y598" s="75">
        <v>18</v>
      </c>
      <c r="Z598" s="56">
        <f>IFERROR(Supplier_Perf_Table[[#This Row],[Expected Delivery_Date]]-Supplier_Perf_Table[[#This Row],[Order Date]],"")</f>
        <v>18</v>
      </c>
      <c r="AA598" s="56">
        <f>Supplier_Perf_Table[[#This Row],[Calculated_Lead_Time2]]-Supplier_Perf_Table[[#This Row],[Calculated_Expected_Lead_Time]]</f>
        <v>9</v>
      </c>
      <c r="AB598" s="75">
        <v>9</v>
      </c>
      <c r="AC598" s="63" t="s">
        <v>205</v>
      </c>
      <c r="AD598" s="63" t="s">
        <v>40</v>
      </c>
      <c r="AE598" s="63" t="s">
        <v>127</v>
      </c>
      <c r="AF598" s="63" t="s">
        <v>106</v>
      </c>
      <c r="AG598" s="63" t="s">
        <v>107</v>
      </c>
      <c r="AH598" s="63" t="s">
        <v>129</v>
      </c>
      <c r="AI598" s="63" t="s">
        <v>147</v>
      </c>
      <c r="AJ598" s="63" t="s">
        <v>138</v>
      </c>
      <c r="AK598" s="83">
        <v>6</v>
      </c>
      <c r="AL598" s="63" t="s">
        <v>108</v>
      </c>
      <c r="AM598" s="63" t="s">
        <v>148</v>
      </c>
      <c r="AN598"/>
    </row>
    <row r="599" spans="1:40" ht="18" customHeight="1">
      <c r="A599" s="1" t="s">
        <v>1928</v>
      </c>
      <c r="B599" s="1" t="s">
        <v>1929</v>
      </c>
      <c r="C599" s="4">
        <v>46140</v>
      </c>
      <c r="D599" s="4">
        <v>46158</v>
      </c>
      <c r="E599" s="4">
        <v>46153</v>
      </c>
      <c r="F599" s="63" t="s">
        <v>90</v>
      </c>
      <c r="G599" s="63" t="s">
        <v>3840</v>
      </c>
      <c r="H599" s="63" t="s">
        <v>133</v>
      </c>
      <c r="I599" s="63" t="s">
        <v>49</v>
      </c>
      <c r="J599" s="63" t="s">
        <v>71</v>
      </c>
      <c r="K599" s="63" t="s">
        <v>1930</v>
      </c>
      <c r="L599" s="63" t="s">
        <v>553</v>
      </c>
      <c r="M599" s="69">
        <v>580.9</v>
      </c>
      <c r="N599" s="63" t="s">
        <v>86</v>
      </c>
      <c r="O599" s="73">
        <f>_xlfn.XLOOKUP(Supplier_Perf_Table[[#This Row],[Currency]],'Comments 2'!$C$4:$C$16,'Comments 2'!$D$4:$D$16)</f>
        <v>8.8999999999999996E-2</v>
      </c>
      <c r="P599" s="69">
        <f>IFERROR(Supplier_Perf_Table[[#This Row],[Unit_Cost]]*Supplier_Perf_Table[[#This Row],[Dollar Equivalent]],"")</f>
        <v>51.700099999999999</v>
      </c>
      <c r="Q599" s="75">
        <v>1000</v>
      </c>
      <c r="R599" s="1">
        <v>580900</v>
      </c>
      <c r="S599" s="75">
        <f>Supplier_Perf_Table[[#This Row],[Unit_Cost]]*Supplier_Perf_Table[[#This Row],[Order_Quantity]]</f>
        <v>580900</v>
      </c>
      <c r="T599" s="75">
        <f>IFERROR(Supplier_Perf_Table[[#This Row],[Dollar Equivalent]]*Supplier_Perf_Table[[#This Row],[Ordered_Value]],"")</f>
        <v>51700.1</v>
      </c>
      <c r="U599" s="75">
        <v>45</v>
      </c>
      <c r="V599" s="7">
        <v>4.4999999999999998E-2</v>
      </c>
      <c r="W599" s="75">
        <v>13</v>
      </c>
      <c r="X599" s="55">
        <f>IFERROR(Supplier_Perf_Table[[#This Row],[Actual_Delivery_Date]]-Supplier_Perf_Table[[#This Row],[Order Date]],"")</f>
        <v>13</v>
      </c>
      <c r="Y599" s="75">
        <v>18</v>
      </c>
      <c r="Z599" s="56">
        <f>IFERROR(Supplier_Perf_Table[[#This Row],[Expected Delivery_Date]]-Supplier_Perf_Table[[#This Row],[Order Date]],"")</f>
        <v>18</v>
      </c>
      <c r="AA599" s="56">
        <f>Supplier_Perf_Table[[#This Row],[Calculated_Lead_Time2]]-Supplier_Perf_Table[[#This Row],[Calculated_Expected_Lead_Time]]</f>
        <v>-5</v>
      </c>
      <c r="AB599" s="75">
        <v>-5</v>
      </c>
      <c r="AC599" s="63" t="s">
        <v>87</v>
      </c>
      <c r="AD599" s="63" t="s">
        <v>366</v>
      </c>
      <c r="AE599" s="63" t="s">
        <v>41</v>
      </c>
      <c r="AF599" s="63" t="s">
        <v>3088</v>
      </c>
      <c r="AG599" s="63" t="s">
        <v>3088</v>
      </c>
      <c r="AH599" s="63" t="s">
        <v>88</v>
      </c>
      <c r="AI599" s="63" t="s">
        <v>191</v>
      </c>
      <c r="AJ599" s="63" t="s">
        <v>96</v>
      </c>
      <c r="AK599" s="83">
        <v>2.4</v>
      </c>
      <c r="AL599" s="63" t="s">
        <v>45</v>
      </c>
      <c r="AM599" s="63" t="s">
        <v>1758</v>
      </c>
      <c r="AN599"/>
    </row>
    <row r="600" spans="1:40" ht="18" customHeight="1">
      <c r="A600" s="1" t="s">
        <v>1931</v>
      </c>
      <c r="B600" s="1" t="s">
        <v>1932</v>
      </c>
      <c r="C600" s="4">
        <v>46099</v>
      </c>
      <c r="D600" s="4">
        <v>46107</v>
      </c>
      <c r="E600" s="4">
        <v>46106</v>
      </c>
      <c r="F600" s="63" t="s">
        <v>80</v>
      </c>
      <c r="G600" s="63" t="s">
        <v>3839</v>
      </c>
      <c r="H600" s="63" t="s">
        <v>82</v>
      </c>
      <c r="I600" s="63" t="s">
        <v>178</v>
      </c>
      <c r="J600" s="63" t="s">
        <v>50</v>
      </c>
      <c r="K600" s="63" t="s">
        <v>1933</v>
      </c>
      <c r="L600" s="63" t="s">
        <v>52</v>
      </c>
      <c r="M600" s="69">
        <v>28.84</v>
      </c>
      <c r="N600" s="63" t="s">
        <v>38</v>
      </c>
      <c r="O600" s="73">
        <f>_xlfn.XLOOKUP(Supplier_Perf_Table[[#This Row],[Currency]],'Comments 2'!$C$4:$C$16,'Comments 2'!$D$4:$D$16)</f>
        <v>7.7000000000000002E-3</v>
      </c>
      <c r="P600" s="69">
        <f>IFERROR(Supplier_Perf_Table[[#This Row],[Unit_Cost]]*Supplier_Perf_Table[[#This Row],[Dollar Equivalent]],"")</f>
        <v>0.22206800000000002</v>
      </c>
      <c r="Q600" s="75">
        <v>150</v>
      </c>
      <c r="R600" s="1">
        <v>4326</v>
      </c>
      <c r="S600" s="75">
        <f>Supplier_Perf_Table[[#This Row],[Unit_Cost]]*Supplier_Perf_Table[[#This Row],[Order_Quantity]]</f>
        <v>4326</v>
      </c>
      <c r="T600" s="75">
        <f>IFERROR(Supplier_Perf_Table[[#This Row],[Dollar Equivalent]]*Supplier_Perf_Table[[#This Row],[Ordered_Value]],"")</f>
        <v>33.310200000000002</v>
      </c>
      <c r="U600" s="75">
        <v>2</v>
      </c>
      <c r="V600" s="7">
        <v>1.3299999999999999E-2</v>
      </c>
      <c r="W600" s="75">
        <v>7</v>
      </c>
      <c r="X600" s="55">
        <f>IFERROR(Supplier_Perf_Table[[#This Row],[Actual_Delivery_Date]]-Supplier_Perf_Table[[#This Row],[Order Date]],"")</f>
        <v>7</v>
      </c>
      <c r="Y600" s="75">
        <v>8</v>
      </c>
      <c r="Z600" s="56">
        <f>IFERROR(Supplier_Perf_Table[[#This Row],[Expected Delivery_Date]]-Supplier_Perf_Table[[#This Row],[Order Date]],"")</f>
        <v>8</v>
      </c>
      <c r="AA600" s="56">
        <f>Supplier_Perf_Table[[#This Row],[Calculated_Lead_Time2]]-Supplier_Perf_Table[[#This Row],[Calculated_Expected_Lead_Time]]</f>
        <v>-1</v>
      </c>
      <c r="AB600" s="75">
        <v>-1</v>
      </c>
      <c r="AC600" s="63" t="s">
        <v>87</v>
      </c>
      <c r="AD600" s="63" t="s">
        <v>40</v>
      </c>
      <c r="AE600" s="63" t="s">
        <v>105</v>
      </c>
      <c r="AF600" s="63" t="s">
        <v>212</v>
      </c>
      <c r="AG600" s="63" t="s">
        <v>54</v>
      </c>
      <c r="AH600" s="63" t="s">
        <v>88</v>
      </c>
      <c r="AI600" s="63" t="s">
        <v>191</v>
      </c>
      <c r="AJ600" s="63" t="s">
        <v>138</v>
      </c>
      <c r="AK600" s="83">
        <v>3</v>
      </c>
      <c r="AL600" s="63" t="s">
        <v>115</v>
      </c>
      <c r="AM600" s="63" t="s">
        <v>138</v>
      </c>
      <c r="AN600"/>
    </row>
    <row r="601" spans="1:40" ht="18" customHeight="1">
      <c r="A601" s="63" t="s">
        <v>1934</v>
      </c>
      <c r="B601" s="63" t="s">
        <v>1935</v>
      </c>
      <c r="C601" s="4">
        <v>46139</v>
      </c>
      <c r="D601" s="4">
        <v>46145</v>
      </c>
      <c r="E601" s="4">
        <v>46139</v>
      </c>
      <c r="F601" s="63" t="s">
        <v>151</v>
      </c>
      <c r="G601" s="63" t="s">
        <v>3844</v>
      </c>
      <c r="H601" s="63" t="s">
        <v>152</v>
      </c>
      <c r="I601" s="63" t="s">
        <v>92</v>
      </c>
      <c r="J601" s="63" t="s">
        <v>112</v>
      </c>
      <c r="K601" s="63" t="s">
        <v>1936</v>
      </c>
      <c r="L601" s="63" t="s">
        <v>246</v>
      </c>
      <c r="M601" s="69">
        <v>784.95</v>
      </c>
      <c r="N601" s="63" t="s">
        <v>38</v>
      </c>
      <c r="O601" s="73">
        <f>_xlfn.XLOOKUP(Supplier_Perf_Table[[#This Row],[Currency]],'Comments 2'!$C$4:$C$16,'Comments 2'!$D$4:$D$16)</f>
        <v>7.7000000000000002E-3</v>
      </c>
      <c r="P601" s="69">
        <f>IFERROR(Supplier_Perf_Table[[#This Row],[Unit_Cost]]*Supplier_Perf_Table[[#This Row],[Dollar Equivalent]],"")</f>
        <v>6.0441150000000006</v>
      </c>
      <c r="Q601" s="75">
        <v>500</v>
      </c>
      <c r="R601" s="1">
        <v>392475</v>
      </c>
      <c r="S601" s="75">
        <f>Supplier_Perf_Table[[#This Row],[Unit_Cost]]*Supplier_Perf_Table[[#This Row],[Order_Quantity]]</f>
        <v>392475</v>
      </c>
      <c r="T601" s="75">
        <f>IFERROR(Supplier_Perf_Table[[#This Row],[Dollar Equivalent]]*Supplier_Perf_Table[[#This Row],[Ordered_Value]],"")</f>
        <v>3022.0574999999999</v>
      </c>
      <c r="U601" s="75">
        <v>4</v>
      </c>
      <c r="V601" s="7">
        <v>8.0000000000000002E-3</v>
      </c>
      <c r="W601" s="75">
        <v>0</v>
      </c>
      <c r="X601" s="55">
        <f>IFERROR(Supplier_Perf_Table[[#This Row],[Actual_Delivery_Date]]-Supplier_Perf_Table[[#This Row],[Order Date]],"")</f>
        <v>0</v>
      </c>
      <c r="Y601" s="75">
        <v>6</v>
      </c>
      <c r="Z601" s="56">
        <f>IFERROR(Supplier_Perf_Table[[#This Row],[Expected Delivery_Date]]-Supplier_Perf_Table[[#This Row],[Order Date]],"")</f>
        <v>6</v>
      </c>
      <c r="AA601" s="56">
        <f>Supplier_Perf_Table[[#This Row],[Calculated_Lead_Time2]]-Supplier_Perf_Table[[#This Row],[Calculated_Expected_Lead_Time]]</f>
        <v>-6</v>
      </c>
      <c r="AB601" s="75">
        <v>-6</v>
      </c>
      <c r="AC601" s="63" t="s">
        <v>87</v>
      </c>
      <c r="AD601" s="63" t="s">
        <v>40</v>
      </c>
      <c r="AE601" s="63" t="s">
        <v>105</v>
      </c>
      <c r="AF601" s="63" t="s">
        <v>66</v>
      </c>
      <c r="AG601" s="63" t="s">
        <v>3088</v>
      </c>
      <c r="AH601" s="63" t="s">
        <v>174</v>
      </c>
      <c r="AI601" s="63" t="s">
        <v>191</v>
      </c>
      <c r="AJ601" s="63" t="s">
        <v>138</v>
      </c>
      <c r="AK601" s="83">
        <v>3.7</v>
      </c>
      <c r="AL601" s="63" t="s">
        <v>45</v>
      </c>
      <c r="AM601" s="63" t="s">
        <v>138</v>
      </c>
      <c r="AN601"/>
    </row>
    <row r="602" spans="1:40" ht="18" customHeight="1">
      <c r="A602" s="1" t="s">
        <v>1937</v>
      </c>
      <c r="B602" s="1" t="s">
        <v>1938</v>
      </c>
      <c r="C602" s="4">
        <v>46108</v>
      </c>
      <c r="D602" s="4">
        <v>46118</v>
      </c>
      <c r="E602" s="4">
        <v>46126</v>
      </c>
      <c r="F602" s="63" t="s">
        <v>69</v>
      </c>
      <c r="G602" s="63" t="s">
        <v>3838</v>
      </c>
      <c r="H602" s="63" t="s">
        <v>194</v>
      </c>
      <c r="I602" s="63" t="s">
        <v>70</v>
      </c>
      <c r="J602" s="63" t="s">
        <v>112</v>
      </c>
      <c r="K602" s="63" t="s">
        <v>1939</v>
      </c>
      <c r="L602" s="63" t="s">
        <v>246</v>
      </c>
      <c r="M602" s="69">
        <v>48.16</v>
      </c>
      <c r="N602" s="63" t="s">
        <v>86</v>
      </c>
      <c r="O602" s="73">
        <f>_xlfn.XLOOKUP(Supplier_Perf_Table[[#This Row],[Currency]],'Comments 2'!$C$4:$C$16,'Comments 2'!$D$4:$D$16)</f>
        <v>8.8999999999999996E-2</v>
      </c>
      <c r="P602" s="69">
        <f>IFERROR(Supplier_Perf_Table[[#This Row],[Unit_Cost]]*Supplier_Perf_Table[[#This Row],[Dollar Equivalent]],"")</f>
        <v>4.2862399999999994</v>
      </c>
      <c r="Q602" s="75">
        <v>200</v>
      </c>
      <c r="R602" s="1">
        <v>9632</v>
      </c>
      <c r="S602" s="75">
        <f>Supplier_Perf_Table[[#This Row],[Unit_Cost]]*Supplier_Perf_Table[[#This Row],[Order_Quantity]]</f>
        <v>9632</v>
      </c>
      <c r="T602" s="75">
        <f>IFERROR(Supplier_Perf_Table[[#This Row],[Dollar Equivalent]]*Supplier_Perf_Table[[#This Row],[Ordered_Value]],"")</f>
        <v>857.24799999999993</v>
      </c>
      <c r="U602" s="75">
        <v>8</v>
      </c>
      <c r="V602" s="7">
        <v>0.04</v>
      </c>
      <c r="W602" s="75">
        <v>18</v>
      </c>
      <c r="X602" s="55">
        <f>IFERROR(Supplier_Perf_Table[[#This Row],[Actual_Delivery_Date]]-Supplier_Perf_Table[[#This Row],[Order Date]],"")</f>
        <v>18</v>
      </c>
      <c r="Y602" s="75">
        <v>10</v>
      </c>
      <c r="Z602" s="56">
        <f>IFERROR(Supplier_Perf_Table[[#This Row],[Expected Delivery_Date]]-Supplier_Perf_Table[[#This Row],[Order Date]],"")</f>
        <v>10</v>
      </c>
      <c r="AA602" s="56">
        <f>Supplier_Perf_Table[[#This Row],[Calculated_Lead_Time2]]-Supplier_Perf_Table[[#This Row],[Calculated_Expected_Lead_Time]]</f>
        <v>8</v>
      </c>
      <c r="AB602" s="75">
        <v>8</v>
      </c>
      <c r="AC602" s="63" t="s">
        <v>135</v>
      </c>
      <c r="AD602" s="63" t="s">
        <v>40</v>
      </c>
      <c r="AE602" s="63" t="s">
        <v>3088</v>
      </c>
      <c r="AF602" s="63" t="s">
        <v>3088</v>
      </c>
      <c r="AG602" s="63" t="s">
        <v>173</v>
      </c>
      <c r="AH602" s="63" t="s">
        <v>174</v>
      </c>
      <c r="AI602" s="63" t="s">
        <v>147</v>
      </c>
      <c r="AJ602" s="63" t="s">
        <v>138</v>
      </c>
      <c r="AK602" s="83">
        <v>2.7</v>
      </c>
      <c r="AL602" s="63" t="s">
        <v>57</v>
      </c>
      <c r="AM602" s="63" t="s">
        <v>148</v>
      </c>
      <c r="AN602"/>
    </row>
    <row r="603" spans="1:40" ht="18" customHeight="1">
      <c r="A603" s="1" t="s">
        <v>1940</v>
      </c>
      <c r="B603" s="1" t="s">
        <v>1941</v>
      </c>
      <c r="C603" s="4">
        <v>46149</v>
      </c>
      <c r="D603" s="4">
        <v>46159</v>
      </c>
      <c r="E603" s="4">
        <v>46153</v>
      </c>
      <c r="F603" s="63" t="s">
        <v>215</v>
      </c>
      <c r="G603" s="63" t="s">
        <v>3846</v>
      </c>
      <c r="H603" s="63" t="s">
        <v>152</v>
      </c>
      <c r="I603" s="63" t="s">
        <v>120</v>
      </c>
      <c r="J603" s="63" t="s">
        <v>112</v>
      </c>
      <c r="K603" s="63" t="s">
        <v>1942</v>
      </c>
      <c r="L603" s="63" t="s">
        <v>246</v>
      </c>
      <c r="M603" s="69">
        <v>228.84</v>
      </c>
      <c r="N603" s="63" t="s">
        <v>159</v>
      </c>
      <c r="O603" s="73">
        <f>_xlfn.XLOOKUP(Supplier_Perf_Table[[#This Row],[Currency]],'Comments 2'!$C$4:$C$16,'Comments 2'!$D$4:$D$16)</f>
        <v>7.2999999999999996E-4</v>
      </c>
      <c r="P603" s="69">
        <f>IFERROR(Supplier_Perf_Table[[#This Row],[Unit_Cost]]*Supplier_Perf_Table[[#This Row],[Dollar Equivalent]],"")</f>
        <v>0.16705319999999999</v>
      </c>
      <c r="Q603" s="75">
        <v>75</v>
      </c>
      <c r="R603" s="1">
        <v>17163</v>
      </c>
      <c r="S603" s="75">
        <f>Supplier_Perf_Table[[#This Row],[Unit_Cost]]*Supplier_Perf_Table[[#This Row],[Order_Quantity]]</f>
        <v>17163</v>
      </c>
      <c r="T603" s="75">
        <f>IFERROR(Supplier_Perf_Table[[#This Row],[Dollar Equivalent]]*Supplier_Perf_Table[[#This Row],[Ordered_Value]],"")</f>
        <v>12.528989999999999</v>
      </c>
      <c r="U603" s="75">
        <v>3</v>
      </c>
      <c r="V603" s="7">
        <v>0.04</v>
      </c>
      <c r="W603" s="75">
        <v>4</v>
      </c>
      <c r="X603" s="55">
        <f>IFERROR(Supplier_Perf_Table[[#This Row],[Actual_Delivery_Date]]-Supplier_Perf_Table[[#This Row],[Order Date]],"")</f>
        <v>4</v>
      </c>
      <c r="Y603" s="75">
        <v>10</v>
      </c>
      <c r="Z603" s="56">
        <f>IFERROR(Supplier_Perf_Table[[#This Row],[Expected Delivery_Date]]-Supplier_Perf_Table[[#This Row],[Order Date]],"")</f>
        <v>10</v>
      </c>
      <c r="AA603" s="56">
        <f>Supplier_Perf_Table[[#This Row],[Calculated_Lead_Time2]]-Supplier_Perf_Table[[#This Row],[Calculated_Expected_Lead_Time]]</f>
        <v>-6</v>
      </c>
      <c r="AB603" s="75">
        <v>-6</v>
      </c>
      <c r="AC603" s="63" t="s">
        <v>270</v>
      </c>
      <c r="AD603" s="63" t="s">
        <v>40</v>
      </c>
      <c r="AE603" s="63" t="s">
        <v>127</v>
      </c>
      <c r="AF603" s="63" t="s">
        <v>190</v>
      </c>
      <c r="AG603" s="63" t="s">
        <v>43</v>
      </c>
      <c r="AH603" s="63" t="s">
        <v>129</v>
      </c>
      <c r="AI603" s="63" t="s">
        <v>56</v>
      </c>
      <c r="AJ603" s="63" t="s">
        <v>138</v>
      </c>
      <c r="AK603" s="83">
        <v>4.2</v>
      </c>
      <c r="AL603" s="63" t="s">
        <v>184</v>
      </c>
      <c r="AM603" s="63" t="s">
        <v>130</v>
      </c>
      <c r="AN603"/>
    </row>
    <row r="604" spans="1:40" ht="18" customHeight="1">
      <c r="A604" s="63" t="s">
        <v>1943</v>
      </c>
      <c r="B604" s="63" t="s">
        <v>1944</v>
      </c>
      <c r="C604" s="4">
        <v>46065</v>
      </c>
      <c r="D604" s="4">
        <v>46077</v>
      </c>
      <c r="E604" s="4">
        <v>46079</v>
      </c>
      <c r="F604" s="63" t="s">
        <v>69</v>
      </c>
      <c r="G604" s="63" t="s">
        <v>3838</v>
      </c>
      <c r="H604" s="63" t="s">
        <v>194</v>
      </c>
      <c r="I604" s="63" t="s">
        <v>120</v>
      </c>
      <c r="J604" s="63" t="s">
        <v>112</v>
      </c>
      <c r="K604" s="63" t="s">
        <v>1945</v>
      </c>
      <c r="L604" s="63" t="s">
        <v>114</v>
      </c>
      <c r="M604" s="69">
        <v>259.08</v>
      </c>
      <c r="N604" s="63" t="s">
        <v>38</v>
      </c>
      <c r="O604" s="73">
        <f>_xlfn.XLOOKUP(Supplier_Perf_Table[[#This Row],[Currency]],'Comments 2'!$C$4:$C$16,'Comments 2'!$D$4:$D$16)</f>
        <v>7.7000000000000002E-3</v>
      </c>
      <c r="P604" s="69">
        <f>IFERROR(Supplier_Perf_Table[[#This Row],[Unit_Cost]]*Supplier_Perf_Table[[#This Row],[Dollar Equivalent]],"")</f>
        <v>1.9949159999999999</v>
      </c>
      <c r="Q604" s="75">
        <v>250</v>
      </c>
      <c r="R604" s="1">
        <v>64770</v>
      </c>
      <c r="S604" s="75">
        <f>Supplier_Perf_Table[[#This Row],[Unit_Cost]]*Supplier_Perf_Table[[#This Row],[Order_Quantity]]</f>
        <v>64769.999999999993</v>
      </c>
      <c r="T604" s="75">
        <f>IFERROR(Supplier_Perf_Table[[#This Row],[Dollar Equivalent]]*Supplier_Perf_Table[[#This Row],[Ordered_Value]],"")</f>
        <v>498.72900000000004</v>
      </c>
      <c r="U604" s="75">
        <v>3</v>
      </c>
      <c r="V604" s="7">
        <v>1.2E-2</v>
      </c>
      <c r="W604" s="75">
        <v>14</v>
      </c>
      <c r="X604" s="55">
        <f>IFERROR(Supplier_Perf_Table[[#This Row],[Actual_Delivery_Date]]-Supplier_Perf_Table[[#This Row],[Order Date]],"")</f>
        <v>14</v>
      </c>
      <c r="Y604" s="75">
        <v>12</v>
      </c>
      <c r="Z604" s="56">
        <f>IFERROR(Supplier_Perf_Table[[#This Row],[Expected Delivery_Date]]-Supplier_Perf_Table[[#This Row],[Order Date]],"")</f>
        <v>12</v>
      </c>
      <c r="AA604" s="56">
        <f>Supplier_Perf_Table[[#This Row],[Calculated_Lead_Time2]]-Supplier_Perf_Table[[#This Row],[Calculated_Expected_Lead_Time]]</f>
        <v>2</v>
      </c>
      <c r="AB604" s="75">
        <v>2</v>
      </c>
      <c r="AC604" s="63" t="s">
        <v>135</v>
      </c>
      <c r="AD604" s="63" t="s">
        <v>40</v>
      </c>
      <c r="AE604" s="63" t="s">
        <v>105</v>
      </c>
      <c r="AF604" s="63" t="s">
        <v>66</v>
      </c>
      <c r="AG604" s="63" t="s">
        <v>54</v>
      </c>
      <c r="AH604" s="63" t="s">
        <v>129</v>
      </c>
      <c r="AI604" s="63" t="s">
        <v>191</v>
      </c>
      <c r="AJ604" s="63" t="s">
        <v>138</v>
      </c>
      <c r="AK604" s="83">
        <v>4</v>
      </c>
      <c r="AL604" s="63" t="s">
        <v>115</v>
      </c>
      <c r="AM604" s="63" t="s">
        <v>46</v>
      </c>
      <c r="AN604"/>
    </row>
    <row r="605" spans="1:40" ht="18" customHeight="1">
      <c r="A605" s="1" t="s">
        <v>1946</v>
      </c>
      <c r="B605" s="1" t="s">
        <v>1947</v>
      </c>
      <c r="C605" s="4">
        <v>46053</v>
      </c>
      <c r="D605" s="4">
        <v>46066</v>
      </c>
      <c r="E605" s="4">
        <v>46066</v>
      </c>
      <c r="F605" s="63" t="s">
        <v>256</v>
      </c>
      <c r="G605" s="63" t="s">
        <v>3849</v>
      </c>
      <c r="H605" s="63" t="s">
        <v>258</v>
      </c>
      <c r="I605" s="63" t="s">
        <v>34</v>
      </c>
      <c r="J605" s="63" t="s">
        <v>153</v>
      </c>
      <c r="K605" s="63" t="s">
        <v>504</v>
      </c>
      <c r="L605" s="63" t="s">
        <v>295</v>
      </c>
      <c r="M605" s="69">
        <v>301.87</v>
      </c>
      <c r="N605" s="63" t="s">
        <v>86</v>
      </c>
      <c r="O605" s="73">
        <f>_xlfn.XLOOKUP(Supplier_Perf_Table[[#This Row],[Currency]],'Comments 2'!$C$4:$C$16,'Comments 2'!$D$4:$D$16)</f>
        <v>8.8999999999999996E-2</v>
      </c>
      <c r="P605" s="69">
        <f>IFERROR(Supplier_Perf_Table[[#This Row],[Unit_Cost]]*Supplier_Perf_Table[[#This Row],[Dollar Equivalent]],"")</f>
        <v>26.866429999999998</v>
      </c>
      <c r="Q605" s="75">
        <v>50</v>
      </c>
      <c r="R605" s="1">
        <v>15093.5</v>
      </c>
      <c r="S605" s="75">
        <f>Supplier_Perf_Table[[#This Row],[Unit_Cost]]*Supplier_Perf_Table[[#This Row],[Order_Quantity]]</f>
        <v>15093.5</v>
      </c>
      <c r="T605" s="75">
        <f>IFERROR(Supplier_Perf_Table[[#This Row],[Dollar Equivalent]]*Supplier_Perf_Table[[#This Row],[Ordered_Value]],"")</f>
        <v>1343.3215</v>
      </c>
      <c r="U605" s="75">
        <v>5</v>
      </c>
      <c r="V605" s="7">
        <v>0.1</v>
      </c>
      <c r="W605" s="75">
        <v>13</v>
      </c>
      <c r="X605" s="55">
        <f>IFERROR(Supplier_Perf_Table[[#This Row],[Actual_Delivery_Date]]-Supplier_Perf_Table[[#This Row],[Order Date]],"")</f>
        <v>13</v>
      </c>
      <c r="Y605" s="75">
        <v>13</v>
      </c>
      <c r="Z605" s="56">
        <f>IFERROR(Supplier_Perf_Table[[#This Row],[Expected Delivery_Date]]-Supplier_Perf_Table[[#This Row],[Order Date]],"")</f>
        <v>13</v>
      </c>
      <c r="AA605" s="56">
        <f>Supplier_Perf_Table[[#This Row],[Calculated_Lead_Time2]]-Supplier_Perf_Table[[#This Row],[Calculated_Expected_Lead_Time]]</f>
        <v>0</v>
      </c>
      <c r="AB605" s="75">
        <v>0</v>
      </c>
      <c r="AC605" s="63" t="s">
        <v>87</v>
      </c>
      <c r="AD605" s="63" t="s">
        <v>74</v>
      </c>
      <c r="AE605" s="63" t="s">
        <v>105</v>
      </c>
      <c r="AF605" s="63" t="s">
        <v>106</v>
      </c>
      <c r="AG605" s="63" t="s">
        <v>173</v>
      </c>
      <c r="AH605" s="63" t="s">
        <v>129</v>
      </c>
      <c r="AI605" s="63" t="s">
        <v>44</v>
      </c>
      <c r="AJ605" s="63" t="s">
        <v>96</v>
      </c>
      <c r="AK605" s="83">
        <v>2</v>
      </c>
      <c r="AL605" s="63" t="s">
        <v>139</v>
      </c>
      <c r="AM605" s="63" t="s">
        <v>97</v>
      </c>
      <c r="AN605"/>
    </row>
    <row r="606" spans="1:40" ht="18" customHeight="1">
      <c r="A606" s="1" t="s">
        <v>1948</v>
      </c>
      <c r="B606" s="1" t="s">
        <v>1949</v>
      </c>
      <c r="C606" s="4">
        <v>46044</v>
      </c>
      <c r="D606" s="4">
        <v>46055</v>
      </c>
      <c r="E606" s="4">
        <v>46054</v>
      </c>
      <c r="F606" s="63" t="s">
        <v>209</v>
      </c>
      <c r="G606" s="63" t="s">
        <v>3845</v>
      </c>
      <c r="H606" s="63" t="s">
        <v>316</v>
      </c>
      <c r="I606" s="63" t="s">
        <v>120</v>
      </c>
      <c r="J606" s="63" t="s">
        <v>153</v>
      </c>
      <c r="K606" s="63" t="s">
        <v>1950</v>
      </c>
      <c r="L606" s="63" t="s">
        <v>295</v>
      </c>
      <c r="M606" s="69">
        <v>174.12</v>
      </c>
      <c r="N606" s="63" t="s">
        <v>104</v>
      </c>
      <c r="O606" s="73">
        <f>_xlfn.XLOOKUP(Supplier_Perf_Table[[#This Row],[Currency]],'Comments 2'!$C$4:$C$16,'Comments 2'!$D$4:$D$16)</f>
        <v>1.9E-2</v>
      </c>
      <c r="P606" s="69">
        <f>IFERROR(Supplier_Perf_Table[[#This Row],[Unit_Cost]]*Supplier_Perf_Table[[#This Row],[Dollar Equivalent]],"")</f>
        <v>3.3082799999999999</v>
      </c>
      <c r="Q606" s="75">
        <v>75</v>
      </c>
      <c r="R606" s="1">
        <v>13059</v>
      </c>
      <c r="S606" s="75">
        <f>Supplier_Perf_Table[[#This Row],[Unit_Cost]]*Supplier_Perf_Table[[#This Row],[Order_Quantity]]</f>
        <v>13059</v>
      </c>
      <c r="T606" s="75">
        <f>IFERROR(Supplier_Perf_Table[[#This Row],[Dollar Equivalent]]*Supplier_Perf_Table[[#This Row],[Ordered_Value]],"")</f>
        <v>248.12099999999998</v>
      </c>
      <c r="U606" s="75">
        <v>4</v>
      </c>
      <c r="V606" s="7">
        <v>5.33E-2</v>
      </c>
      <c r="W606" s="75">
        <v>10</v>
      </c>
      <c r="X606" s="55">
        <f>IFERROR(Supplier_Perf_Table[[#This Row],[Actual_Delivery_Date]]-Supplier_Perf_Table[[#This Row],[Order Date]],"")</f>
        <v>10</v>
      </c>
      <c r="Y606" s="75">
        <v>11</v>
      </c>
      <c r="Z606" s="56">
        <f>IFERROR(Supplier_Perf_Table[[#This Row],[Expected Delivery_Date]]-Supplier_Perf_Table[[#This Row],[Order Date]],"")</f>
        <v>11</v>
      </c>
      <c r="AA606" s="56">
        <f>Supplier_Perf_Table[[#This Row],[Calculated_Lead_Time2]]-Supplier_Perf_Table[[#This Row],[Calculated_Expected_Lead_Time]]</f>
        <v>-1</v>
      </c>
      <c r="AB606" s="75">
        <v>-1</v>
      </c>
      <c r="AC606" s="63" t="s">
        <v>87</v>
      </c>
      <c r="AD606" s="63" t="s">
        <v>74</v>
      </c>
      <c r="AE606" s="63" t="s">
        <v>105</v>
      </c>
      <c r="AF606" s="63" t="s">
        <v>66</v>
      </c>
      <c r="AG606" s="63" t="s">
        <v>3088</v>
      </c>
      <c r="AH606" s="63" t="s">
        <v>206</v>
      </c>
      <c r="AI606" s="63" t="s">
        <v>191</v>
      </c>
      <c r="AJ606" s="63" t="s">
        <v>183</v>
      </c>
      <c r="AK606" s="83">
        <v>1.2</v>
      </c>
      <c r="AL606" s="63" t="s">
        <v>76</v>
      </c>
      <c r="AM606" s="63" t="s">
        <v>97</v>
      </c>
      <c r="AN606"/>
    </row>
    <row r="607" spans="1:40" ht="18" customHeight="1">
      <c r="A607" s="1" t="s">
        <v>1951</v>
      </c>
      <c r="B607" s="1" t="s">
        <v>1952</v>
      </c>
      <c r="C607" s="4">
        <v>46202</v>
      </c>
      <c r="D607" s="4">
        <v>46224</v>
      </c>
      <c r="E607" s="4">
        <v>46227</v>
      </c>
      <c r="F607" s="63" t="s">
        <v>118</v>
      </c>
      <c r="G607" s="63" t="s">
        <v>3842</v>
      </c>
      <c r="H607" s="63" t="s">
        <v>301</v>
      </c>
      <c r="I607" s="63" t="s">
        <v>70</v>
      </c>
      <c r="J607" s="63" t="s">
        <v>112</v>
      </c>
      <c r="K607" s="63" t="s">
        <v>1953</v>
      </c>
      <c r="L607" s="63" t="s">
        <v>218</v>
      </c>
      <c r="M607" s="69">
        <v>537.21</v>
      </c>
      <c r="N607" s="63" t="s">
        <v>159</v>
      </c>
      <c r="O607" s="73">
        <f>_xlfn.XLOOKUP(Supplier_Perf_Table[[#This Row],[Currency]],'Comments 2'!$C$4:$C$16,'Comments 2'!$D$4:$D$16)</f>
        <v>7.2999999999999996E-4</v>
      </c>
      <c r="P607" s="69">
        <f>IFERROR(Supplier_Perf_Table[[#This Row],[Unit_Cost]]*Supplier_Perf_Table[[#This Row],[Dollar Equivalent]],"")</f>
        <v>0.39216329999999999</v>
      </c>
      <c r="Q607" s="75">
        <v>300</v>
      </c>
      <c r="R607" s="1">
        <v>161163</v>
      </c>
      <c r="S607" s="75">
        <f>Supplier_Perf_Table[[#This Row],[Unit_Cost]]*Supplier_Perf_Table[[#This Row],[Order_Quantity]]</f>
        <v>161163</v>
      </c>
      <c r="T607" s="75">
        <f>IFERROR(Supplier_Perf_Table[[#This Row],[Dollar Equivalent]]*Supplier_Perf_Table[[#This Row],[Ordered_Value]],"")</f>
        <v>117.64899</v>
      </c>
      <c r="U607" s="75">
        <v>10</v>
      </c>
      <c r="V607" s="7">
        <v>3.3300000000000003E-2</v>
      </c>
      <c r="W607" s="75">
        <v>25</v>
      </c>
      <c r="X607" s="55">
        <f>IFERROR(Supplier_Perf_Table[[#This Row],[Actual_Delivery_Date]]-Supplier_Perf_Table[[#This Row],[Order Date]],"")</f>
        <v>25</v>
      </c>
      <c r="Y607" s="75">
        <v>22</v>
      </c>
      <c r="Z607" s="56">
        <f>IFERROR(Supplier_Perf_Table[[#This Row],[Expected Delivery_Date]]-Supplier_Perf_Table[[#This Row],[Order Date]],"")</f>
        <v>22</v>
      </c>
      <c r="AA607" s="56">
        <f>Supplier_Perf_Table[[#This Row],[Calculated_Lead_Time2]]-Supplier_Perf_Table[[#This Row],[Calculated_Expected_Lead_Time]]</f>
        <v>3</v>
      </c>
      <c r="AB607" s="75">
        <v>3</v>
      </c>
      <c r="AC607" s="63" t="s">
        <v>135</v>
      </c>
      <c r="AD607" s="63" t="s">
        <v>40</v>
      </c>
      <c r="AE607" s="63" t="s">
        <v>146</v>
      </c>
      <c r="AF607" s="63" t="s">
        <v>66</v>
      </c>
      <c r="AG607" s="63" t="s">
        <v>54</v>
      </c>
      <c r="AH607" s="63" t="s">
        <v>129</v>
      </c>
      <c r="AI607" s="63" t="s">
        <v>137</v>
      </c>
      <c r="AJ607" s="63" t="s">
        <v>138</v>
      </c>
      <c r="AK607" s="83">
        <v>3.4</v>
      </c>
      <c r="AL607" s="63" t="s">
        <v>115</v>
      </c>
      <c r="AM607" s="63" t="s">
        <v>196</v>
      </c>
      <c r="AN607"/>
    </row>
    <row r="608" spans="1:40" ht="18" customHeight="1">
      <c r="A608" s="1" t="s">
        <v>1954</v>
      </c>
      <c r="B608" s="1" t="s">
        <v>1955</v>
      </c>
      <c r="C608" s="4">
        <v>46123</v>
      </c>
      <c r="D608" s="4">
        <v>46134</v>
      </c>
      <c r="E608" s="4">
        <v>46143</v>
      </c>
      <c r="F608" s="63" t="s">
        <v>80</v>
      </c>
      <c r="G608" s="63" t="s">
        <v>3839</v>
      </c>
      <c r="H608" s="63" t="s">
        <v>82</v>
      </c>
      <c r="I608" s="63" t="s">
        <v>61</v>
      </c>
      <c r="J608" s="63" t="s">
        <v>35</v>
      </c>
      <c r="K608" s="63" t="s">
        <v>1956</v>
      </c>
      <c r="L608" s="63" t="s">
        <v>37</v>
      </c>
      <c r="M608" s="69">
        <v>1926.17</v>
      </c>
      <c r="N608" s="63" t="s">
        <v>86</v>
      </c>
      <c r="O608" s="73">
        <f>_xlfn.XLOOKUP(Supplier_Perf_Table[[#This Row],[Currency]],'Comments 2'!$C$4:$C$16,'Comments 2'!$D$4:$D$16)</f>
        <v>8.8999999999999996E-2</v>
      </c>
      <c r="P608" s="69">
        <f>IFERROR(Supplier_Perf_Table[[#This Row],[Unit_Cost]]*Supplier_Perf_Table[[#This Row],[Dollar Equivalent]],"")</f>
        <v>171.42912999999999</v>
      </c>
      <c r="Q608" s="75">
        <v>200</v>
      </c>
      <c r="R608" s="1">
        <v>385234</v>
      </c>
      <c r="S608" s="75">
        <f>Supplier_Perf_Table[[#This Row],[Unit_Cost]]*Supplier_Perf_Table[[#This Row],[Order_Quantity]]</f>
        <v>385234</v>
      </c>
      <c r="T608" s="75">
        <f>IFERROR(Supplier_Perf_Table[[#This Row],[Dollar Equivalent]]*Supplier_Perf_Table[[#This Row],[Ordered_Value]],"")</f>
        <v>34285.826000000001</v>
      </c>
      <c r="U608" s="75">
        <v>0</v>
      </c>
      <c r="V608" s="7">
        <v>0</v>
      </c>
      <c r="W608" s="75">
        <v>20</v>
      </c>
      <c r="X608" s="55">
        <f>IFERROR(Supplier_Perf_Table[[#This Row],[Actual_Delivery_Date]]-Supplier_Perf_Table[[#This Row],[Order Date]],"")</f>
        <v>20</v>
      </c>
      <c r="Y608" s="75">
        <v>11</v>
      </c>
      <c r="Z608" s="56">
        <f>IFERROR(Supplier_Perf_Table[[#This Row],[Expected Delivery_Date]]-Supplier_Perf_Table[[#This Row],[Order Date]],"")</f>
        <v>11</v>
      </c>
      <c r="AA608" s="56">
        <f>Supplier_Perf_Table[[#This Row],[Calculated_Lead_Time2]]-Supplier_Perf_Table[[#This Row],[Calculated_Expected_Lead_Time]]</f>
        <v>9</v>
      </c>
      <c r="AB608" s="75">
        <v>9</v>
      </c>
      <c r="AC608" s="63" t="s">
        <v>39</v>
      </c>
      <c r="AD608" s="63" t="s">
        <v>40</v>
      </c>
      <c r="AE608" s="63" t="s">
        <v>105</v>
      </c>
      <c r="AF608" s="63" t="s">
        <v>42</v>
      </c>
      <c r="AG608" s="63" t="s">
        <v>173</v>
      </c>
      <c r="AH608" s="63" t="s">
        <v>55</v>
      </c>
      <c r="AI608" s="63" t="s">
        <v>95</v>
      </c>
      <c r="AJ608" s="63" t="s">
        <v>138</v>
      </c>
      <c r="AK608" s="83">
        <v>1.6</v>
      </c>
      <c r="AL608" s="63" t="s">
        <v>45</v>
      </c>
      <c r="AM608" s="63" t="s">
        <v>46</v>
      </c>
      <c r="AN608"/>
    </row>
    <row r="609" spans="1:40" ht="18" customHeight="1">
      <c r="A609" s="1" t="s">
        <v>1957</v>
      </c>
      <c r="B609" s="1" t="s">
        <v>1958</v>
      </c>
      <c r="C609" s="4">
        <v>46052</v>
      </c>
      <c r="D609" s="4">
        <v>46062</v>
      </c>
      <c r="E609" s="4">
        <v>46074</v>
      </c>
      <c r="F609" s="63" t="s">
        <v>48</v>
      </c>
      <c r="G609" s="63" t="s">
        <v>3836</v>
      </c>
      <c r="H609" s="63" t="s">
        <v>102</v>
      </c>
      <c r="I609" s="63" t="s">
        <v>92</v>
      </c>
      <c r="J609" s="63" t="s">
        <v>50</v>
      </c>
      <c r="K609" s="63" t="s">
        <v>441</v>
      </c>
      <c r="L609" s="63" t="s">
        <v>52</v>
      </c>
      <c r="M609" s="69">
        <v>3178.02</v>
      </c>
      <c r="N609" s="63" t="s">
        <v>53</v>
      </c>
      <c r="O609" s="73">
        <f>_xlfn.XLOOKUP(Supplier_Perf_Table[[#This Row],[Currency]],'Comments 2'!$C$4:$C$16,'Comments 2'!$D$4:$D$16)</f>
        <v>6.0999999999999999E-2</v>
      </c>
      <c r="P609" s="69">
        <f>IFERROR(Supplier_Perf_Table[[#This Row],[Unit_Cost]]*Supplier_Perf_Table[[#This Row],[Dollar Equivalent]],"")</f>
        <v>193.85921999999999</v>
      </c>
      <c r="Q609" s="75">
        <v>250</v>
      </c>
      <c r="R609" s="1">
        <v>794505</v>
      </c>
      <c r="S609" s="75">
        <f>Supplier_Perf_Table[[#This Row],[Unit_Cost]]*Supplier_Perf_Table[[#This Row],[Order_Quantity]]</f>
        <v>794505</v>
      </c>
      <c r="T609" s="75">
        <f>IFERROR(Supplier_Perf_Table[[#This Row],[Dollar Equivalent]]*Supplier_Perf_Table[[#This Row],[Ordered_Value]],"")</f>
        <v>48464.805</v>
      </c>
      <c r="U609" s="75">
        <v>0</v>
      </c>
      <c r="V609" s="7">
        <v>0</v>
      </c>
      <c r="W609" s="75">
        <v>22</v>
      </c>
      <c r="X609" s="55">
        <f>IFERROR(Supplier_Perf_Table[[#This Row],[Actual_Delivery_Date]]-Supplier_Perf_Table[[#This Row],[Order Date]],"")</f>
        <v>22</v>
      </c>
      <c r="Y609" s="75">
        <v>10</v>
      </c>
      <c r="Z609" s="56">
        <f>IFERROR(Supplier_Perf_Table[[#This Row],[Expected Delivery_Date]]-Supplier_Perf_Table[[#This Row],[Order Date]],"")</f>
        <v>10</v>
      </c>
      <c r="AA609" s="56">
        <f>Supplier_Perf_Table[[#This Row],[Calculated_Lead_Time2]]-Supplier_Perf_Table[[#This Row],[Calculated_Expected_Lead_Time]]</f>
        <v>12</v>
      </c>
      <c r="AB609" s="75">
        <v>12</v>
      </c>
      <c r="AC609" s="63" t="s">
        <v>205</v>
      </c>
      <c r="AD609" s="63" t="s">
        <v>40</v>
      </c>
      <c r="AE609" s="63" t="s">
        <v>105</v>
      </c>
      <c r="AF609" s="63" t="s">
        <v>66</v>
      </c>
      <c r="AG609" s="63" t="s">
        <v>173</v>
      </c>
      <c r="AH609" s="63" t="s">
        <v>3112</v>
      </c>
      <c r="AI609" s="63" t="s">
        <v>95</v>
      </c>
      <c r="AJ609" s="63" t="s">
        <v>138</v>
      </c>
      <c r="AK609" s="83">
        <v>3</v>
      </c>
      <c r="AL609" s="63" t="s">
        <v>139</v>
      </c>
      <c r="AM609" s="63" t="s">
        <v>46</v>
      </c>
      <c r="AN609"/>
    </row>
    <row r="610" spans="1:40" ht="18" customHeight="1">
      <c r="A610" s="1" t="s">
        <v>1959</v>
      </c>
      <c r="B610" s="1" t="s">
        <v>1960</v>
      </c>
      <c r="C610" s="4">
        <v>46116</v>
      </c>
      <c r="D610" s="4">
        <v>46126</v>
      </c>
      <c r="E610" s="4">
        <v>46126</v>
      </c>
      <c r="F610" s="63" t="s">
        <v>60</v>
      </c>
      <c r="G610" s="63" t="s">
        <v>3837</v>
      </c>
      <c r="H610" s="63" t="s">
        <v>152</v>
      </c>
      <c r="I610" s="63" t="s">
        <v>178</v>
      </c>
      <c r="J610" s="63" t="s">
        <v>62</v>
      </c>
      <c r="K610" s="63" t="s">
        <v>1961</v>
      </c>
      <c r="L610" s="63" t="s">
        <v>225</v>
      </c>
      <c r="M610" s="69">
        <v>226.08</v>
      </c>
      <c r="N610" s="63" t="s">
        <v>159</v>
      </c>
      <c r="O610" s="73">
        <f>_xlfn.XLOOKUP(Supplier_Perf_Table[[#This Row],[Currency]],'Comments 2'!$C$4:$C$16,'Comments 2'!$D$4:$D$16)</f>
        <v>7.2999999999999996E-4</v>
      </c>
      <c r="P610" s="69">
        <f>IFERROR(Supplier_Perf_Table[[#This Row],[Unit_Cost]]*Supplier_Perf_Table[[#This Row],[Dollar Equivalent]],"")</f>
        <v>0.1650384</v>
      </c>
      <c r="Q610" s="75">
        <v>1000</v>
      </c>
      <c r="R610" s="1">
        <v>226080</v>
      </c>
      <c r="S610" s="75">
        <f>Supplier_Perf_Table[[#This Row],[Unit_Cost]]*Supplier_Perf_Table[[#This Row],[Order_Quantity]]</f>
        <v>226080</v>
      </c>
      <c r="T610" s="75">
        <f>IFERROR(Supplier_Perf_Table[[#This Row],[Dollar Equivalent]]*Supplier_Perf_Table[[#This Row],[Ordered_Value]],"")</f>
        <v>165.0384</v>
      </c>
      <c r="U610" s="75">
        <v>45</v>
      </c>
      <c r="V610" s="7">
        <v>4.4999999999999998E-2</v>
      </c>
      <c r="W610" s="75">
        <v>10</v>
      </c>
      <c r="X610" s="55">
        <f>IFERROR(Supplier_Perf_Table[[#This Row],[Actual_Delivery_Date]]-Supplier_Perf_Table[[#This Row],[Order Date]],"")</f>
        <v>10</v>
      </c>
      <c r="Y610" s="75">
        <v>10</v>
      </c>
      <c r="Z610" s="56">
        <f>IFERROR(Supplier_Perf_Table[[#This Row],[Expected Delivery_Date]]-Supplier_Perf_Table[[#This Row],[Order Date]],"")</f>
        <v>10</v>
      </c>
      <c r="AA610" s="56">
        <f>Supplier_Perf_Table[[#This Row],[Calculated_Lead_Time2]]-Supplier_Perf_Table[[#This Row],[Calculated_Expected_Lead_Time]]</f>
        <v>0</v>
      </c>
      <c r="AB610" s="75">
        <v>0</v>
      </c>
      <c r="AC610" s="63" t="s">
        <v>270</v>
      </c>
      <c r="AD610" s="63" t="s">
        <v>74</v>
      </c>
      <c r="AE610" s="63" t="s">
        <v>41</v>
      </c>
      <c r="AF610" s="63" t="s">
        <v>106</v>
      </c>
      <c r="AG610" s="63" t="s">
        <v>3088</v>
      </c>
      <c r="AH610" s="63" t="s">
        <v>88</v>
      </c>
      <c r="AI610" s="63" t="s">
        <v>147</v>
      </c>
      <c r="AJ610" s="63" t="s">
        <v>283</v>
      </c>
      <c r="AK610" s="83">
        <v>1.3</v>
      </c>
      <c r="AL610" s="63" t="s">
        <v>115</v>
      </c>
      <c r="AM610" s="63" t="s">
        <v>97</v>
      </c>
      <c r="AN610"/>
    </row>
    <row r="611" spans="1:40" ht="18" customHeight="1">
      <c r="A611" s="1" t="s">
        <v>1962</v>
      </c>
      <c r="B611" s="1" t="s">
        <v>1963</v>
      </c>
      <c r="C611" s="4">
        <v>46145</v>
      </c>
      <c r="D611" s="4">
        <v>46156</v>
      </c>
      <c r="E611" s="4">
        <v>46161</v>
      </c>
      <c r="F611" s="63" t="s">
        <v>80</v>
      </c>
      <c r="G611" s="63" t="s">
        <v>3839</v>
      </c>
      <c r="H611" s="63" t="s">
        <v>82</v>
      </c>
      <c r="I611" s="63" t="s">
        <v>70</v>
      </c>
      <c r="J611" s="63" t="s">
        <v>35</v>
      </c>
      <c r="K611" s="63" t="s">
        <v>1964</v>
      </c>
      <c r="L611" s="63" t="s">
        <v>200</v>
      </c>
      <c r="M611" s="69">
        <v>761.88</v>
      </c>
      <c r="N611" s="63" t="s">
        <v>53</v>
      </c>
      <c r="O611" s="73">
        <f>_xlfn.XLOOKUP(Supplier_Perf_Table[[#This Row],[Currency]],'Comments 2'!$C$4:$C$16,'Comments 2'!$D$4:$D$16)</f>
        <v>6.0999999999999999E-2</v>
      </c>
      <c r="P611" s="69">
        <f>IFERROR(Supplier_Perf_Table[[#This Row],[Unit_Cost]]*Supplier_Perf_Table[[#This Row],[Dollar Equivalent]],"")</f>
        <v>46.474679999999999</v>
      </c>
      <c r="Q611" s="75" t="s">
        <v>3080</v>
      </c>
      <c r="R611" s="1">
        <v>1523760</v>
      </c>
      <c r="S611" s="75" t="e">
        <f>Supplier_Perf_Table[[#This Row],[Unit_Cost]]*Supplier_Perf_Table[[#This Row],[Order_Quantity]]</f>
        <v>#VALUE!</v>
      </c>
      <c r="T611" s="75">
        <f>IFERROR(Supplier_Perf_Table[[#This Row],[Dollar Equivalent]]*Supplier_Perf_Table[[#This Row],[Ordered_Value]],"")</f>
        <v>92949.36</v>
      </c>
      <c r="U611" s="75">
        <v>23</v>
      </c>
      <c r="V611" s="7">
        <v>1.15E-2</v>
      </c>
      <c r="W611" s="75">
        <v>16</v>
      </c>
      <c r="X611" s="55">
        <f>IFERROR(Supplier_Perf_Table[[#This Row],[Actual_Delivery_Date]]-Supplier_Perf_Table[[#This Row],[Order Date]],"")</f>
        <v>16</v>
      </c>
      <c r="Y611" s="75">
        <v>11</v>
      </c>
      <c r="Z611" s="56">
        <f>IFERROR(Supplier_Perf_Table[[#This Row],[Expected Delivery_Date]]-Supplier_Perf_Table[[#This Row],[Order Date]],"")</f>
        <v>11</v>
      </c>
      <c r="AA611" s="56">
        <f>Supplier_Perf_Table[[#This Row],[Calculated_Lead_Time2]]-Supplier_Perf_Table[[#This Row],[Calculated_Expected_Lead_Time]]</f>
        <v>5</v>
      </c>
      <c r="AB611" s="75">
        <v>5</v>
      </c>
      <c r="AC611" s="63" t="s">
        <v>135</v>
      </c>
      <c r="AD611" s="63" t="s">
        <v>40</v>
      </c>
      <c r="AE611" s="63" t="s">
        <v>105</v>
      </c>
      <c r="AF611" s="63" t="s">
        <v>66</v>
      </c>
      <c r="AG611" s="63" t="s">
        <v>54</v>
      </c>
      <c r="AH611" s="63" t="s">
        <v>3112</v>
      </c>
      <c r="AI611" s="63" t="s">
        <v>56</v>
      </c>
      <c r="AJ611" s="63" t="s">
        <v>138</v>
      </c>
      <c r="AK611" s="83">
        <v>-1</v>
      </c>
      <c r="AL611" s="63" t="s">
        <v>139</v>
      </c>
      <c r="AM611" s="63" t="s">
        <v>46</v>
      </c>
      <c r="AN611"/>
    </row>
    <row r="612" spans="1:40" ht="18" customHeight="1">
      <c r="A612" s="1" t="s">
        <v>1965</v>
      </c>
      <c r="B612" s="1" t="s">
        <v>1966</v>
      </c>
      <c r="C612" s="4">
        <v>46180</v>
      </c>
      <c r="D612" s="4">
        <v>46196</v>
      </c>
      <c r="E612" s="4">
        <v>46196</v>
      </c>
      <c r="F612" s="63" t="s">
        <v>48</v>
      </c>
      <c r="G612" s="63" t="s">
        <v>3836</v>
      </c>
      <c r="H612" s="63" t="s">
        <v>102</v>
      </c>
      <c r="I612" s="63" t="s">
        <v>178</v>
      </c>
      <c r="J612" s="63" t="s">
        <v>50</v>
      </c>
      <c r="K612" s="63" t="s">
        <v>1967</v>
      </c>
      <c r="L612" s="63" t="s">
        <v>145</v>
      </c>
      <c r="M612" s="69">
        <v>1176.9100000000001</v>
      </c>
      <c r="N612" s="63" t="s">
        <v>38</v>
      </c>
      <c r="O612" s="73">
        <f>_xlfn.XLOOKUP(Supplier_Perf_Table[[#This Row],[Currency]],'Comments 2'!$C$4:$C$16,'Comments 2'!$D$4:$D$16)</f>
        <v>7.7000000000000002E-3</v>
      </c>
      <c r="P612" s="69">
        <f>IFERROR(Supplier_Perf_Table[[#This Row],[Unit_Cost]]*Supplier_Perf_Table[[#This Row],[Dollar Equivalent]],"")</f>
        <v>9.0622070000000008</v>
      </c>
      <c r="Q612" s="75">
        <v>300</v>
      </c>
      <c r="R612" s="1">
        <v>353073</v>
      </c>
      <c r="S612" s="75">
        <f>Supplier_Perf_Table[[#This Row],[Unit_Cost]]*Supplier_Perf_Table[[#This Row],[Order_Quantity]]</f>
        <v>353073</v>
      </c>
      <c r="T612" s="75">
        <f>IFERROR(Supplier_Perf_Table[[#This Row],[Dollar Equivalent]]*Supplier_Perf_Table[[#This Row],[Ordered_Value]],"")</f>
        <v>2718.6621</v>
      </c>
      <c r="U612" s="75">
        <v>8</v>
      </c>
      <c r="V612" s="7">
        <v>2.6700000000000002E-2</v>
      </c>
      <c r="W612" s="75">
        <v>16</v>
      </c>
      <c r="X612" s="55">
        <f>IFERROR(Supplier_Perf_Table[[#This Row],[Actual_Delivery_Date]]-Supplier_Perf_Table[[#This Row],[Order Date]],"")</f>
        <v>16</v>
      </c>
      <c r="Y612" s="75">
        <v>16</v>
      </c>
      <c r="Z612" s="56">
        <f>IFERROR(Supplier_Perf_Table[[#This Row],[Expected Delivery_Date]]-Supplier_Perf_Table[[#This Row],[Order Date]],"")</f>
        <v>16</v>
      </c>
      <c r="AA612" s="56">
        <f>Supplier_Perf_Table[[#This Row],[Calculated_Lead_Time2]]-Supplier_Perf_Table[[#This Row],[Calculated_Expected_Lead_Time]]</f>
        <v>0</v>
      </c>
      <c r="AB612" s="75">
        <v>0</v>
      </c>
      <c r="AC612" s="63" t="s">
        <v>87</v>
      </c>
      <c r="AD612" s="63" t="s">
        <v>40</v>
      </c>
      <c r="AE612" s="63" t="s">
        <v>146</v>
      </c>
      <c r="AF612" s="63" t="s">
        <v>106</v>
      </c>
      <c r="AG612" s="63" t="s">
        <v>43</v>
      </c>
      <c r="AH612" s="63" t="s">
        <v>55</v>
      </c>
      <c r="AI612" s="63" t="s">
        <v>95</v>
      </c>
      <c r="AJ612" s="63" t="s">
        <v>138</v>
      </c>
      <c r="AK612" s="83">
        <v>3.4</v>
      </c>
      <c r="AL612" s="63" t="s">
        <v>57</v>
      </c>
      <c r="AM612" s="63" t="s">
        <v>130</v>
      </c>
      <c r="AN612"/>
    </row>
    <row r="613" spans="1:40" ht="18" customHeight="1">
      <c r="A613" s="1" t="s">
        <v>1968</v>
      </c>
      <c r="B613" s="1" t="s">
        <v>1969</v>
      </c>
      <c r="C613" s="4">
        <v>46074</v>
      </c>
      <c r="D613" s="4">
        <v>46095</v>
      </c>
      <c r="E613" s="4">
        <v>46100</v>
      </c>
      <c r="F613" s="63" t="s">
        <v>32</v>
      </c>
      <c r="G613" s="63" t="s">
        <v>3835</v>
      </c>
      <c r="H613" s="63" t="s">
        <v>177</v>
      </c>
      <c r="I613" s="63" t="s">
        <v>92</v>
      </c>
      <c r="J613" s="63" t="s">
        <v>35</v>
      </c>
      <c r="K613" s="63" t="s">
        <v>1970</v>
      </c>
      <c r="L613" s="63" t="s">
        <v>37</v>
      </c>
      <c r="M613" s="69">
        <v>2952.96</v>
      </c>
      <c r="N613" s="63" t="s">
        <v>53</v>
      </c>
      <c r="O613" s="73">
        <f>_xlfn.XLOOKUP(Supplier_Perf_Table[[#This Row],[Currency]],'Comments 2'!$C$4:$C$16,'Comments 2'!$D$4:$D$16)</f>
        <v>6.0999999999999999E-2</v>
      </c>
      <c r="P613" s="69">
        <f>IFERROR(Supplier_Perf_Table[[#This Row],[Unit_Cost]]*Supplier_Perf_Table[[#This Row],[Dollar Equivalent]],"")</f>
        <v>180.13056</v>
      </c>
      <c r="Q613" s="75">
        <v>1000</v>
      </c>
      <c r="R613" s="1">
        <v>2952960</v>
      </c>
      <c r="S613" s="75">
        <f>Supplier_Perf_Table[[#This Row],[Unit_Cost]]*Supplier_Perf_Table[[#This Row],[Order_Quantity]]</f>
        <v>2952960</v>
      </c>
      <c r="T613" s="75">
        <f>IFERROR(Supplier_Perf_Table[[#This Row],[Dollar Equivalent]]*Supplier_Perf_Table[[#This Row],[Ordered_Value]],"")</f>
        <v>180130.56</v>
      </c>
      <c r="U613" s="75">
        <v>62</v>
      </c>
      <c r="V613" s="7">
        <v>6.2E-2</v>
      </c>
      <c r="W613" s="75">
        <v>26</v>
      </c>
      <c r="X613" s="55">
        <f>IFERROR(Supplier_Perf_Table[[#This Row],[Actual_Delivery_Date]]-Supplier_Perf_Table[[#This Row],[Order Date]],"")</f>
        <v>26</v>
      </c>
      <c r="Y613" s="75">
        <v>21</v>
      </c>
      <c r="Z613" s="56">
        <f>IFERROR(Supplier_Perf_Table[[#This Row],[Expected Delivery_Date]]-Supplier_Perf_Table[[#This Row],[Order Date]],"")</f>
        <v>21</v>
      </c>
      <c r="AA613" s="56">
        <f>Supplier_Perf_Table[[#This Row],[Calculated_Lead_Time2]]-Supplier_Perf_Table[[#This Row],[Calculated_Expected_Lead_Time]]</f>
        <v>5</v>
      </c>
      <c r="AB613" s="75">
        <v>5</v>
      </c>
      <c r="AC613" s="63" t="s">
        <v>135</v>
      </c>
      <c r="AD613" s="63" t="s">
        <v>74</v>
      </c>
      <c r="AE613" s="63" t="s">
        <v>41</v>
      </c>
      <c r="AF613" s="63" t="s">
        <v>3088</v>
      </c>
      <c r="AG613" s="63" t="s">
        <v>54</v>
      </c>
      <c r="AH613" s="63" t="s">
        <v>55</v>
      </c>
      <c r="AI613" s="63" t="s">
        <v>137</v>
      </c>
      <c r="AJ613" s="63" t="s">
        <v>373</v>
      </c>
      <c r="AK613" s="83">
        <v>2</v>
      </c>
      <c r="AL613" s="63" t="s">
        <v>184</v>
      </c>
      <c r="AM613" s="63" t="s">
        <v>77</v>
      </c>
      <c r="AN613"/>
    </row>
    <row r="614" spans="1:40" ht="18" customHeight="1">
      <c r="A614" s="1" t="s">
        <v>1971</v>
      </c>
      <c r="B614" s="1" t="s">
        <v>1972</v>
      </c>
      <c r="C614" s="4">
        <v>46064</v>
      </c>
      <c r="D614" s="4">
        <v>46088</v>
      </c>
      <c r="E614" s="4">
        <v>46077</v>
      </c>
      <c r="F614" s="63" t="s">
        <v>142</v>
      </c>
      <c r="G614" s="63" t="s">
        <v>3843</v>
      </c>
      <c r="H614" s="63" t="s">
        <v>169</v>
      </c>
      <c r="I614" s="63" t="s">
        <v>70</v>
      </c>
      <c r="J614" s="63" t="s">
        <v>50</v>
      </c>
      <c r="K614" s="63" t="s">
        <v>1973</v>
      </c>
      <c r="L614" s="63" t="s">
        <v>52</v>
      </c>
      <c r="M614" s="69">
        <v>879.82</v>
      </c>
      <c r="N614" s="63" t="s">
        <v>159</v>
      </c>
      <c r="O614" s="73">
        <f>_xlfn.XLOOKUP(Supplier_Perf_Table[[#This Row],[Currency]],'Comments 2'!$C$4:$C$16,'Comments 2'!$D$4:$D$16)</f>
        <v>7.2999999999999996E-4</v>
      </c>
      <c r="P614" s="69">
        <f>IFERROR(Supplier_Perf_Table[[#This Row],[Unit_Cost]]*Supplier_Perf_Table[[#This Row],[Dollar Equivalent]],"")</f>
        <v>0.64226859999999997</v>
      </c>
      <c r="Q614" s="75">
        <v>750</v>
      </c>
      <c r="R614" s="1">
        <v>0</v>
      </c>
      <c r="S614" s="75">
        <f>Supplier_Perf_Table[[#This Row],[Unit_Cost]]*Supplier_Perf_Table[[#This Row],[Order_Quantity]]</f>
        <v>659865</v>
      </c>
      <c r="T614" s="75">
        <f>IFERROR(Supplier_Perf_Table[[#This Row],[Dollar Equivalent]]*Supplier_Perf_Table[[#This Row],[Ordered_Value]],"")</f>
        <v>0</v>
      </c>
      <c r="U614" s="75">
        <v>27</v>
      </c>
      <c r="V614" s="7">
        <v>3.5999999999999997E-2</v>
      </c>
      <c r="W614" s="75">
        <v>13</v>
      </c>
      <c r="X614" s="55">
        <f>IFERROR(Supplier_Perf_Table[[#This Row],[Actual_Delivery_Date]]-Supplier_Perf_Table[[#This Row],[Order Date]],"")</f>
        <v>13</v>
      </c>
      <c r="Y614" s="75">
        <v>24</v>
      </c>
      <c r="Z614" s="56">
        <f>IFERROR(Supplier_Perf_Table[[#This Row],[Expected Delivery_Date]]-Supplier_Perf_Table[[#This Row],[Order Date]],"")</f>
        <v>24</v>
      </c>
      <c r="AA614" s="56">
        <f>Supplier_Perf_Table[[#This Row],[Calculated_Lead_Time2]]-Supplier_Perf_Table[[#This Row],[Calculated_Expected_Lead_Time]]</f>
        <v>-11</v>
      </c>
      <c r="AB614" s="75">
        <v>-11</v>
      </c>
      <c r="AC614" s="63" t="s">
        <v>87</v>
      </c>
      <c r="AD614" s="63" t="s">
        <v>40</v>
      </c>
      <c r="AE614" s="63" t="s">
        <v>105</v>
      </c>
      <c r="AF614" s="63" t="s">
        <v>106</v>
      </c>
      <c r="AG614" s="63" t="s">
        <v>128</v>
      </c>
      <c r="AH614" s="63" t="s">
        <v>174</v>
      </c>
      <c r="AI614" s="63" t="s">
        <v>95</v>
      </c>
      <c r="AJ614" s="63" t="s">
        <v>138</v>
      </c>
      <c r="AK614" s="83">
        <v>2.1</v>
      </c>
      <c r="AL614" s="63" t="s">
        <v>108</v>
      </c>
      <c r="AM614" s="63" t="s">
        <v>138</v>
      </c>
      <c r="AN614"/>
    </row>
    <row r="615" spans="1:40" ht="18" customHeight="1">
      <c r="A615" s="1" t="s">
        <v>1974</v>
      </c>
      <c r="B615" s="1" t="s">
        <v>1975</v>
      </c>
      <c r="C615" s="4">
        <v>46197</v>
      </c>
      <c r="D615" s="4">
        <v>46208</v>
      </c>
      <c r="E615" s="4">
        <v>46210</v>
      </c>
      <c r="F615" s="63" t="s">
        <v>209</v>
      </c>
      <c r="G615" s="63" t="s">
        <v>3845</v>
      </c>
      <c r="H615" s="63" t="s">
        <v>316</v>
      </c>
      <c r="I615" s="63" t="s">
        <v>83</v>
      </c>
      <c r="J615" s="63" t="s">
        <v>153</v>
      </c>
      <c r="K615" s="63" t="s">
        <v>1976</v>
      </c>
      <c r="L615" s="63" t="s">
        <v>204</v>
      </c>
      <c r="M615" s="69">
        <v>387.43</v>
      </c>
      <c r="N615" s="63" t="s">
        <v>104</v>
      </c>
      <c r="O615" s="73">
        <f>_xlfn.XLOOKUP(Supplier_Perf_Table[[#This Row],[Currency]],'Comments 2'!$C$4:$C$16,'Comments 2'!$D$4:$D$16)</f>
        <v>1.9E-2</v>
      </c>
      <c r="P615" s="69">
        <f>IFERROR(Supplier_Perf_Table[[#This Row],[Unit_Cost]]*Supplier_Perf_Table[[#This Row],[Dollar Equivalent]],"")</f>
        <v>7.3611699999999995</v>
      </c>
      <c r="Q615" s="75">
        <v>75</v>
      </c>
      <c r="R615" s="1">
        <v>29057.25</v>
      </c>
      <c r="S615" s="75">
        <f>Supplier_Perf_Table[[#This Row],[Unit_Cost]]*Supplier_Perf_Table[[#This Row],[Order_Quantity]]</f>
        <v>29057.25</v>
      </c>
      <c r="T615" s="75">
        <f>IFERROR(Supplier_Perf_Table[[#This Row],[Dollar Equivalent]]*Supplier_Perf_Table[[#This Row],[Ordered_Value]],"")</f>
        <v>552.08775000000003</v>
      </c>
      <c r="U615" s="75">
        <v>5</v>
      </c>
      <c r="V615" s="7">
        <v>6.6699999999999995E-2</v>
      </c>
      <c r="W615" s="75">
        <v>13</v>
      </c>
      <c r="X615" s="55">
        <f>IFERROR(Supplier_Perf_Table[[#This Row],[Actual_Delivery_Date]]-Supplier_Perf_Table[[#This Row],[Order Date]],"")</f>
        <v>13</v>
      </c>
      <c r="Y615" s="75">
        <v>11</v>
      </c>
      <c r="Z615" s="56">
        <f>IFERROR(Supplier_Perf_Table[[#This Row],[Expected Delivery_Date]]-Supplier_Perf_Table[[#This Row],[Order Date]],"")</f>
        <v>11</v>
      </c>
      <c r="AA615" s="56">
        <f>Supplier_Perf_Table[[#This Row],[Calculated_Lead_Time2]]-Supplier_Perf_Table[[#This Row],[Calculated_Expected_Lead_Time]]</f>
        <v>2</v>
      </c>
      <c r="AB615" s="75">
        <v>2</v>
      </c>
      <c r="AC615" s="63" t="s">
        <v>135</v>
      </c>
      <c r="AD615" s="63" t="s">
        <v>74</v>
      </c>
      <c r="AE615" s="63" t="s">
        <v>105</v>
      </c>
      <c r="AF615" s="63" t="s">
        <v>106</v>
      </c>
      <c r="AG615" s="63" t="s">
        <v>107</v>
      </c>
      <c r="AH615" s="63" t="s">
        <v>129</v>
      </c>
      <c r="AI615" s="63" t="s">
        <v>44</v>
      </c>
      <c r="AJ615" s="63" t="s">
        <v>75</v>
      </c>
      <c r="AK615" s="83">
        <v>1.5</v>
      </c>
      <c r="AL615" s="63" t="s">
        <v>76</v>
      </c>
      <c r="AM615" s="63" t="s">
        <v>77</v>
      </c>
      <c r="AN615"/>
    </row>
    <row r="616" spans="1:40" ht="18" customHeight="1">
      <c r="A616" s="1" t="s">
        <v>1977</v>
      </c>
      <c r="B616" s="1" t="s">
        <v>1978</v>
      </c>
      <c r="C616" s="4">
        <v>46130</v>
      </c>
      <c r="D616" s="4">
        <v>46132</v>
      </c>
      <c r="E616" s="4">
        <v>46135</v>
      </c>
      <c r="F616" s="63" t="s">
        <v>60</v>
      </c>
      <c r="G616" s="63" t="s">
        <v>3837</v>
      </c>
      <c r="H616" s="63" t="s">
        <v>152</v>
      </c>
      <c r="I616" s="63" t="s">
        <v>120</v>
      </c>
      <c r="J616" s="63" t="s">
        <v>62</v>
      </c>
      <c r="K616" s="63" t="s">
        <v>1979</v>
      </c>
      <c r="L616" s="63" t="s">
        <v>122</v>
      </c>
      <c r="M616" s="69">
        <v>487.13</v>
      </c>
      <c r="N616" s="63" t="s">
        <v>86</v>
      </c>
      <c r="O616" s="73">
        <f>_xlfn.XLOOKUP(Supplier_Perf_Table[[#This Row],[Currency]],'Comments 2'!$C$4:$C$16,'Comments 2'!$D$4:$D$16)</f>
        <v>8.8999999999999996E-2</v>
      </c>
      <c r="P616" s="69">
        <f>IFERROR(Supplier_Perf_Table[[#This Row],[Unit_Cost]]*Supplier_Perf_Table[[#This Row],[Dollar Equivalent]],"")</f>
        <v>43.354569999999995</v>
      </c>
      <c r="Q616" s="75">
        <v>2000</v>
      </c>
      <c r="R616" s="1">
        <v>974260</v>
      </c>
      <c r="S616" s="75">
        <f>Supplier_Perf_Table[[#This Row],[Unit_Cost]]*Supplier_Perf_Table[[#This Row],[Order_Quantity]]</f>
        <v>974260</v>
      </c>
      <c r="T616" s="75">
        <f>IFERROR(Supplier_Perf_Table[[#This Row],[Dollar Equivalent]]*Supplier_Perf_Table[[#This Row],[Ordered_Value]],"")</f>
        <v>86709.14</v>
      </c>
      <c r="U616" s="75">
        <v>0</v>
      </c>
      <c r="V616" s="7">
        <v>0</v>
      </c>
      <c r="W616" s="75">
        <v>5</v>
      </c>
      <c r="X616" s="55">
        <f>IFERROR(Supplier_Perf_Table[[#This Row],[Actual_Delivery_Date]]-Supplier_Perf_Table[[#This Row],[Order Date]],"")</f>
        <v>5</v>
      </c>
      <c r="Y616" s="75">
        <v>2</v>
      </c>
      <c r="Z616" s="56">
        <f>IFERROR(Supplier_Perf_Table[[#This Row],[Expected Delivery_Date]]-Supplier_Perf_Table[[#This Row],[Order Date]],"")</f>
        <v>2</v>
      </c>
      <c r="AA616" s="56">
        <f>Supplier_Perf_Table[[#This Row],[Calculated_Lead_Time2]]-Supplier_Perf_Table[[#This Row],[Calculated_Expected_Lead_Time]]</f>
        <v>3</v>
      </c>
      <c r="AB616" s="75">
        <v>3</v>
      </c>
      <c r="AC616" s="63" t="s">
        <v>166</v>
      </c>
      <c r="AD616" s="63" t="s">
        <v>40</v>
      </c>
      <c r="AE616" s="63" t="s">
        <v>3088</v>
      </c>
      <c r="AF616" s="63" t="s">
        <v>106</v>
      </c>
      <c r="AG616" s="63" t="s">
        <v>3088</v>
      </c>
      <c r="AH616" s="63" t="s">
        <v>174</v>
      </c>
      <c r="AI616" s="63" t="s">
        <v>95</v>
      </c>
      <c r="AJ616" s="63" t="s">
        <v>138</v>
      </c>
      <c r="AK616" s="83">
        <v>5</v>
      </c>
      <c r="AL616" s="63" t="s">
        <v>108</v>
      </c>
      <c r="AM616" s="63" t="s">
        <v>148</v>
      </c>
      <c r="AN616"/>
    </row>
    <row r="617" spans="1:40" ht="18" customHeight="1">
      <c r="A617" s="1" t="s">
        <v>1980</v>
      </c>
      <c r="B617" s="1" t="s">
        <v>1981</v>
      </c>
      <c r="C617" s="4">
        <v>46165</v>
      </c>
      <c r="D617" s="4">
        <v>46177</v>
      </c>
      <c r="E617" s="4">
        <v>46186</v>
      </c>
      <c r="F617" s="63" t="s">
        <v>100</v>
      </c>
      <c r="G617" s="63" t="s">
        <v>3841</v>
      </c>
      <c r="H617" s="63" t="s">
        <v>102</v>
      </c>
      <c r="I617" s="63" t="s">
        <v>120</v>
      </c>
      <c r="J617" s="63" t="s">
        <v>50</v>
      </c>
      <c r="K617" s="63" t="s">
        <v>1982</v>
      </c>
      <c r="L617" s="63" t="s">
        <v>145</v>
      </c>
      <c r="M617" s="69">
        <v>1413.86</v>
      </c>
      <c r="N617" s="63" t="s">
        <v>53</v>
      </c>
      <c r="O617" s="73">
        <f>_xlfn.XLOOKUP(Supplier_Perf_Table[[#This Row],[Currency]],'Comments 2'!$C$4:$C$16,'Comments 2'!$D$4:$D$16)</f>
        <v>6.0999999999999999E-2</v>
      </c>
      <c r="P617" s="69">
        <f>IFERROR(Supplier_Perf_Table[[#This Row],[Unit_Cost]]*Supplier_Perf_Table[[#This Row],[Dollar Equivalent]],"")</f>
        <v>86.245459999999994</v>
      </c>
      <c r="Q617" s="75">
        <v>300</v>
      </c>
      <c r="R617" s="1">
        <v>424158</v>
      </c>
      <c r="S617" s="75">
        <f>Supplier_Perf_Table[[#This Row],[Unit_Cost]]*Supplier_Perf_Table[[#This Row],[Order_Quantity]]</f>
        <v>424157.99999999994</v>
      </c>
      <c r="T617" s="75">
        <f>IFERROR(Supplier_Perf_Table[[#This Row],[Dollar Equivalent]]*Supplier_Perf_Table[[#This Row],[Ordered_Value]],"")</f>
        <v>25873.637999999999</v>
      </c>
      <c r="U617" s="75">
        <v>5</v>
      </c>
      <c r="V617" s="7">
        <v>1.67E-2</v>
      </c>
      <c r="W617" s="75">
        <v>21</v>
      </c>
      <c r="X617" s="55">
        <f>IFERROR(Supplier_Perf_Table[[#This Row],[Actual_Delivery_Date]]-Supplier_Perf_Table[[#This Row],[Order Date]],"")</f>
        <v>21</v>
      </c>
      <c r="Y617" s="75">
        <v>12</v>
      </c>
      <c r="Z617" s="56">
        <f>IFERROR(Supplier_Perf_Table[[#This Row],[Expected Delivery_Date]]-Supplier_Perf_Table[[#This Row],[Order Date]],"")</f>
        <v>12</v>
      </c>
      <c r="AA617" s="56">
        <f>Supplier_Perf_Table[[#This Row],[Calculated_Lead_Time2]]-Supplier_Perf_Table[[#This Row],[Calculated_Expected_Lead_Time]]</f>
        <v>9</v>
      </c>
      <c r="AB617" s="75">
        <v>9</v>
      </c>
      <c r="AC617" s="63" t="s">
        <v>39</v>
      </c>
      <c r="AD617" s="63" t="s">
        <v>3088</v>
      </c>
      <c r="AE617" s="63" t="s">
        <v>41</v>
      </c>
      <c r="AF617" s="63" t="s">
        <v>66</v>
      </c>
      <c r="AG617" s="63" t="s">
        <v>54</v>
      </c>
      <c r="AH617" s="63" t="s">
        <v>136</v>
      </c>
      <c r="AI617" s="63" t="s">
        <v>95</v>
      </c>
      <c r="AJ617" s="63" t="s">
        <v>138</v>
      </c>
      <c r="AK617" s="83">
        <v>1.2</v>
      </c>
      <c r="AL617" s="63" t="s">
        <v>108</v>
      </c>
      <c r="AM617" s="63" t="s">
        <v>46</v>
      </c>
      <c r="AN617"/>
    </row>
    <row r="618" spans="1:40" ht="18" customHeight="1">
      <c r="A618" s="1" t="s">
        <v>1983</v>
      </c>
      <c r="B618" s="1" t="s">
        <v>1984</v>
      </c>
      <c r="C618" s="4">
        <v>46107</v>
      </c>
      <c r="D618" s="4">
        <v>46130</v>
      </c>
      <c r="E618" s="4">
        <v>46126</v>
      </c>
      <c r="F618" s="63" t="s">
        <v>256</v>
      </c>
      <c r="G618" s="63" t="s">
        <v>3849</v>
      </c>
      <c r="H618" s="63" t="s">
        <v>258</v>
      </c>
      <c r="I618" s="63" t="s">
        <v>34</v>
      </c>
      <c r="J618" s="63" t="s">
        <v>153</v>
      </c>
      <c r="K618" s="63" t="s">
        <v>1985</v>
      </c>
      <c r="L618" s="63" t="s">
        <v>318</v>
      </c>
      <c r="M618" s="69">
        <v>10.14</v>
      </c>
      <c r="N618" s="63" t="s">
        <v>86</v>
      </c>
      <c r="O618" s="73">
        <f>_xlfn.XLOOKUP(Supplier_Perf_Table[[#This Row],[Currency]],'Comments 2'!$C$4:$C$16,'Comments 2'!$D$4:$D$16)</f>
        <v>8.8999999999999996E-2</v>
      </c>
      <c r="P618" s="69">
        <f>IFERROR(Supplier_Perf_Table[[#This Row],[Unit_Cost]]*Supplier_Perf_Table[[#This Row],[Dollar Equivalent]],"")</f>
        <v>0.90246000000000004</v>
      </c>
      <c r="Q618" s="75" t="s">
        <v>3080</v>
      </c>
      <c r="R618" s="1">
        <v>507</v>
      </c>
      <c r="S618" s="75" t="e">
        <f>Supplier_Perf_Table[[#This Row],[Unit_Cost]]*Supplier_Perf_Table[[#This Row],[Order_Quantity]]</f>
        <v>#VALUE!</v>
      </c>
      <c r="T618" s="75">
        <f>IFERROR(Supplier_Perf_Table[[#This Row],[Dollar Equivalent]]*Supplier_Perf_Table[[#This Row],[Ordered_Value]],"")</f>
        <v>45.122999999999998</v>
      </c>
      <c r="U618" s="75">
        <v>3</v>
      </c>
      <c r="V618" s="7">
        <v>0.06</v>
      </c>
      <c r="W618" s="75">
        <v>19</v>
      </c>
      <c r="X618" s="55">
        <f>IFERROR(Supplier_Perf_Table[[#This Row],[Actual_Delivery_Date]]-Supplier_Perf_Table[[#This Row],[Order Date]],"")</f>
        <v>19</v>
      </c>
      <c r="Y618" s="75">
        <v>23</v>
      </c>
      <c r="Z618" s="56">
        <f>IFERROR(Supplier_Perf_Table[[#This Row],[Expected Delivery_Date]]-Supplier_Perf_Table[[#This Row],[Order Date]],"")</f>
        <v>23</v>
      </c>
      <c r="AA618" s="56">
        <f>Supplier_Perf_Table[[#This Row],[Calculated_Lead_Time2]]-Supplier_Perf_Table[[#This Row],[Calculated_Expected_Lead_Time]]</f>
        <v>-4</v>
      </c>
      <c r="AB618" s="75">
        <v>-4</v>
      </c>
      <c r="AC618" s="63" t="s">
        <v>87</v>
      </c>
      <c r="AD618" s="63" t="s">
        <v>74</v>
      </c>
      <c r="AE618" s="63" t="s">
        <v>146</v>
      </c>
      <c r="AF618" s="63" t="s">
        <v>212</v>
      </c>
      <c r="AG618" s="63" t="s">
        <v>107</v>
      </c>
      <c r="AH618" s="63" t="s">
        <v>129</v>
      </c>
      <c r="AI618" s="63" t="s">
        <v>138</v>
      </c>
      <c r="AJ618" s="63" t="s">
        <v>283</v>
      </c>
      <c r="AK618" s="83">
        <v>2</v>
      </c>
      <c r="AL618" s="63" t="s">
        <v>45</v>
      </c>
      <c r="AM618" s="63" t="s">
        <v>284</v>
      </c>
      <c r="AN618"/>
    </row>
    <row r="619" spans="1:40" ht="18" customHeight="1">
      <c r="A619" s="1" t="s">
        <v>1986</v>
      </c>
      <c r="B619" s="1" t="s">
        <v>1987</v>
      </c>
      <c r="C619" s="4">
        <v>46174</v>
      </c>
      <c r="D619" s="4">
        <v>46182</v>
      </c>
      <c r="E619" s="4">
        <v>46193</v>
      </c>
      <c r="F619" s="63" t="s">
        <v>80</v>
      </c>
      <c r="G619" s="63" t="s">
        <v>3839</v>
      </c>
      <c r="H619" s="63" t="s">
        <v>82</v>
      </c>
      <c r="I619" s="63" t="s">
        <v>49</v>
      </c>
      <c r="J619" s="63" t="s">
        <v>35</v>
      </c>
      <c r="K619" s="63" t="s">
        <v>1988</v>
      </c>
      <c r="L619" s="63" t="s">
        <v>180</v>
      </c>
      <c r="M619" s="69">
        <v>1812.41</v>
      </c>
      <c r="N619" s="63" t="s">
        <v>3076</v>
      </c>
      <c r="O619" s="73">
        <f>_xlfn.XLOOKUP(Supplier_Perf_Table[[#This Row],[Currency]],'Comments 2'!$C$4:$C$16,'Comments 2'!$D$4:$D$16)</f>
        <v>6.8000000000000005E-4</v>
      </c>
      <c r="P619" s="69">
        <f>IFERROR(Supplier_Perf_Table[[#This Row],[Unit_Cost]]*Supplier_Perf_Table[[#This Row],[Dollar Equivalent]],"")</f>
        <v>1.2324388000000002</v>
      </c>
      <c r="Q619" s="75">
        <v>75</v>
      </c>
      <c r="R619" s="1" t="s">
        <v>3080</v>
      </c>
      <c r="S619" s="75">
        <f>Supplier_Perf_Table[[#This Row],[Unit_Cost]]*Supplier_Perf_Table[[#This Row],[Order_Quantity]]</f>
        <v>135930.75</v>
      </c>
      <c r="T619" s="75" t="str">
        <f>IFERROR(Supplier_Perf_Table[[#This Row],[Dollar Equivalent]]*Supplier_Perf_Table[[#This Row],[Ordered_Value]],"")</f>
        <v/>
      </c>
      <c r="U619" s="75">
        <v>1</v>
      </c>
      <c r="V619" s="7">
        <v>1.3299999999999999E-2</v>
      </c>
      <c r="W619" s="75">
        <v>19</v>
      </c>
      <c r="X619" s="55">
        <f>IFERROR(Supplier_Perf_Table[[#This Row],[Actual_Delivery_Date]]-Supplier_Perf_Table[[#This Row],[Order Date]],"")</f>
        <v>19</v>
      </c>
      <c r="Y619" s="75">
        <v>8</v>
      </c>
      <c r="Z619" s="56">
        <f>IFERROR(Supplier_Perf_Table[[#This Row],[Expected Delivery_Date]]-Supplier_Perf_Table[[#This Row],[Order Date]],"")</f>
        <v>8</v>
      </c>
      <c r="AA619" s="56">
        <f>Supplier_Perf_Table[[#This Row],[Calculated_Lead_Time2]]-Supplier_Perf_Table[[#This Row],[Calculated_Expected_Lead_Time]]</f>
        <v>11</v>
      </c>
      <c r="AB619" s="75">
        <v>11</v>
      </c>
      <c r="AC619" s="63" t="s">
        <v>39</v>
      </c>
      <c r="AD619" s="63" t="s">
        <v>40</v>
      </c>
      <c r="AE619" s="63" t="s">
        <v>105</v>
      </c>
      <c r="AF619" s="63" t="s">
        <v>42</v>
      </c>
      <c r="AG619" s="63" t="s">
        <v>173</v>
      </c>
      <c r="AH619" s="63" t="s">
        <v>206</v>
      </c>
      <c r="AI619" s="63" t="s">
        <v>137</v>
      </c>
      <c r="AJ619" s="63" t="s">
        <v>138</v>
      </c>
      <c r="AK619" s="83">
        <v>3</v>
      </c>
      <c r="AL619" s="63" t="s">
        <v>57</v>
      </c>
      <c r="AM619" s="63" t="s">
        <v>46</v>
      </c>
      <c r="AN619"/>
    </row>
    <row r="620" spans="1:40" ht="18" customHeight="1">
      <c r="A620" s="1" t="s">
        <v>1989</v>
      </c>
      <c r="B620" s="1" t="s">
        <v>1990</v>
      </c>
      <c r="C620" s="4">
        <v>46144</v>
      </c>
      <c r="D620" s="4">
        <v>46153</v>
      </c>
      <c r="E620" s="4">
        <v>46154</v>
      </c>
      <c r="F620" s="63" t="s">
        <v>162</v>
      </c>
      <c r="G620" s="63" t="s">
        <v>3847</v>
      </c>
      <c r="H620" s="63" t="s">
        <v>152</v>
      </c>
      <c r="I620" s="63" t="s">
        <v>241</v>
      </c>
      <c r="J620" s="63" t="s">
        <v>163</v>
      </c>
      <c r="K620" s="63" t="s">
        <v>1991</v>
      </c>
      <c r="L620" s="63" t="s">
        <v>269</v>
      </c>
      <c r="M620" s="69">
        <v>1290.06</v>
      </c>
      <c r="N620" s="63" t="s">
        <v>159</v>
      </c>
      <c r="O620" s="73">
        <f>_xlfn.XLOOKUP(Supplier_Perf_Table[[#This Row],[Currency]],'Comments 2'!$C$4:$C$16,'Comments 2'!$D$4:$D$16)</f>
        <v>7.2999999999999996E-4</v>
      </c>
      <c r="P620" s="69">
        <f>IFERROR(Supplier_Perf_Table[[#This Row],[Unit_Cost]]*Supplier_Perf_Table[[#This Row],[Dollar Equivalent]],"")</f>
        <v>0.94174379999999991</v>
      </c>
      <c r="Q620" s="75">
        <v>1500</v>
      </c>
      <c r="R620" s="1" t="s">
        <v>3080</v>
      </c>
      <c r="S620" s="75">
        <f>Supplier_Perf_Table[[#This Row],[Unit_Cost]]*Supplier_Perf_Table[[#This Row],[Order_Quantity]]</f>
        <v>1935090</v>
      </c>
      <c r="T620" s="75" t="str">
        <f>IFERROR(Supplier_Perf_Table[[#This Row],[Dollar Equivalent]]*Supplier_Perf_Table[[#This Row],[Ordered_Value]],"")</f>
        <v/>
      </c>
      <c r="U620" s="75">
        <v>17</v>
      </c>
      <c r="V620" s="7">
        <v>1.1299999999999999E-2</v>
      </c>
      <c r="W620" s="75">
        <v>10</v>
      </c>
      <c r="X620" s="55">
        <f>IFERROR(Supplier_Perf_Table[[#This Row],[Actual_Delivery_Date]]-Supplier_Perf_Table[[#This Row],[Order Date]],"")</f>
        <v>10</v>
      </c>
      <c r="Y620" s="75">
        <v>9</v>
      </c>
      <c r="Z620" s="56">
        <f>IFERROR(Supplier_Perf_Table[[#This Row],[Expected Delivery_Date]]-Supplier_Perf_Table[[#This Row],[Order Date]],"")</f>
        <v>9</v>
      </c>
      <c r="AA620" s="56">
        <f>Supplier_Perf_Table[[#This Row],[Calculated_Lead_Time2]]-Supplier_Perf_Table[[#This Row],[Calculated_Expected_Lead_Time]]</f>
        <v>1</v>
      </c>
      <c r="AB620" s="75">
        <v>1</v>
      </c>
      <c r="AC620" s="63" t="s">
        <v>135</v>
      </c>
      <c r="AD620" s="63" t="s">
        <v>40</v>
      </c>
      <c r="AE620" s="63" t="s">
        <v>41</v>
      </c>
      <c r="AF620" s="63" t="s">
        <v>212</v>
      </c>
      <c r="AG620" s="63" t="s">
        <v>128</v>
      </c>
      <c r="AH620" s="63" t="s">
        <v>206</v>
      </c>
      <c r="AI620" s="63" t="s">
        <v>56</v>
      </c>
      <c r="AJ620" s="63" t="s">
        <v>138</v>
      </c>
      <c r="AK620" s="83">
        <v>3.2</v>
      </c>
      <c r="AL620" s="63" t="s">
        <v>45</v>
      </c>
      <c r="AM620" s="63" t="s">
        <v>46</v>
      </c>
      <c r="AN620"/>
    </row>
    <row r="621" spans="1:40" ht="18" customHeight="1">
      <c r="A621" s="1" t="s">
        <v>1992</v>
      </c>
      <c r="B621" s="1" t="s">
        <v>1993</v>
      </c>
      <c r="C621" s="4">
        <v>46056</v>
      </c>
      <c r="D621" s="4">
        <v>46064</v>
      </c>
      <c r="E621" s="4">
        <v>46072</v>
      </c>
      <c r="F621" s="63" t="s">
        <v>100</v>
      </c>
      <c r="G621" s="63" t="s">
        <v>3841</v>
      </c>
      <c r="H621" s="63" t="s">
        <v>102</v>
      </c>
      <c r="I621" s="63" t="s">
        <v>49</v>
      </c>
      <c r="J621" s="63" t="s">
        <v>112</v>
      </c>
      <c r="K621" s="63" t="s">
        <v>1994</v>
      </c>
      <c r="L621" s="63" t="s">
        <v>229</v>
      </c>
      <c r="M621" s="69">
        <v>754.39</v>
      </c>
      <c r="N621" s="63" t="s">
        <v>159</v>
      </c>
      <c r="O621" s="73">
        <f>_xlfn.XLOOKUP(Supplier_Perf_Table[[#This Row],[Currency]],'Comments 2'!$C$4:$C$16,'Comments 2'!$D$4:$D$16)</f>
        <v>7.2999999999999996E-4</v>
      </c>
      <c r="P621" s="69">
        <f>IFERROR(Supplier_Perf_Table[[#This Row],[Unit_Cost]]*Supplier_Perf_Table[[#This Row],[Dollar Equivalent]],"")</f>
        <v>0.55070469999999994</v>
      </c>
      <c r="Q621" s="75">
        <v>100</v>
      </c>
      <c r="R621" s="1">
        <v>75439</v>
      </c>
      <c r="S621" s="75">
        <f>Supplier_Perf_Table[[#This Row],[Unit_Cost]]*Supplier_Perf_Table[[#This Row],[Order_Quantity]]</f>
        <v>75439</v>
      </c>
      <c r="T621" s="75">
        <f>IFERROR(Supplier_Perf_Table[[#This Row],[Dollar Equivalent]]*Supplier_Perf_Table[[#This Row],[Ordered_Value]],"")</f>
        <v>55.07047</v>
      </c>
      <c r="U621" s="75">
        <v>0</v>
      </c>
      <c r="V621" s="7">
        <v>0</v>
      </c>
      <c r="W621" s="75">
        <v>16</v>
      </c>
      <c r="X621" s="55">
        <f>IFERROR(Supplier_Perf_Table[[#This Row],[Actual_Delivery_Date]]-Supplier_Perf_Table[[#This Row],[Order Date]],"")</f>
        <v>16</v>
      </c>
      <c r="Y621" s="75">
        <v>8</v>
      </c>
      <c r="Z621" s="56">
        <f>IFERROR(Supplier_Perf_Table[[#This Row],[Expected Delivery_Date]]-Supplier_Perf_Table[[#This Row],[Order Date]],"")</f>
        <v>8</v>
      </c>
      <c r="AA621" s="56">
        <f>Supplier_Perf_Table[[#This Row],[Calculated_Lead_Time2]]-Supplier_Perf_Table[[#This Row],[Calculated_Expected_Lead_Time]]</f>
        <v>8</v>
      </c>
      <c r="AB621" s="75">
        <v>8</v>
      </c>
      <c r="AC621" s="63" t="s">
        <v>135</v>
      </c>
      <c r="AD621" s="63" t="s">
        <v>40</v>
      </c>
      <c r="AE621" s="63" t="s">
        <v>3088</v>
      </c>
      <c r="AF621" s="63" t="s">
        <v>42</v>
      </c>
      <c r="AG621" s="63" t="s">
        <v>43</v>
      </c>
      <c r="AH621" s="63" t="s">
        <v>206</v>
      </c>
      <c r="AI621" s="63" t="s">
        <v>147</v>
      </c>
      <c r="AJ621" s="63" t="s">
        <v>138</v>
      </c>
      <c r="AK621" s="83">
        <v>2.2999999999999998</v>
      </c>
      <c r="AL621" s="63" t="s">
        <v>45</v>
      </c>
      <c r="AM621" s="63" t="s">
        <v>148</v>
      </c>
      <c r="AN621"/>
    </row>
    <row r="622" spans="1:40" ht="18" customHeight="1">
      <c r="A622" s="1" t="s">
        <v>1995</v>
      </c>
      <c r="B622" s="1" t="s">
        <v>1996</v>
      </c>
      <c r="C622" s="4">
        <v>46037</v>
      </c>
      <c r="D622" s="4">
        <v>46064</v>
      </c>
      <c r="E622" s="4">
        <v>46059</v>
      </c>
      <c r="F622" s="63" t="s">
        <v>118</v>
      </c>
      <c r="G622" s="63" t="s">
        <v>3842</v>
      </c>
      <c r="H622" s="63" t="s">
        <v>301</v>
      </c>
      <c r="I622" s="63" t="s">
        <v>241</v>
      </c>
      <c r="J622" s="63" t="s">
        <v>62</v>
      </c>
      <c r="K622" s="63" t="s">
        <v>1997</v>
      </c>
      <c r="L622" s="63" t="s">
        <v>225</v>
      </c>
      <c r="M622" s="69">
        <v>754.44</v>
      </c>
      <c r="N622" s="63" t="s">
        <v>38</v>
      </c>
      <c r="O622" s="73">
        <f>_xlfn.XLOOKUP(Supplier_Perf_Table[[#This Row],[Currency]],'Comments 2'!$C$4:$C$16,'Comments 2'!$D$4:$D$16)</f>
        <v>7.7000000000000002E-3</v>
      </c>
      <c r="P622" s="69">
        <f>IFERROR(Supplier_Perf_Table[[#This Row],[Unit_Cost]]*Supplier_Perf_Table[[#This Row],[Dollar Equivalent]],"")</f>
        <v>5.8091880000000007</v>
      </c>
      <c r="Q622" s="75">
        <v>1500</v>
      </c>
      <c r="R622" s="1">
        <v>1131660</v>
      </c>
      <c r="S622" s="75">
        <f>Supplier_Perf_Table[[#This Row],[Unit_Cost]]*Supplier_Perf_Table[[#This Row],[Order_Quantity]]</f>
        <v>1131660</v>
      </c>
      <c r="T622" s="75">
        <f>IFERROR(Supplier_Perf_Table[[#This Row],[Dollar Equivalent]]*Supplier_Perf_Table[[#This Row],[Ordered_Value]],"")</f>
        <v>8713.7820000000011</v>
      </c>
      <c r="U622" s="75">
        <v>33</v>
      </c>
      <c r="V622" s="7">
        <v>2.1999999999999999E-2</v>
      </c>
      <c r="W622" s="75">
        <v>22</v>
      </c>
      <c r="X622" s="55">
        <f>IFERROR(Supplier_Perf_Table[[#This Row],[Actual_Delivery_Date]]-Supplier_Perf_Table[[#This Row],[Order Date]],"")</f>
        <v>22</v>
      </c>
      <c r="Y622" s="75">
        <v>27</v>
      </c>
      <c r="Z622" s="56">
        <f>IFERROR(Supplier_Perf_Table[[#This Row],[Expected Delivery_Date]]-Supplier_Perf_Table[[#This Row],[Order Date]],"")</f>
        <v>27</v>
      </c>
      <c r="AA622" s="56">
        <f>Supplier_Perf_Table[[#This Row],[Calculated_Lead_Time2]]-Supplier_Perf_Table[[#This Row],[Calculated_Expected_Lead_Time]]</f>
        <v>-5</v>
      </c>
      <c r="AB622" s="75">
        <v>-5</v>
      </c>
      <c r="AC622" s="63" t="s">
        <v>87</v>
      </c>
      <c r="AD622" s="63" t="s">
        <v>404</v>
      </c>
      <c r="AE622" s="63" t="s">
        <v>127</v>
      </c>
      <c r="AF622" s="63" t="s">
        <v>3088</v>
      </c>
      <c r="AG622" s="63" t="s">
        <v>173</v>
      </c>
      <c r="AH622" s="63" t="s">
        <v>3112</v>
      </c>
      <c r="AI622" s="63" t="s">
        <v>147</v>
      </c>
      <c r="AJ622" s="63" t="s">
        <v>138</v>
      </c>
      <c r="AK622" s="83">
        <v>3</v>
      </c>
      <c r="AL622" s="63" t="s">
        <v>45</v>
      </c>
      <c r="AM622" s="63" t="s">
        <v>130</v>
      </c>
      <c r="AN622"/>
    </row>
    <row r="623" spans="1:40" ht="18" customHeight="1">
      <c r="A623" s="1" t="s">
        <v>1998</v>
      </c>
      <c r="B623" s="1" t="s">
        <v>1999</v>
      </c>
      <c r="C623" s="4">
        <v>46131</v>
      </c>
      <c r="D623" s="4">
        <v>46150</v>
      </c>
      <c r="E623" s="4">
        <v>46153</v>
      </c>
      <c r="F623" s="63" t="s">
        <v>142</v>
      </c>
      <c r="G623" s="63" t="s">
        <v>3843</v>
      </c>
      <c r="H623" s="63" t="s">
        <v>169</v>
      </c>
      <c r="I623" s="63" t="s">
        <v>83</v>
      </c>
      <c r="J623" s="63" t="s">
        <v>35</v>
      </c>
      <c r="K623" s="63" t="s">
        <v>2000</v>
      </c>
      <c r="L623" s="63" t="s">
        <v>180</v>
      </c>
      <c r="M623" s="69">
        <v>293.44</v>
      </c>
      <c r="N623" s="63" t="s">
        <v>65</v>
      </c>
      <c r="O623" s="73">
        <f>_xlfn.XLOOKUP(Supplier_Perf_Table[[#This Row],[Currency]],'Comments 2'!$C$4:$C$16,'Comments 2'!$D$4:$D$16)</f>
        <v>1</v>
      </c>
      <c r="P623" s="69">
        <f>IFERROR(Supplier_Perf_Table[[#This Row],[Unit_Cost]]*Supplier_Perf_Table[[#This Row],[Dollar Equivalent]],"")</f>
        <v>293.44</v>
      </c>
      <c r="Q623" s="75">
        <v>750</v>
      </c>
      <c r="R623" s="1">
        <v>220080</v>
      </c>
      <c r="S623" s="75">
        <f>Supplier_Perf_Table[[#This Row],[Unit_Cost]]*Supplier_Perf_Table[[#This Row],[Order_Quantity]]</f>
        <v>220080</v>
      </c>
      <c r="T623" s="75">
        <f>IFERROR(Supplier_Perf_Table[[#This Row],[Dollar Equivalent]]*Supplier_Perf_Table[[#This Row],[Ordered_Value]],"")</f>
        <v>220080</v>
      </c>
      <c r="U623" s="75">
        <v>15</v>
      </c>
      <c r="V623" s="7">
        <v>0.02</v>
      </c>
      <c r="W623" s="75">
        <v>22</v>
      </c>
      <c r="X623" s="55">
        <f>IFERROR(Supplier_Perf_Table[[#This Row],[Actual_Delivery_Date]]-Supplier_Perf_Table[[#This Row],[Order Date]],"")</f>
        <v>22</v>
      </c>
      <c r="Y623" s="75">
        <v>19</v>
      </c>
      <c r="Z623" s="56">
        <f>IFERROR(Supplier_Perf_Table[[#This Row],[Expected Delivery_Date]]-Supplier_Perf_Table[[#This Row],[Order Date]],"")</f>
        <v>19</v>
      </c>
      <c r="AA623" s="56">
        <f>Supplier_Perf_Table[[#This Row],[Calculated_Lead_Time2]]-Supplier_Perf_Table[[#This Row],[Calculated_Expected_Lead_Time]]</f>
        <v>3</v>
      </c>
      <c r="AB623" s="75">
        <v>3</v>
      </c>
      <c r="AC623" s="63" t="s">
        <v>166</v>
      </c>
      <c r="AD623" s="63" t="s">
        <v>40</v>
      </c>
      <c r="AE623" s="63" t="s">
        <v>105</v>
      </c>
      <c r="AF623" s="63" t="s">
        <v>190</v>
      </c>
      <c r="AG623" s="63" t="s">
        <v>173</v>
      </c>
      <c r="AH623" s="63" t="s">
        <v>3112</v>
      </c>
      <c r="AI623" s="63" t="s">
        <v>95</v>
      </c>
      <c r="AJ623" s="63" t="s">
        <v>138</v>
      </c>
      <c r="AK623" s="83">
        <v>4.2</v>
      </c>
      <c r="AL623" s="63" t="s">
        <v>115</v>
      </c>
      <c r="AM623" s="63" t="s">
        <v>46</v>
      </c>
      <c r="AN623"/>
    </row>
    <row r="624" spans="1:40" ht="18" customHeight="1">
      <c r="A624" s="1" t="s">
        <v>1527</v>
      </c>
      <c r="B624" s="1" t="s">
        <v>2001</v>
      </c>
      <c r="C624" s="4">
        <v>46183</v>
      </c>
      <c r="D624" s="4">
        <v>46195</v>
      </c>
      <c r="E624" s="4">
        <v>46209</v>
      </c>
      <c r="F624" s="63" t="s">
        <v>60</v>
      </c>
      <c r="G624" s="63" t="s">
        <v>3837</v>
      </c>
      <c r="H624" s="63" t="s">
        <v>152</v>
      </c>
      <c r="I624" s="63" t="s">
        <v>49</v>
      </c>
      <c r="J624" s="63" t="s">
        <v>62</v>
      </c>
      <c r="K624" s="63" t="s">
        <v>2002</v>
      </c>
      <c r="L624" s="63" t="s">
        <v>94</v>
      </c>
      <c r="M624" s="69">
        <v>512.49</v>
      </c>
      <c r="N624" s="63" t="s">
        <v>65</v>
      </c>
      <c r="O624" s="73">
        <f>_xlfn.XLOOKUP(Supplier_Perf_Table[[#This Row],[Currency]],'Comments 2'!$C$4:$C$16,'Comments 2'!$D$4:$D$16)</f>
        <v>1</v>
      </c>
      <c r="P624" s="69">
        <f>IFERROR(Supplier_Perf_Table[[#This Row],[Unit_Cost]]*Supplier_Perf_Table[[#This Row],[Dollar Equivalent]],"")</f>
        <v>512.49</v>
      </c>
      <c r="Q624" s="75">
        <v>200</v>
      </c>
      <c r="R624" s="1">
        <v>102498</v>
      </c>
      <c r="S624" s="75">
        <f>Supplier_Perf_Table[[#This Row],[Unit_Cost]]*Supplier_Perf_Table[[#This Row],[Order_Quantity]]</f>
        <v>102498</v>
      </c>
      <c r="T624" s="75">
        <f>IFERROR(Supplier_Perf_Table[[#This Row],[Dollar Equivalent]]*Supplier_Perf_Table[[#This Row],[Ordered_Value]],"")</f>
        <v>102498</v>
      </c>
      <c r="U624" s="75">
        <v>0</v>
      </c>
      <c r="V624" s="7">
        <v>0</v>
      </c>
      <c r="W624" s="75">
        <v>26</v>
      </c>
      <c r="X624" s="55">
        <f>IFERROR(Supplier_Perf_Table[[#This Row],[Actual_Delivery_Date]]-Supplier_Perf_Table[[#This Row],[Order Date]],"")</f>
        <v>26</v>
      </c>
      <c r="Y624" s="75">
        <v>12</v>
      </c>
      <c r="Z624" s="56">
        <f>IFERROR(Supplier_Perf_Table[[#This Row],[Expected Delivery_Date]]-Supplier_Perf_Table[[#This Row],[Order Date]],"")</f>
        <v>12</v>
      </c>
      <c r="AA624" s="56">
        <f>Supplier_Perf_Table[[#This Row],[Calculated_Lead_Time2]]-Supplier_Perf_Table[[#This Row],[Calculated_Expected_Lead_Time]]</f>
        <v>14</v>
      </c>
      <c r="AB624" s="75">
        <v>14</v>
      </c>
      <c r="AC624" s="63" t="s">
        <v>39</v>
      </c>
      <c r="AD624" s="63" t="s">
        <v>40</v>
      </c>
      <c r="AE624" s="63" t="s">
        <v>105</v>
      </c>
      <c r="AF624" s="63" t="s">
        <v>190</v>
      </c>
      <c r="AG624" s="63" t="s">
        <v>43</v>
      </c>
      <c r="AH624" s="63" t="s">
        <v>3112</v>
      </c>
      <c r="AI624" s="63" t="s">
        <v>137</v>
      </c>
      <c r="AJ624" s="63" t="s">
        <v>138</v>
      </c>
      <c r="AK624" s="83">
        <v>1</v>
      </c>
      <c r="AL624" s="63" t="s">
        <v>108</v>
      </c>
      <c r="AM624" s="63" t="s">
        <v>46</v>
      </c>
      <c r="AN624"/>
    </row>
    <row r="625" spans="1:40" ht="18" customHeight="1">
      <c r="A625" s="1" t="s">
        <v>2003</v>
      </c>
      <c r="B625" s="1" t="s">
        <v>2004</v>
      </c>
      <c r="C625" s="4">
        <v>46086</v>
      </c>
      <c r="D625" s="4">
        <v>46096</v>
      </c>
      <c r="E625" s="4">
        <v>46098</v>
      </c>
      <c r="F625" s="63" t="s">
        <v>80</v>
      </c>
      <c r="G625" s="63" t="s">
        <v>3839</v>
      </c>
      <c r="H625" s="63" t="s">
        <v>82</v>
      </c>
      <c r="I625" s="63" t="s">
        <v>61</v>
      </c>
      <c r="J625" s="63" t="s">
        <v>35</v>
      </c>
      <c r="K625" s="63" t="s">
        <v>2005</v>
      </c>
      <c r="L625" s="63" t="s">
        <v>85</v>
      </c>
      <c r="M625" s="69">
        <v>3402.86</v>
      </c>
      <c r="N625" s="63" t="s">
        <v>104</v>
      </c>
      <c r="O625" s="73">
        <f>_xlfn.XLOOKUP(Supplier_Perf_Table[[#This Row],[Currency]],'Comments 2'!$C$4:$C$16,'Comments 2'!$D$4:$D$16)</f>
        <v>1.9E-2</v>
      </c>
      <c r="P625" s="69">
        <f>IFERROR(Supplier_Perf_Table[[#This Row],[Unit_Cost]]*Supplier_Perf_Table[[#This Row],[Dollar Equivalent]],"")</f>
        <v>64.654340000000005</v>
      </c>
      <c r="Q625" s="75">
        <v>500</v>
      </c>
      <c r="R625" s="1">
        <v>1701430</v>
      </c>
      <c r="S625" s="75">
        <f>Supplier_Perf_Table[[#This Row],[Unit_Cost]]*Supplier_Perf_Table[[#This Row],[Order_Quantity]]</f>
        <v>1701430</v>
      </c>
      <c r="T625" s="75">
        <f>IFERROR(Supplier_Perf_Table[[#This Row],[Dollar Equivalent]]*Supplier_Perf_Table[[#This Row],[Ordered_Value]],"")</f>
        <v>32327.17</v>
      </c>
      <c r="U625" s="75">
        <v>14</v>
      </c>
      <c r="V625" s="7">
        <v>2.8000000000000001E-2</v>
      </c>
      <c r="W625" s="75">
        <v>12</v>
      </c>
      <c r="X625" s="55">
        <f>IFERROR(Supplier_Perf_Table[[#This Row],[Actual_Delivery_Date]]-Supplier_Perf_Table[[#This Row],[Order Date]],"")</f>
        <v>12</v>
      </c>
      <c r="Y625" s="75">
        <v>10</v>
      </c>
      <c r="Z625" s="56">
        <f>IFERROR(Supplier_Perf_Table[[#This Row],[Expected Delivery_Date]]-Supplier_Perf_Table[[#This Row],[Order Date]],"")</f>
        <v>10</v>
      </c>
      <c r="AA625" s="56">
        <f>Supplier_Perf_Table[[#This Row],[Calculated_Lead_Time2]]-Supplier_Perf_Table[[#This Row],[Calculated_Expected_Lead_Time]]</f>
        <v>2</v>
      </c>
      <c r="AB625" s="75">
        <v>2</v>
      </c>
      <c r="AC625" s="63" t="s">
        <v>135</v>
      </c>
      <c r="AD625" s="63" t="s">
        <v>40</v>
      </c>
      <c r="AE625" s="63" t="s">
        <v>41</v>
      </c>
      <c r="AF625" s="63" t="s">
        <v>212</v>
      </c>
      <c r="AG625" s="63" t="s">
        <v>3088</v>
      </c>
      <c r="AH625" s="63" t="s">
        <v>136</v>
      </c>
      <c r="AI625" s="63" t="s">
        <v>147</v>
      </c>
      <c r="AJ625" s="63" t="s">
        <v>138</v>
      </c>
      <c r="AK625" s="83">
        <v>3.7</v>
      </c>
      <c r="AL625" s="63" t="s">
        <v>139</v>
      </c>
      <c r="AM625" s="63" t="s">
        <v>46</v>
      </c>
      <c r="AN625"/>
    </row>
    <row r="626" spans="1:40" ht="18" customHeight="1">
      <c r="A626" s="1" t="s">
        <v>2006</v>
      </c>
      <c r="B626" s="1" t="s">
        <v>2007</v>
      </c>
      <c r="C626" s="4">
        <v>46126</v>
      </c>
      <c r="D626" s="4">
        <v>46133</v>
      </c>
      <c r="E626" s="4">
        <v>46152</v>
      </c>
      <c r="F626" s="63" t="s">
        <v>209</v>
      </c>
      <c r="G626" s="63" t="s">
        <v>3845</v>
      </c>
      <c r="H626" s="63" t="s">
        <v>316</v>
      </c>
      <c r="I626" s="63" t="s">
        <v>61</v>
      </c>
      <c r="J626" s="63" t="s">
        <v>153</v>
      </c>
      <c r="K626" s="63" t="s">
        <v>2008</v>
      </c>
      <c r="L626" s="63" t="s">
        <v>204</v>
      </c>
      <c r="M626" s="69">
        <v>186.26</v>
      </c>
      <c r="N626" s="63" t="s">
        <v>159</v>
      </c>
      <c r="O626" s="73">
        <f>_xlfn.XLOOKUP(Supplier_Perf_Table[[#This Row],[Currency]],'Comments 2'!$C$4:$C$16,'Comments 2'!$D$4:$D$16)</f>
        <v>7.2999999999999996E-4</v>
      </c>
      <c r="P626" s="69">
        <f>IFERROR(Supplier_Perf_Table[[#This Row],[Unit_Cost]]*Supplier_Perf_Table[[#This Row],[Dollar Equivalent]],"")</f>
        <v>0.13596979999999997</v>
      </c>
      <c r="Q626" s="75">
        <v>500</v>
      </c>
      <c r="R626" s="1">
        <v>93130</v>
      </c>
      <c r="S626" s="75">
        <f>Supplier_Perf_Table[[#This Row],[Unit_Cost]]*Supplier_Perf_Table[[#This Row],[Order_Quantity]]</f>
        <v>93130</v>
      </c>
      <c r="T626" s="75">
        <f>IFERROR(Supplier_Perf_Table[[#This Row],[Dollar Equivalent]]*Supplier_Perf_Table[[#This Row],[Ordered_Value]],"")</f>
        <v>67.984899999999996</v>
      </c>
      <c r="U626" s="75">
        <v>29</v>
      </c>
      <c r="V626" s="7">
        <v>5.8000000000000003E-2</v>
      </c>
      <c r="W626" s="75">
        <v>26</v>
      </c>
      <c r="X626" s="55">
        <f>IFERROR(Supplier_Perf_Table[[#This Row],[Actual_Delivery_Date]]-Supplier_Perf_Table[[#This Row],[Order Date]],"")</f>
        <v>26</v>
      </c>
      <c r="Y626" s="75">
        <v>7</v>
      </c>
      <c r="Z626" s="56">
        <f>IFERROR(Supplier_Perf_Table[[#This Row],[Expected Delivery_Date]]-Supplier_Perf_Table[[#This Row],[Order Date]],"")</f>
        <v>7</v>
      </c>
      <c r="AA626" s="56">
        <f>Supplier_Perf_Table[[#This Row],[Calculated_Lead_Time2]]-Supplier_Perf_Table[[#This Row],[Calculated_Expected_Lead_Time]]</f>
        <v>19</v>
      </c>
      <c r="AB626" s="75">
        <v>19</v>
      </c>
      <c r="AC626" s="63" t="s">
        <v>135</v>
      </c>
      <c r="AD626" s="63" t="s">
        <v>420</v>
      </c>
      <c r="AE626" s="63" t="s">
        <v>146</v>
      </c>
      <c r="AF626" s="63" t="s">
        <v>66</v>
      </c>
      <c r="AG626" s="63" t="s">
        <v>107</v>
      </c>
      <c r="AH626" s="63" t="s">
        <v>55</v>
      </c>
      <c r="AI626" s="63" t="s">
        <v>44</v>
      </c>
      <c r="AJ626" s="63" t="s">
        <v>96</v>
      </c>
      <c r="AK626" s="83">
        <v>3.2</v>
      </c>
      <c r="AL626" s="63" t="s">
        <v>108</v>
      </c>
      <c r="AM626" s="63" t="s">
        <v>185</v>
      </c>
      <c r="AN626"/>
    </row>
    <row r="627" spans="1:40" ht="18" customHeight="1">
      <c r="A627" s="1" t="s">
        <v>2009</v>
      </c>
      <c r="B627" s="1" t="s">
        <v>2010</v>
      </c>
      <c r="C627" s="4">
        <v>46075</v>
      </c>
      <c r="D627" s="4">
        <v>46089</v>
      </c>
      <c r="E627" s="4">
        <v>46095</v>
      </c>
      <c r="F627" s="63" t="s">
        <v>100</v>
      </c>
      <c r="G627" s="63" t="s">
        <v>3841</v>
      </c>
      <c r="H627" s="63" t="s">
        <v>102</v>
      </c>
      <c r="I627" s="63" t="s">
        <v>241</v>
      </c>
      <c r="J627" s="63" t="s">
        <v>50</v>
      </c>
      <c r="K627" s="63" t="s">
        <v>2011</v>
      </c>
      <c r="L627" s="63" t="s">
        <v>145</v>
      </c>
      <c r="M627" s="69">
        <v>2023.18</v>
      </c>
      <c r="N627" s="63" t="s">
        <v>159</v>
      </c>
      <c r="O627" s="73">
        <f>_xlfn.XLOOKUP(Supplier_Perf_Table[[#This Row],[Currency]],'Comments 2'!$C$4:$C$16,'Comments 2'!$D$4:$D$16)</f>
        <v>7.2999999999999996E-4</v>
      </c>
      <c r="P627" s="69">
        <f>IFERROR(Supplier_Perf_Table[[#This Row],[Unit_Cost]]*Supplier_Perf_Table[[#This Row],[Dollar Equivalent]],"")</f>
        <v>1.4769213999999999</v>
      </c>
      <c r="Q627" s="75">
        <v>300</v>
      </c>
      <c r="R627" s="1">
        <v>606954</v>
      </c>
      <c r="S627" s="75">
        <f>Supplier_Perf_Table[[#This Row],[Unit_Cost]]*Supplier_Perf_Table[[#This Row],[Order_Quantity]]</f>
        <v>606954</v>
      </c>
      <c r="T627" s="75">
        <f>IFERROR(Supplier_Perf_Table[[#This Row],[Dollar Equivalent]]*Supplier_Perf_Table[[#This Row],[Ordered_Value]],"")</f>
        <v>443.07641999999998</v>
      </c>
      <c r="U627" s="75">
        <v>7</v>
      </c>
      <c r="V627" s="7">
        <v>2.3300000000000001E-2</v>
      </c>
      <c r="W627" s="75">
        <v>20</v>
      </c>
      <c r="X627" s="55">
        <f>IFERROR(Supplier_Perf_Table[[#This Row],[Actual_Delivery_Date]]-Supplier_Perf_Table[[#This Row],[Order Date]],"")</f>
        <v>20</v>
      </c>
      <c r="Y627" s="75">
        <v>14</v>
      </c>
      <c r="Z627" s="56">
        <f>IFERROR(Supplier_Perf_Table[[#This Row],[Expected Delivery_Date]]-Supplier_Perf_Table[[#This Row],[Order Date]],"")</f>
        <v>14</v>
      </c>
      <c r="AA627" s="56">
        <f>Supplier_Perf_Table[[#This Row],[Calculated_Lead_Time2]]-Supplier_Perf_Table[[#This Row],[Calculated_Expected_Lead_Time]]</f>
        <v>6</v>
      </c>
      <c r="AB627" s="75">
        <v>6</v>
      </c>
      <c r="AC627" s="63" t="s">
        <v>135</v>
      </c>
      <c r="AD627" s="63" t="s">
        <v>40</v>
      </c>
      <c r="AE627" s="63" t="s">
        <v>127</v>
      </c>
      <c r="AF627" s="63" t="s">
        <v>190</v>
      </c>
      <c r="AG627" s="63" t="s">
        <v>43</v>
      </c>
      <c r="AH627" s="63" t="s">
        <v>3112</v>
      </c>
      <c r="AI627" s="63" t="s">
        <v>95</v>
      </c>
      <c r="AJ627" s="63" t="s">
        <v>138</v>
      </c>
      <c r="AK627" s="83">
        <v>2.7</v>
      </c>
      <c r="AL627" s="63" t="s">
        <v>45</v>
      </c>
      <c r="AM627" s="63" t="s">
        <v>148</v>
      </c>
      <c r="AN627"/>
    </row>
    <row r="628" spans="1:40" ht="18" customHeight="1">
      <c r="A628" s="1" t="s">
        <v>2012</v>
      </c>
      <c r="B628" s="1" t="s">
        <v>2013</v>
      </c>
      <c r="C628" s="4">
        <v>46202</v>
      </c>
      <c r="D628" s="4">
        <v>46209</v>
      </c>
      <c r="E628" s="4">
        <v>46217</v>
      </c>
      <c r="F628" s="63" t="s">
        <v>69</v>
      </c>
      <c r="G628" s="63" t="s">
        <v>3838</v>
      </c>
      <c r="H628" s="63" t="s">
        <v>194</v>
      </c>
      <c r="I628" s="63" t="s">
        <v>241</v>
      </c>
      <c r="J628" s="63" t="s">
        <v>163</v>
      </c>
      <c r="K628" s="63" t="s">
        <v>2014</v>
      </c>
      <c r="L628" s="63" t="s">
        <v>165</v>
      </c>
      <c r="M628" s="69">
        <v>3452.17</v>
      </c>
      <c r="N628" s="63" t="s">
        <v>86</v>
      </c>
      <c r="O628" s="73">
        <f>_xlfn.XLOOKUP(Supplier_Perf_Table[[#This Row],[Currency]],'Comments 2'!$C$4:$C$16,'Comments 2'!$D$4:$D$16)</f>
        <v>8.8999999999999996E-2</v>
      </c>
      <c r="P628" s="69">
        <f>IFERROR(Supplier_Perf_Table[[#This Row],[Unit_Cost]]*Supplier_Perf_Table[[#This Row],[Dollar Equivalent]],"")</f>
        <v>307.24313000000001</v>
      </c>
      <c r="Q628" s="75">
        <v>200</v>
      </c>
      <c r="R628" s="1">
        <v>690434</v>
      </c>
      <c r="S628" s="75">
        <f>Supplier_Perf_Table[[#This Row],[Unit_Cost]]*Supplier_Perf_Table[[#This Row],[Order_Quantity]]</f>
        <v>690434</v>
      </c>
      <c r="T628" s="75">
        <f>IFERROR(Supplier_Perf_Table[[#This Row],[Dollar Equivalent]]*Supplier_Perf_Table[[#This Row],[Ordered_Value]],"")</f>
        <v>61448.625999999997</v>
      </c>
      <c r="U628" s="75">
        <v>0</v>
      </c>
      <c r="V628" s="7">
        <v>0</v>
      </c>
      <c r="W628" s="75">
        <v>15</v>
      </c>
      <c r="X628" s="55">
        <f>IFERROR(Supplier_Perf_Table[[#This Row],[Actual_Delivery_Date]]-Supplier_Perf_Table[[#This Row],[Order Date]],"")</f>
        <v>15</v>
      </c>
      <c r="Y628" s="75">
        <v>7</v>
      </c>
      <c r="Z628" s="56">
        <f>IFERROR(Supplier_Perf_Table[[#This Row],[Expected Delivery_Date]]-Supplier_Perf_Table[[#This Row],[Order Date]],"")</f>
        <v>7</v>
      </c>
      <c r="AA628" s="56">
        <f>Supplier_Perf_Table[[#This Row],[Calculated_Lead_Time2]]-Supplier_Perf_Table[[#This Row],[Calculated_Expected_Lead_Time]]</f>
        <v>8</v>
      </c>
      <c r="AB628" s="75">
        <v>8</v>
      </c>
      <c r="AC628" s="63" t="s">
        <v>135</v>
      </c>
      <c r="AD628" s="63" t="s">
        <v>40</v>
      </c>
      <c r="AE628" s="63" t="s">
        <v>105</v>
      </c>
      <c r="AF628" s="63" t="s">
        <v>106</v>
      </c>
      <c r="AG628" s="63" t="s">
        <v>43</v>
      </c>
      <c r="AH628" s="63" t="s">
        <v>3112</v>
      </c>
      <c r="AI628" s="63" t="s">
        <v>191</v>
      </c>
      <c r="AJ628" s="63" t="s">
        <v>138</v>
      </c>
      <c r="AK628" s="83">
        <v>2.5</v>
      </c>
      <c r="AL628" s="63" t="s">
        <v>108</v>
      </c>
      <c r="AM628" s="63" t="s">
        <v>46</v>
      </c>
      <c r="AN628"/>
    </row>
    <row r="629" spans="1:40" ht="18" customHeight="1">
      <c r="A629" s="1" t="s">
        <v>2015</v>
      </c>
      <c r="B629" s="1" t="s">
        <v>2016</v>
      </c>
      <c r="C629" s="4">
        <v>46158</v>
      </c>
      <c r="D629" s="4">
        <v>46179</v>
      </c>
      <c r="E629" s="4">
        <v>46182</v>
      </c>
      <c r="F629" s="63" t="s">
        <v>256</v>
      </c>
      <c r="G629" s="63" t="s">
        <v>3849</v>
      </c>
      <c r="H629" s="63" t="s">
        <v>258</v>
      </c>
      <c r="I629" s="63" t="s">
        <v>83</v>
      </c>
      <c r="J629" s="63" t="s">
        <v>163</v>
      </c>
      <c r="K629" s="63" t="s">
        <v>2017</v>
      </c>
      <c r="L629" s="63" t="s">
        <v>171</v>
      </c>
      <c r="M629" s="69">
        <v>3345</v>
      </c>
      <c r="N629" s="63" t="s">
        <v>65</v>
      </c>
      <c r="O629" s="73">
        <f>_xlfn.XLOOKUP(Supplier_Perf_Table[[#This Row],[Currency]],'Comments 2'!$C$4:$C$16,'Comments 2'!$D$4:$D$16)</f>
        <v>1</v>
      </c>
      <c r="P629" s="69">
        <f>IFERROR(Supplier_Perf_Table[[#This Row],[Unit_Cost]]*Supplier_Perf_Table[[#This Row],[Dollar Equivalent]],"")</f>
        <v>3345</v>
      </c>
      <c r="Q629" s="75" t="s">
        <v>3080</v>
      </c>
      <c r="R629" s="1">
        <v>250875</v>
      </c>
      <c r="S629" s="75" t="e">
        <f>Supplier_Perf_Table[[#This Row],[Unit_Cost]]*Supplier_Perf_Table[[#This Row],[Order_Quantity]]</f>
        <v>#VALUE!</v>
      </c>
      <c r="T629" s="75">
        <f>IFERROR(Supplier_Perf_Table[[#This Row],[Dollar Equivalent]]*Supplier_Perf_Table[[#This Row],[Ordered_Value]],"")</f>
        <v>250875</v>
      </c>
      <c r="U629" s="75">
        <v>7</v>
      </c>
      <c r="V629" s="7">
        <v>9.3299999999999994E-2</v>
      </c>
      <c r="W629" s="75">
        <v>24</v>
      </c>
      <c r="X629" s="55">
        <f>IFERROR(Supplier_Perf_Table[[#This Row],[Actual_Delivery_Date]]-Supplier_Perf_Table[[#This Row],[Order Date]],"")</f>
        <v>24</v>
      </c>
      <c r="Y629" s="75">
        <v>21</v>
      </c>
      <c r="Z629" s="56">
        <f>IFERROR(Supplier_Perf_Table[[#This Row],[Expected Delivery_Date]]-Supplier_Perf_Table[[#This Row],[Order Date]],"")</f>
        <v>21</v>
      </c>
      <c r="AA629" s="56">
        <f>Supplier_Perf_Table[[#This Row],[Calculated_Lead_Time2]]-Supplier_Perf_Table[[#This Row],[Calculated_Expected_Lead_Time]]</f>
        <v>3</v>
      </c>
      <c r="AB629" s="75">
        <v>3</v>
      </c>
      <c r="AC629" s="63" t="s">
        <v>135</v>
      </c>
      <c r="AD629" s="63" t="s">
        <v>366</v>
      </c>
      <c r="AE629" s="63" t="s">
        <v>146</v>
      </c>
      <c r="AF629" s="63" t="s">
        <v>106</v>
      </c>
      <c r="AG629" s="63" t="s">
        <v>43</v>
      </c>
      <c r="AH629" s="63" t="s">
        <v>129</v>
      </c>
      <c r="AI629" s="63" t="s">
        <v>138</v>
      </c>
      <c r="AJ629" s="63" t="s">
        <v>96</v>
      </c>
      <c r="AK629" s="83">
        <v>2.1</v>
      </c>
      <c r="AL629" s="63" t="s">
        <v>115</v>
      </c>
      <c r="AM629" s="63" t="s">
        <v>185</v>
      </c>
      <c r="AN629"/>
    </row>
    <row r="630" spans="1:40" ht="18" customHeight="1">
      <c r="A630" s="1" t="s">
        <v>2018</v>
      </c>
      <c r="B630" s="1" t="s">
        <v>2019</v>
      </c>
      <c r="C630" s="4">
        <v>46031</v>
      </c>
      <c r="D630" s="4">
        <v>46032</v>
      </c>
      <c r="E630" s="4">
        <v>46031</v>
      </c>
      <c r="F630" s="63" t="s">
        <v>151</v>
      </c>
      <c r="G630" s="63" t="s">
        <v>3844</v>
      </c>
      <c r="H630" s="63" t="s">
        <v>152</v>
      </c>
      <c r="I630" s="63" t="s">
        <v>34</v>
      </c>
      <c r="J630" s="63" t="s">
        <v>112</v>
      </c>
      <c r="K630" s="63" t="s">
        <v>2020</v>
      </c>
      <c r="L630" s="63" t="s">
        <v>229</v>
      </c>
      <c r="M630" s="69">
        <v>13.15</v>
      </c>
      <c r="N630" s="63" t="s">
        <v>38</v>
      </c>
      <c r="O630" s="73">
        <f>_xlfn.XLOOKUP(Supplier_Perf_Table[[#This Row],[Currency]],'Comments 2'!$C$4:$C$16,'Comments 2'!$D$4:$D$16)</f>
        <v>7.7000000000000002E-3</v>
      </c>
      <c r="P630" s="69">
        <f>IFERROR(Supplier_Perf_Table[[#This Row],[Unit_Cost]]*Supplier_Perf_Table[[#This Row],[Dollar Equivalent]],"")</f>
        <v>0.10125500000000001</v>
      </c>
      <c r="Q630" s="75">
        <v>200</v>
      </c>
      <c r="R630" s="1">
        <v>2630</v>
      </c>
      <c r="S630" s="75">
        <f>Supplier_Perf_Table[[#This Row],[Unit_Cost]]*Supplier_Perf_Table[[#This Row],[Order_Quantity]]</f>
        <v>2630</v>
      </c>
      <c r="T630" s="75">
        <f>IFERROR(Supplier_Perf_Table[[#This Row],[Dollar Equivalent]]*Supplier_Perf_Table[[#This Row],[Ordered_Value]],"")</f>
        <v>20.251000000000001</v>
      </c>
      <c r="U630" s="75">
        <v>0</v>
      </c>
      <c r="V630" s="7">
        <v>0</v>
      </c>
      <c r="W630" s="75">
        <v>0</v>
      </c>
      <c r="X630" s="55">
        <f>IFERROR(Supplier_Perf_Table[[#This Row],[Actual_Delivery_Date]]-Supplier_Perf_Table[[#This Row],[Order Date]],"")</f>
        <v>0</v>
      </c>
      <c r="Y630" s="75">
        <v>1</v>
      </c>
      <c r="Z630" s="56">
        <f>IFERROR(Supplier_Perf_Table[[#This Row],[Expected Delivery_Date]]-Supplier_Perf_Table[[#This Row],[Order Date]],"")</f>
        <v>1</v>
      </c>
      <c r="AA630" s="56">
        <f>Supplier_Perf_Table[[#This Row],[Calculated_Lead_Time2]]-Supplier_Perf_Table[[#This Row],[Calculated_Expected_Lead_Time]]</f>
        <v>-1</v>
      </c>
      <c r="AB630" s="75"/>
      <c r="AC630" s="63" t="s">
        <v>270</v>
      </c>
      <c r="AD630" s="63" t="s">
        <v>40</v>
      </c>
      <c r="AE630" s="63" t="s">
        <v>3088</v>
      </c>
      <c r="AF630" s="63" t="s">
        <v>66</v>
      </c>
      <c r="AG630" s="63" t="s">
        <v>43</v>
      </c>
      <c r="AH630" s="63" t="s">
        <v>136</v>
      </c>
      <c r="AI630" s="63" t="s">
        <v>44</v>
      </c>
      <c r="AJ630" s="63" t="s">
        <v>138</v>
      </c>
      <c r="AK630" s="83">
        <v>3.3</v>
      </c>
      <c r="AL630" s="63" t="s">
        <v>108</v>
      </c>
      <c r="AM630" s="63" t="s">
        <v>130</v>
      </c>
      <c r="AN630"/>
    </row>
    <row r="631" spans="1:40" ht="18" customHeight="1">
      <c r="A631" s="1" t="s">
        <v>2021</v>
      </c>
      <c r="B631" s="1" t="s">
        <v>2022</v>
      </c>
      <c r="C631" s="4">
        <v>46184</v>
      </c>
      <c r="D631" s="4">
        <v>46199</v>
      </c>
      <c r="E631" s="4">
        <v>46194</v>
      </c>
      <c r="F631" s="63" t="s">
        <v>209</v>
      </c>
      <c r="G631" s="63" t="s">
        <v>3845</v>
      </c>
      <c r="H631" s="63" t="s">
        <v>316</v>
      </c>
      <c r="I631" s="63" t="s">
        <v>92</v>
      </c>
      <c r="J631" s="63" t="s">
        <v>71</v>
      </c>
      <c r="K631" s="63" t="s">
        <v>2023</v>
      </c>
      <c r="L631" s="63" t="s">
        <v>238</v>
      </c>
      <c r="M631" s="69">
        <v>342.92</v>
      </c>
      <c r="N631" s="63" t="s">
        <v>159</v>
      </c>
      <c r="O631" s="73">
        <f>_xlfn.XLOOKUP(Supplier_Perf_Table[[#This Row],[Currency]],'Comments 2'!$C$4:$C$16,'Comments 2'!$D$4:$D$16)</f>
        <v>7.2999999999999996E-4</v>
      </c>
      <c r="P631" s="69">
        <f>IFERROR(Supplier_Perf_Table[[#This Row],[Unit_Cost]]*Supplier_Perf_Table[[#This Row],[Dollar Equivalent]],"")</f>
        <v>0.25033159999999999</v>
      </c>
      <c r="Q631" s="75">
        <v>75</v>
      </c>
      <c r="R631" s="1">
        <v>25719</v>
      </c>
      <c r="S631" s="75">
        <f>Supplier_Perf_Table[[#This Row],[Unit_Cost]]*Supplier_Perf_Table[[#This Row],[Order_Quantity]]</f>
        <v>25719</v>
      </c>
      <c r="T631" s="75">
        <f>IFERROR(Supplier_Perf_Table[[#This Row],[Dollar Equivalent]]*Supplier_Perf_Table[[#This Row],[Ordered_Value]],"")</f>
        <v>18.77487</v>
      </c>
      <c r="U631" s="75">
        <v>3</v>
      </c>
      <c r="V631" s="7">
        <v>0.04</v>
      </c>
      <c r="W631" s="75">
        <v>10</v>
      </c>
      <c r="X631" s="55">
        <f>IFERROR(Supplier_Perf_Table[[#This Row],[Actual_Delivery_Date]]-Supplier_Perf_Table[[#This Row],[Order Date]],"")</f>
        <v>10</v>
      </c>
      <c r="Y631" s="75">
        <v>15</v>
      </c>
      <c r="Z631" s="56">
        <f>IFERROR(Supplier_Perf_Table[[#This Row],[Expected Delivery_Date]]-Supplier_Perf_Table[[#This Row],[Order Date]],"")</f>
        <v>15</v>
      </c>
      <c r="AA631" s="56">
        <f>Supplier_Perf_Table[[#This Row],[Calculated_Lead_Time2]]-Supplier_Perf_Table[[#This Row],[Calculated_Expected_Lead_Time]]</f>
        <v>-5</v>
      </c>
      <c r="AB631" s="75">
        <v>-5</v>
      </c>
      <c r="AC631" s="63" t="s">
        <v>270</v>
      </c>
      <c r="AD631" s="63" t="s">
        <v>40</v>
      </c>
      <c r="AE631" s="63" t="s">
        <v>105</v>
      </c>
      <c r="AF631" s="63" t="s">
        <v>212</v>
      </c>
      <c r="AG631" s="63" t="s">
        <v>54</v>
      </c>
      <c r="AH631" s="63" t="s">
        <v>88</v>
      </c>
      <c r="AI631" s="63" t="s">
        <v>191</v>
      </c>
      <c r="AJ631" s="63" t="s">
        <v>138</v>
      </c>
      <c r="AK631" s="83">
        <v>2.7</v>
      </c>
      <c r="AL631" s="63" t="s">
        <v>139</v>
      </c>
      <c r="AM631" s="63" t="s">
        <v>138</v>
      </c>
      <c r="AN631"/>
    </row>
    <row r="632" spans="1:40" ht="18" customHeight="1">
      <c r="A632" s="1" t="s">
        <v>2024</v>
      </c>
      <c r="B632" s="1" t="s">
        <v>2025</v>
      </c>
      <c r="C632" s="4">
        <v>46140</v>
      </c>
      <c r="D632" s="4">
        <v>46147</v>
      </c>
      <c r="E632" s="4">
        <v>46152</v>
      </c>
      <c r="F632" s="63" t="s">
        <v>151</v>
      </c>
      <c r="G632" s="63" t="s">
        <v>3844</v>
      </c>
      <c r="H632" s="63" t="s">
        <v>152</v>
      </c>
      <c r="I632" s="63" t="s">
        <v>83</v>
      </c>
      <c r="J632" s="63" t="s">
        <v>112</v>
      </c>
      <c r="K632" s="63" t="s">
        <v>2026</v>
      </c>
      <c r="L632" s="63" t="s">
        <v>246</v>
      </c>
      <c r="M632" s="69">
        <v>771.17</v>
      </c>
      <c r="N632" s="63" t="s">
        <v>159</v>
      </c>
      <c r="O632" s="73">
        <f>_xlfn.XLOOKUP(Supplier_Perf_Table[[#This Row],[Currency]],'Comments 2'!$C$4:$C$16,'Comments 2'!$D$4:$D$16)</f>
        <v>7.2999999999999996E-4</v>
      </c>
      <c r="P632" s="69">
        <f>IFERROR(Supplier_Perf_Table[[#This Row],[Unit_Cost]]*Supplier_Perf_Table[[#This Row],[Dollar Equivalent]],"")</f>
        <v>0.5629540999999999</v>
      </c>
      <c r="Q632" s="75">
        <v>300</v>
      </c>
      <c r="R632" s="1">
        <v>231351</v>
      </c>
      <c r="S632" s="75">
        <f>Supplier_Perf_Table[[#This Row],[Unit_Cost]]*Supplier_Perf_Table[[#This Row],[Order_Quantity]]</f>
        <v>231351</v>
      </c>
      <c r="T632" s="75">
        <f>IFERROR(Supplier_Perf_Table[[#This Row],[Dollar Equivalent]]*Supplier_Perf_Table[[#This Row],[Ordered_Value]],"")</f>
        <v>168.88622999999998</v>
      </c>
      <c r="U632" s="75">
        <v>0</v>
      </c>
      <c r="V632" s="7">
        <v>0</v>
      </c>
      <c r="W632" s="75">
        <v>12</v>
      </c>
      <c r="X632" s="55">
        <f>IFERROR(Supplier_Perf_Table[[#This Row],[Actual_Delivery_Date]]-Supplier_Perf_Table[[#This Row],[Order Date]],"")</f>
        <v>12</v>
      </c>
      <c r="Y632" s="75">
        <v>7</v>
      </c>
      <c r="Z632" s="56">
        <f>IFERROR(Supplier_Perf_Table[[#This Row],[Expected Delivery_Date]]-Supplier_Perf_Table[[#This Row],[Order Date]],"")</f>
        <v>7</v>
      </c>
      <c r="AA632" s="56">
        <f>Supplier_Perf_Table[[#This Row],[Calculated_Lead_Time2]]-Supplier_Perf_Table[[#This Row],[Calculated_Expected_Lead_Time]]</f>
        <v>5</v>
      </c>
      <c r="AB632" s="75">
        <v>5</v>
      </c>
      <c r="AC632" s="63" t="s">
        <v>135</v>
      </c>
      <c r="AD632" s="63" t="s">
        <v>40</v>
      </c>
      <c r="AE632" s="63" t="s">
        <v>3088</v>
      </c>
      <c r="AF632" s="63" t="s">
        <v>212</v>
      </c>
      <c r="AG632" s="63" t="s">
        <v>43</v>
      </c>
      <c r="AH632" s="63" t="s">
        <v>3112</v>
      </c>
      <c r="AI632" s="63" t="s">
        <v>95</v>
      </c>
      <c r="AJ632" s="63" t="s">
        <v>138</v>
      </c>
      <c r="AK632" s="83">
        <v>3.7</v>
      </c>
      <c r="AL632" s="63" t="s">
        <v>115</v>
      </c>
      <c r="AM632" s="63" t="s">
        <v>148</v>
      </c>
      <c r="AN632"/>
    </row>
    <row r="633" spans="1:40" ht="18" customHeight="1">
      <c r="A633" s="1" t="s">
        <v>2027</v>
      </c>
      <c r="B633" s="1" t="s">
        <v>2028</v>
      </c>
      <c r="C633" s="4">
        <v>46068</v>
      </c>
      <c r="D633" s="4">
        <v>46075</v>
      </c>
      <c r="E633" s="4">
        <v>46095</v>
      </c>
      <c r="F633" s="63" t="s">
        <v>48</v>
      </c>
      <c r="G633" s="63" t="s">
        <v>3836</v>
      </c>
      <c r="H633" s="63" t="s">
        <v>102</v>
      </c>
      <c r="I633" s="63" t="s">
        <v>61</v>
      </c>
      <c r="J633" s="63" t="s">
        <v>71</v>
      </c>
      <c r="K633" s="63" t="s">
        <v>2029</v>
      </c>
      <c r="L633" s="63" t="s">
        <v>238</v>
      </c>
      <c r="M633" s="69">
        <v>191.94</v>
      </c>
      <c r="N633" s="63" t="s">
        <v>65</v>
      </c>
      <c r="O633" s="73">
        <f>_xlfn.XLOOKUP(Supplier_Perf_Table[[#This Row],[Currency]],'Comments 2'!$C$4:$C$16,'Comments 2'!$D$4:$D$16)</f>
        <v>1</v>
      </c>
      <c r="P633" s="69">
        <f>IFERROR(Supplier_Perf_Table[[#This Row],[Unit_Cost]]*Supplier_Perf_Table[[#This Row],[Dollar Equivalent]],"")</f>
        <v>191.94</v>
      </c>
      <c r="Q633" s="75">
        <v>2000</v>
      </c>
      <c r="R633" s="1">
        <v>383880</v>
      </c>
      <c r="S633" s="75">
        <f>Supplier_Perf_Table[[#This Row],[Unit_Cost]]*Supplier_Perf_Table[[#This Row],[Order_Quantity]]</f>
        <v>383880</v>
      </c>
      <c r="T633" s="75">
        <f>IFERROR(Supplier_Perf_Table[[#This Row],[Dollar Equivalent]]*Supplier_Perf_Table[[#This Row],[Ordered_Value]],"")</f>
        <v>383880</v>
      </c>
      <c r="U633" s="75">
        <v>10</v>
      </c>
      <c r="V633" s="7">
        <v>5.0000000000000001E-3</v>
      </c>
      <c r="W633" s="75">
        <v>27</v>
      </c>
      <c r="X633" s="55">
        <f>IFERROR(Supplier_Perf_Table[[#This Row],[Actual_Delivery_Date]]-Supplier_Perf_Table[[#This Row],[Order Date]],"")</f>
        <v>27</v>
      </c>
      <c r="Y633" s="75">
        <v>7</v>
      </c>
      <c r="Z633" s="56">
        <f>IFERROR(Supplier_Perf_Table[[#This Row],[Expected Delivery_Date]]-Supplier_Perf_Table[[#This Row],[Order Date]],"")</f>
        <v>7</v>
      </c>
      <c r="AA633" s="56">
        <f>Supplier_Perf_Table[[#This Row],[Calculated_Lead_Time2]]-Supplier_Perf_Table[[#This Row],[Calculated_Expected_Lead_Time]]</f>
        <v>20</v>
      </c>
      <c r="AB633" s="75">
        <v>20</v>
      </c>
      <c r="AC633" s="63" t="s">
        <v>205</v>
      </c>
      <c r="AD633" s="63" t="s">
        <v>40</v>
      </c>
      <c r="AE633" s="63" t="s">
        <v>41</v>
      </c>
      <c r="AF633" s="63" t="s">
        <v>66</v>
      </c>
      <c r="AG633" s="63" t="s">
        <v>173</v>
      </c>
      <c r="AH633" s="63" t="s">
        <v>55</v>
      </c>
      <c r="AI633" s="63" t="s">
        <v>138</v>
      </c>
      <c r="AJ633" s="63" t="s">
        <v>138</v>
      </c>
      <c r="AK633" s="83">
        <v>1.9</v>
      </c>
      <c r="AL633" s="63" t="s">
        <v>115</v>
      </c>
      <c r="AM633" s="63" t="s">
        <v>46</v>
      </c>
      <c r="AN633"/>
    </row>
    <row r="634" spans="1:40" ht="18" customHeight="1">
      <c r="A634" s="1" t="s">
        <v>2030</v>
      </c>
      <c r="B634" s="1" t="s">
        <v>2031</v>
      </c>
      <c r="C634" s="4">
        <v>46036</v>
      </c>
      <c r="D634" s="4">
        <v>46053</v>
      </c>
      <c r="E634" s="4">
        <v>46059</v>
      </c>
      <c r="F634" s="63" t="s">
        <v>142</v>
      </c>
      <c r="G634" s="63" t="s">
        <v>3843</v>
      </c>
      <c r="H634" s="63" t="s">
        <v>169</v>
      </c>
      <c r="I634" s="63" t="s">
        <v>241</v>
      </c>
      <c r="J634" s="63" t="s">
        <v>50</v>
      </c>
      <c r="K634" s="63" t="s">
        <v>2032</v>
      </c>
      <c r="L634" s="63" t="s">
        <v>126</v>
      </c>
      <c r="M634" s="69">
        <v>752.47</v>
      </c>
      <c r="N634" s="63" t="s">
        <v>159</v>
      </c>
      <c r="O634" s="73">
        <f>_xlfn.XLOOKUP(Supplier_Perf_Table[[#This Row],[Currency]],'Comments 2'!$C$4:$C$16,'Comments 2'!$D$4:$D$16)</f>
        <v>7.2999999999999996E-4</v>
      </c>
      <c r="P634" s="69">
        <f>IFERROR(Supplier_Perf_Table[[#This Row],[Unit_Cost]]*Supplier_Perf_Table[[#This Row],[Dollar Equivalent]],"")</f>
        <v>0.54930310000000004</v>
      </c>
      <c r="Q634" s="75">
        <v>75</v>
      </c>
      <c r="R634" s="1">
        <v>56435.25</v>
      </c>
      <c r="S634" s="75">
        <f>Supplier_Perf_Table[[#This Row],[Unit_Cost]]*Supplier_Perf_Table[[#This Row],[Order_Quantity]]</f>
        <v>56435.25</v>
      </c>
      <c r="T634" s="75">
        <f>IFERROR(Supplier_Perf_Table[[#This Row],[Dollar Equivalent]]*Supplier_Perf_Table[[#This Row],[Ordered_Value]],"")</f>
        <v>41.197732500000001</v>
      </c>
      <c r="U634" s="75">
        <v>2</v>
      </c>
      <c r="V634" s="7">
        <v>2.6700000000000002E-2</v>
      </c>
      <c r="W634" s="75">
        <v>23</v>
      </c>
      <c r="X634" s="55">
        <f>IFERROR(Supplier_Perf_Table[[#This Row],[Actual_Delivery_Date]]-Supplier_Perf_Table[[#This Row],[Order Date]],"")</f>
        <v>23</v>
      </c>
      <c r="Y634" s="75">
        <v>17</v>
      </c>
      <c r="Z634" s="56">
        <f>IFERROR(Supplier_Perf_Table[[#This Row],[Expected Delivery_Date]]-Supplier_Perf_Table[[#This Row],[Order Date]],"")</f>
        <v>17</v>
      </c>
      <c r="AA634" s="56">
        <f>Supplier_Perf_Table[[#This Row],[Calculated_Lead_Time2]]-Supplier_Perf_Table[[#This Row],[Calculated_Expected_Lead_Time]]</f>
        <v>6</v>
      </c>
      <c r="AB634" s="75">
        <v>6</v>
      </c>
      <c r="AC634" s="63" t="s">
        <v>135</v>
      </c>
      <c r="AD634" s="63" t="s">
        <v>40</v>
      </c>
      <c r="AE634" s="63" t="s">
        <v>127</v>
      </c>
      <c r="AF634" s="63" t="s">
        <v>106</v>
      </c>
      <c r="AG634" s="63" t="s">
        <v>173</v>
      </c>
      <c r="AH634" s="63" t="s">
        <v>136</v>
      </c>
      <c r="AI634" s="63" t="s">
        <v>95</v>
      </c>
      <c r="AJ634" s="63" t="s">
        <v>138</v>
      </c>
      <c r="AK634" s="83">
        <v>1.8</v>
      </c>
      <c r="AL634" s="63" t="s">
        <v>45</v>
      </c>
      <c r="AM634" s="63" t="s">
        <v>148</v>
      </c>
      <c r="AN634"/>
    </row>
    <row r="635" spans="1:40" ht="18" customHeight="1">
      <c r="A635" s="1" t="s">
        <v>2033</v>
      </c>
      <c r="B635" s="1" t="s">
        <v>2034</v>
      </c>
      <c r="C635" s="4">
        <v>46072</v>
      </c>
      <c r="D635" s="4">
        <v>46078</v>
      </c>
      <c r="E635" s="4">
        <v>46088</v>
      </c>
      <c r="F635" s="63" t="s">
        <v>60</v>
      </c>
      <c r="G635" s="63" t="s">
        <v>3837</v>
      </c>
      <c r="H635" s="63" t="s">
        <v>152</v>
      </c>
      <c r="I635" s="63" t="s">
        <v>92</v>
      </c>
      <c r="J635" s="63" t="s">
        <v>35</v>
      </c>
      <c r="K635" s="63" t="s">
        <v>2035</v>
      </c>
      <c r="L635" s="63" t="s">
        <v>180</v>
      </c>
      <c r="M635" s="69">
        <v>2311.9299999999998</v>
      </c>
      <c r="N635" s="63" t="s">
        <v>86</v>
      </c>
      <c r="O635" s="73">
        <f>_xlfn.XLOOKUP(Supplier_Perf_Table[[#This Row],[Currency]],'Comments 2'!$C$4:$C$16,'Comments 2'!$D$4:$D$16)</f>
        <v>8.8999999999999996E-2</v>
      </c>
      <c r="P635" s="69">
        <f>IFERROR(Supplier_Perf_Table[[#This Row],[Unit_Cost]]*Supplier_Perf_Table[[#This Row],[Dollar Equivalent]],"")</f>
        <v>205.76176999999998</v>
      </c>
      <c r="Q635" s="75">
        <v>75</v>
      </c>
      <c r="R635" s="1">
        <v>173394.75</v>
      </c>
      <c r="S635" s="75">
        <f>Supplier_Perf_Table[[#This Row],[Unit_Cost]]*Supplier_Perf_Table[[#This Row],[Order_Quantity]]</f>
        <v>173394.75</v>
      </c>
      <c r="T635" s="75">
        <f>IFERROR(Supplier_Perf_Table[[#This Row],[Dollar Equivalent]]*Supplier_Perf_Table[[#This Row],[Ordered_Value]],"")</f>
        <v>15432.132749999999</v>
      </c>
      <c r="U635" s="75">
        <v>0</v>
      </c>
      <c r="V635" s="7">
        <v>0</v>
      </c>
      <c r="W635" s="75">
        <v>16</v>
      </c>
      <c r="X635" s="55">
        <f>IFERROR(Supplier_Perf_Table[[#This Row],[Actual_Delivery_Date]]-Supplier_Perf_Table[[#This Row],[Order Date]],"")</f>
        <v>16</v>
      </c>
      <c r="Y635" s="75">
        <v>6</v>
      </c>
      <c r="Z635" s="56">
        <f>IFERROR(Supplier_Perf_Table[[#This Row],[Expected Delivery_Date]]-Supplier_Perf_Table[[#This Row],[Order Date]],"")</f>
        <v>6</v>
      </c>
      <c r="AA635" s="56">
        <f>Supplier_Perf_Table[[#This Row],[Calculated_Lead_Time2]]-Supplier_Perf_Table[[#This Row],[Calculated_Expected_Lead_Time]]</f>
        <v>10</v>
      </c>
      <c r="AB635" s="75">
        <v>10</v>
      </c>
      <c r="AC635" s="63" t="s">
        <v>135</v>
      </c>
      <c r="AD635" s="63" t="s">
        <v>40</v>
      </c>
      <c r="AE635" s="63" t="s">
        <v>105</v>
      </c>
      <c r="AF635" s="63" t="s">
        <v>212</v>
      </c>
      <c r="AG635" s="63" t="s">
        <v>43</v>
      </c>
      <c r="AH635" s="63" t="s">
        <v>55</v>
      </c>
      <c r="AI635" s="63" t="s">
        <v>95</v>
      </c>
      <c r="AJ635" s="63" t="s">
        <v>138</v>
      </c>
      <c r="AK635" s="83">
        <v>1.5</v>
      </c>
      <c r="AL635" s="63" t="s">
        <v>139</v>
      </c>
      <c r="AM635" s="63" t="s">
        <v>46</v>
      </c>
      <c r="AN635"/>
    </row>
    <row r="636" spans="1:40" ht="18" customHeight="1">
      <c r="A636" s="1" t="s">
        <v>2036</v>
      </c>
      <c r="B636" s="1" t="s">
        <v>2037</v>
      </c>
      <c r="C636" s="4">
        <v>46164</v>
      </c>
      <c r="D636" s="4">
        <v>46173</v>
      </c>
      <c r="E636" s="4">
        <v>46181</v>
      </c>
      <c r="F636" s="63" t="s">
        <v>48</v>
      </c>
      <c r="G636" s="63" t="s">
        <v>3836</v>
      </c>
      <c r="H636" s="63" t="s">
        <v>102</v>
      </c>
      <c r="I636" s="63" t="s">
        <v>241</v>
      </c>
      <c r="J636" s="63" t="s">
        <v>50</v>
      </c>
      <c r="K636" s="63" t="s">
        <v>2038</v>
      </c>
      <c r="L636" s="63" t="s">
        <v>52</v>
      </c>
      <c r="M636" s="69">
        <v>1553.57</v>
      </c>
      <c r="N636" s="63" t="s">
        <v>159</v>
      </c>
      <c r="O636" s="73">
        <f>_xlfn.XLOOKUP(Supplier_Perf_Table[[#This Row],[Currency]],'Comments 2'!$C$4:$C$16,'Comments 2'!$D$4:$D$16)</f>
        <v>7.2999999999999996E-4</v>
      </c>
      <c r="P636" s="69">
        <f>IFERROR(Supplier_Perf_Table[[#This Row],[Unit_Cost]]*Supplier_Perf_Table[[#This Row],[Dollar Equivalent]],"")</f>
        <v>1.1341060999999999</v>
      </c>
      <c r="Q636" s="75">
        <v>200</v>
      </c>
      <c r="R636" s="1">
        <v>310714</v>
      </c>
      <c r="S636" s="75">
        <f>Supplier_Perf_Table[[#This Row],[Unit_Cost]]*Supplier_Perf_Table[[#This Row],[Order_Quantity]]</f>
        <v>310714</v>
      </c>
      <c r="T636" s="75">
        <f>IFERROR(Supplier_Perf_Table[[#This Row],[Dollar Equivalent]]*Supplier_Perf_Table[[#This Row],[Ordered_Value]],"")</f>
        <v>226.82121999999998</v>
      </c>
      <c r="U636" s="75">
        <v>10</v>
      </c>
      <c r="V636" s="7">
        <v>0.05</v>
      </c>
      <c r="W636" s="75">
        <v>17</v>
      </c>
      <c r="X636" s="55">
        <f>IFERROR(Supplier_Perf_Table[[#This Row],[Actual_Delivery_Date]]-Supplier_Perf_Table[[#This Row],[Order Date]],"")</f>
        <v>17</v>
      </c>
      <c r="Y636" s="75" t="s">
        <v>3080</v>
      </c>
      <c r="Z636" s="56">
        <f>IFERROR(Supplier_Perf_Table[[#This Row],[Expected Delivery_Date]]-Supplier_Perf_Table[[#This Row],[Order Date]],"")</f>
        <v>9</v>
      </c>
      <c r="AA636" s="56">
        <f>Supplier_Perf_Table[[#This Row],[Calculated_Lead_Time2]]-Supplier_Perf_Table[[#This Row],[Calculated_Expected_Lead_Time]]</f>
        <v>8</v>
      </c>
      <c r="AB636" s="75">
        <v>8</v>
      </c>
      <c r="AC636" s="63" t="s">
        <v>135</v>
      </c>
      <c r="AD636" s="63" t="s">
        <v>366</v>
      </c>
      <c r="AE636" s="63" t="s">
        <v>3088</v>
      </c>
      <c r="AF636" s="63" t="s">
        <v>3088</v>
      </c>
      <c r="AG636" s="63" t="s">
        <v>43</v>
      </c>
      <c r="AH636" s="63" t="s">
        <v>136</v>
      </c>
      <c r="AI636" s="63" t="s">
        <v>95</v>
      </c>
      <c r="AJ636" s="63" t="s">
        <v>373</v>
      </c>
      <c r="AK636" s="83">
        <v>2.2000000000000002</v>
      </c>
      <c r="AL636" s="63" t="s">
        <v>76</v>
      </c>
      <c r="AM636" s="63" t="s">
        <v>185</v>
      </c>
      <c r="AN636"/>
    </row>
    <row r="637" spans="1:40" ht="18" customHeight="1">
      <c r="A637" s="1" t="s">
        <v>2039</v>
      </c>
      <c r="B637" s="1" t="s">
        <v>2040</v>
      </c>
      <c r="C637" s="4">
        <v>46078</v>
      </c>
      <c r="D637" s="4">
        <v>46095</v>
      </c>
      <c r="E637" s="4">
        <v>46097</v>
      </c>
      <c r="F637" s="63" t="s">
        <v>32</v>
      </c>
      <c r="G637" s="63" t="s">
        <v>3835</v>
      </c>
      <c r="H637" s="63" t="s">
        <v>177</v>
      </c>
      <c r="I637" s="63" t="s">
        <v>34</v>
      </c>
      <c r="J637" s="63" t="s">
        <v>35</v>
      </c>
      <c r="K637" s="63" t="s">
        <v>2041</v>
      </c>
      <c r="L637" s="63" t="s">
        <v>180</v>
      </c>
      <c r="M637" s="69">
        <v>2053.8000000000002</v>
      </c>
      <c r="N637" s="63" t="s">
        <v>65</v>
      </c>
      <c r="O637" s="73">
        <f>_xlfn.XLOOKUP(Supplier_Perf_Table[[#This Row],[Currency]],'Comments 2'!$C$4:$C$16,'Comments 2'!$D$4:$D$16)</f>
        <v>1</v>
      </c>
      <c r="P637" s="69">
        <f>IFERROR(Supplier_Perf_Table[[#This Row],[Unit_Cost]]*Supplier_Perf_Table[[#This Row],[Dollar Equivalent]],"")</f>
        <v>2053.8000000000002</v>
      </c>
      <c r="Q637" s="75">
        <v>1500</v>
      </c>
      <c r="R637" s="1">
        <v>3080700</v>
      </c>
      <c r="S637" s="75">
        <f>Supplier_Perf_Table[[#This Row],[Unit_Cost]]*Supplier_Perf_Table[[#This Row],[Order_Quantity]]</f>
        <v>3080700.0000000005</v>
      </c>
      <c r="T637" s="75">
        <f>IFERROR(Supplier_Perf_Table[[#This Row],[Dollar Equivalent]]*Supplier_Perf_Table[[#This Row],[Ordered_Value]],"")</f>
        <v>3080700</v>
      </c>
      <c r="U637" s="75">
        <v>0</v>
      </c>
      <c r="V637" s="7">
        <v>0</v>
      </c>
      <c r="W637" s="75">
        <v>19</v>
      </c>
      <c r="X637" s="55">
        <f>IFERROR(Supplier_Perf_Table[[#This Row],[Actual_Delivery_Date]]-Supplier_Perf_Table[[#This Row],[Order Date]],"")</f>
        <v>19</v>
      </c>
      <c r="Y637" s="75">
        <v>17</v>
      </c>
      <c r="Z637" s="56">
        <f>IFERROR(Supplier_Perf_Table[[#This Row],[Expected Delivery_Date]]-Supplier_Perf_Table[[#This Row],[Order Date]],"")</f>
        <v>17</v>
      </c>
      <c r="AA637" s="56">
        <f>Supplier_Perf_Table[[#This Row],[Calculated_Lead_Time2]]-Supplier_Perf_Table[[#This Row],[Calculated_Expected_Lead_Time]]</f>
        <v>2</v>
      </c>
      <c r="AB637" s="75"/>
      <c r="AC637" s="63" t="s">
        <v>135</v>
      </c>
      <c r="AD637" s="63" t="s">
        <v>40</v>
      </c>
      <c r="AE637" s="63" t="s">
        <v>41</v>
      </c>
      <c r="AF637" s="63" t="s">
        <v>106</v>
      </c>
      <c r="AG637" s="63" t="s">
        <v>128</v>
      </c>
      <c r="AH637" s="63" t="s">
        <v>129</v>
      </c>
      <c r="AI637" s="63" t="s">
        <v>138</v>
      </c>
      <c r="AJ637" s="63" t="s">
        <v>138</v>
      </c>
      <c r="AK637" s="83">
        <v>4.5</v>
      </c>
      <c r="AL637" s="63" t="s">
        <v>184</v>
      </c>
      <c r="AM637" s="63" t="s">
        <v>46</v>
      </c>
      <c r="AN637"/>
    </row>
    <row r="638" spans="1:40" ht="18" customHeight="1">
      <c r="A638" s="63" t="s">
        <v>2042</v>
      </c>
      <c r="B638" s="63" t="s">
        <v>2043</v>
      </c>
      <c r="C638" s="4">
        <v>46077</v>
      </c>
      <c r="D638" s="4">
        <v>46093</v>
      </c>
      <c r="E638" s="4">
        <v>46094</v>
      </c>
      <c r="F638" s="63" t="s">
        <v>100</v>
      </c>
      <c r="G638" s="63" t="s">
        <v>3841</v>
      </c>
      <c r="H638" s="63" t="s">
        <v>102</v>
      </c>
      <c r="I638" s="63" t="s">
        <v>61</v>
      </c>
      <c r="J638" s="63" t="s">
        <v>112</v>
      </c>
      <c r="K638" s="63" t="s">
        <v>2044</v>
      </c>
      <c r="L638" s="63" t="s">
        <v>218</v>
      </c>
      <c r="M638" s="69">
        <v>534.98</v>
      </c>
      <c r="N638" s="63" t="s">
        <v>86</v>
      </c>
      <c r="O638" s="73">
        <f>_xlfn.XLOOKUP(Supplier_Perf_Table[[#This Row],[Currency]],'Comments 2'!$C$4:$C$16,'Comments 2'!$D$4:$D$16)</f>
        <v>8.8999999999999996E-2</v>
      </c>
      <c r="P638" s="69">
        <f>IFERROR(Supplier_Perf_Table[[#This Row],[Unit_Cost]]*Supplier_Perf_Table[[#This Row],[Dollar Equivalent]],"")</f>
        <v>47.613219999999998</v>
      </c>
      <c r="Q638" s="75">
        <v>200</v>
      </c>
      <c r="R638" s="1">
        <v>106996</v>
      </c>
      <c r="S638" s="75">
        <f>Supplier_Perf_Table[[#This Row],[Unit_Cost]]*Supplier_Perf_Table[[#This Row],[Order_Quantity]]</f>
        <v>106996</v>
      </c>
      <c r="T638" s="75">
        <f>IFERROR(Supplier_Perf_Table[[#This Row],[Dollar Equivalent]]*Supplier_Perf_Table[[#This Row],[Ordered_Value]],"")</f>
        <v>9522.6440000000002</v>
      </c>
      <c r="U638" s="75">
        <v>7</v>
      </c>
      <c r="V638" s="7">
        <v>3.5000000000000003E-2</v>
      </c>
      <c r="W638" s="75">
        <v>17</v>
      </c>
      <c r="X638" s="55">
        <f>IFERROR(Supplier_Perf_Table[[#This Row],[Actual_Delivery_Date]]-Supplier_Perf_Table[[#This Row],[Order Date]],"")</f>
        <v>17</v>
      </c>
      <c r="Y638" s="75">
        <v>16</v>
      </c>
      <c r="Z638" s="56">
        <f>IFERROR(Supplier_Perf_Table[[#This Row],[Expected Delivery_Date]]-Supplier_Perf_Table[[#This Row],[Order Date]],"")</f>
        <v>16</v>
      </c>
      <c r="AA638" s="56">
        <f>Supplier_Perf_Table[[#This Row],[Calculated_Lead_Time2]]-Supplier_Perf_Table[[#This Row],[Calculated_Expected_Lead_Time]]</f>
        <v>1</v>
      </c>
      <c r="AB638" s="75">
        <v>1</v>
      </c>
      <c r="AC638" s="63" t="s">
        <v>135</v>
      </c>
      <c r="AD638" s="63" t="s">
        <v>40</v>
      </c>
      <c r="AE638" s="63" t="s">
        <v>146</v>
      </c>
      <c r="AF638" s="63" t="s">
        <v>66</v>
      </c>
      <c r="AG638" s="63" t="s">
        <v>43</v>
      </c>
      <c r="AH638" s="63" t="s">
        <v>88</v>
      </c>
      <c r="AI638" s="63" t="s">
        <v>138</v>
      </c>
      <c r="AJ638" s="63" t="s">
        <v>138</v>
      </c>
      <c r="AK638" s="83">
        <v>3.6</v>
      </c>
      <c r="AL638" s="63" t="s">
        <v>45</v>
      </c>
      <c r="AM638" s="63" t="s">
        <v>148</v>
      </c>
      <c r="AN638"/>
    </row>
    <row r="639" spans="1:40" ht="18" customHeight="1">
      <c r="A639" s="1" t="s">
        <v>2045</v>
      </c>
      <c r="B639" s="1" t="s">
        <v>2046</v>
      </c>
      <c r="C639" s="4">
        <v>46195</v>
      </c>
      <c r="D639" s="4">
        <v>46209</v>
      </c>
      <c r="E639" s="4">
        <v>46214</v>
      </c>
      <c r="F639" s="63" t="s">
        <v>100</v>
      </c>
      <c r="G639" s="63" t="s">
        <v>3841</v>
      </c>
      <c r="H639" s="63" t="s">
        <v>102</v>
      </c>
      <c r="I639" s="63" t="s">
        <v>241</v>
      </c>
      <c r="J639" s="63" t="s">
        <v>112</v>
      </c>
      <c r="K639" s="63" t="s">
        <v>2047</v>
      </c>
      <c r="L639" s="63" t="s">
        <v>229</v>
      </c>
      <c r="M639" s="69">
        <v>374.8</v>
      </c>
      <c r="N639" s="63" t="s">
        <v>38</v>
      </c>
      <c r="O639" s="73">
        <f>_xlfn.XLOOKUP(Supplier_Perf_Table[[#This Row],[Currency]],'Comments 2'!$C$4:$C$16,'Comments 2'!$D$4:$D$16)</f>
        <v>7.7000000000000002E-3</v>
      </c>
      <c r="P639" s="69">
        <f>IFERROR(Supplier_Perf_Table[[#This Row],[Unit_Cost]]*Supplier_Perf_Table[[#This Row],[Dollar Equivalent]],"")</f>
        <v>2.8859600000000003</v>
      </c>
      <c r="Q639" s="75">
        <v>250</v>
      </c>
      <c r="R639" s="1">
        <v>93700</v>
      </c>
      <c r="S639" s="75">
        <f>Supplier_Perf_Table[[#This Row],[Unit_Cost]]*Supplier_Perf_Table[[#This Row],[Order_Quantity]]</f>
        <v>93700</v>
      </c>
      <c r="T639" s="75">
        <f>IFERROR(Supplier_Perf_Table[[#This Row],[Dollar Equivalent]]*Supplier_Perf_Table[[#This Row],[Ordered_Value]],"")</f>
        <v>721.49</v>
      </c>
      <c r="U639" s="75">
        <v>11</v>
      </c>
      <c r="V639" s="7">
        <v>4.3999999999999997E-2</v>
      </c>
      <c r="W639" s="75">
        <v>19</v>
      </c>
      <c r="X639" s="55">
        <f>IFERROR(Supplier_Perf_Table[[#This Row],[Actual_Delivery_Date]]-Supplier_Perf_Table[[#This Row],[Order Date]],"")</f>
        <v>19</v>
      </c>
      <c r="Y639" s="75">
        <v>14</v>
      </c>
      <c r="Z639" s="56">
        <f>IFERROR(Supplier_Perf_Table[[#This Row],[Expected Delivery_Date]]-Supplier_Perf_Table[[#This Row],[Order Date]],"")</f>
        <v>14</v>
      </c>
      <c r="AA639" s="56">
        <f>Supplier_Perf_Table[[#This Row],[Calculated_Lead_Time2]]-Supplier_Perf_Table[[#This Row],[Calculated_Expected_Lead_Time]]</f>
        <v>5</v>
      </c>
      <c r="AB639" s="75">
        <v>5</v>
      </c>
      <c r="AC639" s="63" t="s">
        <v>135</v>
      </c>
      <c r="AD639" s="63" t="s">
        <v>420</v>
      </c>
      <c r="AE639" s="63" t="s">
        <v>41</v>
      </c>
      <c r="AF639" s="63" t="s">
        <v>66</v>
      </c>
      <c r="AG639" s="63" t="s">
        <v>3088</v>
      </c>
      <c r="AH639" s="63" t="s">
        <v>136</v>
      </c>
      <c r="AI639" s="63" t="s">
        <v>56</v>
      </c>
      <c r="AJ639" s="63" t="s">
        <v>373</v>
      </c>
      <c r="AK639" s="83">
        <v>1.4</v>
      </c>
      <c r="AL639" s="63" t="s">
        <v>139</v>
      </c>
      <c r="AM639" s="63" t="s">
        <v>77</v>
      </c>
      <c r="AN639"/>
    </row>
    <row r="640" spans="1:40" ht="18" customHeight="1">
      <c r="A640" s="1" t="s">
        <v>370</v>
      </c>
      <c r="B640" s="1" t="s">
        <v>2048</v>
      </c>
      <c r="C640" s="4">
        <v>46067</v>
      </c>
      <c r="D640" s="4">
        <v>46076</v>
      </c>
      <c r="E640" s="4">
        <v>46082</v>
      </c>
      <c r="F640" s="63" t="s">
        <v>209</v>
      </c>
      <c r="G640" s="63" t="s">
        <v>3845</v>
      </c>
      <c r="H640" s="63" t="s">
        <v>316</v>
      </c>
      <c r="I640" s="63" t="s">
        <v>49</v>
      </c>
      <c r="J640" s="63" t="s">
        <v>153</v>
      </c>
      <c r="K640" s="63" t="s">
        <v>2049</v>
      </c>
      <c r="L640" s="63" t="s">
        <v>295</v>
      </c>
      <c r="M640" s="69">
        <v>647.35</v>
      </c>
      <c r="N640" s="63" t="s">
        <v>86</v>
      </c>
      <c r="O640" s="73">
        <f>_xlfn.XLOOKUP(Supplier_Perf_Table[[#This Row],[Currency]],'Comments 2'!$C$4:$C$16,'Comments 2'!$D$4:$D$16)</f>
        <v>8.8999999999999996E-2</v>
      </c>
      <c r="P640" s="69">
        <f>IFERROR(Supplier_Perf_Table[[#This Row],[Unit_Cost]]*Supplier_Perf_Table[[#This Row],[Dollar Equivalent]],"")</f>
        <v>57.614150000000002</v>
      </c>
      <c r="Q640" s="75">
        <v>150</v>
      </c>
      <c r="R640" s="1">
        <v>97102.5</v>
      </c>
      <c r="S640" s="75">
        <f>Supplier_Perf_Table[[#This Row],[Unit_Cost]]*Supplier_Perf_Table[[#This Row],[Order_Quantity]]</f>
        <v>97102.5</v>
      </c>
      <c r="T640" s="75">
        <f>IFERROR(Supplier_Perf_Table[[#This Row],[Dollar Equivalent]]*Supplier_Perf_Table[[#This Row],[Ordered_Value]],"")</f>
        <v>8642.1224999999995</v>
      </c>
      <c r="U640" s="75">
        <v>0</v>
      </c>
      <c r="V640" s="7">
        <v>0</v>
      </c>
      <c r="W640" s="75">
        <v>15</v>
      </c>
      <c r="X640" s="55">
        <f>IFERROR(Supplier_Perf_Table[[#This Row],[Actual_Delivery_Date]]-Supplier_Perf_Table[[#This Row],[Order Date]],"")</f>
        <v>15</v>
      </c>
      <c r="Y640" s="75">
        <v>9</v>
      </c>
      <c r="Z640" s="56">
        <f>IFERROR(Supplier_Perf_Table[[#This Row],[Expected Delivery_Date]]-Supplier_Perf_Table[[#This Row],[Order Date]],"")</f>
        <v>9</v>
      </c>
      <c r="AA640" s="56">
        <f>Supplier_Perf_Table[[#This Row],[Calculated_Lead_Time2]]-Supplier_Perf_Table[[#This Row],[Calculated_Expected_Lead_Time]]</f>
        <v>6</v>
      </c>
      <c r="AB640" s="75">
        <v>6</v>
      </c>
      <c r="AC640" s="63" t="s">
        <v>39</v>
      </c>
      <c r="AD640" s="63" t="s">
        <v>40</v>
      </c>
      <c r="AE640" s="63" t="s">
        <v>41</v>
      </c>
      <c r="AF640" s="63" t="s">
        <v>106</v>
      </c>
      <c r="AG640" s="63" t="s">
        <v>107</v>
      </c>
      <c r="AH640" s="63" t="s">
        <v>55</v>
      </c>
      <c r="AI640" s="63" t="s">
        <v>191</v>
      </c>
      <c r="AJ640" s="63" t="s">
        <v>138</v>
      </c>
      <c r="AK640" s="83">
        <v>2.4</v>
      </c>
      <c r="AL640" s="63" t="s">
        <v>76</v>
      </c>
      <c r="AM640" s="63" t="s">
        <v>46</v>
      </c>
      <c r="AN640"/>
    </row>
    <row r="641" spans="1:40" ht="18" customHeight="1">
      <c r="A641" s="1" t="s">
        <v>2050</v>
      </c>
      <c r="B641" s="1" t="s">
        <v>2051</v>
      </c>
      <c r="C641" s="4">
        <v>46130</v>
      </c>
      <c r="D641" s="4">
        <v>46145</v>
      </c>
      <c r="E641" s="4">
        <v>46151</v>
      </c>
      <c r="F641" s="63" t="s">
        <v>90</v>
      </c>
      <c r="G641" s="63" t="s">
        <v>3840</v>
      </c>
      <c r="H641" s="63" t="s">
        <v>133</v>
      </c>
      <c r="I641" s="63" t="s">
        <v>83</v>
      </c>
      <c r="J641" s="63" t="s">
        <v>71</v>
      </c>
      <c r="K641" s="63" t="s">
        <v>2052</v>
      </c>
      <c r="L641" s="63" t="s">
        <v>73</v>
      </c>
      <c r="M641" s="69">
        <v>765.32</v>
      </c>
      <c r="N641" s="63" t="s">
        <v>53</v>
      </c>
      <c r="O641" s="73">
        <f>_xlfn.XLOOKUP(Supplier_Perf_Table[[#This Row],[Currency]],'Comments 2'!$C$4:$C$16,'Comments 2'!$D$4:$D$16)</f>
        <v>6.0999999999999999E-2</v>
      </c>
      <c r="P641" s="69">
        <f>IFERROR(Supplier_Perf_Table[[#This Row],[Unit_Cost]]*Supplier_Perf_Table[[#This Row],[Dollar Equivalent]],"")</f>
        <v>46.684519999999999</v>
      </c>
      <c r="Q641" s="75">
        <v>2000</v>
      </c>
      <c r="R641" s="1">
        <v>1530640</v>
      </c>
      <c r="S641" s="75">
        <f>Supplier_Perf_Table[[#This Row],[Unit_Cost]]*Supplier_Perf_Table[[#This Row],[Order_Quantity]]</f>
        <v>1530640</v>
      </c>
      <c r="T641" s="75">
        <f>IFERROR(Supplier_Perf_Table[[#This Row],[Dollar Equivalent]]*Supplier_Perf_Table[[#This Row],[Ordered_Value]],"")</f>
        <v>93369.04</v>
      </c>
      <c r="U641" s="75">
        <v>14</v>
      </c>
      <c r="V641" s="7">
        <v>7.0000000000000001E-3</v>
      </c>
      <c r="W641" s="75">
        <v>21</v>
      </c>
      <c r="X641" s="55">
        <f>IFERROR(Supplier_Perf_Table[[#This Row],[Actual_Delivery_Date]]-Supplier_Perf_Table[[#This Row],[Order Date]],"")</f>
        <v>21</v>
      </c>
      <c r="Y641" s="75">
        <v>15</v>
      </c>
      <c r="Z641" s="56">
        <f>IFERROR(Supplier_Perf_Table[[#This Row],[Expected Delivery_Date]]-Supplier_Perf_Table[[#This Row],[Order Date]],"")</f>
        <v>15</v>
      </c>
      <c r="AA641" s="56">
        <f>Supplier_Perf_Table[[#This Row],[Calculated_Lead_Time2]]-Supplier_Perf_Table[[#This Row],[Calculated_Expected_Lead_Time]]</f>
        <v>6</v>
      </c>
      <c r="AB641" s="75">
        <v>6</v>
      </c>
      <c r="AC641" s="63" t="s">
        <v>205</v>
      </c>
      <c r="AD641" s="63" t="s">
        <v>40</v>
      </c>
      <c r="AE641" s="63" t="s">
        <v>41</v>
      </c>
      <c r="AF641" s="63" t="s">
        <v>66</v>
      </c>
      <c r="AG641" s="63" t="s">
        <v>43</v>
      </c>
      <c r="AH641" s="63" t="s">
        <v>136</v>
      </c>
      <c r="AI641" s="63" t="s">
        <v>95</v>
      </c>
      <c r="AJ641" s="63" t="s">
        <v>138</v>
      </c>
      <c r="AK641" s="83">
        <v>1.4</v>
      </c>
      <c r="AL641" s="63" t="s">
        <v>108</v>
      </c>
      <c r="AM641" s="63" t="s">
        <v>46</v>
      </c>
      <c r="AN641"/>
    </row>
    <row r="642" spans="1:40" ht="18" customHeight="1">
      <c r="A642" s="1" t="s">
        <v>2053</v>
      </c>
      <c r="B642" s="1" t="s">
        <v>2054</v>
      </c>
      <c r="C642" s="4">
        <v>46134</v>
      </c>
      <c r="D642" s="4">
        <v>46147</v>
      </c>
      <c r="E642" s="4">
        <v>46148</v>
      </c>
      <c r="F642" s="63" t="s">
        <v>80</v>
      </c>
      <c r="G642" s="63" t="s">
        <v>3839</v>
      </c>
      <c r="H642" s="63" t="s">
        <v>82</v>
      </c>
      <c r="I642" s="63" t="s">
        <v>83</v>
      </c>
      <c r="J642" s="63" t="s">
        <v>35</v>
      </c>
      <c r="K642" s="63" t="s">
        <v>2055</v>
      </c>
      <c r="L642" s="63" t="s">
        <v>85</v>
      </c>
      <c r="M642" s="69">
        <v>1654.98</v>
      </c>
      <c r="N642" s="63" t="s">
        <v>104</v>
      </c>
      <c r="O642" s="73">
        <f>_xlfn.XLOOKUP(Supplier_Perf_Table[[#This Row],[Currency]],'Comments 2'!$C$4:$C$16,'Comments 2'!$D$4:$D$16)</f>
        <v>1.9E-2</v>
      </c>
      <c r="P642" s="69">
        <f>IFERROR(Supplier_Perf_Table[[#This Row],[Unit_Cost]]*Supplier_Perf_Table[[#This Row],[Dollar Equivalent]],"")</f>
        <v>31.44462</v>
      </c>
      <c r="Q642" s="75">
        <v>300</v>
      </c>
      <c r="R642" s="1">
        <v>496494</v>
      </c>
      <c r="S642" s="75">
        <f>Supplier_Perf_Table[[#This Row],[Unit_Cost]]*Supplier_Perf_Table[[#This Row],[Order_Quantity]]</f>
        <v>496494</v>
      </c>
      <c r="T642" s="75">
        <f>IFERROR(Supplier_Perf_Table[[#This Row],[Dollar Equivalent]]*Supplier_Perf_Table[[#This Row],[Ordered_Value]],"")</f>
        <v>9433.3860000000004</v>
      </c>
      <c r="U642" s="75">
        <v>4</v>
      </c>
      <c r="V642" s="7">
        <v>1.3299999999999999E-2</v>
      </c>
      <c r="W642" s="75">
        <v>14</v>
      </c>
      <c r="X642" s="55">
        <f>IFERROR(Supplier_Perf_Table[[#This Row],[Actual_Delivery_Date]]-Supplier_Perf_Table[[#This Row],[Order Date]],"")</f>
        <v>14</v>
      </c>
      <c r="Y642" s="75">
        <v>13</v>
      </c>
      <c r="Z642" s="56">
        <f>IFERROR(Supplier_Perf_Table[[#This Row],[Expected Delivery_Date]]-Supplier_Perf_Table[[#This Row],[Order Date]],"")</f>
        <v>13</v>
      </c>
      <c r="AA642" s="56">
        <f>Supplier_Perf_Table[[#This Row],[Calculated_Lead_Time2]]-Supplier_Perf_Table[[#This Row],[Calculated_Expected_Lead_Time]]</f>
        <v>1</v>
      </c>
      <c r="AB642" s="75">
        <v>1</v>
      </c>
      <c r="AC642" s="63" t="s">
        <v>135</v>
      </c>
      <c r="AD642" s="63" t="s">
        <v>40</v>
      </c>
      <c r="AE642" s="63" t="s">
        <v>41</v>
      </c>
      <c r="AF642" s="63" t="s">
        <v>106</v>
      </c>
      <c r="AG642" s="63" t="s">
        <v>43</v>
      </c>
      <c r="AH642" s="63" t="s">
        <v>88</v>
      </c>
      <c r="AI642" s="63" t="s">
        <v>56</v>
      </c>
      <c r="AJ642" s="63" t="s">
        <v>138</v>
      </c>
      <c r="AK642" s="83">
        <v>3.3</v>
      </c>
      <c r="AL642" s="63" t="s">
        <v>115</v>
      </c>
      <c r="AM642" s="63" t="s">
        <v>46</v>
      </c>
      <c r="AN642"/>
    </row>
    <row r="643" spans="1:40" ht="18" customHeight="1">
      <c r="A643" s="1" t="s">
        <v>2056</v>
      </c>
      <c r="B643" s="1" t="s">
        <v>2057</v>
      </c>
      <c r="C643" s="4">
        <v>46161</v>
      </c>
      <c r="D643" s="4">
        <v>46183</v>
      </c>
      <c r="E643" s="4">
        <v>46186</v>
      </c>
      <c r="F643" s="63" t="s">
        <v>32</v>
      </c>
      <c r="G643" s="63" t="s">
        <v>3835</v>
      </c>
      <c r="H643" s="63" t="s">
        <v>177</v>
      </c>
      <c r="I643" s="63" t="s">
        <v>83</v>
      </c>
      <c r="J643" s="63" t="s">
        <v>35</v>
      </c>
      <c r="K643" s="63" t="s">
        <v>2058</v>
      </c>
      <c r="L643" s="63" t="s">
        <v>37</v>
      </c>
      <c r="M643" s="69">
        <v>2286.81</v>
      </c>
      <c r="N643" s="63" t="s">
        <v>53</v>
      </c>
      <c r="O643" s="73">
        <f>_xlfn.XLOOKUP(Supplier_Perf_Table[[#This Row],[Currency]],'Comments 2'!$C$4:$C$16,'Comments 2'!$D$4:$D$16)</f>
        <v>6.0999999999999999E-2</v>
      </c>
      <c r="P643" s="69">
        <f>IFERROR(Supplier_Perf_Table[[#This Row],[Unit_Cost]]*Supplier_Perf_Table[[#This Row],[Dollar Equivalent]],"")</f>
        <v>139.49540999999999</v>
      </c>
      <c r="Q643" s="75">
        <v>2000</v>
      </c>
      <c r="R643" s="1">
        <v>0</v>
      </c>
      <c r="S643" s="75">
        <f>Supplier_Perf_Table[[#This Row],[Unit_Cost]]*Supplier_Perf_Table[[#This Row],[Order_Quantity]]</f>
        <v>4573620</v>
      </c>
      <c r="T643" s="75">
        <f>IFERROR(Supplier_Perf_Table[[#This Row],[Dollar Equivalent]]*Supplier_Perf_Table[[#This Row],[Ordered_Value]],"")</f>
        <v>0</v>
      </c>
      <c r="U643" s="75">
        <v>128</v>
      </c>
      <c r="V643" s="7">
        <v>6.4000000000000001E-2</v>
      </c>
      <c r="W643" s="75">
        <v>25</v>
      </c>
      <c r="X643" s="55">
        <f>IFERROR(Supplier_Perf_Table[[#This Row],[Actual_Delivery_Date]]-Supplier_Perf_Table[[#This Row],[Order Date]],"")</f>
        <v>25</v>
      </c>
      <c r="Y643" s="75">
        <v>22</v>
      </c>
      <c r="Z643" s="56">
        <f>IFERROR(Supplier_Perf_Table[[#This Row],[Expected Delivery_Date]]-Supplier_Perf_Table[[#This Row],[Order Date]],"")</f>
        <v>22</v>
      </c>
      <c r="AA643" s="56">
        <f>Supplier_Perf_Table[[#This Row],[Calculated_Lead_Time2]]-Supplier_Perf_Table[[#This Row],[Calculated_Expected_Lead_Time]]</f>
        <v>3</v>
      </c>
      <c r="AB643" s="75">
        <v>3</v>
      </c>
      <c r="AC643" s="63" t="s">
        <v>135</v>
      </c>
      <c r="AD643" s="63" t="s">
        <v>74</v>
      </c>
      <c r="AE643" s="63" t="s">
        <v>41</v>
      </c>
      <c r="AF643" s="63" t="s">
        <v>106</v>
      </c>
      <c r="AG643" s="63" t="s">
        <v>128</v>
      </c>
      <c r="AH643" s="63" t="s">
        <v>129</v>
      </c>
      <c r="AI643" s="63" t="s">
        <v>137</v>
      </c>
      <c r="AJ643" s="63" t="s">
        <v>373</v>
      </c>
      <c r="AK643" s="83">
        <v>2.8</v>
      </c>
      <c r="AL643" s="63" t="s">
        <v>57</v>
      </c>
      <c r="AM643" s="63" t="s">
        <v>77</v>
      </c>
      <c r="AN643"/>
    </row>
    <row r="644" spans="1:40" ht="18" customHeight="1">
      <c r="A644" s="1" t="s">
        <v>2059</v>
      </c>
      <c r="B644" s="1" t="s">
        <v>2060</v>
      </c>
      <c r="C644" s="4">
        <v>46040</v>
      </c>
      <c r="D644" s="4">
        <v>46048</v>
      </c>
      <c r="E644" s="4">
        <v>46049</v>
      </c>
      <c r="F644" s="63" t="s">
        <v>60</v>
      </c>
      <c r="G644" s="63" t="s">
        <v>3837</v>
      </c>
      <c r="H644" s="63" t="s">
        <v>152</v>
      </c>
      <c r="I644" s="63" t="s">
        <v>241</v>
      </c>
      <c r="J644" s="63" t="s">
        <v>62</v>
      </c>
      <c r="K644" s="63" t="s">
        <v>2061</v>
      </c>
      <c r="L644" s="63" t="s">
        <v>122</v>
      </c>
      <c r="M644" s="69">
        <v>750.53</v>
      </c>
      <c r="N644" s="63" t="s">
        <v>65</v>
      </c>
      <c r="O644" s="73">
        <f>_xlfn.XLOOKUP(Supplier_Perf_Table[[#This Row],[Currency]],'Comments 2'!$C$4:$C$16,'Comments 2'!$D$4:$D$16)</f>
        <v>1</v>
      </c>
      <c r="P644" s="69">
        <f>IFERROR(Supplier_Perf_Table[[#This Row],[Unit_Cost]]*Supplier_Perf_Table[[#This Row],[Dollar Equivalent]],"")</f>
        <v>750.53</v>
      </c>
      <c r="Q644" s="75">
        <v>750</v>
      </c>
      <c r="R644" s="1">
        <v>562897.5</v>
      </c>
      <c r="S644" s="75">
        <f>Supplier_Perf_Table[[#This Row],[Unit_Cost]]*Supplier_Perf_Table[[#This Row],[Order_Quantity]]</f>
        <v>562897.5</v>
      </c>
      <c r="T644" s="75">
        <f>IFERROR(Supplier_Perf_Table[[#This Row],[Dollar Equivalent]]*Supplier_Perf_Table[[#This Row],[Ordered_Value]],"")</f>
        <v>562897.5</v>
      </c>
      <c r="U644" s="75">
        <v>15</v>
      </c>
      <c r="V644" s="7">
        <v>0.02</v>
      </c>
      <c r="W644" s="75" t="s">
        <v>3080</v>
      </c>
      <c r="X644" s="55">
        <f>IFERROR(Supplier_Perf_Table[[#This Row],[Actual_Delivery_Date]]-Supplier_Perf_Table[[#This Row],[Order Date]],"")</f>
        <v>9</v>
      </c>
      <c r="Y644" s="75">
        <v>8</v>
      </c>
      <c r="Z644" s="56">
        <f>IFERROR(Supplier_Perf_Table[[#This Row],[Expected Delivery_Date]]-Supplier_Perf_Table[[#This Row],[Order Date]],"")</f>
        <v>8</v>
      </c>
      <c r="AA644" s="56">
        <f>Supplier_Perf_Table[[#This Row],[Calculated_Lead_Time2]]-Supplier_Perf_Table[[#This Row],[Calculated_Expected_Lead_Time]]</f>
        <v>1</v>
      </c>
      <c r="AB644" s="75">
        <v>1</v>
      </c>
      <c r="AC644" s="63" t="s">
        <v>166</v>
      </c>
      <c r="AD644" s="63" t="s">
        <v>40</v>
      </c>
      <c r="AE644" s="63" t="s">
        <v>41</v>
      </c>
      <c r="AF644" s="63" t="s">
        <v>190</v>
      </c>
      <c r="AG644" s="63" t="s">
        <v>128</v>
      </c>
      <c r="AH644" s="63" t="s">
        <v>55</v>
      </c>
      <c r="AI644" s="63" t="s">
        <v>44</v>
      </c>
      <c r="AJ644" s="63" t="s">
        <v>138</v>
      </c>
      <c r="AK644" s="83">
        <v>6</v>
      </c>
      <c r="AL644" s="63" t="s">
        <v>139</v>
      </c>
      <c r="AM644" s="63" t="s">
        <v>46</v>
      </c>
      <c r="AN644"/>
    </row>
    <row r="645" spans="1:40" ht="18" customHeight="1">
      <c r="A645" s="1" t="s">
        <v>2062</v>
      </c>
      <c r="B645" s="1" t="s">
        <v>2063</v>
      </c>
      <c r="C645" s="4">
        <v>46038</v>
      </c>
      <c r="D645" s="4">
        <v>46056</v>
      </c>
      <c r="E645" s="4">
        <v>46064</v>
      </c>
      <c r="F645" s="63" t="s">
        <v>32</v>
      </c>
      <c r="G645" s="63" t="s">
        <v>3835</v>
      </c>
      <c r="H645" s="63" t="s">
        <v>177</v>
      </c>
      <c r="I645" s="63" t="s">
        <v>70</v>
      </c>
      <c r="J645" s="63" t="s">
        <v>62</v>
      </c>
      <c r="K645" s="63" t="s">
        <v>2064</v>
      </c>
      <c r="L645" s="63" t="s">
        <v>94</v>
      </c>
      <c r="M645" s="69">
        <v>698.39</v>
      </c>
      <c r="N645" s="63" t="s">
        <v>3077</v>
      </c>
      <c r="O645" s="73">
        <f>_xlfn.XLOOKUP(Supplier_Perf_Table[[#This Row],[Currency]],'Comments 2'!$C$4:$C$16,'Comments 2'!$D$4:$D$16)</f>
        <v>3.8999999999999999E-4</v>
      </c>
      <c r="P645" s="69">
        <f>IFERROR(Supplier_Perf_Table[[#This Row],[Unit_Cost]]*Supplier_Perf_Table[[#This Row],[Dollar Equivalent]],"")</f>
        <v>0.27237210000000001</v>
      </c>
      <c r="Q645" s="75">
        <v>1500</v>
      </c>
      <c r="R645" s="1">
        <v>1047585</v>
      </c>
      <c r="S645" s="75">
        <f>Supplier_Perf_Table[[#This Row],[Unit_Cost]]*Supplier_Perf_Table[[#This Row],[Order_Quantity]]</f>
        <v>1047585</v>
      </c>
      <c r="T645" s="75">
        <f>IFERROR(Supplier_Perf_Table[[#This Row],[Dollar Equivalent]]*Supplier_Perf_Table[[#This Row],[Ordered_Value]],"")</f>
        <v>408.55815000000001</v>
      </c>
      <c r="U645" s="75">
        <v>43</v>
      </c>
      <c r="V645" s="7">
        <v>2.87E-2</v>
      </c>
      <c r="W645" s="75">
        <v>26</v>
      </c>
      <c r="X645" s="55">
        <f>IFERROR(Supplier_Perf_Table[[#This Row],[Actual_Delivery_Date]]-Supplier_Perf_Table[[#This Row],[Order Date]],"")</f>
        <v>26</v>
      </c>
      <c r="Y645" s="75">
        <v>18</v>
      </c>
      <c r="Z645" s="56">
        <f>IFERROR(Supplier_Perf_Table[[#This Row],[Expected Delivery_Date]]-Supplier_Perf_Table[[#This Row],[Order Date]],"")</f>
        <v>18</v>
      </c>
      <c r="AA645" s="56">
        <f>Supplier_Perf_Table[[#This Row],[Calculated_Lead_Time2]]-Supplier_Perf_Table[[#This Row],[Calculated_Expected_Lead_Time]]</f>
        <v>8</v>
      </c>
      <c r="AB645" s="75">
        <v>8</v>
      </c>
      <c r="AC645" s="63" t="s">
        <v>135</v>
      </c>
      <c r="AD645" s="63" t="s">
        <v>40</v>
      </c>
      <c r="AE645" s="63" t="s">
        <v>105</v>
      </c>
      <c r="AF645" s="63" t="s">
        <v>66</v>
      </c>
      <c r="AG645" s="63" t="s">
        <v>54</v>
      </c>
      <c r="AH645" s="63" t="s">
        <v>174</v>
      </c>
      <c r="AI645" s="63" t="s">
        <v>191</v>
      </c>
      <c r="AJ645" s="63" t="s">
        <v>138</v>
      </c>
      <c r="AK645" s="83">
        <v>1.2</v>
      </c>
      <c r="AL645" s="63" t="s">
        <v>108</v>
      </c>
      <c r="AM645" s="63" t="s">
        <v>386</v>
      </c>
      <c r="AN645"/>
    </row>
    <row r="646" spans="1:40" ht="18" customHeight="1">
      <c r="A646" s="1" t="s">
        <v>2065</v>
      </c>
      <c r="B646" s="1" t="s">
        <v>2066</v>
      </c>
      <c r="C646" s="4">
        <v>46057</v>
      </c>
      <c r="D646" s="4">
        <v>46076</v>
      </c>
      <c r="E646" s="4">
        <v>46070</v>
      </c>
      <c r="F646" s="63" t="s">
        <v>48</v>
      </c>
      <c r="G646" s="63" t="s">
        <v>3836</v>
      </c>
      <c r="H646" s="63" t="s">
        <v>102</v>
      </c>
      <c r="I646" s="63" t="s">
        <v>92</v>
      </c>
      <c r="J646" s="63" t="s">
        <v>163</v>
      </c>
      <c r="K646" s="63" t="s">
        <v>2067</v>
      </c>
      <c r="L646" s="63" t="s">
        <v>165</v>
      </c>
      <c r="M646" s="69">
        <v>1086.5899999999999</v>
      </c>
      <c r="N646" s="63" t="s">
        <v>53</v>
      </c>
      <c r="O646" s="73">
        <f>_xlfn.XLOOKUP(Supplier_Perf_Table[[#This Row],[Currency]],'Comments 2'!$C$4:$C$16,'Comments 2'!$D$4:$D$16)</f>
        <v>6.0999999999999999E-2</v>
      </c>
      <c r="P646" s="69">
        <f>IFERROR(Supplier_Perf_Table[[#This Row],[Unit_Cost]]*Supplier_Perf_Table[[#This Row],[Dollar Equivalent]],"")</f>
        <v>66.281989999999993</v>
      </c>
      <c r="Q646" s="75">
        <v>200</v>
      </c>
      <c r="R646" s="1">
        <v>217318</v>
      </c>
      <c r="S646" s="75">
        <f>Supplier_Perf_Table[[#This Row],[Unit_Cost]]*Supplier_Perf_Table[[#This Row],[Order_Quantity]]</f>
        <v>217317.99999999997</v>
      </c>
      <c r="T646" s="75">
        <f>IFERROR(Supplier_Perf_Table[[#This Row],[Dollar Equivalent]]*Supplier_Perf_Table[[#This Row],[Ordered_Value]],"")</f>
        <v>13256.397999999999</v>
      </c>
      <c r="U646" s="75">
        <v>5</v>
      </c>
      <c r="V646" s="7">
        <v>2.5000000000000001E-2</v>
      </c>
      <c r="W646" s="75">
        <v>13</v>
      </c>
      <c r="X646" s="55">
        <f>IFERROR(Supplier_Perf_Table[[#This Row],[Actual_Delivery_Date]]-Supplier_Perf_Table[[#This Row],[Order Date]],"")</f>
        <v>13</v>
      </c>
      <c r="Y646" s="75">
        <v>19</v>
      </c>
      <c r="Z646" s="56">
        <f>IFERROR(Supplier_Perf_Table[[#This Row],[Expected Delivery_Date]]-Supplier_Perf_Table[[#This Row],[Order Date]],"")</f>
        <v>19</v>
      </c>
      <c r="AA646" s="56">
        <f>Supplier_Perf_Table[[#This Row],[Calculated_Lead_Time2]]-Supplier_Perf_Table[[#This Row],[Calculated_Expected_Lead_Time]]</f>
        <v>-6</v>
      </c>
      <c r="AB646" s="75">
        <v>-6</v>
      </c>
      <c r="AC646" s="63" t="s">
        <v>87</v>
      </c>
      <c r="AD646" s="63" t="s">
        <v>40</v>
      </c>
      <c r="AE646" s="63" t="s">
        <v>41</v>
      </c>
      <c r="AF646" s="63" t="s">
        <v>212</v>
      </c>
      <c r="AG646" s="63" t="s">
        <v>107</v>
      </c>
      <c r="AH646" s="63" t="s">
        <v>88</v>
      </c>
      <c r="AI646" s="63" t="s">
        <v>44</v>
      </c>
      <c r="AJ646" s="63" t="s">
        <v>138</v>
      </c>
      <c r="AK646" s="83">
        <v>5</v>
      </c>
      <c r="AL646" s="63" t="s">
        <v>139</v>
      </c>
      <c r="AM646" s="63" t="s">
        <v>138</v>
      </c>
      <c r="AN646"/>
    </row>
    <row r="647" spans="1:40" ht="18" customHeight="1">
      <c r="A647" s="1" t="s">
        <v>2068</v>
      </c>
      <c r="B647" s="1" t="s">
        <v>2069</v>
      </c>
      <c r="C647" s="4">
        <v>46123</v>
      </c>
      <c r="D647" s="4">
        <v>46133</v>
      </c>
      <c r="E647" s="4">
        <v>46138</v>
      </c>
      <c r="F647" s="63" t="s">
        <v>209</v>
      </c>
      <c r="G647" s="63" t="s">
        <v>3845</v>
      </c>
      <c r="H647" s="63" t="s">
        <v>316</v>
      </c>
      <c r="I647" s="63" t="s">
        <v>34</v>
      </c>
      <c r="J647" s="63" t="s">
        <v>153</v>
      </c>
      <c r="K647" s="63" t="s">
        <v>894</v>
      </c>
      <c r="L647" s="63" t="s">
        <v>318</v>
      </c>
      <c r="M647" s="69">
        <v>194.43</v>
      </c>
      <c r="N647" s="63" t="s">
        <v>86</v>
      </c>
      <c r="O647" s="73">
        <f>_xlfn.XLOOKUP(Supplier_Perf_Table[[#This Row],[Currency]],'Comments 2'!$C$4:$C$16,'Comments 2'!$D$4:$D$16)</f>
        <v>8.8999999999999996E-2</v>
      </c>
      <c r="P647" s="69">
        <f>IFERROR(Supplier_Perf_Table[[#This Row],[Unit_Cost]]*Supplier_Perf_Table[[#This Row],[Dollar Equivalent]],"")</f>
        <v>17.304269999999999</v>
      </c>
      <c r="Q647" s="75">
        <v>75</v>
      </c>
      <c r="R647" s="1">
        <v>14582.25</v>
      </c>
      <c r="S647" s="75">
        <f>Supplier_Perf_Table[[#This Row],[Unit_Cost]]*Supplier_Perf_Table[[#This Row],[Order_Quantity]]</f>
        <v>14582.25</v>
      </c>
      <c r="T647" s="75">
        <f>IFERROR(Supplier_Perf_Table[[#This Row],[Dollar Equivalent]]*Supplier_Perf_Table[[#This Row],[Ordered_Value]],"")</f>
        <v>1297.82025</v>
      </c>
      <c r="U647" s="75">
        <v>4</v>
      </c>
      <c r="V647" s="7">
        <v>5.33E-2</v>
      </c>
      <c r="W647" s="75">
        <v>15</v>
      </c>
      <c r="X647" s="55">
        <f>IFERROR(Supplier_Perf_Table[[#This Row],[Actual_Delivery_Date]]-Supplier_Perf_Table[[#This Row],[Order Date]],"")</f>
        <v>15</v>
      </c>
      <c r="Y647" s="75">
        <v>10</v>
      </c>
      <c r="Z647" s="56">
        <f>IFERROR(Supplier_Perf_Table[[#This Row],[Expected Delivery_Date]]-Supplier_Perf_Table[[#This Row],[Order Date]],"")</f>
        <v>10</v>
      </c>
      <c r="AA647" s="56">
        <f>Supplier_Perf_Table[[#This Row],[Calculated_Lead_Time2]]-Supplier_Perf_Table[[#This Row],[Calculated_Expected_Lead_Time]]</f>
        <v>5</v>
      </c>
      <c r="AB647" s="75">
        <v>5</v>
      </c>
      <c r="AC647" s="63" t="s">
        <v>205</v>
      </c>
      <c r="AD647" s="63" t="s">
        <v>74</v>
      </c>
      <c r="AE647" s="63" t="s">
        <v>127</v>
      </c>
      <c r="AF647" s="63" t="s">
        <v>106</v>
      </c>
      <c r="AG647" s="63" t="s">
        <v>43</v>
      </c>
      <c r="AH647" s="63" t="s">
        <v>174</v>
      </c>
      <c r="AI647" s="63" t="s">
        <v>56</v>
      </c>
      <c r="AJ647" s="63" t="s">
        <v>283</v>
      </c>
      <c r="AK647" s="83">
        <v>1.1000000000000001</v>
      </c>
      <c r="AL647" s="63" t="s">
        <v>184</v>
      </c>
      <c r="AM647" s="63" t="s">
        <v>185</v>
      </c>
      <c r="AN647"/>
    </row>
    <row r="648" spans="1:40" ht="18" customHeight="1">
      <c r="A648" s="1" t="s">
        <v>2070</v>
      </c>
      <c r="B648" s="1" t="s">
        <v>2071</v>
      </c>
      <c r="C648" s="4">
        <v>46074</v>
      </c>
      <c r="D648" s="4">
        <v>46088</v>
      </c>
      <c r="E648" s="4">
        <v>46094</v>
      </c>
      <c r="F648" s="63" t="s">
        <v>256</v>
      </c>
      <c r="G648" s="63" t="s">
        <v>3849</v>
      </c>
      <c r="H648" s="63" t="s">
        <v>258</v>
      </c>
      <c r="I648" s="63" t="s">
        <v>241</v>
      </c>
      <c r="J648" s="63" t="s">
        <v>153</v>
      </c>
      <c r="K648" s="63" t="s">
        <v>1181</v>
      </c>
      <c r="L648" s="63" t="s">
        <v>318</v>
      </c>
      <c r="M648" s="69">
        <v>72.55</v>
      </c>
      <c r="N648" s="63" t="s">
        <v>65</v>
      </c>
      <c r="O648" s="73">
        <f>_xlfn.XLOOKUP(Supplier_Perf_Table[[#This Row],[Currency]],'Comments 2'!$C$4:$C$16,'Comments 2'!$D$4:$D$16)</f>
        <v>1</v>
      </c>
      <c r="P648" s="69">
        <f>IFERROR(Supplier_Perf_Table[[#This Row],[Unit_Cost]]*Supplier_Perf_Table[[#This Row],[Dollar Equivalent]],"")</f>
        <v>72.55</v>
      </c>
      <c r="Q648" s="75">
        <v>250</v>
      </c>
      <c r="R648" s="1">
        <v>18137.5</v>
      </c>
      <c r="S648" s="75">
        <f>Supplier_Perf_Table[[#This Row],[Unit_Cost]]*Supplier_Perf_Table[[#This Row],[Order_Quantity]]</f>
        <v>18137.5</v>
      </c>
      <c r="T648" s="75">
        <f>IFERROR(Supplier_Perf_Table[[#This Row],[Dollar Equivalent]]*Supplier_Perf_Table[[#This Row],[Ordered_Value]],"")</f>
        <v>18137.5</v>
      </c>
      <c r="U648" s="75">
        <v>12</v>
      </c>
      <c r="V648" s="7">
        <v>4.8000000000000001E-2</v>
      </c>
      <c r="W648" s="75">
        <v>20</v>
      </c>
      <c r="X648" s="55">
        <f>IFERROR(Supplier_Perf_Table[[#This Row],[Actual_Delivery_Date]]-Supplier_Perf_Table[[#This Row],[Order Date]],"")</f>
        <v>20</v>
      </c>
      <c r="Y648" s="75">
        <v>14</v>
      </c>
      <c r="Z648" s="56">
        <f>IFERROR(Supplier_Perf_Table[[#This Row],[Expected Delivery_Date]]-Supplier_Perf_Table[[#This Row],[Order Date]],"")</f>
        <v>14</v>
      </c>
      <c r="AA648" s="56">
        <f>Supplier_Perf_Table[[#This Row],[Calculated_Lead_Time2]]-Supplier_Perf_Table[[#This Row],[Calculated_Expected_Lead_Time]]</f>
        <v>6</v>
      </c>
      <c r="AB648" s="75">
        <v>6</v>
      </c>
      <c r="AC648" s="63" t="s">
        <v>135</v>
      </c>
      <c r="AD648" s="63" t="s">
        <v>74</v>
      </c>
      <c r="AE648" s="63" t="s">
        <v>105</v>
      </c>
      <c r="AF648" s="63" t="s">
        <v>106</v>
      </c>
      <c r="AG648" s="63" t="s">
        <v>43</v>
      </c>
      <c r="AH648" s="63" t="s">
        <v>129</v>
      </c>
      <c r="AI648" s="63" t="s">
        <v>44</v>
      </c>
      <c r="AJ648" s="63" t="s">
        <v>96</v>
      </c>
      <c r="AK648" s="83">
        <v>2.5</v>
      </c>
      <c r="AL648" s="63" t="s">
        <v>108</v>
      </c>
      <c r="AM648" s="63" t="s">
        <v>77</v>
      </c>
      <c r="AN648"/>
    </row>
    <row r="649" spans="1:40" ht="18" customHeight="1">
      <c r="A649" s="1" t="s">
        <v>2072</v>
      </c>
      <c r="B649" s="1" t="s">
        <v>2073</v>
      </c>
      <c r="C649" s="4">
        <v>46087</v>
      </c>
      <c r="D649" s="4">
        <v>46103</v>
      </c>
      <c r="E649" s="4">
        <v>46100</v>
      </c>
      <c r="F649" s="63" t="s">
        <v>90</v>
      </c>
      <c r="G649" s="63" t="s">
        <v>3840</v>
      </c>
      <c r="H649" s="63" t="s">
        <v>133</v>
      </c>
      <c r="I649" s="63" t="s">
        <v>83</v>
      </c>
      <c r="J649" s="63" t="s">
        <v>50</v>
      </c>
      <c r="K649" s="63" t="s">
        <v>1068</v>
      </c>
      <c r="L649" s="63" t="s">
        <v>52</v>
      </c>
      <c r="M649" s="69">
        <v>4478.93</v>
      </c>
      <c r="N649" s="63" t="s">
        <v>38</v>
      </c>
      <c r="O649" s="73">
        <f>_xlfn.XLOOKUP(Supplier_Perf_Table[[#This Row],[Currency]],'Comments 2'!$C$4:$C$16,'Comments 2'!$D$4:$D$16)</f>
        <v>7.7000000000000002E-3</v>
      </c>
      <c r="P649" s="69">
        <f>IFERROR(Supplier_Perf_Table[[#This Row],[Unit_Cost]]*Supplier_Perf_Table[[#This Row],[Dollar Equivalent]],"")</f>
        <v>34.487761000000006</v>
      </c>
      <c r="Q649" s="75">
        <v>100</v>
      </c>
      <c r="R649" s="1">
        <v>447893</v>
      </c>
      <c r="S649" s="75">
        <f>Supplier_Perf_Table[[#This Row],[Unit_Cost]]*Supplier_Perf_Table[[#This Row],[Order_Quantity]]</f>
        <v>447893</v>
      </c>
      <c r="T649" s="75">
        <f>IFERROR(Supplier_Perf_Table[[#This Row],[Dollar Equivalent]]*Supplier_Perf_Table[[#This Row],[Ordered_Value]],"")</f>
        <v>3448.7761</v>
      </c>
      <c r="U649" s="75">
        <v>5</v>
      </c>
      <c r="V649" s="7">
        <v>0.05</v>
      </c>
      <c r="W649" s="75">
        <v>13</v>
      </c>
      <c r="X649" s="55">
        <f>IFERROR(Supplier_Perf_Table[[#This Row],[Actual_Delivery_Date]]-Supplier_Perf_Table[[#This Row],[Order Date]],"")</f>
        <v>13</v>
      </c>
      <c r="Y649" s="75">
        <v>16</v>
      </c>
      <c r="Z649" s="56">
        <f>IFERROR(Supplier_Perf_Table[[#This Row],[Expected Delivery_Date]]-Supplier_Perf_Table[[#This Row],[Order Date]],"")</f>
        <v>16</v>
      </c>
      <c r="AA649" s="56">
        <f>Supplier_Perf_Table[[#This Row],[Calculated_Lead_Time2]]-Supplier_Perf_Table[[#This Row],[Calculated_Expected_Lead_Time]]</f>
        <v>-3</v>
      </c>
      <c r="AB649" s="75">
        <v>-3</v>
      </c>
      <c r="AC649" s="63" t="s">
        <v>87</v>
      </c>
      <c r="AD649" s="63" t="s">
        <v>74</v>
      </c>
      <c r="AE649" s="63" t="s">
        <v>105</v>
      </c>
      <c r="AF649" s="63" t="s">
        <v>66</v>
      </c>
      <c r="AG649" s="63" t="s">
        <v>43</v>
      </c>
      <c r="AH649" s="63" t="s">
        <v>174</v>
      </c>
      <c r="AI649" s="63" t="s">
        <v>44</v>
      </c>
      <c r="AJ649" s="63" t="s">
        <v>96</v>
      </c>
      <c r="AK649" s="83">
        <v>3.4</v>
      </c>
      <c r="AL649" s="63" t="s">
        <v>45</v>
      </c>
      <c r="AM649" s="63" t="s">
        <v>97</v>
      </c>
      <c r="AN649"/>
    </row>
    <row r="650" spans="1:40" ht="18" customHeight="1">
      <c r="A650" s="1" t="s">
        <v>2074</v>
      </c>
      <c r="B650" s="1" t="s">
        <v>2075</v>
      </c>
      <c r="C650" s="4">
        <v>46145</v>
      </c>
      <c r="D650" s="4">
        <v>46163</v>
      </c>
      <c r="E650" s="4">
        <v>46150</v>
      </c>
      <c r="F650" s="63" t="s">
        <v>80</v>
      </c>
      <c r="G650" s="63" t="s">
        <v>3839</v>
      </c>
      <c r="H650" s="63" t="s">
        <v>82</v>
      </c>
      <c r="I650" s="63" t="s">
        <v>92</v>
      </c>
      <c r="J650" s="63" t="s">
        <v>35</v>
      </c>
      <c r="K650" s="63" t="s">
        <v>2076</v>
      </c>
      <c r="L650" s="63" t="s">
        <v>37</v>
      </c>
      <c r="M650" s="69">
        <v>1128.4100000000001</v>
      </c>
      <c r="N650" s="63" t="s">
        <v>38</v>
      </c>
      <c r="O650" s="73">
        <f>_xlfn.XLOOKUP(Supplier_Perf_Table[[#This Row],[Currency]],'Comments 2'!$C$4:$C$16,'Comments 2'!$D$4:$D$16)</f>
        <v>7.7000000000000002E-3</v>
      </c>
      <c r="P650" s="69">
        <f>IFERROR(Supplier_Perf_Table[[#This Row],[Unit_Cost]]*Supplier_Perf_Table[[#This Row],[Dollar Equivalent]],"")</f>
        <v>8.6887570000000007</v>
      </c>
      <c r="Q650" s="75">
        <v>750</v>
      </c>
      <c r="R650" s="1" t="s">
        <v>3080</v>
      </c>
      <c r="S650" s="75">
        <f>Supplier_Perf_Table[[#This Row],[Unit_Cost]]*Supplier_Perf_Table[[#This Row],[Order_Quantity]]</f>
        <v>846307.50000000012</v>
      </c>
      <c r="T650" s="75" t="str">
        <f>IFERROR(Supplier_Perf_Table[[#This Row],[Dollar Equivalent]]*Supplier_Perf_Table[[#This Row],[Ordered_Value]],"")</f>
        <v/>
      </c>
      <c r="U650" s="75">
        <v>2</v>
      </c>
      <c r="V650" s="7">
        <v>2.7000000000000001E-3</v>
      </c>
      <c r="W650" s="75">
        <v>5</v>
      </c>
      <c r="X650" s="55">
        <f>IFERROR(Supplier_Perf_Table[[#This Row],[Actual_Delivery_Date]]-Supplier_Perf_Table[[#This Row],[Order Date]],"")</f>
        <v>5</v>
      </c>
      <c r="Y650" s="75">
        <v>18</v>
      </c>
      <c r="Z650" s="56">
        <f>IFERROR(Supplier_Perf_Table[[#This Row],[Expected Delivery_Date]]-Supplier_Perf_Table[[#This Row],[Order Date]],"")</f>
        <v>18</v>
      </c>
      <c r="AA650" s="56">
        <f>Supplier_Perf_Table[[#This Row],[Calculated_Lead_Time2]]-Supplier_Perf_Table[[#This Row],[Calculated_Expected_Lead_Time]]</f>
        <v>-13</v>
      </c>
      <c r="AB650" s="75">
        <v>-13</v>
      </c>
      <c r="AC650" s="63" t="s">
        <v>270</v>
      </c>
      <c r="AD650" s="63" t="s">
        <v>40</v>
      </c>
      <c r="AE650" s="63" t="s">
        <v>105</v>
      </c>
      <c r="AF650" s="63" t="s">
        <v>212</v>
      </c>
      <c r="AG650" s="63" t="s">
        <v>173</v>
      </c>
      <c r="AH650" s="63" t="s">
        <v>3112</v>
      </c>
      <c r="AI650" s="63" t="s">
        <v>191</v>
      </c>
      <c r="AJ650" s="63" t="s">
        <v>138</v>
      </c>
      <c r="AK650" s="83">
        <v>-1</v>
      </c>
      <c r="AL650" s="63" t="s">
        <v>115</v>
      </c>
      <c r="AM650" s="63" t="s">
        <v>138</v>
      </c>
      <c r="AN650"/>
    </row>
    <row r="651" spans="1:40" ht="18" customHeight="1">
      <c r="A651" s="1" t="s">
        <v>2077</v>
      </c>
      <c r="B651" s="1" t="s">
        <v>2078</v>
      </c>
      <c r="C651" s="4">
        <v>46110</v>
      </c>
      <c r="D651" s="4">
        <v>46133</v>
      </c>
      <c r="E651" s="4">
        <v>46124</v>
      </c>
      <c r="F651" s="63" t="s">
        <v>32</v>
      </c>
      <c r="G651" s="63" t="s">
        <v>3835</v>
      </c>
      <c r="H651" s="63" t="s">
        <v>177</v>
      </c>
      <c r="I651" s="63" t="s">
        <v>49</v>
      </c>
      <c r="J651" s="63" t="s">
        <v>71</v>
      </c>
      <c r="K651" s="63" t="s">
        <v>2079</v>
      </c>
      <c r="L651" s="63" t="s">
        <v>73</v>
      </c>
      <c r="M651" s="69">
        <v>681.13</v>
      </c>
      <c r="N651" s="63" t="s">
        <v>65</v>
      </c>
      <c r="O651" s="73">
        <f>_xlfn.XLOOKUP(Supplier_Perf_Table[[#This Row],[Currency]],'Comments 2'!$C$4:$C$16,'Comments 2'!$D$4:$D$16)</f>
        <v>1</v>
      </c>
      <c r="P651" s="69">
        <f>IFERROR(Supplier_Perf_Table[[#This Row],[Unit_Cost]]*Supplier_Perf_Table[[#This Row],[Dollar Equivalent]],"")</f>
        <v>681.13</v>
      </c>
      <c r="Q651" s="75">
        <v>75</v>
      </c>
      <c r="R651" s="1">
        <v>51084.75</v>
      </c>
      <c r="S651" s="75">
        <f>Supplier_Perf_Table[[#This Row],[Unit_Cost]]*Supplier_Perf_Table[[#This Row],[Order_Quantity]]</f>
        <v>51084.75</v>
      </c>
      <c r="T651" s="75">
        <f>IFERROR(Supplier_Perf_Table[[#This Row],[Dollar Equivalent]]*Supplier_Perf_Table[[#This Row],[Ordered_Value]],"")</f>
        <v>51084.75</v>
      </c>
      <c r="U651" s="75">
        <v>2</v>
      </c>
      <c r="V651" s="7">
        <v>2.6700000000000002E-2</v>
      </c>
      <c r="W651" s="75">
        <v>14</v>
      </c>
      <c r="X651" s="55">
        <f>IFERROR(Supplier_Perf_Table[[#This Row],[Actual_Delivery_Date]]-Supplier_Perf_Table[[#This Row],[Order Date]],"")</f>
        <v>14</v>
      </c>
      <c r="Y651" s="75">
        <v>23</v>
      </c>
      <c r="Z651" s="56">
        <f>IFERROR(Supplier_Perf_Table[[#This Row],[Expected Delivery_Date]]-Supplier_Perf_Table[[#This Row],[Order Date]],"")</f>
        <v>23</v>
      </c>
      <c r="AA651" s="56">
        <f>Supplier_Perf_Table[[#This Row],[Calculated_Lead_Time2]]-Supplier_Perf_Table[[#This Row],[Calculated_Expected_Lead_Time]]</f>
        <v>-9</v>
      </c>
      <c r="AB651" s="75">
        <v>-9</v>
      </c>
      <c r="AC651" s="63" t="s">
        <v>87</v>
      </c>
      <c r="AD651" s="63" t="s">
        <v>40</v>
      </c>
      <c r="AE651" s="63" t="s">
        <v>105</v>
      </c>
      <c r="AF651" s="63" t="s">
        <v>190</v>
      </c>
      <c r="AG651" s="63" t="s">
        <v>54</v>
      </c>
      <c r="AH651" s="63" t="s">
        <v>55</v>
      </c>
      <c r="AI651" s="63" t="s">
        <v>191</v>
      </c>
      <c r="AJ651" s="63" t="s">
        <v>138</v>
      </c>
      <c r="AK651" s="83">
        <v>4.2</v>
      </c>
      <c r="AL651" s="63" t="s">
        <v>57</v>
      </c>
      <c r="AM651" s="63" t="s">
        <v>138</v>
      </c>
      <c r="AN651"/>
    </row>
    <row r="652" spans="1:40" ht="18" customHeight="1">
      <c r="A652" s="1" t="s">
        <v>2080</v>
      </c>
      <c r="B652" s="1" t="s">
        <v>2081</v>
      </c>
      <c r="C652" s="4">
        <v>46113</v>
      </c>
      <c r="D652" s="4">
        <v>46122</v>
      </c>
      <c r="E652" s="4">
        <v>46125</v>
      </c>
      <c r="F652" s="63" t="s">
        <v>69</v>
      </c>
      <c r="G652" s="63" t="s">
        <v>3838</v>
      </c>
      <c r="H652" s="63" t="s">
        <v>194</v>
      </c>
      <c r="I652" s="63" t="s">
        <v>241</v>
      </c>
      <c r="J652" s="63" t="s">
        <v>112</v>
      </c>
      <c r="K652" s="63" t="s">
        <v>2082</v>
      </c>
      <c r="L652" s="63" t="s">
        <v>229</v>
      </c>
      <c r="M652" s="69">
        <v>608.01</v>
      </c>
      <c r="N652" s="63" t="s">
        <v>53</v>
      </c>
      <c r="O652" s="73">
        <f>_xlfn.XLOOKUP(Supplier_Perf_Table[[#This Row],[Currency]],'Comments 2'!$C$4:$C$16,'Comments 2'!$D$4:$D$16)</f>
        <v>6.0999999999999999E-2</v>
      </c>
      <c r="P652" s="69">
        <f>IFERROR(Supplier_Perf_Table[[#This Row],[Unit_Cost]]*Supplier_Perf_Table[[#This Row],[Dollar Equivalent]],"")</f>
        <v>37.088609999999996</v>
      </c>
      <c r="Q652" s="75">
        <v>50</v>
      </c>
      <c r="R652" s="1">
        <v>30400.5</v>
      </c>
      <c r="S652" s="75">
        <f>Supplier_Perf_Table[[#This Row],[Unit_Cost]]*Supplier_Perf_Table[[#This Row],[Order_Quantity]]</f>
        <v>30400.5</v>
      </c>
      <c r="T652" s="75">
        <f>IFERROR(Supplier_Perf_Table[[#This Row],[Dollar Equivalent]]*Supplier_Perf_Table[[#This Row],[Ordered_Value]],"")</f>
        <v>1854.4304999999999</v>
      </c>
      <c r="U652" s="75">
        <v>4</v>
      </c>
      <c r="V652" s="7">
        <v>0.08</v>
      </c>
      <c r="W652" s="75">
        <v>12</v>
      </c>
      <c r="X652" s="55">
        <f>IFERROR(Supplier_Perf_Table[[#This Row],[Actual_Delivery_Date]]-Supplier_Perf_Table[[#This Row],[Order Date]],"")</f>
        <v>12</v>
      </c>
      <c r="Y652" s="75">
        <v>9</v>
      </c>
      <c r="Z652" s="56">
        <f>IFERROR(Supplier_Perf_Table[[#This Row],[Expected Delivery_Date]]-Supplier_Perf_Table[[#This Row],[Order Date]],"")</f>
        <v>9</v>
      </c>
      <c r="AA652" s="56">
        <f>Supplier_Perf_Table[[#This Row],[Calculated_Lead_Time2]]-Supplier_Perf_Table[[#This Row],[Calculated_Expected_Lead_Time]]</f>
        <v>3</v>
      </c>
      <c r="AB652" s="75">
        <v>3</v>
      </c>
      <c r="AC652" s="63" t="s">
        <v>135</v>
      </c>
      <c r="AD652" s="63" t="s">
        <v>74</v>
      </c>
      <c r="AE652" s="63" t="s">
        <v>41</v>
      </c>
      <c r="AF652" s="63" t="s">
        <v>190</v>
      </c>
      <c r="AG652" s="63" t="s">
        <v>128</v>
      </c>
      <c r="AH652" s="63" t="s">
        <v>55</v>
      </c>
      <c r="AI652" s="63" t="s">
        <v>95</v>
      </c>
      <c r="AJ652" s="63" t="s">
        <v>283</v>
      </c>
      <c r="AK652" s="83">
        <v>1.8</v>
      </c>
      <c r="AL652" s="63" t="s">
        <v>139</v>
      </c>
      <c r="AM652" s="63" t="s">
        <v>77</v>
      </c>
      <c r="AN652"/>
    </row>
    <row r="653" spans="1:40" ht="18" customHeight="1">
      <c r="A653" s="1" t="s">
        <v>2083</v>
      </c>
      <c r="B653" s="1" t="s">
        <v>2084</v>
      </c>
      <c r="C653" s="4">
        <v>46078</v>
      </c>
      <c r="D653" s="4">
        <v>46084</v>
      </c>
      <c r="E653" s="4">
        <v>46096</v>
      </c>
      <c r="F653" s="63" t="s">
        <v>162</v>
      </c>
      <c r="G653" s="63" t="s">
        <v>3847</v>
      </c>
      <c r="H653" s="63" t="s">
        <v>152</v>
      </c>
      <c r="I653" s="63" t="s">
        <v>241</v>
      </c>
      <c r="J653" s="63" t="s">
        <v>163</v>
      </c>
      <c r="K653" s="63" t="s">
        <v>2085</v>
      </c>
      <c r="L653" s="63" t="s">
        <v>171</v>
      </c>
      <c r="M653" s="69">
        <v>1869.53</v>
      </c>
      <c r="N653" s="63" t="s">
        <v>53</v>
      </c>
      <c r="O653" s="73">
        <f>_xlfn.XLOOKUP(Supplier_Perf_Table[[#This Row],[Currency]],'Comments 2'!$C$4:$C$16,'Comments 2'!$D$4:$D$16)</f>
        <v>6.0999999999999999E-2</v>
      </c>
      <c r="P653" s="69">
        <f>IFERROR(Supplier_Perf_Table[[#This Row],[Unit_Cost]]*Supplier_Perf_Table[[#This Row],[Dollar Equivalent]],"")</f>
        <v>114.04133</v>
      </c>
      <c r="Q653" s="75">
        <v>2000</v>
      </c>
      <c r="R653" s="1">
        <v>3739060</v>
      </c>
      <c r="S653" s="75">
        <f>Supplier_Perf_Table[[#This Row],[Unit_Cost]]*Supplier_Perf_Table[[#This Row],[Order_Quantity]]</f>
        <v>3739060</v>
      </c>
      <c r="T653" s="75">
        <f>IFERROR(Supplier_Perf_Table[[#This Row],[Dollar Equivalent]]*Supplier_Perf_Table[[#This Row],[Ordered_Value]],"")</f>
        <v>228082.66</v>
      </c>
      <c r="U653" s="75">
        <v>55</v>
      </c>
      <c r="V653" s="7">
        <v>2.75E-2</v>
      </c>
      <c r="W653" s="75">
        <v>18</v>
      </c>
      <c r="X653" s="55">
        <f>IFERROR(Supplier_Perf_Table[[#This Row],[Actual_Delivery_Date]]-Supplier_Perf_Table[[#This Row],[Order Date]],"")</f>
        <v>18</v>
      </c>
      <c r="Y653" s="75">
        <v>6</v>
      </c>
      <c r="Z653" s="56">
        <f>IFERROR(Supplier_Perf_Table[[#This Row],[Expected Delivery_Date]]-Supplier_Perf_Table[[#This Row],[Order Date]],"")</f>
        <v>6</v>
      </c>
      <c r="AA653" s="56">
        <f>Supplier_Perf_Table[[#This Row],[Calculated_Lead_Time2]]-Supplier_Perf_Table[[#This Row],[Calculated_Expected_Lead_Time]]</f>
        <v>12</v>
      </c>
      <c r="AB653" s="75">
        <v>12</v>
      </c>
      <c r="AC653" s="63" t="s">
        <v>205</v>
      </c>
      <c r="AD653" s="63" t="s">
        <v>40</v>
      </c>
      <c r="AE653" s="63" t="s">
        <v>105</v>
      </c>
      <c r="AF653" s="63" t="s">
        <v>66</v>
      </c>
      <c r="AG653" s="63" t="s">
        <v>173</v>
      </c>
      <c r="AH653" s="63" t="s">
        <v>3112</v>
      </c>
      <c r="AI653" s="63" t="s">
        <v>191</v>
      </c>
      <c r="AJ653" s="63" t="s">
        <v>138</v>
      </c>
      <c r="AK653" s="83">
        <v>6</v>
      </c>
      <c r="AL653" s="63" t="s">
        <v>76</v>
      </c>
      <c r="AM653" s="63" t="s">
        <v>46</v>
      </c>
      <c r="AN653"/>
    </row>
    <row r="654" spans="1:40" ht="18" customHeight="1">
      <c r="A654" s="1" t="s">
        <v>2086</v>
      </c>
      <c r="B654" s="1" t="s">
        <v>2087</v>
      </c>
      <c r="C654" s="4">
        <v>46139</v>
      </c>
      <c r="D654" s="4">
        <v>46151</v>
      </c>
      <c r="E654" s="4">
        <v>46155</v>
      </c>
      <c r="F654" s="63" t="s">
        <v>162</v>
      </c>
      <c r="G654" s="63" t="s">
        <v>3847</v>
      </c>
      <c r="H654" s="63" t="s">
        <v>152</v>
      </c>
      <c r="I654" s="63" t="s">
        <v>49</v>
      </c>
      <c r="J654" s="63" t="s">
        <v>163</v>
      </c>
      <c r="K654" s="63" t="s">
        <v>2088</v>
      </c>
      <c r="L654" s="63" t="s">
        <v>269</v>
      </c>
      <c r="M654" s="69">
        <v>1623.81</v>
      </c>
      <c r="N654" s="63" t="s">
        <v>159</v>
      </c>
      <c r="O654" s="73">
        <f>_xlfn.XLOOKUP(Supplier_Perf_Table[[#This Row],[Currency]],'Comments 2'!$C$4:$C$16,'Comments 2'!$D$4:$D$16)</f>
        <v>7.2999999999999996E-4</v>
      </c>
      <c r="P654" s="69">
        <f>IFERROR(Supplier_Perf_Table[[#This Row],[Unit_Cost]]*Supplier_Perf_Table[[#This Row],[Dollar Equivalent]],"")</f>
        <v>1.1853813</v>
      </c>
      <c r="Q654" s="75">
        <v>250</v>
      </c>
      <c r="R654" s="1">
        <v>405952.5</v>
      </c>
      <c r="S654" s="75">
        <f>Supplier_Perf_Table[[#This Row],[Unit_Cost]]*Supplier_Perf_Table[[#This Row],[Order_Quantity]]</f>
        <v>405952.5</v>
      </c>
      <c r="T654" s="75">
        <f>IFERROR(Supplier_Perf_Table[[#This Row],[Dollar Equivalent]]*Supplier_Perf_Table[[#This Row],[Ordered_Value]],"")</f>
        <v>296.345325</v>
      </c>
      <c r="U654" s="75">
        <v>0</v>
      </c>
      <c r="V654" s="7">
        <v>0</v>
      </c>
      <c r="W654" s="75">
        <v>16</v>
      </c>
      <c r="X654" s="55">
        <f>IFERROR(Supplier_Perf_Table[[#This Row],[Actual_Delivery_Date]]-Supplier_Perf_Table[[#This Row],[Order Date]],"")</f>
        <v>16</v>
      </c>
      <c r="Y654" s="75">
        <v>12</v>
      </c>
      <c r="Z654" s="56">
        <f>IFERROR(Supplier_Perf_Table[[#This Row],[Expected Delivery_Date]]-Supplier_Perf_Table[[#This Row],[Order Date]],"")</f>
        <v>12</v>
      </c>
      <c r="AA654" s="56">
        <f>Supplier_Perf_Table[[#This Row],[Calculated_Lead_Time2]]-Supplier_Perf_Table[[#This Row],[Calculated_Expected_Lead_Time]]</f>
        <v>4</v>
      </c>
      <c r="AB654" s="75">
        <v>4</v>
      </c>
      <c r="AC654" s="63" t="s">
        <v>39</v>
      </c>
      <c r="AD654" s="63" t="s">
        <v>40</v>
      </c>
      <c r="AE654" s="63" t="s">
        <v>41</v>
      </c>
      <c r="AF654" s="63" t="s">
        <v>106</v>
      </c>
      <c r="AG654" s="63" t="s">
        <v>43</v>
      </c>
      <c r="AH654" s="63" t="s">
        <v>3112</v>
      </c>
      <c r="AI654" s="63" t="s">
        <v>138</v>
      </c>
      <c r="AJ654" s="63" t="s">
        <v>138</v>
      </c>
      <c r="AK654" s="83">
        <v>3.8</v>
      </c>
      <c r="AL654" s="63" t="s">
        <v>76</v>
      </c>
      <c r="AM654" s="63" t="s">
        <v>46</v>
      </c>
      <c r="AN654"/>
    </row>
    <row r="655" spans="1:40" ht="18" customHeight="1">
      <c r="A655" s="1" t="s">
        <v>2089</v>
      </c>
      <c r="B655" s="1" t="s">
        <v>2090</v>
      </c>
      <c r="C655" s="4">
        <v>46031</v>
      </c>
      <c r="D655" s="4">
        <v>46045</v>
      </c>
      <c r="E655" s="4">
        <v>46040</v>
      </c>
      <c r="F655" s="63" t="s">
        <v>48</v>
      </c>
      <c r="G655" s="63" t="s">
        <v>3836</v>
      </c>
      <c r="H655" s="63" t="s">
        <v>102</v>
      </c>
      <c r="I655" s="63" t="s">
        <v>120</v>
      </c>
      <c r="J655" s="63" t="s">
        <v>50</v>
      </c>
      <c r="K655" s="63" t="s">
        <v>2091</v>
      </c>
      <c r="L655" s="63" t="s">
        <v>145</v>
      </c>
      <c r="M655" s="69">
        <v>595.83000000000004</v>
      </c>
      <c r="N655" s="63" t="s">
        <v>53</v>
      </c>
      <c r="O655" s="73">
        <f>_xlfn.XLOOKUP(Supplier_Perf_Table[[#This Row],[Currency]],'Comments 2'!$C$4:$C$16,'Comments 2'!$D$4:$D$16)</f>
        <v>6.0999999999999999E-2</v>
      </c>
      <c r="P655" s="69">
        <f>IFERROR(Supplier_Perf_Table[[#This Row],[Unit_Cost]]*Supplier_Perf_Table[[#This Row],[Dollar Equivalent]],"")</f>
        <v>36.34563</v>
      </c>
      <c r="Q655" s="75">
        <v>250</v>
      </c>
      <c r="R655" s="1">
        <v>148957.5</v>
      </c>
      <c r="S655" s="75">
        <f>Supplier_Perf_Table[[#This Row],[Unit_Cost]]*Supplier_Perf_Table[[#This Row],[Order_Quantity]]</f>
        <v>148957.5</v>
      </c>
      <c r="T655" s="75">
        <f>IFERROR(Supplier_Perf_Table[[#This Row],[Dollar Equivalent]]*Supplier_Perf_Table[[#This Row],[Ordered_Value]],"")</f>
        <v>9086.4074999999993</v>
      </c>
      <c r="U655" s="75">
        <v>6</v>
      </c>
      <c r="V655" s="7">
        <v>2.4E-2</v>
      </c>
      <c r="W655" s="75">
        <v>9</v>
      </c>
      <c r="X655" s="55">
        <f>IFERROR(Supplier_Perf_Table[[#This Row],[Actual_Delivery_Date]]-Supplier_Perf_Table[[#This Row],[Order Date]],"")</f>
        <v>9</v>
      </c>
      <c r="Y655" s="75">
        <v>14</v>
      </c>
      <c r="Z655" s="56">
        <f>IFERROR(Supplier_Perf_Table[[#This Row],[Expected Delivery_Date]]-Supplier_Perf_Table[[#This Row],[Order Date]],"")</f>
        <v>14</v>
      </c>
      <c r="AA655" s="56">
        <f>Supplier_Perf_Table[[#This Row],[Calculated_Lead_Time2]]-Supplier_Perf_Table[[#This Row],[Calculated_Expected_Lead_Time]]</f>
        <v>-5</v>
      </c>
      <c r="AB655" s="75">
        <v>-5</v>
      </c>
      <c r="AC655" s="63" t="s">
        <v>87</v>
      </c>
      <c r="AD655" s="63" t="s">
        <v>40</v>
      </c>
      <c r="AE655" s="63" t="s">
        <v>105</v>
      </c>
      <c r="AF655" s="63" t="s">
        <v>42</v>
      </c>
      <c r="AG655" s="63" t="s">
        <v>43</v>
      </c>
      <c r="AH655" s="63" t="s">
        <v>206</v>
      </c>
      <c r="AI655" s="63" t="s">
        <v>147</v>
      </c>
      <c r="AJ655" s="63" t="s">
        <v>138</v>
      </c>
      <c r="AK655" s="83">
        <v>4</v>
      </c>
      <c r="AL655" s="63" t="s">
        <v>45</v>
      </c>
      <c r="AM655" s="63" t="s">
        <v>138</v>
      </c>
      <c r="AN655"/>
    </row>
    <row r="656" spans="1:40" ht="18" customHeight="1">
      <c r="A656" s="1" t="s">
        <v>2092</v>
      </c>
      <c r="B656" s="1" t="s">
        <v>2093</v>
      </c>
      <c r="C656" s="4">
        <v>46091</v>
      </c>
      <c r="D656" s="4">
        <v>46102</v>
      </c>
      <c r="E656" s="4">
        <v>46106</v>
      </c>
      <c r="F656" s="63" t="s">
        <v>80</v>
      </c>
      <c r="G656" s="63" t="s">
        <v>3839</v>
      </c>
      <c r="H656" s="63" t="s">
        <v>82</v>
      </c>
      <c r="I656" s="63" t="s">
        <v>120</v>
      </c>
      <c r="J656" s="63" t="s">
        <v>71</v>
      </c>
      <c r="K656" s="63" t="s">
        <v>2094</v>
      </c>
      <c r="L656" s="63" t="s">
        <v>337</v>
      </c>
      <c r="M656" s="69">
        <v>664.63</v>
      </c>
      <c r="N656" s="63" t="s">
        <v>86</v>
      </c>
      <c r="O656" s="73">
        <f>_xlfn.XLOOKUP(Supplier_Perf_Table[[#This Row],[Currency]],'Comments 2'!$C$4:$C$16,'Comments 2'!$D$4:$D$16)</f>
        <v>8.8999999999999996E-2</v>
      </c>
      <c r="P656" s="69">
        <f>IFERROR(Supplier_Perf_Table[[#This Row],[Unit_Cost]]*Supplier_Perf_Table[[#This Row],[Dollar Equivalent]],"")</f>
        <v>59.152069999999995</v>
      </c>
      <c r="Q656" s="75">
        <v>300</v>
      </c>
      <c r="R656" s="1">
        <v>199389</v>
      </c>
      <c r="S656" s="75">
        <f>Supplier_Perf_Table[[#This Row],[Unit_Cost]]*Supplier_Perf_Table[[#This Row],[Order_Quantity]]</f>
        <v>199389</v>
      </c>
      <c r="T656" s="75">
        <f>IFERROR(Supplier_Perf_Table[[#This Row],[Dollar Equivalent]]*Supplier_Perf_Table[[#This Row],[Ordered_Value]],"")</f>
        <v>17745.620999999999</v>
      </c>
      <c r="U656" s="75">
        <v>5</v>
      </c>
      <c r="V656" s="7">
        <v>1.67E-2</v>
      </c>
      <c r="W656" s="75">
        <v>15</v>
      </c>
      <c r="X656" s="55">
        <f>IFERROR(Supplier_Perf_Table[[#This Row],[Actual_Delivery_Date]]-Supplier_Perf_Table[[#This Row],[Order Date]],"")</f>
        <v>15</v>
      </c>
      <c r="Y656" s="75">
        <v>11</v>
      </c>
      <c r="Z656" s="56">
        <f>IFERROR(Supplier_Perf_Table[[#This Row],[Expected Delivery_Date]]-Supplier_Perf_Table[[#This Row],[Order Date]],"")</f>
        <v>11</v>
      </c>
      <c r="AA656" s="56">
        <f>Supplier_Perf_Table[[#This Row],[Calculated_Lead_Time2]]-Supplier_Perf_Table[[#This Row],[Calculated_Expected_Lead_Time]]</f>
        <v>4</v>
      </c>
      <c r="AB656" s="75">
        <v>4</v>
      </c>
      <c r="AC656" s="63" t="s">
        <v>205</v>
      </c>
      <c r="AD656" s="63" t="s">
        <v>40</v>
      </c>
      <c r="AE656" s="63" t="s">
        <v>41</v>
      </c>
      <c r="AF656" s="63" t="s">
        <v>42</v>
      </c>
      <c r="AG656" s="63" t="s">
        <v>128</v>
      </c>
      <c r="AH656" s="63" t="s">
        <v>88</v>
      </c>
      <c r="AI656" s="63" t="s">
        <v>191</v>
      </c>
      <c r="AJ656" s="63" t="s">
        <v>138</v>
      </c>
      <c r="AK656" s="83">
        <v>3.9</v>
      </c>
      <c r="AL656" s="63" t="s">
        <v>45</v>
      </c>
      <c r="AM656" s="63" t="s">
        <v>46</v>
      </c>
      <c r="AN656"/>
    </row>
    <row r="657" spans="1:40" ht="18" customHeight="1">
      <c r="A657" s="1" t="s">
        <v>2095</v>
      </c>
      <c r="B657" s="1" t="s">
        <v>2096</v>
      </c>
      <c r="C657" s="4">
        <v>46127</v>
      </c>
      <c r="D657" s="4">
        <v>46139</v>
      </c>
      <c r="E657" s="4">
        <v>46155</v>
      </c>
      <c r="F657" s="63" t="s">
        <v>48</v>
      </c>
      <c r="G657" s="63" t="s">
        <v>3836</v>
      </c>
      <c r="H657" s="63" t="s">
        <v>102</v>
      </c>
      <c r="I657" s="63" t="s">
        <v>49</v>
      </c>
      <c r="J657" s="63" t="s">
        <v>50</v>
      </c>
      <c r="K657" s="63" t="s">
        <v>2097</v>
      </c>
      <c r="L657" s="63" t="s">
        <v>52</v>
      </c>
      <c r="M657" s="69">
        <v>2636.72</v>
      </c>
      <c r="N657" s="63" t="s">
        <v>104</v>
      </c>
      <c r="O657" s="73">
        <f>_xlfn.XLOOKUP(Supplier_Perf_Table[[#This Row],[Currency]],'Comments 2'!$C$4:$C$16,'Comments 2'!$D$4:$D$16)</f>
        <v>1.9E-2</v>
      </c>
      <c r="P657" s="69">
        <f>IFERROR(Supplier_Perf_Table[[#This Row],[Unit_Cost]]*Supplier_Perf_Table[[#This Row],[Dollar Equivalent]],"")</f>
        <v>50.097679999999997</v>
      </c>
      <c r="Q657" s="75">
        <v>1000</v>
      </c>
      <c r="R657" s="1">
        <v>2636720</v>
      </c>
      <c r="S657" s="75">
        <f>Supplier_Perf_Table[[#This Row],[Unit_Cost]]*Supplier_Perf_Table[[#This Row],[Order_Quantity]]</f>
        <v>2636720</v>
      </c>
      <c r="T657" s="75">
        <f>IFERROR(Supplier_Perf_Table[[#This Row],[Dollar Equivalent]]*Supplier_Perf_Table[[#This Row],[Ordered_Value]],"")</f>
        <v>50097.68</v>
      </c>
      <c r="U657" s="75">
        <v>0</v>
      </c>
      <c r="V657" s="7">
        <v>0</v>
      </c>
      <c r="W657" s="75">
        <v>28</v>
      </c>
      <c r="X657" s="55">
        <f>IFERROR(Supplier_Perf_Table[[#This Row],[Actual_Delivery_Date]]-Supplier_Perf_Table[[#This Row],[Order Date]],"")</f>
        <v>28</v>
      </c>
      <c r="Y657" s="75">
        <v>12</v>
      </c>
      <c r="Z657" s="56">
        <f>IFERROR(Supplier_Perf_Table[[#This Row],[Expected Delivery_Date]]-Supplier_Perf_Table[[#This Row],[Order Date]],"")</f>
        <v>12</v>
      </c>
      <c r="AA657" s="56">
        <f>Supplier_Perf_Table[[#This Row],[Calculated_Lead_Time2]]-Supplier_Perf_Table[[#This Row],[Calculated_Expected_Lead_Time]]</f>
        <v>16</v>
      </c>
      <c r="AB657" s="75">
        <v>16</v>
      </c>
      <c r="AC657" s="63" t="s">
        <v>135</v>
      </c>
      <c r="AD657" s="63" t="s">
        <v>40</v>
      </c>
      <c r="AE657" s="63" t="s">
        <v>127</v>
      </c>
      <c r="AF657" s="63" t="s">
        <v>66</v>
      </c>
      <c r="AG657" s="63" t="s">
        <v>54</v>
      </c>
      <c r="AH657" s="63" t="s">
        <v>136</v>
      </c>
      <c r="AI657" s="63" t="s">
        <v>191</v>
      </c>
      <c r="AJ657" s="63" t="s">
        <v>138</v>
      </c>
      <c r="AK657" s="83">
        <v>2.6</v>
      </c>
      <c r="AL657" s="63" t="s">
        <v>115</v>
      </c>
      <c r="AM657" s="63" t="s">
        <v>148</v>
      </c>
      <c r="AN657"/>
    </row>
    <row r="658" spans="1:40" ht="18" customHeight="1">
      <c r="A658" s="1" t="s">
        <v>2098</v>
      </c>
      <c r="B658" s="1" t="s">
        <v>2099</v>
      </c>
      <c r="C658" s="4">
        <v>46194</v>
      </c>
      <c r="D658" s="4">
        <v>46200</v>
      </c>
      <c r="E658" s="4">
        <v>46213</v>
      </c>
      <c r="F658" s="63" t="s">
        <v>60</v>
      </c>
      <c r="G658" s="63" t="s">
        <v>3837</v>
      </c>
      <c r="H658" s="63" t="s">
        <v>152</v>
      </c>
      <c r="I658" s="63" t="s">
        <v>61</v>
      </c>
      <c r="J658" s="63" t="s">
        <v>62</v>
      </c>
      <c r="K658" s="63" t="s">
        <v>2100</v>
      </c>
      <c r="L658" s="63" t="s">
        <v>122</v>
      </c>
      <c r="M658" s="69">
        <v>704.24</v>
      </c>
      <c r="N658" s="63" t="s">
        <v>86</v>
      </c>
      <c r="O658" s="73">
        <f>_xlfn.XLOOKUP(Supplier_Perf_Table[[#This Row],[Currency]],'Comments 2'!$C$4:$C$16,'Comments 2'!$D$4:$D$16)</f>
        <v>8.8999999999999996E-2</v>
      </c>
      <c r="P658" s="69">
        <f>IFERROR(Supplier_Perf_Table[[#This Row],[Unit_Cost]]*Supplier_Perf_Table[[#This Row],[Dollar Equivalent]],"")</f>
        <v>62.67736</v>
      </c>
      <c r="Q658" s="75">
        <v>200</v>
      </c>
      <c r="R658" s="1">
        <v>140848</v>
      </c>
      <c r="S658" s="75">
        <f>Supplier_Perf_Table[[#This Row],[Unit_Cost]]*Supplier_Perf_Table[[#This Row],[Order_Quantity]]</f>
        <v>140848</v>
      </c>
      <c r="T658" s="75">
        <f>IFERROR(Supplier_Perf_Table[[#This Row],[Dollar Equivalent]]*Supplier_Perf_Table[[#This Row],[Ordered_Value]],"")</f>
        <v>12535.472</v>
      </c>
      <c r="U658" s="75"/>
      <c r="V658" s="7">
        <v>1.4999999999999999E-2</v>
      </c>
      <c r="W658" s="75">
        <v>19</v>
      </c>
      <c r="X658" s="55">
        <f>IFERROR(Supplier_Perf_Table[[#This Row],[Actual_Delivery_Date]]-Supplier_Perf_Table[[#This Row],[Order Date]],"")</f>
        <v>19</v>
      </c>
      <c r="Y658" s="75">
        <v>6</v>
      </c>
      <c r="Z658" s="56">
        <f>IFERROR(Supplier_Perf_Table[[#This Row],[Expected Delivery_Date]]-Supplier_Perf_Table[[#This Row],[Order Date]],"")</f>
        <v>6</v>
      </c>
      <c r="AA658" s="56">
        <f>Supplier_Perf_Table[[#This Row],[Calculated_Lead_Time2]]-Supplier_Perf_Table[[#This Row],[Calculated_Expected_Lead_Time]]</f>
        <v>13</v>
      </c>
      <c r="AB658" s="75">
        <v>13</v>
      </c>
      <c r="AC658" s="63" t="s">
        <v>205</v>
      </c>
      <c r="AD658" s="63" t="s">
        <v>40</v>
      </c>
      <c r="AE658" s="63" t="s">
        <v>127</v>
      </c>
      <c r="AF658" s="63" t="s">
        <v>190</v>
      </c>
      <c r="AG658" s="63" t="s">
        <v>107</v>
      </c>
      <c r="AH658" s="63" t="s">
        <v>206</v>
      </c>
      <c r="AI658" s="63" t="s">
        <v>137</v>
      </c>
      <c r="AJ658" s="63" t="s">
        <v>138</v>
      </c>
      <c r="AK658" s="83">
        <v>2.4</v>
      </c>
      <c r="AL658" s="63" t="s">
        <v>115</v>
      </c>
      <c r="AM658" s="63" t="s">
        <v>148</v>
      </c>
      <c r="AN658"/>
    </row>
    <row r="659" spans="1:40" ht="18" customHeight="1">
      <c r="A659" s="1" t="s">
        <v>2101</v>
      </c>
      <c r="B659" s="1" t="s">
        <v>2102</v>
      </c>
      <c r="C659" s="4">
        <v>46119</v>
      </c>
      <c r="D659" s="4">
        <v>46138</v>
      </c>
      <c r="E659" s="4">
        <v>46135</v>
      </c>
      <c r="F659" s="63" t="s">
        <v>256</v>
      </c>
      <c r="G659" s="63" t="s">
        <v>3849</v>
      </c>
      <c r="H659" s="63" t="s">
        <v>258</v>
      </c>
      <c r="I659" s="63" t="s">
        <v>70</v>
      </c>
      <c r="J659" s="63" t="s">
        <v>163</v>
      </c>
      <c r="K659" s="63" t="s">
        <v>2103</v>
      </c>
      <c r="L659" s="63" t="s">
        <v>165</v>
      </c>
      <c r="M659" s="69">
        <v>1596.18</v>
      </c>
      <c r="N659" s="63" t="s">
        <v>53</v>
      </c>
      <c r="O659" s="73">
        <f>_xlfn.XLOOKUP(Supplier_Perf_Table[[#This Row],[Currency]],'Comments 2'!$C$4:$C$16,'Comments 2'!$D$4:$D$16)</f>
        <v>6.0999999999999999E-2</v>
      </c>
      <c r="P659" s="69">
        <f>IFERROR(Supplier_Perf_Table[[#This Row],[Unit_Cost]]*Supplier_Perf_Table[[#This Row],[Dollar Equivalent]],"")</f>
        <v>97.366979999999998</v>
      </c>
      <c r="Q659" s="75">
        <v>75</v>
      </c>
      <c r="R659" s="1">
        <v>119713.5</v>
      </c>
      <c r="S659" s="75">
        <f>Supplier_Perf_Table[[#This Row],[Unit_Cost]]*Supplier_Perf_Table[[#This Row],[Order_Quantity]]</f>
        <v>119713.5</v>
      </c>
      <c r="T659" s="75">
        <f>IFERROR(Supplier_Perf_Table[[#This Row],[Dollar Equivalent]]*Supplier_Perf_Table[[#This Row],[Ordered_Value]],"")</f>
        <v>7302.5235000000002</v>
      </c>
      <c r="U659" s="75">
        <v>0</v>
      </c>
      <c r="V659" s="7">
        <v>0</v>
      </c>
      <c r="W659" s="75">
        <v>16</v>
      </c>
      <c r="X659" s="55">
        <f>IFERROR(Supplier_Perf_Table[[#This Row],[Actual_Delivery_Date]]-Supplier_Perf_Table[[#This Row],[Order Date]],"")</f>
        <v>16</v>
      </c>
      <c r="Y659" s="75">
        <v>19</v>
      </c>
      <c r="Z659" s="56">
        <f>IFERROR(Supplier_Perf_Table[[#This Row],[Expected Delivery_Date]]-Supplier_Perf_Table[[#This Row],[Order Date]],"")</f>
        <v>19</v>
      </c>
      <c r="AA659" s="56">
        <f>Supplier_Perf_Table[[#This Row],[Calculated_Lead_Time2]]-Supplier_Perf_Table[[#This Row],[Calculated_Expected_Lead_Time]]</f>
        <v>-3</v>
      </c>
      <c r="AB659" s="75">
        <v>-3</v>
      </c>
      <c r="AC659" s="63" t="s">
        <v>87</v>
      </c>
      <c r="AD659" s="63" t="s">
        <v>40</v>
      </c>
      <c r="AE659" s="63" t="s">
        <v>41</v>
      </c>
      <c r="AF659" s="63" t="s">
        <v>106</v>
      </c>
      <c r="AG659" s="63" t="s">
        <v>107</v>
      </c>
      <c r="AH659" s="63" t="s">
        <v>55</v>
      </c>
      <c r="AI659" s="63" t="s">
        <v>138</v>
      </c>
      <c r="AJ659" s="63" t="s">
        <v>138</v>
      </c>
      <c r="AK659" s="83">
        <v>4.4000000000000004</v>
      </c>
      <c r="AL659" s="63" t="s">
        <v>184</v>
      </c>
      <c r="AM659" s="63" t="s">
        <v>138</v>
      </c>
      <c r="AN659"/>
    </row>
    <row r="660" spans="1:40" ht="18" customHeight="1">
      <c r="A660" s="1" t="s">
        <v>2104</v>
      </c>
      <c r="B660" s="1" t="s">
        <v>2105</v>
      </c>
      <c r="C660" s="4">
        <v>46098</v>
      </c>
      <c r="D660" s="4">
        <v>46117</v>
      </c>
      <c r="E660" s="4">
        <v>46126</v>
      </c>
      <c r="F660" s="63" t="s">
        <v>32</v>
      </c>
      <c r="G660" s="63" t="s">
        <v>3835</v>
      </c>
      <c r="H660" s="63" t="s">
        <v>177</v>
      </c>
      <c r="I660" s="63" t="s">
        <v>49</v>
      </c>
      <c r="J660" s="63" t="s">
        <v>35</v>
      </c>
      <c r="K660" s="63" t="s">
        <v>2106</v>
      </c>
      <c r="L660" s="63" t="s">
        <v>37</v>
      </c>
      <c r="M660" s="69">
        <v>106.97</v>
      </c>
      <c r="N660" s="63" t="s">
        <v>53</v>
      </c>
      <c r="O660" s="73">
        <f>_xlfn.XLOOKUP(Supplier_Perf_Table[[#This Row],[Currency]],'Comments 2'!$C$4:$C$16,'Comments 2'!$D$4:$D$16)</f>
        <v>6.0999999999999999E-2</v>
      </c>
      <c r="P660" s="69">
        <f>IFERROR(Supplier_Perf_Table[[#This Row],[Unit_Cost]]*Supplier_Perf_Table[[#This Row],[Dollar Equivalent]],"")</f>
        <v>6.5251700000000001</v>
      </c>
      <c r="Q660" s="75">
        <v>100</v>
      </c>
      <c r="R660" s="1">
        <v>10697</v>
      </c>
      <c r="S660" s="75">
        <f>Supplier_Perf_Table[[#This Row],[Unit_Cost]]*Supplier_Perf_Table[[#This Row],[Order_Quantity]]</f>
        <v>10697</v>
      </c>
      <c r="T660" s="75">
        <f>IFERROR(Supplier_Perf_Table[[#This Row],[Dollar Equivalent]]*Supplier_Perf_Table[[#This Row],[Ordered_Value]],"")</f>
        <v>652.51699999999994</v>
      </c>
      <c r="U660" s="75">
        <v>5</v>
      </c>
      <c r="V660" s="7">
        <v>0.05</v>
      </c>
      <c r="W660" s="75">
        <v>28</v>
      </c>
      <c r="X660" s="55">
        <f>IFERROR(Supplier_Perf_Table[[#This Row],[Actual_Delivery_Date]]-Supplier_Perf_Table[[#This Row],[Order Date]],"")</f>
        <v>28</v>
      </c>
      <c r="Y660" s="75" t="s">
        <v>3080</v>
      </c>
      <c r="Z660" s="56">
        <f>IFERROR(Supplier_Perf_Table[[#This Row],[Expected Delivery_Date]]-Supplier_Perf_Table[[#This Row],[Order Date]],"")</f>
        <v>19</v>
      </c>
      <c r="AA660" s="56">
        <f>Supplier_Perf_Table[[#This Row],[Calculated_Lead_Time2]]-Supplier_Perf_Table[[#This Row],[Calculated_Expected_Lead_Time]]</f>
        <v>9</v>
      </c>
      <c r="AB660" s="75">
        <v>9</v>
      </c>
      <c r="AC660" s="63" t="s">
        <v>39</v>
      </c>
      <c r="AD660" s="63" t="s">
        <v>420</v>
      </c>
      <c r="AE660" s="63" t="s">
        <v>105</v>
      </c>
      <c r="AF660" s="63" t="s">
        <v>212</v>
      </c>
      <c r="AG660" s="63" t="s">
        <v>107</v>
      </c>
      <c r="AH660" s="63" t="s">
        <v>88</v>
      </c>
      <c r="AI660" s="63" t="s">
        <v>44</v>
      </c>
      <c r="AJ660" s="63" t="s">
        <v>96</v>
      </c>
      <c r="AK660" s="83">
        <v>1.1000000000000001</v>
      </c>
      <c r="AL660" s="63" t="s">
        <v>76</v>
      </c>
      <c r="AM660" s="63" t="s">
        <v>77</v>
      </c>
      <c r="AN660"/>
    </row>
    <row r="661" spans="1:40" ht="18" customHeight="1">
      <c r="A661" s="63" t="s">
        <v>2107</v>
      </c>
      <c r="B661" s="63" t="s">
        <v>2108</v>
      </c>
      <c r="C661" s="4">
        <v>46082</v>
      </c>
      <c r="D661" s="4">
        <v>46089</v>
      </c>
      <c r="E661" s="4">
        <v>46093</v>
      </c>
      <c r="F661" s="63" t="s">
        <v>60</v>
      </c>
      <c r="G661" s="63" t="s">
        <v>3837</v>
      </c>
      <c r="H661" s="63" t="s">
        <v>152</v>
      </c>
      <c r="I661" s="63" t="s">
        <v>92</v>
      </c>
      <c r="J661" s="63" t="s">
        <v>163</v>
      </c>
      <c r="K661" s="63" t="s">
        <v>2109</v>
      </c>
      <c r="L661" s="63" t="s">
        <v>165</v>
      </c>
      <c r="M661" s="69">
        <v>952.48</v>
      </c>
      <c r="N661" s="63" t="s">
        <v>38</v>
      </c>
      <c r="O661" s="73">
        <f>_xlfn.XLOOKUP(Supplier_Perf_Table[[#This Row],[Currency]],'Comments 2'!$C$4:$C$16,'Comments 2'!$D$4:$D$16)</f>
        <v>7.7000000000000002E-3</v>
      </c>
      <c r="P661" s="69">
        <f>IFERROR(Supplier_Perf_Table[[#This Row],[Unit_Cost]]*Supplier_Perf_Table[[#This Row],[Dollar Equivalent]],"")</f>
        <v>7.3340960000000006</v>
      </c>
      <c r="Q661" s="75">
        <v>500</v>
      </c>
      <c r="R661" s="1">
        <v>476240</v>
      </c>
      <c r="S661" s="75">
        <f>Supplier_Perf_Table[[#This Row],[Unit_Cost]]*Supplier_Perf_Table[[#This Row],[Order_Quantity]]</f>
        <v>476240</v>
      </c>
      <c r="T661" s="75">
        <f>IFERROR(Supplier_Perf_Table[[#This Row],[Dollar Equivalent]]*Supplier_Perf_Table[[#This Row],[Ordered_Value]],"")</f>
        <v>3667.0480000000002</v>
      </c>
      <c r="U661" s="75">
        <v>0</v>
      </c>
      <c r="V661" s="7">
        <v>0</v>
      </c>
      <c r="W661" s="75">
        <v>11</v>
      </c>
      <c r="X661" s="55">
        <f>IFERROR(Supplier_Perf_Table[[#This Row],[Actual_Delivery_Date]]-Supplier_Perf_Table[[#This Row],[Order Date]],"")</f>
        <v>11</v>
      </c>
      <c r="Y661" s="75">
        <v>7</v>
      </c>
      <c r="Z661" s="56">
        <f>IFERROR(Supplier_Perf_Table[[#This Row],[Expected Delivery_Date]]-Supplier_Perf_Table[[#This Row],[Order Date]],"")</f>
        <v>7</v>
      </c>
      <c r="AA661" s="56">
        <f>Supplier_Perf_Table[[#This Row],[Calculated_Lead_Time2]]-Supplier_Perf_Table[[#This Row],[Calculated_Expected_Lead_Time]]</f>
        <v>4</v>
      </c>
      <c r="AB661" s="75">
        <v>4</v>
      </c>
      <c r="AC661" s="63" t="s">
        <v>135</v>
      </c>
      <c r="AD661" s="63" t="s">
        <v>40</v>
      </c>
      <c r="AE661" s="63" t="s">
        <v>3088</v>
      </c>
      <c r="AF661" s="63" t="s">
        <v>212</v>
      </c>
      <c r="AG661" s="63" t="s">
        <v>173</v>
      </c>
      <c r="AH661" s="63" t="s">
        <v>88</v>
      </c>
      <c r="AI661" s="63" t="s">
        <v>138</v>
      </c>
      <c r="AJ661" s="63" t="s">
        <v>138</v>
      </c>
      <c r="AK661" s="83">
        <v>4.8</v>
      </c>
      <c r="AL661" s="63" t="s">
        <v>115</v>
      </c>
      <c r="AM661" s="63" t="s">
        <v>148</v>
      </c>
      <c r="AN661"/>
    </row>
    <row r="662" spans="1:40" ht="18" customHeight="1">
      <c r="A662" s="1" t="s">
        <v>2110</v>
      </c>
      <c r="B662" s="1" t="s">
        <v>2111</v>
      </c>
      <c r="C662" s="4">
        <v>46202</v>
      </c>
      <c r="D662" s="4">
        <v>46223</v>
      </c>
      <c r="E662" s="4">
        <v>46232</v>
      </c>
      <c r="F662" s="63" t="s">
        <v>32</v>
      </c>
      <c r="G662" s="63" t="s">
        <v>3835</v>
      </c>
      <c r="H662" s="63" t="s">
        <v>177</v>
      </c>
      <c r="I662" s="63" t="s">
        <v>49</v>
      </c>
      <c r="J662" s="63" t="s">
        <v>112</v>
      </c>
      <c r="K662" s="63" t="s">
        <v>2112</v>
      </c>
      <c r="L662" s="63" t="s">
        <v>246</v>
      </c>
      <c r="M662" s="69">
        <v>333.4</v>
      </c>
      <c r="N662" s="63" t="s">
        <v>159</v>
      </c>
      <c r="O662" s="73">
        <f>_xlfn.XLOOKUP(Supplier_Perf_Table[[#This Row],[Currency]],'Comments 2'!$C$4:$C$16,'Comments 2'!$D$4:$D$16)</f>
        <v>7.2999999999999996E-4</v>
      </c>
      <c r="P662" s="69">
        <f>IFERROR(Supplier_Perf_Table[[#This Row],[Unit_Cost]]*Supplier_Perf_Table[[#This Row],[Dollar Equivalent]],"")</f>
        <v>0.24338199999999996</v>
      </c>
      <c r="Q662" s="75">
        <v>1500</v>
      </c>
      <c r="R662" s="1">
        <v>500100</v>
      </c>
      <c r="S662" s="75">
        <f>Supplier_Perf_Table[[#This Row],[Unit_Cost]]*Supplier_Perf_Table[[#This Row],[Order_Quantity]]</f>
        <v>500099.99999999994</v>
      </c>
      <c r="T662" s="75">
        <f>IFERROR(Supplier_Perf_Table[[#This Row],[Dollar Equivalent]]*Supplier_Perf_Table[[#This Row],[Ordered_Value]],"")</f>
        <v>365.07299999999998</v>
      </c>
      <c r="U662" s="75">
        <v>0</v>
      </c>
      <c r="V662" s="7">
        <v>0</v>
      </c>
      <c r="W662" s="75">
        <v>30</v>
      </c>
      <c r="X662" s="55">
        <f>IFERROR(Supplier_Perf_Table[[#This Row],[Actual_Delivery_Date]]-Supplier_Perf_Table[[#This Row],[Order Date]],"")</f>
        <v>30</v>
      </c>
      <c r="Y662" s="75">
        <v>21</v>
      </c>
      <c r="Z662" s="56">
        <f>IFERROR(Supplier_Perf_Table[[#This Row],[Expected Delivery_Date]]-Supplier_Perf_Table[[#This Row],[Order Date]],"")</f>
        <v>21</v>
      </c>
      <c r="AA662" s="56">
        <f>Supplier_Perf_Table[[#This Row],[Calculated_Lead_Time2]]-Supplier_Perf_Table[[#This Row],[Calculated_Expected_Lead_Time]]</f>
        <v>9</v>
      </c>
      <c r="AB662" s="75">
        <v>9</v>
      </c>
      <c r="AC662" s="63" t="s">
        <v>135</v>
      </c>
      <c r="AD662" s="63" t="s">
        <v>40</v>
      </c>
      <c r="AE662" s="63" t="s">
        <v>105</v>
      </c>
      <c r="AF662" s="63" t="s">
        <v>3088</v>
      </c>
      <c r="AG662" s="63" t="s">
        <v>43</v>
      </c>
      <c r="AH662" s="63" t="s">
        <v>129</v>
      </c>
      <c r="AI662" s="63" t="s">
        <v>56</v>
      </c>
      <c r="AJ662" s="63" t="s">
        <v>138</v>
      </c>
      <c r="AK662" s="83">
        <v>2.8</v>
      </c>
      <c r="AL662" s="63" t="s">
        <v>76</v>
      </c>
      <c r="AM662" s="63" t="s">
        <v>46</v>
      </c>
      <c r="AN662"/>
    </row>
    <row r="663" spans="1:40" ht="18" customHeight="1">
      <c r="A663" s="1" t="s">
        <v>2113</v>
      </c>
      <c r="B663" s="1" t="s">
        <v>2114</v>
      </c>
      <c r="C663" s="4">
        <v>46096</v>
      </c>
      <c r="D663" s="4">
        <v>46117</v>
      </c>
      <c r="E663" s="4">
        <v>46114</v>
      </c>
      <c r="F663" s="63" t="s">
        <v>118</v>
      </c>
      <c r="G663" s="63" t="s">
        <v>3842</v>
      </c>
      <c r="H663" s="63" t="s">
        <v>301</v>
      </c>
      <c r="I663" s="63" t="s">
        <v>70</v>
      </c>
      <c r="J663" s="63" t="s">
        <v>62</v>
      </c>
      <c r="K663" s="63" t="s">
        <v>2115</v>
      </c>
      <c r="L663" s="63" t="s">
        <v>94</v>
      </c>
      <c r="M663" s="69">
        <v>259.33</v>
      </c>
      <c r="N663" s="63" t="s">
        <v>53</v>
      </c>
      <c r="O663" s="73">
        <f>_xlfn.XLOOKUP(Supplier_Perf_Table[[#This Row],[Currency]],'Comments 2'!$C$4:$C$16,'Comments 2'!$D$4:$D$16)</f>
        <v>6.0999999999999999E-2</v>
      </c>
      <c r="P663" s="69">
        <f>IFERROR(Supplier_Perf_Table[[#This Row],[Unit_Cost]]*Supplier_Perf_Table[[#This Row],[Dollar Equivalent]],"")</f>
        <v>15.819129999999999</v>
      </c>
      <c r="Q663" s="75">
        <v>2000</v>
      </c>
      <c r="R663" s="1">
        <v>518660</v>
      </c>
      <c r="S663" s="75">
        <f>Supplier_Perf_Table[[#This Row],[Unit_Cost]]*Supplier_Perf_Table[[#This Row],[Order_Quantity]]</f>
        <v>518659.99999999994</v>
      </c>
      <c r="T663" s="75">
        <f>IFERROR(Supplier_Perf_Table[[#This Row],[Dollar Equivalent]]*Supplier_Perf_Table[[#This Row],[Ordered_Value]],"")</f>
        <v>31638.26</v>
      </c>
      <c r="U663" s="75">
        <v>2002</v>
      </c>
      <c r="V663" s="7">
        <v>3.7499999999999999E-2</v>
      </c>
      <c r="W663" s="75">
        <v>18</v>
      </c>
      <c r="X663" s="55">
        <f>IFERROR(Supplier_Perf_Table[[#This Row],[Actual_Delivery_Date]]-Supplier_Perf_Table[[#This Row],[Order Date]],"")</f>
        <v>18</v>
      </c>
      <c r="Y663" s="75">
        <v>21</v>
      </c>
      <c r="Z663" s="56">
        <f>IFERROR(Supplier_Perf_Table[[#This Row],[Expected Delivery_Date]]-Supplier_Perf_Table[[#This Row],[Order Date]],"")</f>
        <v>21</v>
      </c>
      <c r="AA663" s="56">
        <f>Supplier_Perf_Table[[#This Row],[Calculated_Lead_Time2]]-Supplier_Perf_Table[[#This Row],[Calculated_Expected_Lead_Time]]</f>
        <v>-3</v>
      </c>
      <c r="AB663" s="75"/>
      <c r="AC663" s="63" t="s">
        <v>87</v>
      </c>
      <c r="AD663" s="63" t="s">
        <v>40</v>
      </c>
      <c r="AE663" s="63" t="s">
        <v>41</v>
      </c>
      <c r="AF663" s="63" t="s">
        <v>106</v>
      </c>
      <c r="AG663" s="63" t="s">
        <v>43</v>
      </c>
      <c r="AH663" s="63" t="s">
        <v>136</v>
      </c>
      <c r="AI663" s="63" t="s">
        <v>147</v>
      </c>
      <c r="AJ663" s="63" t="s">
        <v>138</v>
      </c>
      <c r="AK663" s="83">
        <v>2.1</v>
      </c>
      <c r="AL663" s="63" t="s">
        <v>76</v>
      </c>
      <c r="AM663" s="63" t="s">
        <v>138</v>
      </c>
      <c r="AN663"/>
    </row>
    <row r="664" spans="1:40" ht="18" customHeight="1">
      <c r="A664" s="1" t="s">
        <v>2116</v>
      </c>
      <c r="B664" s="1" t="s">
        <v>2117</v>
      </c>
      <c r="C664" s="4">
        <v>46043</v>
      </c>
      <c r="D664" s="4">
        <v>46052</v>
      </c>
      <c r="E664" s="4">
        <v>46052</v>
      </c>
      <c r="F664" s="63" t="s">
        <v>209</v>
      </c>
      <c r="G664" s="63" t="s">
        <v>3845</v>
      </c>
      <c r="H664" s="63" t="s">
        <v>316</v>
      </c>
      <c r="I664" s="63" t="s">
        <v>49</v>
      </c>
      <c r="J664" s="63" t="s">
        <v>153</v>
      </c>
      <c r="K664" s="63" t="s">
        <v>2118</v>
      </c>
      <c r="L664" s="63" t="s">
        <v>318</v>
      </c>
      <c r="M664" s="69">
        <v>744.86</v>
      </c>
      <c r="N664" s="63" t="s">
        <v>86</v>
      </c>
      <c r="O664" s="73">
        <f>_xlfn.XLOOKUP(Supplier_Perf_Table[[#This Row],[Currency]],'Comments 2'!$C$4:$C$16,'Comments 2'!$D$4:$D$16)</f>
        <v>8.8999999999999996E-2</v>
      </c>
      <c r="P664" s="69">
        <f>IFERROR(Supplier_Perf_Table[[#This Row],[Unit_Cost]]*Supplier_Perf_Table[[#This Row],[Dollar Equivalent]],"")</f>
        <v>66.292540000000002</v>
      </c>
      <c r="Q664" s="75">
        <v>150</v>
      </c>
      <c r="R664" s="1">
        <v>111729</v>
      </c>
      <c r="S664" s="75">
        <f>Supplier_Perf_Table[[#This Row],[Unit_Cost]]*Supplier_Perf_Table[[#This Row],[Order_Quantity]]</f>
        <v>111729</v>
      </c>
      <c r="T664" s="75">
        <f>IFERROR(Supplier_Perf_Table[[#This Row],[Dollar Equivalent]]*Supplier_Perf_Table[[#This Row],[Ordered_Value]],"")</f>
        <v>9943.8809999999994</v>
      </c>
      <c r="U664" s="75"/>
      <c r="V664" s="7">
        <v>1.3299999999999999E-2</v>
      </c>
      <c r="W664" s="75">
        <v>9</v>
      </c>
      <c r="X664" s="55">
        <f>IFERROR(Supplier_Perf_Table[[#This Row],[Actual_Delivery_Date]]-Supplier_Perf_Table[[#This Row],[Order Date]],"")</f>
        <v>9</v>
      </c>
      <c r="Y664" s="75">
        <v>9</v>
      </c>
      <c r="Z664" s="56">
        <f>IFERROR(Supplier_Perf_Table[[#This Row],[Expected Delivery_Date]]-Supplier_Perf_Table[[#This Row],[Order Date]],"")</f>
        <v>9</v>
      </c>
      <c r="AA664" s="56">
        <f>Supplier_Perf_Table[[#This Row],[Calculated_Lead_Time2]]-Supplier_Perf_Table[[#This Row],[Calculated_Expected_Lead_Time]]</f>
        <v>0</v>
      </c>
      <c r="AB664" s="75">
        <v>0</v>
      </c>
      <c r="AC664" s="63" t="s">
        <v>87</v>
      </c>
      <c r="AD664" s="63" t="s">
        <v>40</v>
      </c>
      <c r="AE664" s="63" t="s">
        <v>3088</v>
      </c>
      <c r="AF664" s="63" t="s">
        <v>190</v>
      </c>
      <c r="AG664" s="63" t="s">
        <v>3088</v>
      </c>
      <c r="AH664" s="63" t="s">
        <v>3112</v>
      </c>
      <c r="AI664" s="63" t="s">
        <v>95</v>
      </c>
      <c r="AJ664" s="63" t="s">
        <v>138</v>
      </c>
      <c r="AK664" s="83">
        <v>4.5999999999999996</v>
      </c>
      <c r="AL664" s="63" t="s">
        <v>76</v>
      </c>
      <c r="AM664" s="63" t="s">
        <v>130</v>
      </c>
      <c r="AN664"/>
    </row>
    <row r="665" spans="1:40" ht="18" customHeight="1">
      <c r="A665" s="1" t="s">
        <v>2119</v>
      </c>
      <c r="B665" s="1" t="s">
        <v>2120</v>
      </c>
      <c r="C665" s="4">
        <v>46070</v>
      </c>
      <c r="D665" s="4">
        <v>46086</v>
      </c>
      <c r="E665" s="4">
        <v>46093</v>
      </c>
      <c r="F665" s="63" t="s">
        <v>90</v>
      </c>
      <c r="G665" s="63" t="s">
        <v>3840</v>
      </c>
      <c r="H665" s="63" t="s">
        <v>133</v>
      </c>
      <c r="I665" s="63" t="s">
        <v>70</v>
      </c>
      <c r="J665" s="63" t="s">
        <v>71</v>
      </c>
      <c r="K665" s="63" t="s">
        <v>2121</v>
      </c>
      <c r="L665" s="63" t="s">
        <v>553</v>
      </c>
      <c r="M665" s="69">
        <v>540.54999999999995</v>
      </c>
      <c r="N665" s="63" t="s">
        <v>159</v>
      </c>
      <c r="O665" s="73">
        <f>_xlfn.XLOOKUP(Supplier_Perf_Table[[#This Row],[Currency]],'Comments 2'!$C$4:$C$16,'Comments 2'!$D$4:$D$16)</f>
        <v>7.2999999999999996E-4</v>
      </c>
      <c r="P665" s="69">
        <f>IFERROR(Supplier_Perf_Table[[#This Row],[Unit_Cost]]*Supplier_Perf_Table[[#This Row],[Dollar Equivalent]],"")</f>
        <v>0.39460149999999994</v>
      </c>
      <c r="Q665" s="75" t="s">
        <v>3080</v>
      </c>
      <c r="R665" s="1">
        <v>54055</v>
      </c>
      <c r="S665" s="75" t="e">
        <f>Supplier_Perf_Table[[#This Row],[Unit_Cost]]*Supplier_Perf_Table[[#This Row],[Order_Quantity]]</f>
        <v>#VALUE!</v>
      </c>
      <c r="T665" s="75">
        <f>IFERROR(Supplier_Perf_Table[[#This Row],[Dollar Equivalent]]*Supplier_Perf_Table[[#This Row],[Ordered_Value]],"")</f>
        <v>39.460149999999999</v>
      </c>
      <c r="U665" s="75">
        <v>0</v>
      </c>
      <c r="V665" s="7">
        <v>0</v>
      </c>
      <c r="W665" s="75">
        <v>23</v>
      </c>
      <c r="X665" s="55">
        <f>IFERROR(Supplier_Perf_Table[[#This Row],[Actual_Delivery_Date]]-Supplier_Perf_Table[[#This Row],[Order Date]],"")</f>
        <v>23</v>
      </c>
      <c r="Y665" s="75">
        <v>16</v>
      </c>
      <c r="Z665" s="56">
        <f>IFERROR(Supplier_Perf_Table[[#This Row],[Expected Delivery_Date]]-Supplier_Perf_Table[[#This Row],[Order Date]],"")</f>
        <v>16</v>
      </c>
      <c r="AA665" s="56">
        <f>Supplier_Perf_Table[[#This Row],[Calculated_Lead_Time2]]-Supplier_Perf_Table[[#This Row],[Calculated_Expected_Lead_Time]]</f>
        <v>7</v>
      </c>
      <c r="AB665" s="75">
        <v>7</v>
      </c>
      <c r="AC665" s="63" t="s">
        <v>135</v>
      </c>
      <c r="AD665" s="63" t="s">
        <v>3088</v>
      </c>
      <c r="AE665" s="63" t="s">
        <v>105</v>
      </c>
      <c r="AF665" s="63" t="s">
        <v>190</v>
      </c>
      <c r="AG665" s="63" t="s">
        <v>128</v>
      </c>
      <c r="AH665" s="63" t="s">
        <v>129</v>
      </c>
      <c r="AI665" s="63" t="s">
        <v>191</v>
      </c>
      <c r="AJ665" s="63" t="s">
        <v>138</v>
      </c>
      <c r="AK665" s="83">
        <v>3.4</v>
      </c>
      <c r="AL665" s="63" t="s">
        <v>108</v>
      </c>
      <c r="AM665" s="63" t="s">
        <v>46</v>
      </c>
      <c r="AN665"/>
    </row>
    <row r="666" spans="1:40" ht="18" customHeight="1">
      <c r="A666" s="1" t="s">
        <v>2122</v>
      </c>
      <c r="B666" s="1" t="s">
        <v>2123</v>
      </c>
      <c r="C666" s="4">
        <v>46176</v>
      </c>
      <c r="D666" s="4">
        <v>46185</v>
      </c>
      <c r="E666" s="4">
        <v>46196</v>
      </c>
      <c r="F666" s="63" t="s">
        <v>209</v>
      </c>
      <c r="G666" s="63" t="s">
        <v>3845</v>
      </c>
      <c r="H666" s="63" t="s">
        <v>316</v>
      </c>
      <c r="I666" s="63" t="s">
        <v>83</v>
      </c>
      <c r="J666" s="63" t="s">
        <v>153</v>
      </c>
      <c r="K666" s="63" t="s">
        <v>2124</v>
      </c>
      <c r="L666" s="63" t="s">
        <v>155</v>
      </c>
      <c r="M666" s="69">
        <v>628.28</v>
      </c>
      <c r="N666" s="63" t="s">
        <v>159</v>
      </c>
      <c r="O666" s="73">
        <f>_xlfn.XLOOKUP(Supplier_Perf_Table[[#This Row],[Currency]],'Comments 2'!$C$4:$C$16,'Comments 2'!$D$4:$D$16)</f>
        <v>7.2999999999999996E-4</v>
      </c>
      <c r="P666" s="69">
        <f>IFERROR(Supplier_Perf_Table[[#This Row],[Unit_Cost]]*Supplier_Perf_Table[[#This Row],[Dollar Equivalent]],"")</f>
        <v>0.45864439999999995</v>
      </c>
      <c r="Q666" s="75">
        <v>750</v>
      </c>
      <c r="R666" s="1">
        <v>471210</v>
      </c>
      <c r="S666" s="75">
        <f>Supplier_Perf_Table[[#This Row],[Unit_Cost]]*Supplier_Perf_Table[[#This Row],[Order_Quantity]]</f>
        <v>471210</v>
      </c>
      <c r="T666" s="75">
        <f>IFERROR(Supplier_Perf_Table[[#This Row],[Dollar Equivalent]]*Supplier_Perf_Table[[#This Row],[Ordered_Value]],"")</f>
        <v>343.98329999999999</v>
      </c>
      <c r="U666" s="75">
        <v>0</v>
      </c>
      <c r="V666" s="7">
        <v>0</v>
      </c>
      <c r="W666" s="75">
        <v>20</v>
      </c>
      <c r="X666" s="55">
        <f>IFERROR(Supplier_Perf_Table[[#This Row],[Actual_Delivery_Date]]-Supplier_Perf_Table[[#This Row],[Order Date]],"")</f>
        <v>20</v>
      </c>
      <c r="Y666" s="75">
        <v>9</v>
      </c>
      <c r="Z666" s="56">
        <f>IFERROR(Supplier_Perf_Table[[#This Row],[Expected Delivery_Date]]-Supplier_Perf_Table[[#This Row],[Order Date]],"")</f>
        <v>9</v>
      </c>
      <c r="AA666" s="56">
        <f>Supplier_Perf_Table[[#This Row],[Calculated_Lead_Time2]]-Supplier_Perf_Table[[#This Row],[Calculated_Expected_Lead_Time]]</f>
        <v>11</v>
      </c>
      <c r="AB666" s="75">
        <v>11</v>
      </c>
      <c r="AC666" s="63" t="s">
        <v>135</v>
      </c>
      <c r="AD666" s="63" t="s">
        <v>40</v>
      </c>
      <c r="AE666" s="63" t="s">
        <v>105</v>
      </c>
      <c r="AF666" s="63" t="s">
        <v>66</v>
      </c>
      <c r="AG666" s="63" t="s">
        <v>173</v>
      </c>
      <c r="AH666" s="63" t="s">
        <v>174</v>
      </c>
      <c r="AI666" s="63" t="s">
        <v>95</v>
      </c>
      <c r="AJ666" s="63" t="s">
        <v>138</v>
      </c>
      <c r="AK666" s="83">
        <v>1.4</v>
      </c>
      <c r="AL666" s="63" t="s">
        <v>76</v>
      </c>
      <c r="AM666" s="63" t="s">
        <v>46</v>
      </c>
      <c r="AN666"/>
    </row>
    <row r="667" spans="1:40" ht="18" customHeight="1">
      <c r="A667" s="1" t="s">
        <v>2125</v>
      </c>
      <c r="B667" s="1" t="s">
        <v>2126</v>
      </c>
      <c r="C667" s="4">
        <v>46151</v>
      </c>
      <c r="D667" s="4">
        <v>46168</v>
      </c>
      <c r="E667" s="4">
        <v>46169</v>
      </c>
      <c r="F667" s="63" t="s">
        <v>142</v>
      </c>
      <c r="G667" s="63" t="s">
        <v>3843</v>
      </c>
      <c r="H667" s="63" t="s">
        <v>169</v>
      </c>
      <c r="I667" s="63" t="s">
        <v>120</v>
      </c>
      <c r="J667" s="63" t="s">
        <v>50</v>
      </c>
      <c r="K667" s="63" t="s">
        <v>2127</v>
      </c>
      <c r="L667" s="63" t="s">
        <v>145</v>
      </c>
      <c r="M667" s="69" t="s">
        <v>3080</v>
      </c>
      <c r="N667" s="63" t="s">
        <v>104</v>
      </c>
      <c r="O667" s="73">
        <f>_xlfn.XLOOKUP(Supplier_Perf_Table[[#This Row],[Currency]],'Comments 2'!$C$4:$C$16,'Comments 2'!$D$4:$D$16)</f>
        <v>1.9E-2</v>
      </c>
      <c r="P667" s="69" t="str">
        <f>IFERROR(Supplier_Perf_Table[[#This Row],[Unit_Cost]]*Supplier_Perf_Table[[#This Row],[Dollar Equivalent]],"")</f>
        <v/>
      </c>
      <c r="Q667" s="75">
        <v>200</v>
      </c>
      <c r="R667" s="1">
        <v>128180</v>
      </c>
      <c r="S667" s="75" t="e">
        <f>Supplier_Perf_Table[[#This Row],[Unit_Cost]]*Supplier_Perf_Table[[#This Row],[Order_Quantity]]</f>
        <v>#VALUE!</v>
      </c>
      <c r="T667" s="75">
        <f>IFERROR(Supplier_Perf_Table[[#This Row],[Dollar Equivalent]]*Supplier_Perf_Table[[#This Row],[Ordered_Value]],"")</f>
        <v>2435.42</v>
      </c>
      <c r="U667" s="75">
        <v>1</v>
      </c>
      <c r="V667" s="7">
        <v>5.0000000000000001E-3</v>
      </c>
      <c r="W667" s="75">
        <v>18</v>
      </c>
      <c r="X667" s="55">
        <f>IFERROR(Supplier_Perf_Table[[#This Row],[Actual_Delivery_Date]]-Supplier_Perf_Table[[#This Row],[Order Date]],"")</f>
        <v>18</v>
      </c>
      <c r="Y667" s="75">
        <v>17</v>
      </c>
      <c r="Z667" s="56">
        <f>IFERROR(Supplier_Perf_Table[[#This Row],[Expected Delivery_Date]]-Supplier_Perf_Table[[#This Row],[Order Date]],"")</f>
        <v>17</v>
      </c>
      <c r="AA667" s="56">
        <f>Supplier_Perf_Table[[#This Row],[Calculated_Lead_Time2]]-Supplier_Perf_Table[[#This Row],[Calculated_Expected_Lead_Time]]</f>
        <v>1</v>
      </c>
      <c r="AB667" s="75">
        <v>1</v>
      </c>
      <c r="AC667" s="63" t="s">
        <v>166</v>
      </c>
      <c r="AD667" s="63" t="s">
        <v>40</v>
      </c>
      <c r="AE667" s="63" t="s">
        <v>105</v>
      </c>
      <c r="AF667" s="63" t="s">
        <v>106</v>
      </c>
      <c r="AG667" s="63" t="s">
        <v>54</v>
      </c>
      <c r="AH667" s="63" t="s">
        <v>55</v>
      </c>
      <c r="AI667" s="63" t="s">
        <v>95</v>
      </c>
      <c r="AJ667" s="63" t="s">
        <v>138</v>
      </c>
      <c r="AK667" s="83">
        <v>4.7</v>
      </c>
      <c r="AL667" s="63" t="s">
        <v>45</v>
      </c>
      <c r="AM667" s="63" t="s">
        <v>46</v>
      </c>
      <c r="AN667"/>
    </row>
    <row r="668" spans="1:40" ht="18" customHeight="1">
      <c r="A668" s="1" t="s">
        <v>2128</v>
      </c>
      <c r="B668" s="1" t="s">
        <v>2129</v>
      </c>
      <c r="C668" s="4">
        <v>46163</v>
      </c>
      <c r="D668" s="4">
        <v>46173</v>
      </c>
      <c r="E668" s="4">
        <v>46183</v>
      </c>
      <c r="F668" s="63" t="s">
        <v>69</v>
      </c>
      <c r="G668" s="63" t="s">
        <v>3838</v>
      </c>
      <c r="H668" s="63" t="s">
        <v>194</v>
      </c>
      <c r="I668" s="63" t="s">
        <v>61</v>
      </c>
      <c r="J668" s="63" t="s">
        <v>112</v>
      </c>
      <c r="K668" s="63" t="s">
        <v>2130</v>
      </c>
      <c r="L668" s="63" t="s">
        <v>218</v>
      </c>
      <c r="M668" s="69">
        <v>372.32</v>
      </c>
      <c r="N668" s="63" t="s">
        <v>53</v>
      </c>
      <c r="O668" s="73">
        <f>_xlfn.XLOOKUP(Supplier_Perf_Table[[#This Row],[Currency]],'Comments 2'!$C$4:$C$16,'Comments 2'!$D$4:$D$16)</f>
        <v>6.0999999999999999E-2</v>
      </c>
      <c r="P668" s="69">
        <f>IFERROR(Supplier_Perf_Table[[#This Row],[Unit_Cost]]*Supplier_Perf_Table[[#This Row],[Dollar Equivalent]],"")</f>
        <v>22.71152</v>
      </c>
      <c r="Q668" s="75">
        <v>1500</v>
      </c>
      <c r="R668" s="1">
        <v>558480</v>
      </c>
      <c r="S668" s="75">
        <f>Supplier_Perf_Table[[#This Row],[Unit_Cost]]*Supplier_Perf_Table[[#This Row],[Order_Quantity]]</f>
        <v>558480</v>
      </c>
      <c r="T668" s="75">
        <f>IFERROR(Supplier_Perf_Table[[#This Row],[Dollar Equivalent]]*Supplier_Perf_Table[[#This Row],[Ordered_Value]],"")</f>
        <v>34067.279999999999</v>
      </c>
      <c r="U668" s="75">
        <v>24</v>
      </c>
      <c r="V668" s="7">
        <v>1.6E-2</v>
      </c>
      <c r="W668" s="75">
        <v>20</v>
      </c>
      <c r="X668" s="55">
        <f>IFERROR(Supplier_Perf_Table[[#This Row],[Actual_Delivery_Date]]-Supplier_Perf_Table[[#This Row],[Order Date]],"")</f>
        <v>20</v>
      </c>
      <c r="Y668" s="75">
        <v>10</v>
      </c>
      <c r="Z668" s="56">
        <f>IFERROR(Supplier_Perf_Table[[#This Row],[Expected Delivery_Date]]-Supplier_Perf_Table[[#This Row],[Order Date]],"")</f>
        <v>10</v>
      </c>
      <c r="AA668" s="56">
        <f>Supplier_Perf_Table[[#This Row],[Calculated_Lead_Time2]]-Supplier_Perf_Table[[#This Row],[Calculated_Expected_Lead_Time]]</f>
        <v>10</v>
      </c>
      <c r="AB668" s="75">
        <v>10</v>
      </c>
      <c r="AC668" s="63" t="s">
        <v>135</v>
      </c>
      <c r="AD668" s="63" t="s">
        <v>404</v>
      </c>
      <c r="AE668" s="63" t="s">
        <v>41</v>
      </c>
      <c r="AF668" s="63" t="s">
        <v>190</v>
      </c>
      <c r="AG668" s="63" t="s">
        <v>107</v>
      </c>
      <c r="AH668" s="63" t="s">
        <v>3112</v>
      </c>
      <c r="AI668" s="63" t="s">
        <v>137</v>
      </c>
      <c r="AJ668" s="63" t="s">
        <v>138</v>
      </c>
      <c r="AK668" s="83">
        <v>3.3</v>
      </c>
      <c r="AL668" s="63" t="s">
        <v>76</v>
      </c>
      <c r="AM668" s="63" t="s">
        <v>46</v>
      </c>
      <c r="AN668"/>
    </row>
    <row r="669" spans="1:40" ht="18" customHeight="1">
      <c r="A669" s="1" t="s">
        <v>2131</v>
      </c>
      <c r="B669" s="1" t="s">
        <v>2132</v>
      </c>
      <c r="C669" s="4">
        <v>46125</v>
      </c>
      <c r="D669" s="4">
        <v>46136</v>
      </c>
      <c r="E669" s="4">
        <v>46133</v>
      </c>
      <c r="F669" s="63" t="s">
        <v>209</v>
      </c>
      <c r="G669" s="63" t="s">
        <v>3845</v>
      </c>
      <c r="H669" s="63" t="s">
        <v>316</v>
      </c>
      <c r="I669" s="63" t="s">
        <v>34</v>
      </c>
      <c r="J669" s="63" t="s">
        <v>153</v>
      </c>
      <c r="K669" s="63" t="s">
        <v>2133</v>
      </c>
      <c r="L669" s="63" t="s">
        <v>295</v>
      </c>
      <c r="M669" s="69">
        <v>515.04</v>
      </c>
      <c r="N669" s="63" t="s">
        <v>53</v>
      </c>
      <c r="O669" s="73">
        <f>_xlfn.XLOOKUP(Supplier_Perf_Table[[#This Row],[Currency]],'Comments 2'!$C$4:$C$16,'Comments 2'!$D$4:$D$16)</f>
        <v>6.0999999999999999E-2</v>
      </c>
      <c r="P669" s="69">
        <f>IFERROR(Supplier_Perf_Table[[#This Row],[Unit_Cost]]*Supplier_Perf_Table[[#This Row],[Dollar Equivalent]],"")</f>
        <v>31.417439999999996</v>
      </c>
      <c r="Q669" s="75">
        <v>300</v>
      </c>
      <c r="R669" s="1">
        <v>154512</v>
      </c>
      <c r="S669" s="75">
        <f>Supplier_Perf_Table[[#This Row],[Unit_Cost]]*Supplier_Perf_Table[[#This Row],[Order_Quantity]]</f>
        <v>154512</v>
      </c>
      <c r="T669" s="75">
        <f>IFERROR(Supplier_Perf_Table[[#This Row],[Dollar Equivalent]]*Supplier_Perf_Table[[#This Row],[Ordered_Value]],"")</f>
        <v>9425.232</v>
      </c>
      <c r="U669" s="75">
        <v>1</v>
      </c>
      <c r="V669" s="7">
        <v>3.3E-3</v>
      </c>
      <c r="W669" s="75">
        <v>8</v>
      </c>
      <c r="X669" s="55">
        <f>IFERROR(Supplier_Perf_Table[[#This Row],[Actual_Delivery_Date]]-Supplier_Perf_Table[[#This Row],[Order Date]],"")</f>
        <v>8</v>
      </c>
      <c r="Y669" s="75">
        <v>11</v>
      </c>
      <c r="Z669" s="56">
        <f>IFERROR(Supplier_Perf_Table[[#This Row],[Expected Delivery_Date]]-Supplier_Perf_Table[[#This Row],[Order Date]],"")</f>
        <v>11</v>
      </c>
      <c r="AA669" s="56">
        <f>Supplier_Perf_Table[[#This Row],[Calculated_Lead_Time2]]-Supplier_Perf_Table[[#This Row],[Calculated_Expected_Lead_Time]]</f>
        <v>-3</v>
      </c>
      <c r="AB669" s="75">
        <v>-3</v>
      </c>
      <c r="AC669" s="63" t="s">
        <v>87</v>
      </c>
      <c r="AD669" s="63" t="s">
        <v>40</v>
      </c>
      <c r="AE669" s="63" t="s">
        <v>41</v>
      </c>
      <c r="AF669" s="63" t="s">
        <v>66</v>
      </c>
      <c r="AG669" s="63" t="s">
        <v>107</v>
      </c>
      <c r="AH669" s="63" t="s">
        <v>129</v>
      </c>
      <c r="AI669" s="63" t="s">
        <v>147</v>
      </c>
      <c r="AJ669" s="63" t="s">
        <v>138</v>
      </c>
      <c r="AK669" s="83">
        <v>2.1</v>
      </c>
      <c r="AL669" s="63" t="s">
        <v>57</v>
      </c>
      <c r="AM669" s="63" t="s">
        <v>138</v>
      </c>
      <c r="AN669"/>
    </row>
    <row r="670" spans="1:40" ht="18" customHeight="1">
      <c r="A670" s="1" t="s">
        <v>2134</v>
      </c>
      <c r="B670" s="1" t="s">
        <v>2135</v>
      </c>
      <c r="C670" s="4">
        <v>46117</v>
      </c>
      <c r="D670" s="4">
        <v>46131</v>
      </c>
      <c r="E670" s="4">
        <v>46139</v>
      </c>
      <c r="F670" s="63" t="s">
        <v>100</v>
      </c>
      <c r="G670" s="63" t="s">
        <v>3841</v>
      </c>
      <c r="H670" s="63" t="s">
        <v>102</v>
      </c>
      <c r="I670" s="63" t="s">
        <v>178</v>
      </c>
      <c r="J670" s="63" t="s">
        <v>62</v>
      </c>
      <c r="K670" s="63" t="s">
        <v>2136</v>
      </c>
      <c r="L670" s="63" t="s">
        <v>94</v>
      </c>
      <c r="M670" s="69">
        <v>778.64</v>
      </c>
      <c r="N670" s="63" t="s">
        <v>159</v>
      </c>
      <c r="O670" s="73">
        <f>_xlfn.XLOOKUP(Supplier_Perf_Table[[#This Row],[Currency]],'Comments 2'!$C$4:$C$16,'Comments 2'!$D$4:$D$16)</f>
        <v>7.2999999999999996E-4</v>
      </c>
      <c r="P670" s="69">
        <f>IFERROR(Supplier_Perf_Table[[#This Row],[Unit_Cost]]*Supplier_Perf_Table[[#This Row],[Dollar Equivalent]],"")</f>
        <v>0.5684072</v>
      </c>
      <c r="Q670" s="75">
        <v>300</v>
      </c>
      <c r="R670" s="1">
        <v>233592</v>
      </c>
      <c r="S670" s="75">
        <f>Supplier_Perf_Table[[#This Row],[Unit_Cost]]*Supplier_Perf_Table[[#This Row],[Order_Quantity]]</f>
        <v>233592</v>
      </c>
      <c r="T670" s="75">
        <f>IFERROR(Supplier_Perf_Table[[#This Row],[Dollar Equivalent]]*Supplier_Perf_Table[[#This Row],[Ordered_Value]],"")</f>
        <v>170.52215999999999</v>
      </c>
      <c r="U670" s="75">
        <v>4</v>
      </c>
      <c r="V670" s="7">
        <v>1.3299999999999999E-2</v>
      </c>
      <c r="W670" s="75">
        <v>22</v>
      </c>
      <c r="X670" s="55">
        <f>IFERROR(Supplier_Perf_Table[[#This Row],[Actual_Delivery_Date]]-Supplier_Perf_Table[[#This Row],[Order Date]],"")</f>
        <v>22</v>
      </c>
      <c r="Y670" s="75">
        <v>14</v>
      </c>
      <c r="Z670" s="56">
        <f>IFERROR(Supplier_Perf_Table[[#This Row],[Expected Delivery_Date]]-Supplier_Perf_Table[[#This Row],[Order Date]],"")</f>
        <v>14</v>
      </c>
      <c r="AA670" s="56">
        <f>Supplier_Perf_Table[[#This Row],[Calculated_Lead_Time2]]-Supplier_Perf_Table[[#This Row],[Calculated_Expected_Lead_Time]]</f>
        <v>8</v>
      </c>
      <c r="AB670" s="75">
        <v>8</v>
      </c>
      <c r="AC670" s="63" t="s">
        <v>135</v>
      </c>
      <c r="AD670" s="63" t="s">
        <v>40</v>
      </c>
      <c r="AE670" s="63" t="s">
        <v>41</v>
      </c>
      <c r="AF670" s="63" t="s">
        <v>212</v>
      </c>
      <c r="AG670" s="63" t="s">
        <v>107</v>
      </c>
      <c r="AH670" s="63" t="s">
        <v>206</v>
      </c>
      <c r="AI670" s="63" t="s">
        <v>138</v>
      </c>
      <c r="AJ670" s="63" t="s">
        <v>138</v>
      </c>
      <c r="AK670" s="83">
        <v>2.5</v>
      </c>
      <c r="AL670" s="63" t="s">
        <v>45</v>
      </c>
      <c r="AM670" s="63" t="s">
        <v>46</v>
      </c>
      <c r="AN670"/>
    </row>
    <row r="671" spans="1:40" ht="18" customHeight="1">
      <c r="A671" s="1" t="s">
        <v>2137</v>
      </c>
      <c r="B671" s="1" t="s">
        <v>2138</v>
      </c>
      <c r="C671" s="4">
        <v>46110</v>
      </c>
      <c r="D671" s="4">
        <v>46115</v>
      </c>
      <c r="E671" s="4">
        <v>46113</v>
      </c>
      <c r="F671" s="63" t="s">
        <v>151</v>
      </c>
      <c r="G671" s="63" t="s">
        <v>3844</v>
      </c>
      <c r="H671" s="63" t="s">
        <v>152</v>
      </c>
      <c r="I671" s="63" t="s">
        <v>241</v>
      </c>
      <c r="J671" s="63" t="s">
        <v>112</v>
      </c>
      <c r="K671" s="63" t="s">
        <v>1578</v>
      </c>
      <c r="L671" s="63" t="s">
        <v>229</v>
      </c>
      <c r="M671" s="69">
        <v>552.75</v>
      </c>
      <c r="N671" s="63" t="s">
        <v>38</v>
      </c>
      <c r="O671" s="73">
        <f>_xlfn.XLOOKUP(Supplier_Perf_Table[[#This Row],[Currency]],'Comments 2'!$C$4:$C$16,'Comments 2'!$D$4:$D$16)</f>
        <v>7.7000000000000002E-3</v>
      </c>
      <c r="P671" s="69">
        <f>IFERROR(Supplier_Perf_Table[[#This Row],[Unit_Cost]]*Supplier_Perf_Table[[#This Row],[Dollar Equivalent]],"")</f>
        <v>4.2561749999999998</v>
      </c>
      <c r="Q671" s="75">
        <v>1500</v>
      </c>
      <c r="R671" s="1">
        <v>829125</v>
      </c>
      <c r="S671" s="75">
        <f>Supplier_Perf_Table[[#This Row],[Unit_Cost]]*Supplier_Perf_Table[[#This Row],[Order_Quantity]]</f>
        <v>829125</v>
      </c>
      <c r="T671" s="75">
        <f>IFERROR(Supplier_Perf_Table[[#This Row],[Dollar Equivalent]]*Supplier_Perf_Table[[#This Row],[Ordered_Value]],"")</f>
        <v>6384.2624999999998</v>
      </c>
      <c r="U671" s="75">
        <v>23</v>
      </c>
      <c r="V671" s="7">
        <v>1.5299999999999999E-2</v>
      </c>
      <c r="W671" s="75">
        <v>3</v>
      </c>
      <c r="X671" s="55">
        <f>IFERROR(Supplier_Perf_Table[[#This Row],[Actual_Delivery_Date]]-Supplier_Perf_Table[[#This Row],[Order Date]],"")</f>
        <v>3</v>
      </c>
      <c r="Y671" s="75">
        <v>5</v>
      </c>
      <c r="Z671" s="56">
        <f>IFERROR(Supplier_Perf_Table[[#This Row],[Expected Delivery_Date]]-Supplier_Perf_Table[[#This Row],[Order Date]],"")</f>
        <v>5</v>
      </c>
      <c r="AA671" s="56">
        <f>Supplier_Perf_Table[[#This Row],[Calculated_Lead_Time2]]-Supplier_Perf_Table[[#This Row],[Calculated_Expected_Lead_Time]]</f>
        <v>-2</v>
      </c>
      <c r="AB671" s="75">
        <v>-2</v>
      </c>
      <c r="AC671" s="63" t="s">
        <v>87</v>
      </c>
      <c r="AD671" s="63" t="s">
        <v>40</v>
      </c>
      <c r="AE671" s="63" t="s">
        <v>41</v>
      </c>
      <c r="AF671" s="63" t="s">
        <v>212</v>
      </c>
      <c r="AG671" s="63" t="s">
        <v>173</v>
      </c>
      <c r="AH671" s="63" t="s">
        <v>3112</v>
      </c>
      <c r="AI671" s="63" t="s">
        <v>95</v>
      </c>
      <c r="AJ671" s="63" t="s">
        <v>138</v>
      </c>
      <c r="AK671" s="83">
        <v>3</v>
      </c>
      <c r="AL671" s="63" t="s">
        <v>184</v>
      </c>
      <c r="AM671" s="63" t="s">
        <v>138</v>
      </c>
      <c r="AN671"/>
    </row>
    <row r="672" spans="1:40" ht="18" customHeight="1">
      <c r="A672" s="1" t="s">
        <v>2139</v>
      </c>
      <c r="B672" s="1" t="s">
        <v>2140</v>
      </c>
      <c r="C672" s="4">
        <v>46196</v>
      </c>
      <c r="D672" s="4">
        <v>46213</v>
      </c>
      <c r="E672" s="4">
        <v>46228</v>
      </c>
      <c r="F672" s="63" t="s">
        <v>90</v>
      </c>
      <c r="G672" s="63" t="s">
        <v>3840</v>
      </c>
      <c r="H672" s="63" t="s">
        <v>133</v>
      </c>
      <c r="I672" s="63" t="s">
        <v>83</v>
      </c>
      <c r="J672" s="63" t="s">
        <v>71</v>
      </c>
      <c r="K672" s="63" t="s">
        <v>2141</v>
      </c>
      <c r="L672" s="63" t="s">
        <v>238</v>
      </c>
      <c r="M672" s="69">
        <v>579.83000000000004</v>
      </c>
      <c r="N672" s="63" t="s">
        <v>86</v>
      </c>
      <c r="O672" s="73">
        <f>_xlfn.XLOOKUP(Supplier_Perf_Table[[#This Row],[Currency]],'Comments 2'!$C$4:$C$16,'Comments 2'!$D$4:$D$16)</f>
        <v>8.8999999999999996E-2</v>
      </c>
      <c r="P672" s="69">
        <f>IFERROR(Supplier_Perf_Table[[#This Row],[Unit_Cost]]*Supplier_Perf_Table[[#This Row],[Dollar Equivalent]],"")</f>
        <v>51.604869999999998</v>
      </c>
      <c r="Q672" s="75">
        <v>1000</v>
      </c>
      <c r="R672" s="1">
        <v>579830</v>
      </c>
      <c r="S672" s="75">
        <f>Supplier_Perf_Table[[#This Row],[Unit_Cost]]*Supplier_Perf_Table[[#This Row],[Order_Quantity]]</f>
        <v>579830</v>
      </c>
      <c r="T672" s="75">
        <f>IFERROR(Supplier_Perf_Table[[#This Row],[Dollar Equivalent]]*Supplier_Perf_Table[[#This Row],[Ordered_Value]],"")</f>
        <v>51604.869999999995</v>
      </c>
      <c r="U672" s="75">
        <v>0</v>
      </c>
      <c r="V672" s="7">
        <v>0</v>
      </c>
      <c r="W672" s="75">
        <v>32</v>
      </c>
      <c r="X672" s="55">
        <f>IFERROR(Supplier_Perf_Table[[#This Row],[Actual_Delivery_Date]]-Supplier_Perf_Table[[#This Row],[Order Date]],"")</f>
        <v>32</v>
      </c>
      <c r="Y672" s="75">
        <v>17</v>
      </c>
      <c r="Z672" s="56">
        <f>IFERROR(Supplier_Perf_Table[[#This Row],[Expected Delivery_Date]]-Supplier_Perf_Table[[#This Row],[Order Date]],"")</f>
        <v>17</v>
      </c>
      <c r="AA672" s="56">
        <f>Supplier_Perf_Table[[#This Row],[Calculated_Lead_Time2]]-Supplier_Perf_Table[[#This Row],[Calculated_Expected_Lead_Time]]</f>
        <v>15</v>
      </c>
      <c r="AB672" s="75">
        <v>15</v>
      </c>
      <c r="AC672" s="63" t="s">
        <v>205</v>
      </c>
      <c r="AD672" s="63" t="s">
        <v>40</v>
      </c>
      <c r="AE672" s="63" t="s">
        <v>105</v>
      </c>
      <c r="AF672" s="63" t="s">
        <v>42</v>
      </c>
      <c r="AG672" s="63" t="s">
        <v>3088</v>
      </c>
      <c r="AH672" s="63" t="s">
        <v>136</v>
      </c>
      <c r="AI672" s="63" t="s">
        <v>147</v>
      </c>
      <c r="AJ672" s="63" t="s">
        <v>138</v>
      </c>
      <c r="AK672" s="83">
        <v>3</v>
      </c>
      <c r="AL672" s="63" t="s">
        <v>45</v>
      </c>
      <c r="AM672" s="63" t="s">
        <v>46</v>
      </c>
      <c r="AN672"/>
    </row>
    <row r="673" spans="1:40" ht="18" customHeight="1">
      <c r="A673" s="1" t="s">
        <v>2142</v>
      </c>
      <c r="B673" s="1" t="s">
        <v>2143</v>
      </c>
      <c r="C673" s="4">
        <v>46023</v>
      </c>
      <c r="D673" s="4">
        <v>46037</v>
      </c>
      <c r="E673" s="4">
        <v>46031</v>
      </c>
      <c r="F673" s="63" t="s">
        <v>80</v>
      </c>
      <c r="G673" s="63" t="s">
        <v>3839</v>
      </c>
      <c r="H673" s="63" t="s">
        <v>82</v>
      </c>
      <c r="I673" s="63" t="s">
        <v>120</v>
      </c>
      <c r="J673" s="63" t="s">
        <v>35</v>
      </c>
      <c r="K673" s="63" t="s">
        <v>2144</v>
      </c>
      <c r="L673" s="63" t="s">
        <v>37</v>
      </c>
      <c r="M673" s="69">
        <v>24.56</v>
      </c>
      <c r="N673" s="63" t="s">
        <v>86</v>
      </c>
      <c r="O673" s="73">
        <f>_xlfn.XLOOKUP(Supplier_Perf_Table[[#This Row],[Currency]],'Comments 2'!$C$4:$C$16,'Comments 2'!$D$4:$D$16)</f>
        <v>8.8999999999999996E-2</v>
      </c>
      <c r="P673" s="69">
        <f>IFERROR(Supplier_Perf_Table[[#This Row],[Unit_Cost]]*Supplier_Perf_Table[[#This Row],[Dollar Equivalent]],"")</f>
        <v>2.1858399999999998</v>
      </c>
      <c r="Q673" s="75">
        <v>1500</v>
      </c>
      <c r="R673" s="1">
        <v>36840</v>
      </c>
      <c r="S673" s="75">
        <f>Supplier_Perf_Table[[#This Row],[Unit_Cost]]*Supplier_Perf_Table[[#This Row],[Order_Quantity]]</f>
        <v>36840</v>
      </c>
      <c r="T673" s="75">
        <f>IFERROR(Supplier_Perf_Table[[#This Row],[Dollar Equivalent]]*Supplier_Perf_Table[[#This Row],[Ordered_Value]],"")</f>
        <v>3278.7599999999998</v>
      </c>
      <c r="U673" s="75">
        <v>47</v>
      </c>
      <c r="V673" s="7">
        <v>3.1300000000000001E-2</v>
      </c>
      <c r="W673" s="75">
        <v>8</v>
      </c>
      <c r="X673" s="55">
        <f>IFERROR(Supplier_Perf_Table[[#This Row],[Actual_Delivery_Date]]-Supplier_Perf_Table[[#This Row],[Order Date]],"")</f>
        <v>8</v>
      </c>
      <c r="Y673" s="75">
        <v>14</v>
      </c>
      <c r="Z673" s="56">
        <f>IFERROR(Supplier_Perf_Table[[#This Row],[Expected Delivery_Date]]-Supplier_Perf_Table[[#This Row],[Order Date]],"")</f>
        <v>14</v>
      </c>
      <c r="AA673" s="56">
        <f>Supplier_Perf_Table[[#This Row],[Calculated_Lead_Time2]]-Supplier_Perf_Table[[#This Row],[Calculated_Expected_Lead_Time]]</f>
        <v>-6</v>
      </c>
      <c r="AB673" s="75">
        <v>-6</v>
      </c>
      <c r="AC673" s="63" t="s">
        <v>87</v>
      </c>
      <c r="AD673" s="63" t="s">
        <v>40</v>
      </c>
      <c r="AE673" s="63" t="s">
        <v>127</v>
      </c>
      <c r="AF673" s="63" t="s">
        <v>212</v>
      </c>
      <c r="AG673" s="63" t="s">
        <v>173</v>
      </c>
      <c r="AH673" s="63" t="s">
        <v>3112</v>
      </c>
      <c r="AI673" s="63" t="s">
        <v>138</v>
      </c>
      <c r="AJ673" s="63" t="s">
        <v>138</v>
      </c>
      <c r="AK673" s="83">
        <v>4.0999999999999996</v>
      </c>
      <c r="AL673" s="63" t="s">
        <v>76</v>
      </c>
      <c r="AM673" s="63" t="s">
        <v>130</v>
      </c>
      <c r="AN673"/>
    </row>
    <row r="674" spans="1:40" ht="18" customHeight="1">
      <c r="A674" s="1" t="s">
        <v>2145</v>
      </c>
      <c r="B674" s="1" t="s">
        <v>2146</v>
      </c>
      <c r="C674" s="4">
        <v>46064</v>
      </c>
      <c r="D674" s="4">
        <v>46077</v>
      </c>
      <c r="E674" s="4">
        <v>46081</v>
      </c>
      <c r="F674" s="63" t="s">
        <v>80</v>
      </c>
      <c r="G674" s="63" t="s">
        <v>3839</v>
      </c>
      <c r="H674" s="63" t="s">
        <v>82</v>
      </c>
      <c r="I674" s="63" t="s">
        <v>241</v>
      </c>
      <c r="J674" s="63" t="s">
        <v>35</v>
      </c>
      <c r="K674" s="63" t="s">
        <v>2147</v>
      </c>
      <c r="L674" s="63" t="s">
        <v>37</v>
      </c>
      <c r="M674" s="69">
        <v>92.05</v>
      </c>
      <c r="N674" s="63" t="s">
        <v>65</v>
      </c>
      <c r="O674" s="73">
        <f>_xlfn.XLOOKUP(Supplier_Perf_Table[[#This Row],[Currency]],'Comments 2'!$C$4:$C$16,'Comments 2'!$D$4:$D$16)</f>
        <v>1</v>
      </c>
      <c r="P674" s="69">
        <f>IFERROR(Supplier_Perf_Table[[#This Row],[Unit_Cost]]*Supplier_Perf_Table[[#This Row],[Dollar Equivalent]],"")</f>
        <v>92.05</v>
      </c>
      <c r="Q674" s="75">
        <v>750</v>
      </c>
      <c r="R674" s="1">
        <v>69037.5</v>
      </c>
      <c r="S674" s="75">
        <f>Supplier_Perf_Table[[#This Row],[Unit_Cost]]*Supplier_Perf_Table[[#This Row],[Order_Quantity]]</f>
        <v>69037.5</v>
      </c>
      <c r="T674" s="75">
        <f>IFERROR(Supplier_Perf_Table[[#This Row],[Dollar Equivalent]]*Supplier_Perf_Table[[#This Row],[Ordered_Value]],"")</f>
        <v>69037.5</v>
      </c>
      <c r="U674" s="75">
        <v>4</v>
      </c>
      <c r="V674" s="7">
        <v>5.3E-3</v>
      </c>
      <c r="W674" s="75">
        <v>17</v>
      </c>
      <c r="X674" s="55">
        <f>IFERROR(Supplier_Perf_Table[[#This Row],[Actual_Delivery_Date]]-Supplier_Perf_Table[[#This Row],[Order Date]],"")</f>
        <v>17</v>
      </c>
      <c r="Y674" s="75">
        <v>13</v>
      </c>
      <c r="Z674" s="56">
        <f>IFERROR(Supplier_Perf_Table[[#This Row],[Expected Delivery_Date]]-Supplier_Perf_Table[[#This Row],[Order Date]],"")</f>
        <v>13</v>
      </c>
      <c r="AA674" s="56">
        <f>Supplier_Perf_Table[[#This Row],[Calculated_Lead_Time2]]-Supplier_Perf_Table[[#This Row],[Calculated_Expected_Lead_Time]]</f>
        <v>4</v>
      </c>
      <c r="AB674" s="75">
        <v>4</v>
      </c>
      <c r="AC674" s="63" t="s">
        <v>39</v>
      </c>
      <c r="AD674" s="63" t="s">
        <v>40</v>
      </c>
      <c r="AE674" s="63" t="s">
        <v>41</v>
      </c>
      <c r="AF674" s="63" t="s">
        <v>66</v>
      </c>
      <c r="AG674" s="63" t="s">
        <v>54</v>
      </c>
      <c r="AH674" s="63" t="s">
        <v>3112</v>
      </c>
      <c r="AI674" s="63" t="s">
        <v>44</v>
      </c>
      <c r="AJ674" s="63" t="s">
        <v>138</v>
      </c>
      <c r="AK674" s="83">
        <v>2.7</v>
      </c>
      <c r="AL674" s="63" t="s">
        <v>108</v>
      </c>
      <c r="AM674" s="63" t="s">
        <v>46</v>
      </c>
      <c r="AN674"/>
    </row>
    <row r="675" spans="1:40" ht="18" customHeight="1">
      <c r="A675" s="1" t="s">
        <v>2148</v>
      </c>
      <c r="B675" s="1" t="s">
        <v>2149</v>
      </c>
      <c r="C675" s="4">
        <v>46126</v>
      </c>
      <c r="D675" s="4">
        <v>46134</v>
      </c>
      <c r="E675" s="4">
        <v>46144</v>
      </c>
      <c r="F675" s="63" t="s">
        <v>60</v>
      </c>
      <c r="G675" s="63" t="s">
        <v>3837</v>
      </c>
      <c r="H675" s="63" t="s">
        <v>152</v>
      </c>
      <c r="I675" s="63" t="s">
        <v>241</v>
      </c>
      <c r="J675" s="63" t="s">
        <v>62</v>
      </c>
      <c r="K675" s="63" t="s">
        <v>2150</v>
      </c>
      <c r="L675" s="63" t="s">
        <v>64</v>
      </c>
      <c r="M675" s="69">
        <v>620.72</v>
      </c>
      <c r="N675" s="63" t="s">
        <v>159</v>
      </c>
      <c r="O675" s="73">
        <f>_xlfn.XLOOKUP(Supplier_Perf_Table[[#This Row],[Currency]],'Comments 2'!$C$4:$C$16,'Comments 2'!$D$4:$D$16)</f>
        <v>7.2999999999999996E-4</v>
      </c>
      <c r="P675" s="69">
        <f>IFERROR(Supplier_Perf_Table[[#This Row],[Unit_Cost]]*Supplier_Perf_Table[[#This Row],[Dollar Equivalent]],"")</f>
        <v>0.45312560000000002</v>
      </c>
      <c r="Q675" s="75">
        <v>100</v>
      </c>
      <c r="R675" s="1">
        <v>62072</v>
      </c>
      <c r="S675" s="75">
        <f>Supplier_Perf_Table[[#This Row],[Unit_Cost]]*Supplier_Perf_Table[[#This Row],[Order_Quantity]]</f>
        <v>62072</v>
      </c>
      <c r="T675" s="75">
        <f>IFERROR(Supplier_Perf_Table[[#This Row],[Dollar Equivalent]]*Supplier_Perf_Table[[#This Row],[Ordered_Value]],"")</f>
        <v>45.312559999999998</v>
      </c>
      <c r="U675" s="75">
        <v>2</v>
      </c>
      <c r="V675" s="7">
        <v>0.02</v>
      </c>
      <c r="W675" s="75">
        <v>18</v>
      </c>
      <c r="X675" s="55">
        <f>IFERROR(Supplier_Perf_Table[[#This Row],[Actual_Delivery_Date]]-Supplier_Perf_Table[[#This Row],[Order Date]],"")</f>
        <v>18</v>
      </c>
      <c r="Y675" s="75">
        <v>8</v>
      </c>
      <c r="Z675" s="56">
        <f>IFERROR(Supplier_Perf_Table[[#This Row],[Expected Delivery_Date]]-Supplier_Perf_Table[[#This Row],[Order Date]],"")</f>
        <v>8</v>
      </c>
      <c r="AA675" s="56">
        <f>Supplier_Perf_Table[[#This Row],[Calculated_Lead_Time2]]-Supplier_Perf_Table[[#This Row],[Calculated_Expected_Lead_Time]]</f>
        <v>10</v>
      </c>
      <c r="AB675" s="75">
        <v>10</v>
      </c>
      <c r="AC675" s="63" t="s">
        <v>135</v>
      </c>
      <c r="AD675" s="63" t="s">
        <v>40</v>
      </c>
      <c r="AE675" s="63" t="s">
        <v>3088</v>
      </c>
      <c r="AF675" s="63" t="s">
        <v>212</v>
      </c>
      <c r="AG675" s="63" t="s">
        <v>3088</v>
      </c>
      <c r="AH675" s="63" t="s">
        <v>174</v>
      </c>
      <c r="AI675" s="63" t="s">
        <v>147</v>
      </c>
      <c r="AJ675" s="63" t="s">
        <v>138</v>
      </c>
      <c r="AK675" s="83">
        <v>3.2</v>
      </c>
      <c r="AL675" s="63" t="s">
        <v>108</v>
      </c>
      <c r="AM675" s="63" t="s">
        <v>148</v>
      </c>
      <c r="AN675"/>
    </row>
    <row r="676" spans="1:40" ht="18" customHeight="1">
      <c r="A676" s="1" t="s">
        <v>2151</v>
      </c>
      <c r="B676" s="1" t="s">
        <v>2152</v>
      </c>
      <c r="C676" s="4">
        <v>46116</v>
      </c>
      <c r="D676" s="4">
        <v>46126</v>
      </c>
      <c r="E676" s="4">
        <v>46121</v>
      </c>
      <c r="F676" s="63" t="s">
        <v>209</v>
      </c>
      <c r="G676" s="63" t="s">
        <v>3845</v>
      </c>
      <c r="H676" s="63" t="s">
        <v>316</v>
      </c>
      <c r="I676" s="63" t="s">
        <v>34</v>
      </c>
      <c r="J676" s="63" t="s">
        <v>153</v>
      </c>
      <c r="K676" s="63" t="s">
        <v>2153</v>
      </c>
      <c r="L676" s="63" t="s">
        <v>155</v>
      </c>
      <c r="M676" s="69">
        <v>506.71</v>
      </c>
      <c r="N676" s="63" t="s">
        <v>53</v>
      </c>
      <c r="O676" s="73">
        <f>_xlfn.XLOOKUP(Supplier_Perf_Table[[#This Row],[Currency]],'Comments 2'!$C$4:$C$16,'Comments 2'!$D$4:$D$16)</f>
        <v>6.0999999999999999E-2</v>
      </c>
      <c r="P676" s="69">
        <f>IFERROR(Supplier_Perf_Table[[#This Row],[Unit_Cost]]*Supplier_Perf_Table[[#This Row],[Dollar Equivalent]],"")</f>
        <v>30.909309999999998</v>
      </c>
      <c r="Q676" s="75">
        <v>150</v>
      </c>
      <c r="R676" s="1">
        <v>76006.5</v>
      </c>
      <c r="S676" s="75">
        <f>Supplier_Perf_Table[[#This Row],[Unit_Cost]]*Supplier_Perf_Table[[#This Row],[Order_Quantity]]</f>
        <v>76006.5</v>
      </c>
      <c r="T676" s="75">
        <f>IFERROR(Supplier_Perf_Table[[#This Row],[Dollar Equivalent]]*Supplier_Perf_Table[[#This Row],[Ordered_Value]],"")</f>
        <v>4636.3964999999998</v>
      </c>
      <c r="U676" s="75">
        <v>0</v>
      </c>
      <c r="V676" s="7">
        <v>0</v>
      </c>
      <c r="W676" s="75">
        <v>5</v>
      </c>
      <c r="X676" s="55">
        <f>IFERROR(Supplier_Perf_Table[[#This Row],[Actual_Delivery_Date]]-Supplier_Perf_Table[[#This Row],[Order Date]],"")</f>
        <v>5</v>
      </c>
      <c r="Y676" s="75">
        <v>10</v>
      </c>
      <c r="Z676" s="56">
        <f>IFERROR(Supplier_Perf_Table[[#This Row],[Expected Delivery_Date]]-Supplier_Perf_Table[[#This Row],[Order Date]],"")</f>
        <v>10</v>
      </c>
      <c r="AA676" s="56">
        <f>Supplier_Perf_Table[[#This Row],[Calculated_Lead_Time2]]-Supplier_Perf_Table[[#This Row],[Calculated_Expected_Lead_Time]]</f>
        <v>-5</v>
      </c>
      <c r="AB676" s="75">
        <v>-5</v>
      </c>
      <c r="AC676" s="63" t="s">
        <v>87</v>
      </c>
      <c r="AD676" s="63" t="s">
        <v>40</v>
      </c>
      <c r="AE676" s="63" t="s">
        <v>41</v>
      </c>
      <c r="AF676" s="63" t="s">
        <v>42</v>
      </c>
      <c r="AG676" s="63" t="s">
        <v>128</v>
      </c>
      <c r="AH676" s="63" t="s">
        <v>129</v>
      </c>
      <c r="AI676" s="63" t="s">
        <v>95</v>
      </c>
      <c r="AJ676" s="63" t="s">
        <v>138</v>
      </c>
      <c r="AK676" s="83">
        <v>4.8</v>
      </c>
      <c r="AL676" s="63" t="s">
        <v>76</v>
      </c>
      <c r="AM676" s="63" t="s">
        <v>138</v>
      </c>
      <c r="AN676"/>
    </row>
    <row r="677" spans="1:40" ht="18" customHeight="1">
      <c r="A677" s="1" t="s">
        <v>2154</v>
      </c>
      <c r="B677" s="1" t="s">
        <v>2155</v>
      </c>
      <c r="C677" s="4">
        <v>46161</v>
      </c>
      <c r="D677" s="4">
        <v>46182</v>
      </c>
      <c r="E677" s="4">
        <v>46182</v>
      </c>
      <c r="F677" s="63" t="s">
        <v>32</v>
      </c>
      <c r="G677" s="63" t="s">
        <v>3835</v>
      </c>
      <c r="H677" s="63" t="s">
        <v>177</v>
      </c>
      <c r="I677" s="63" t="s">
        <v>34</v>
      </c>
      <c r="J677" s="63" t="s">
        <v>35</v>
      </c>
      <c r="K677" s="63" t="s">
        <v>2156</v>
      </c>
      <c r="L677" s="63" t="s">
        <v>85</v>
      </c>
      <c r="M677" s="69">
        <v>3023.02</v>
      </c>
      <c r="N677" s="63" t="s">
        <v>38</v>
      </c>
      <c r="O677" s="73">
        <f>_xlfn.XLOOKUP(Supplier_Perf_Table[[#This Row],[Currency]],'Comments 2'!$C$4:$C$16,'Comments 2'!$D$4:$D$16)</f>
        <v>7.7000000000000002E-3</v>
      </c>
      <c r="P677" s="69">
        <f>IFERROR(Supplier_Perf_Table[[#This Row],[Unit_Cost]]*Supplier_Perf_Table[[#This Row],[Dollar Equivalent]],"")</f>
        <v>23.277253999999999</v>
      </c>
      <c r="Q677" s="75">
        <v>500</v>
      </c>
      <c r="R677" s="1">
        <v>1511510</v>
      </c>
      <c r="S677" s="75">
        <f>Supplier_Perf_Table[[#This Row],[Unit_Cost]]*Supplier_Perf_Table[[#This Row],[Order_Quantity]]</f>
        <v>1511510</v>
      </c>
      <c r="T677" s="75">
        <f>IFERROR(Supplier_Perf_Table[[#This Row],[Dollar Equivalent]]*Supplier_Perf_Table[[#This Row],[Ordered_Value]],"")</f>
        <v>11638.627</v>
      </c>
      <c r="U677" s="75">
        <v>23</v>
      </c>
      <c r="V677" s="7">
        <v>4.5999999999999999E-2</v>
      </c>
      <c r="W677" s="75">
        <v>21</v>
      </c>
      <c r="X677" s="55">
        <f>IFERROR(Supplier_Perf_Table[[#This Row],[Actual_Delivery_Date]]-Supplier_Perf_Table[[#This Row],[Order Date]],"")</f>
        <v>21</v>
      </c>
      <c r="Y677" s="75">
        <v>21</v>
      </c>
      <c r="Z677" s="56">
        <f>IFERROR(Supplier_Perf_Table[[#This Row],[Expected Delivery_Date]]-Supplier_Perf_Table[[#This Row],[Order Date]],"")</f>
        <v>21</v>
      </c>
      <c r="AA677" s="56">
        <f>Supplier_Perf_Table[[#This Row],[Calculated_Lead_Time2]]-Supplier_Perf_Table[[#This Row],[Calculated_Expected_Lead_Time]]</f>
        <v>0</v>
      </c>
      <c r="AB677" s="75">
        <v>0</v>
      </c>
      <c r="AC677" s="63" t="s">
        <v>87</v>
      </c>
      <c r="AD677" s="63" t="s">
        <v>74</v>
      </c>
      <c r="AE677" s="63" t="s">
        <v>41</v>
      </c>
      <c r="AF677" s="63" t="s">
        <v>106</v>
      </c>
      <c r="AG677" s="63" t="s">
        <v>43</v>
      </c>
      <c r="AH677" s="63" t="s">
        <v>3112</v>
      </c>
      <c r="AI677" s="63" t="s">
        <v>147</v>
      </c>
      <c r="AJ677" s="63" t="s">
        <v>183</v>
      </c>
      <c r="AK677" s="83">
        <v>2.5</v>
      </c>
      <c r="AL677" s="63" t="s">
        <v>108</v>
      </c>
      <c r="AM677" s="63" t="s">
        <v>97</v>
      </c>
      <c r="AN677"/>
    </row>
    <row r="678" spans="1:40" ht="18" customHeight="1">
      <c r="A678" s="1" t="s">
        <v>2157</v>
      </c>
      <c r="B678" s="1" t="s">
        <v>2158</v>
      </c>
      <c r="C678" s="4">
        <v>46130</v>
      </c>
      <c r="D678" s="4">
        <v>46149</v>
      </c>
      <c r="E678" s="4">
        <v>46151</v>
      </c>
      <c r="F678" s="63" t="s">
        <v>142</v>
      </c>
      <c r="G678" s="63" t="s">
        <v>3843</v>
      </c>
      <c r="H678" s="63" t="s">
        <v>169</v>
      </c>
      <c r="I678" s="63" t="s">
        <v>34</v>
      </c>
      <c r="J678" s="63" t="s">
        <v>163</v>
      </c>
      <c r="K678" s="63" t="s">
        <v>2159</v>
      </c>
      <c r="L678" s="63" t="s">
        <v>269</v>
      </c>
      <c r="M678" s="69">
        <v>139.77000000000001</v>
      </c>
      <c r="N678" s="63" t="s">
        <v>104</v>
      </c>
      <c r="O678" s="73">
        <f>_xlfn.XLOOKUP(Supplier_Perf_Table[[#This Row],[Currency]],'Comments 2'!$C$4:$C$16,'Comments 2'!$D$4:$D$16)</f>
        <v>1.9E-2</v>
      </c>
      <c r="P678" s="69">
        <f>IFERROR(Supplier_Perf_Table[[#This Row],[Unit_Cost]]*Supplier_Perf_Table[[#This Row],[Dollar Equivalent]],"")</f>
        <v>2.6556299999999999</v>
      </c>
      <c r="Q678" s="75">
        <v>200</v>
      </c>
      <c r="R678" s="1">
        <v>27954</v>
      </c>
      <c r="S678" s="75">
        <f>Supplier_Perf_Table[[#This Row],[Unit_Cost]]*Supplier_Perf_Table[[#This Row],[Order_Quantity]]</f>
        <v>27954.000000000004</v>
      </c>
      <c r="T678" s="75">
        <f>IFERROR(Supplier_Perf_Table[[#This Row],[Dollar Equivalent]]*Supplier_Perf_Table[[#This Row],[Ordered_Value]],"")</f>
        <v>531.12599999999998</v>
      </c>
      <c r="U678" s="75">
        <v>5</v>
      </c>
      <c r="V678" s="7">
        <v>2.5000000000000001E-2</v>
      </c>
      <c r="W678" s="75">
        <v>21</v>
      </c>
      <c r="X678" s="55">
        <f>IFERROR(Supplier_Perf_Table[[#This Row],[Actual_Delivery_Date]]-Supplier_Perf_Table[[#This Row],[Order Date]],"")</f>
        <v>21</v>
      </c>
      <c r="Y678" s="75">
        <v>19</v>
      </c>
      <c r="Z678" s="56">
        <f>IFERROR(Supplier_Perf_Table[[#This Row],[Expected Delivery_Date]]-Supplier_Perf_Table[[#This Row],[Order Date]],"")</f>
        <v>19</v>
      </c>
      <c r="AA678" s="56">
        <f>Supplier_Perf_Table[[#This Row],[Calculated_Lead_Time2]]-Supplier_Perf_Table[[#This Row],[Calculated_Expected_Lead_Time]]</f>
        <v>2</v>
      </c>
      <c r="AB678" s="75">
        <v>2</v>
      </c>
      <c r="AC678" s="63" t="s">
        <v>135</v>
      </c>
      <c r="AD678" s="63" t="s">
        <v>40</v>
      </c>
      <c r="AE678" s="63" t="s">
        <v>127</v>
      </c>
      <c r="AF678" s="63" t="s">
        <v>106</v>
      </c>
      <c r="AG678" s="63" t="s">
        <v>107</v>
      </c>
      <c r="AH678" s="63" t="s">
        <v>3112</v>
      </c>
      <c r="AI678" s="63" t="s">
        <v>56</v>
      </c>
      <c r="AJ678" s="63" t="s">
        <v>138</v>
      </c>
      <c r="AK678" s="83">
        <v>4.9000000000000004</v>
      </c>
      <c r="AL678" s="63" t="s">
        <v>108</v>
      </c>
      <c r="AM678" s="63" t="s">
        <v>148</v>
      </c>
      <c r="AN678"/>
    </row>
    <row r="679" spans="1:40" ht="18" customHeight="1">
      <c r="A679" s="1" t="s">
        <v>2160</v>
      </c>
      <c r="B679" s="1" t="s">
        <v>2161</v>
      </c>
      <c r="C679" s="4">
        <v>46054</v>
      </c>
      <c r="D679" s="4">
        <v>46067</v>
      </c>
      <c r="E679" s="4">
        <v>46071</v>
      </c>
      <c r="F679" s="63" t="s">
        <v>235</v>
      </c>
      <c r="G679" s="63" t="s">
        <v>3848</v>
      </c>
      <c r="H679" s="63" t="s">
        <v>479</v>
      </c>
      <c r="I679" s="63" t="s">
        <v>178</v>
      </c>
      <c r="J679" s="63" t="s">
        <v>71</v>
      </c>
      <c r="K679" s="63" t="s">
        <v>2162</v>
      </c>
      <c r="L679" s="63" t="s">
        <v>553</v>
      </c>
      <c r="M679" s="69">
        <v>381.82</v>
      </c>
      <c r="N679" s="63" t="s">
        <v>86</v>
      </c>
      <c r="O679" s="73">
        <f>_xlfn.XLOOKUP(Supplier_Perf_Table[[#This Row],[Currency]],'Comments 2'!$C$4:$C$16,'Comments 2'!$D$4:$D$16)</f>
        <v>8.8999999999999996E-2</v>
      </c>
      <c r="P679" s="69">
        <f>IFERROR(Supplier_Perf_Table[[#This Row],[Unit_Cost]]*Supplier_Perf_Table[[#This Row],[Dollar Equivalent]],"")</f>
        <v>33.98198</v>
      </c>
      <c r="Q679" s="75">
        <v>50</v>
      </c>
      <c r="R679" s="1">
        <v>19091</v>
      </c>
      <c r="S679" s="75">
        <f>Supplier_Perf_Table[[#This Row],[Unit_Cost]]*Supplier_Perf_Table[[#This Row],[Order_Quantity]]</f>
        <v>19091</v>
      </c>
      <c r="T679" s="75">
        <f>IFERROR(Supplier_Perf_Table[[#This Row],[Dollar Equivalent]]*Supplier_Perf_Table[[#This Row],[Ordered_Value]],"")</f>
        <v>1699.0989999999999</v>
      </c>
      <c r="U679" s="75">
        <v>3</v>
      </c>
      <c r="V679" s="7">
        <v>0.06</v>
      </c>
      <c r="W679" s="75">
        <v>17</v>
      </c>
      <c r="X679" s="55">
        <f>IFERROR(Supplier_Perf_Table[[#This Row],[Actual_Delivery_Date]]-Supplier_Perf_Table[[#This Row],[Order Date]],"")</f>
        <v>17</v>
      </c>
      <c r="Y679" s="75">
        <v>13</v>
      </c>
      <c r="Z679" s="56">
        <f>IFERROR(Supplier_Perf_Table[[#This Row],[Expected Delivery_Date]]-Supplier_Perf_Table[[#This Row],[Order Date]],"")</f>
        <v>13</v>
      </c>
      <c r="AA679" s="56">
        <f>Supplier_Perf_Table[[#This Row],[Calculated_Lead_Time2]]-Supplier_Perf_Table[[#This Row],[Calculated_Expected_Lead_Time]]</f>
        <v>4</v>
      </c>
      <c r="AB679" s="75">
        <v>4</v>
      </c>
      <c r="AC679" s="63" t="s">
        <v>39</v>
      </c>
      <c r="AD679" s="63" t="s">
        <v>74</v>
      </c>
      <c r="AE679" s="63" t="s">
        <v>105</v>
      </c>
      <c r="AF679" s="63" t="s">
        <v>106</v>
      </c>
      <c r="AG679" s="63" t="s">
        <v>173</v>
      </c>
      <c r="AH679" s="63" t="s">
        <v>3112</v>
      </c>
      <c r="AI679" s="63" t="s">
        <v>56</v>
      </c>
      <c r="AJ679" s="63" t="s">
        <v>75</v>
      </c>
      <c r="AK679" s="83">
        <v>3</v>
      </c>
      <c r="AL679" s="63" t="s">
        <v>45</v>
      </c>
      <c r="AM679" s="63" t="s">
        <v>77</v>
      </c>
      <c r="AN679"/>
    </row>
    <row r="680" spans="1:40" ht="18" customHeight="1">
      <c r="A680" s="1" t="s">
        <v>2163</v>
      </c>
      <c r="B680" s="1" t="s">
        <v>2164</v>
      </c>
      <c r="C680" s="4">
        <v>46153</v>
      </c>
      <c r="D680" s="4">
        <v>46168</v>
      </c>
      <c r="E680" s="4">
        <v>46166</v>
      </c>
      <c r="F680" s="63" t="s">
        <v>48</v>
      </c>
      <c r="G680" s="63" t="s">
        <v>3836</v>
      </c>
      <c r="H680" s="63" t="s">
        <v>102</v>
      </c>
      <c r="I680" s="63" t="s">
        <v>241</v>
      </c>
      <c r="J680" s="63" t="s">
        <v>50</v>
      </c>
      <c r="K680" s="63" t="s">
        <v>2165</v>
      </c>
      <c r="L680" s="63" t="s">
        <v>189</v>
      </c>
      <c r="M680" s="69">
        <v>2411.58</v>
      </c>
      <c r="N680" s="63" t="s">
        <v>104</v>
      </c>
      <c r="O680" s="73">
        <f>_xlfn.XLOOKUP(Supplier_Perf_Table[[#This Row],[Currency]],'Comments 2'!$C$4:$C$16,'Comments 2'!$D$4:$D$16)</f>
        <v>1.9E-2</v>
      </c>
      <c r="P680" s="69">
        <f>IFERROR(Supplier_Perf_Table[[#This Row],[Unit_Cost]]*Supplier_Perf_Table[[#This Row],[Dollar Equivalent]],"")</f>
        <v>45.82002</v>
      </c>
      <c r="Q680" s="75">
        <v>2000</v>
      </c>
      <c r="R680" s="1">
        <v>4823160</v>
      </c>
      <c r="S680" s="75">
        <f>Supplier_Perf_Table[[#This Row],[Unit_Cost]]*Supplier_Perf_Table[[#This Row],[Order_Quantity]]</f>
        <v>4823160</v>
      </c>
      <c r="T680" s="75">
        <f>IFERROR(Supplier_Perf_Table[[#This Row],[Dollar Equivalent]]*Supplier_Perf_Table[[#This Row],[Ordered_Value]],"")</f>
        <v>91640.04</v>
      </c>
      <c r="U680" s="75">
        <v>1</v>
      </c>
      <c r="V680" s="7">
        <v>5.0000000000000001E-4</v>
      </c>
      <c r="W680" s="75">
        <v>13</v>
      </c>
      <c r="X680" s="55">
        <f>IFERROR(Supplier_Perf_Table[[#This Row],[Actual_Delivery_Date]]-Supplier_Perf_Table[[#This Row],[Order Date]],"")</f>
        <v>13</v>
      </c>
      <c r="Y680" s="75">
        <v>15</v>
      </c>
      <c r="Z680" s="56">
        <f>IFERROR(Supplier_Perf_Table[[#This Row],[Expected Delivery_Date]]-Supplier_Perf_Table[[#This Row],[Order Date]],"")</f>
        <v>15</v>
      </c>
      <c r="AA680" s="56">
        <f>Supplier_Perf_Table[[#This Row],[Calculated_Lead_Time2]]-Supplier_Perf_Table[[#This Row],[Calculated_Expected_Lead_Time]]</f>
        <v>-2</v>
      </c>
      <c r="AB680" s="75">
        <v>-2</v>
      </c>
      <c r="AC680" s="63" t="s">
        <v>270</v>
      </c>
      <c r="AD680" s="63" t="s">
        <v>40</v>
      </c>
      <c r="AE680" s="63" t="s">
        <v>105</v>
      </c>
      <c r="AF680" s="63" t="s">
        <v>106</v>
      </c>
      <c r="AG680" s="63" t="s">
        <v>43</v>
      </c>
      <c r="AH680" s="63" t="s">
        <v>3112</v>
      </c>
      <c r="AI680" s="63" t="s">
        <v>147</v>
      </c>
      <c r="AJ680" s="63" t="s">
        <v>138</v>
      </c>
      <c r="AK680" s="83">
        <v>2.2999999999999998</v>
      </c>
      <c r="AL680" s="63" t="s">
        <v>108</v>
      </c>
      <c r="AM680" s="63" t="s">
        <v>138</v>
      </c>
      <c r="AN680"/>
    </row>
    <row r="681" spans="1:40" ht="18" customHeight="1">
      <c r="A681" s="1" t="s">
        <v>2166</v>
      </c>
      <c r="B681" s="1" t="s">
        <v>2167</v>
      </c>
      <c r="C681" s="4">
        <v>46115</v>
      </c>
      <c r="D681" s="4">
        <v>46127</v>
      </c>
      <c r="E681" s="4">
        <v>46128</v>
      </c>
      <c r="F681" s="63" t="s">
        <v>256</v>
      </c>
      <c r="G681" s="63" t="s">
        <v>3849</v>
      </c>
      <c r="H681" s="63" t="s">
        <v>258</v>
      </c>
      <c r="I681" s="63" t="s">
        <v>61</v>
      </c>
      <c r="J681" s="63" t="s">
        <v>153</v>
      </c>
      <c r="K681" s="63" t="s">
        <v>2168</v>
      </c>
      <c r="L681" s="63" t="s">
        <v>295</v>
      </c>
      <c r="M681" s="69" t="s">
        <v>3080</v>
      </c>
      <c r="N681" s="63" t="s">
        <v>159</v>
      </c>
      <c r="O681" s="73">
        <f>_xlfn.XLOOKUP(Supplier_Perf_Table[[#This Row],[Currency]],'Comments 2'!$C$4:$C$16,'Comments 2'!$D$4:$D$16)</f>
        <v>7.2999999999999996E-4</v>
      </c>
      <c r="P681" s="69" t="str">
        <f>IFERROR(Supplier_Perf_Table[[#This Row],[Unit_Cost]]*Supplier_Perf_Table[[#This Row],[Dollar Equivalent]],"")</f>
        <v/>
      </c>
      <c r="Q681" s="75">
        <v>200</v>
      </c>
      <c r="R681" s="1">
        <v>39810</v>
      </c>
      <c r="S681" s="75" t="e">
        <f>Supplier_Perf_Table[[#This Row],[Unit_Cost]]*Supplier_Perf_Table[[#This Row],[Order_Quantity]]</f>
        <v>#VALUE!</v>
      </c>
      <c r="T681" s="75">
        <f>IFERROR(Supplier_Perf_Table[[#This Row],[Dollar Equivalent]]*Supplier_Perf_Table[[#This Row],[Ordered_Value]],"")</f>
        <v>29.061299999999999</v>
      </c>
      <c r="U681" s="75">
        <v>1</v>
      </c>
      <c r="V681" s="7">
        <v>5.0000000000000001E-3</v>
      </c>
      <c r="W681" s="75">
        <v>13</v>
      </c>
      <c r="X681" s="55">
        <f>IFERROR(Supplier_Perf_Table[[#This Row],[Actual_Delivery_Date]]-Supplier_Perf_Table[[#This Row],[Order Date]],"")</f>
        <v>13</v>
      </c>
      <c r="Y681" s="75">
        <v>12</v>
      </c>
      <c r="Z681" s="56">
        <f>IFERROR(Supplier_Perf_Table[[#This Row],[Expected Delivery_Date]]-Supplier_Perf_Table[[#This Row],[Order Date]],"")</f>
        <v>12</v>
      </c>
      <c r="AA681" s="56">
        <f>Supplier_Perf_Table[[#This Row],[Calculated_Lead_Time2]]-Supplier_Perf_Table[[#This Row],[Calculated_Expected_Lead_Time]]</f>
        <v>1</v>
      </c>
      <c r="AB681" s="75">
        <v>1</v>
      </c>
      <c r="AC681" s="63" t="s">
        <v>135</v>
      </c>
      <c r="AD681" s="63" t="s">
        <v>40</v>
      </c>
      <c r="AE681" s="63" t="s">
        <v>105</v>
      </c>
      <c r="AF681" s="63" t="s">
        <v>106</v>
      </c>
      <c r="AG681" s="63" t="s">
        <v>128</v>
      </c>
      <c r="AH681" s="63" t="s">
        <v>174</v>
      </c>
      <c r="AI681" s="63" t="s">
        <v>56</v>
      </c>
      <c r="AJ681" s="63" t="s">
        <v>138</v>
      </c>
      <c r="AK681" s="83">
        <v>4.0999999999999996</v>
      </c>
      <c r="AL681" s="63" t="s">
        <v>57</v>
      </c>
      <c r="AM681" s="63" t="s">
        <v>46</v>
      </c>
      <c r="AN681"/>
    </row>
    <row r="682" spans="1:40" ht="18" customHeight="1">
      <c r="A682" s="1" t="s">
        <v>2169</v>
      </c>
      <c r="B682" s="1" t="s">
        <v>2170</v>
      </c>
      <c r="C682" s="4">
        <v>46031</v>
      </c>
      <c r="D682" s="4">
        <v>46052</v>
      </c>
      <c r="E682" s="4">
        <v>46047</v>
      </c>
      <c r="F682" s="63" t="s">
        <v>118</v>
      </c>
      <c r="G682" s="63" t="s">
        <v>3842</v>
      </c>
      <c r="H682" s="63" t="s">
        <v>301</v>
      </c>
      <c r="I682" s="63" t="s">
        <v>92</v>
      </c>
      <c r="J682" s="63" t="s">
        <v>62</v>
      </c>
      <c r="K682" s="63" t="s">
        <v>2171</v>
      </c>
      <c r="L682" s="63" t="s">
        <v>225</v>
      </c>
      <c r="M682" s="69">
        <v>620.78</v>
      </c>
      <c r="N682" s="63" t="s">
        <v>104</v>
      </c>
      <c r="O682" s="73">
        <f>_xlfn.XLOOKUP(Supplier_Perf_Table[[#This Row],[Currency]],'Comments 2'!$C$4:$C$16,'Comments 2'!$D$4:$D$16)</f>
        <v>1.9E-2</v>
      </c>
      <c r="P682" s="69">
        <f>IFERROR(Supplier_Perf_Table[[#This Row],[Unit_Cost]]*Supplier_Perf_Table[[#This Row],[Dollar Equivalent]],"")</f>
        <v>11.79482</v>
      </c>
      <c r="Q682" s="75">
        <v>50</v>
      </c>
      <c r="R682" s="1">
        <v>31039</v>
      </c>
      <c r="S682" s="75">
        <f>Supplier_Perf_Table[[#This Row],[Unit_Cost]]*Supplier_Perf_Table[[#This Row],[Order_Quantity]]</f>
        <v>31039</v>
      </c>
      <c r="T682" s="75">
        <f>IFERROR(Supplier_Perf_Table[[#This Row],[Dollar Equivalent]]*Supplier_Perf_Table[[#This Row],[Ordered_Value]],"")</f>
        <v>589.74099999999999</v>
      </c>
      <c r="U682" s="75">
        <v>0</v>
      </c>
      <c r="V682" s="7">
        <v>0</v>
      </c>
      <c r="W682" s="75">
        <v>16</v>
      </c>
      <c r="X682" s="55">
        <f>IFERROR(Supplier_Perf_Table[[#This Row],[Actual_Delivery_Date]]-Supplier_Perf_Table[[#This Row],[Order Date]],"")</f>
        <v>16</v>
      </c>
      <c r="Y682" s="75">
        <v>21</v>
      </c>
      <c r="Z682" s="56">
        <f>IFERROR(Supplier_Perf_Table[[#This Row],[Expected Delivery_Date]]-Supplier_Perf_Table[[#This Row],[Order Date]],"")</f>
        <v>21</v>
      </c>
      <c r="AA682" s="56">
        <f>Supplier_Perf_Table[[#This Row],[Calculated_Lead_Time2]]-Supplier_Perf_Table[[#This Row],[Calculated_Expected_Lead_Time]]</f>
        <v>-5</v>
      </c>
      <c r="AB682" s="75">
        <v>-5</v>
      </c>
      <c r="AC682" s="63" t="s">
        <v>87</v>
      </c>
      <c r="AD682" s="63" t="s">
        <v>40</v>
      </c>
      <c r="AE682" s="63" t="s">
        <v>3088</v>
      </c>
      <c r="AF682" s="63" t="s">
        <v>3088</v>
      </c>
      <c r="AG682" s="63" t="s">
        <v>173</v>
      </c>
      <c r="AH682" s="63" t="s">
        <v>3112</v>
      </c>
      <c r="AI682" s="63" t="s">
        <v>137</v>
      </c>
      <c r="AJ682" s="63" t="s">
        <v>138</v>
      </c>
      <c r="AK682" s="83">
        <v>4.7</v>
      </c>
      <c r="AL682" s="63" t="s">
        <v>45</v>
      </c>
      <c r="AM682" s="63" t="s">
        <v>130</v>
      </c>
      <c r="AN682"/>
    </row>
    <row r="683" spans="1:40" ht="18" customHeight="1">
      <c r="A683" s="1" t="s">
        <v>2172</v>
      </c>
      <c r="B683" s="1" t="s">
        <v>2173</v>
      </c>
      <c r="C683" s="4">
        <v>46025</v>
      </c>
      <c r="D683" s="4">
        <v>46033</v>
      </c>
      <c r="E683" s="4">
        <v>46025</v>
      </c>
      <c r="F683" s="63" t="s">
        <v>151</v>
      </c>
      <c r="G683" s="63" t="s">
        <v>3844</v>
      </c>
      <c r="H683" s="63" t="s">
        <v>152</v>
      </c>
      <c r="I683" s="63" t="s">
        <v>49</v>
      </c>
      <c r="J683" s="63" t="s">
        <v>112</v>
      </c>
      <c r="K683" s="63" t="s">
        <v>2174</v>
      </c>
      <c r="L683" s="63" t="s">
        <v>114</v>
      </c>
      <c r="M683" s="69">
        <v>724.07</v>
      </c>
      <c r="N683" s="63" t="s">
        <v>159</v>
      </c>
      <c r="O683" s="73">
        <f>_xlfn.XLOOKUP(Supplier_Perf_Table[[#This Row],[Currency]],'Comments 2'!$C$4:$C$16,'Comments 2'!$D$4:$D$16)</f>
        <v>7.2999999999999996E-4</v>
      </c>
      <c r="P683" s="69">
        <f>IFERROR(Supplier_Perf_Table[[#This Row],[Unit_Cost]]*Supplier_Perf_Table[[#This Row],[Dollar Equivalent]],"")</f>
        <v>0.52857109999999996</v>
      </c>
      <c r="Q683" s="75">
        <v>150</v>
      </c>
      <c r="R683" s="1">
        <v>108610.5</v>
      </c>
      <c r="S683" s="75">
        <f>Supplier_Perf_Table[[#This Row],[Unit_Cost]]*Supplier_Perf_Table[[#This Row],[Order_Quantity]]</f>
        <v>108610.50000000001</v>
      </c>
      <c r="T683" s="75">
        <f>IFERROR(Supplier_Perf_Table[[#This Row],[Dollar Equivalent]]*Supplier_Perf_Table[[#This Row],[Ordered_Value]],"")</f>
        <v>79.285664999999995</v>
      </c>
      <c r="U683" s="75">
        <v>1</v>
      </c>
      <c r="V683" s="7">
        <v>6.7000000000000002E-3</v>
      </c>
      <c r="W683" s="75">
        <v>0</v>
      </c>
      <c r="X683" s="55">
        <f>IFERROR(Supplier_Perf_Table[[#This Row],[Actual_Delivery_Date]]-Supplier_Perf_Table[[#This Row],[Order Date]],"")</f>
        <v>0</v>
      </c>
      <c r="Y683" s="75">
        <v>8</v>
      </c>
      <c r="Z683" s="56">
        <f>IFERROR(Supplier_Perf_Table[[#This Row],[Expected Delivery_Date]]-Supplier_Perf_Table[[#This Row],[Order Date]],"")</f>
        <v>8</v>
      </c>
      <c r="AA683" s="56">
        <f>Supplier_Perf_Table[[#This Row],[Calculated_Lead_Time2]]-Supplier_Perf_Table[[#This Row],[Calculated_Expected_Lead_Time]]</f>
        <v>-8</v>
      </c>
      <c r="AB683" s="75">
        <v>-8</v>
      </c>
      <c r="AC683" s="63" t="s">
        <v>87</v>
      </c>
      <c r="AD683" s="63" t="s">
        <v>3088</v>
      </c>
      <c r="AE683" s="63" t="s">
        <v>3088</v>
      </c>
      <c r="AF683" s="63" t="s">
        <v>3088</v>
      </c>
      <c r="AG683" s="63" t="s">
        <v>107</v>
      </c>
      <c r="AH683" s="63" t="s">
        <v>3112</v>
      </c>
      <c r="AI683" s="63" t="s">
        <v>44</v>
      </c>
      <c r="AJ683" s="63" t="s">
        <v>138</v>
      </c>
      <c r="AK683" s="83">
        <v>4.4000000000000004</v>
      </c>
      <c r="AL683" s="63" t="s">
        <v>139</v>
      </c>
      <c r="AM683" s="63" t="s">
        <v>130</v>
      </c>
      <c r="AN683"/>
    </row>
    <row r="684" spans="1:40" ht="18" customHeight="1">
      <c r="A684" s="1" t="s">
        <v>2175</v>
      </c>
      <c r="B684" s="1" t="s">
        <v>2176</v>
      </c>
      <c r="C684" s="4">
        <v>46183</v>
      </c>
      <c r="D684" s="4">
        <v>46195</v>
      </c>
      <c r="E684" s="4">
        <v>46198</v>
      </c>
      <c r="F684" s="63" t="s">
        <v>100</v>
      </c>
      <c r="G684" s="63" t="s">
        <v>3841</v>
      </c>
      <c r="H684" s="63" t="s">
        <v>102</v>
      </c>
      <c r="I684" s="63" t="s">
        <v>241</v>
      </c>
      <c r="J684" s="63" t="s">
        <v>50</v>
      </c>
      <c r="K684" s="63" t="s">
        <v>2177</v>
      </c>
      <c r="L684" s="63" t="s">
        <v>52</v>
      </c>
      <c r="M684" s="69">
        <v>1233.2</v>
      </c>
      <c r="N684" s="63" t="s">
        <v>86</v>
      </c>
      <c r="O684" s="73">
        <f>_xlfn.XLOOKUP(Supplier_Perf_Table[[#This Row],[Currency]],'Comments 2'!$C$4:$C$16,'Comments 2'!$D$4:$D$16)</f>
        <v>8.8999999999999996E-2</v>
      </c>
      <c r="P684" s="69">
        <f>IFERROR(Supplier_Perf_Table[[#This Row],[Unit_Cost]]*Supplier_Perf_Table[[#This Row],[Dollar Equivalent]],"")</f>
        <v>109.7548</v>
      </c>
      <c r="Q684" s="75">
        <v>300</v>
      </c>
      <c r="R684" s="1">
        <v>369960</v>
      </c>
      <c r="S684" s="75">
        <f>Supplier_Perf_Table[[#This Row],[Unit_Cost]]*Supplier_Perf_Table[[#This Row],[Order_Quantity]]</f>
        <v>369960</v>
      </c>
      <c r="T684" s="75">
        <f>IFERROR(Supplier_Perf_Table[[#This Row],[Dollar Equivalent]]*Supplier_Perf_Table[[#This Row],[Ordered_Value]],"")</f>
        <v>32926.439999999995</v>
      </c>
      <c r="U684" s="75">
        <v>10</v>
      </c>
      <c r="V684" s="7">
        <v>3.3300000000000003E-2</v>
      </c>
      <c r="W684" s="75">
        <v>15</v>
      </c>
      <c r="X684" s="55">
        <f>IFERROR(Supplier_Perf_Table[[#This Row],[Actual_Delivery_Date]]-Supplier_Perf_Table[[#This Row],[Order Date]],"")</f>
        <v>15</v>
      </c>
      <c r="Y684" s="75">
        <v>12</v>
      </c>
      <c r="Z684" s="56">
        <f>IFERROR(Supplier_Perf_Table[[#This Row],[Expected Delivery_Date]]-Supplier_Perf_Table[[#This Row],[Order Date]],"")</f>
        <v>12</v>
      </c>
      <c r="AA684" s="56">
        <f>Supplier_Perf_Table[[#This Row],[Calculated_Lead_Time2]]-Supplier_Perf_Table[[#This Row],[Calculated_Expected_Lead_Time]]</f>
        <v>3</v>
      </c>
      <c r="AB684" s="75">
        <v>3</v>
      </c>
      <c r="AC684" s="63" t="s">
        <v>135</v>
      </c>
      <c r="AD684" s="63" t="s">
        <v>40</v>
      </c>
      <c r="AE684" s="63" t="s">
        <v>105</v>
      </c>
      <c r="AF684" s="63" t="s">
        <v>3088</v>
      </c>
      <c r="AG684" s="63" t="s">
        <v>128</v>
      </c>
      <c r="AH684" s="63" t="s">
        <v>3112</v>
      </c>
      <c r="AI684" s="63" t="s">
        <v>95</v>
      </c>
      <c r="AJ684" s="63" t="s">
        <v>138</v>
      </c>
      <c r="AK684" s="83">
        <v>4.5999999999999996</v>
      </c>
      <c r="AL684" s="63" t="s">
        <v>45</v>
      </c>
      <c r="AM684" s="63" t="s">
        <v>46</v>
      </c>
      <c r="AN684"/>
    </row>
    <row r="685" spans="1:40" ht="18" customHeight="1">
      <c r="A685" s="1" t="s">
        <v>2178</v>
      </c>
      <c r="B685" s="1" t="s">
        <v>2179</v>
      </c>
      <c r="C685" s="4">
        <v>46142</v>
      </c>
      <c r="D685" s="4">
        <v>46158</v>
      </c>
      <c r="E685" s="4">
        <v>46148</v>
      </c>
      <c r="F685" s="63" t="s">
        <v>48</v>
      </c>
      <c r="G685" s="63" t="s">
        <v>3836</v>
      </c>
      <c r="H685" s="63" t="s">
        <v>102</v>
      </c>
      <c r="I685" s="63" t="s">
        <v>34</v>
      </c>
      <c r="J685" s="63" t="s">
        <v>112</v>
      </c>
      <c r="K685" s="63" t="s">
        <v>2180</v>
      </c>
      <c r="L685" s="63" t="s">
        <v>229</v>
      </c>
      <c r="M685" s="69">
        <v>659.62</v>
      </c>
      <c r="N685" s="63" t="s">
        <v>104</v>
      </c>
      <c r="O685" s="73">
        <f>_xlfn.XLOOKUP(Supplier_Perf_Table[[#This Row],[Currency]],'Comments 2'!$C$4:$C$16,'Comments 2'!$D$4:$D$16)</f>
        <v>1.9E-2</v>
      </c>
      <c r="P685" s="69">
        <f>IFERROR(Supplier_Perf_Table[[#This Row],[Unit_Cost]]*Supplier_Perf_Table[[#This Row],[Dollar Equivalent]],"")</f>
        <v>12.532779999999999</v>
      </c>
      <c r="Q685" s="75">
        <v>75</v>
      </c>
      <c r="R685" s="1" t="s">
        <v>3080</v>
      </c>
      <c r="S685" s="75">
        <f>Supplier_Perf_Table[[#This Row],[Unit_Cost]]*Supplier_Perf_Table[[#This Row],[Order_Quantity]]</f>
        <v>49471.5</v>
      </c>
      <c r="T685" s="75" t="str">
        <f>IFERROR(Supplier_Perf_Table[[#This Row],[Dollar Equivalent]]*Supplier_Perf_Table[[#This Row],[Ordered_Value]],"")</f>
        <v/>
      </c>
      <c r="U685" s="75">
        <v>1</v>
      </c>
      <c r="V685" s="7">
        <v>1.3299999999999999E-2</v>
      </c>
      <c r="W685" s="75">
        <v>6</v>
      </c>
      <c r="X685" s="55">
        <f>IFERROR(Supplier_Perf_Table[[#This Row],[Actual_Delivery_Date]]-Supplier_Perf_Table[[#This Row],[Order Date]],"")</f>
        <v>6</v>
      </c>
      <c r="Y685" s="75">
        <v>16</v>
      </c>
      <c r="Z685" s="56">
        <f>IFERROR(Supplier_Perf_Table[[#This Row],[Expected Delivery_Date]]-Supplier_Perf_Table[[#This Row],[Order Date]],"")</f>
        <v>16</v>
      </c>
      <c r="AA685" s="56">
        <f>Supplier_Perf_Table[[#This Row],[Calculated_Lead_Time2]]-Supplier_Perf_Table[[#This Row],[Calculated_Expected_Lead_Time]]</f>
        <v>-10</v>
      </c>
      <c r="AB685" s="75">
        <v>-10</v>
      </c>
      <c r="AC685" s="63" t="s">
        <v>270</v>
      </c>
      <c r="AD685" s="63" t="s">
        <v>40</v>
      </c>
      <c r="AE685" s="63" t="s">
        <v>3088</v>
      </c>
      <c r="AF685" s="63" t="s">
        <v>106</v>
      </c>
      <c r="AG685" s="63" t="s">
        <v>128</v>
      </c>
      <c r="AH685" s="63" t="s">
        <v>174</v>
      </c>
      <c r="AI685" s="63" t="s">
        <v>147</v>
      </c>
      <c r="AJ685" s="63" t="s">
        <v>138</v>
      </c>
      <c r="AK685" s="83">
        <v>2.7</v>
      </c>
      <c r="AL685" s="63" t="s">
        <v>76</v>
      </c>
      <c r="AM685" s="63" t="s">
        <v>130</v>
      </c>
      <c r="AN685"/>
    </row>
    <row r="686" spans="1:40" ht="18" customHeight="1">
      <c r="A686" s="1" t="s">
        <v>2181</v>
      </c>
      <c r="B686" s="1" t="s">
        <v>2182</v>
      </c>
      <c r="C686" s="4">
        <v>46070</v>
      </c>
      <c r="D686" s="4">
        <v>46076</v>
      </c>
      <c r="E686" s="4">
        <v>46075</v>
      </c>
      <c r="F686" s="63" t="s">
        <v>151</v>
      </c>
      <c r="G686" s="63" t="s">
        <v>3844</v>
      </c>
      <c r="H686" s="63" t="s">
        <v>152</v>
      </c>
      <c r="I686" s="63" t="s">
        <v>83</v>
      </c>
      <c r="J686" s="63" t="s">
        <v>112</v>
      </c>
      <c r="K686" s="63" t="s">
        <v>2183</v>
      </c>
      <c r="L686" s="63" t="s">
        <v>246</v>
      </c>
      <c r="M686" s="69">
        <v>412.18</v>
      </c>
      <c r="N686" s="63" t="s">
        <v>53</v>
      </c>
      <c r="O686" s="73">
        <f>_xlfn.XLOOKUP(Supplier_Perf_Table[[#This Row],[Currency]],'Comments 2'!$C$4:$C$16,'Comments 2'!$D$4:$D$16)</f>
        <v>6.0999999999999999E-2</v>
      </c>
      <c r="P686" s="69">
        <f>IFERROR(Supplier_Perf_Table[[#This Row],[Unit_Cost]]*Supplier_Perf_Table[[#This Row],[Dollar Equivalent]],"")</f>
        <v>25.142980000000001</v>
      </c>
      <c r="Q686" s="75">
        <v>150</v>
      </c>
      <c r="R686" s="1">
        <v>61827</v>
      </c>
      <c r="S686" s="75">
        <f>Supplier_Perf_Table[[#This Row],[Unit_Cost]]*Supplier_Perf_Table[[#This Row],[Order_Quantity]]</f>
        <v>61827</v>
      </c>
      <c r="T686" s="75">
        <f>IFERROR(Supplier_Perf_Table[[#This Row],[Dollar Equivalent]]*Supplier_Perf_Table[[#This Row],[Ordered_Value]],"")</f>
        <v>3771.4470000000001</v>
      </c>
      <c r="U686" s="75">
        <v>0</v>
      </c>
      <c r="V686" s="7">
        <v>0</v>
      </c>
      <c r="W686" s="75">
        <v>5</v>
      </c>
      <c r="X686" s="55">
        <f>IFERROR(Supplier_Perf_Table[[#This Row],[Actual_Delivery_Date]]-Supplier_Perf_Table[[#This Row],[Order Date]],"")</f>
        <v>5</v>
      </c>
      <c r="Y686" s="75">
        <v>6</v>
      </c>
      <c r="Z686" s="56">
        <f>IFERROR(Supplier_Perf_Table[[#This Row],[Expected Delivery_Date]]-Supplier_Perf_Table[[#This Row],[Order Date]],"")</f>
        <v>6</v>
      </c>
      <c r="AA686" s="56">
        <f>Supplier_Perf_Table[[#This Row],[Calculated_Lead_Time2]]-Supplier_Perf_Table[[#This Row],[Calculated_Expected_Lead_Time]]</f>
        <v>-1</v>
      </c>
      <c r="AB686" s="75"/>
      <c r="AC686" s="63" t="s">
        <v>87</v>
      </c>
      <c r="AD686" s="63" t="s">
        <v>40</v>
      </c>
      <c r="AE686" s="63" t="s">
        <v>127</v>
      </c>
      <c r="AF686" s="63" t="s">
        <v>106</v>
      </c>
      <c r="AG686" s="63" t="s">
        <v>128</v>
      </c>
      <c r="AH686" s="63" t="s">
        <v>206</v>
      </c>
      <c r="AI686" s="63" t="s">
        <v>191</v>
      </c>
      <c r="AJ686" s="63" t="s">
        <v>138</v>
      </c>
      <c r="AK686" s="83">
        <v>2.5</v>
      </c>
      <c r="AL686" s="63" t="s">
        <v>57</v>
      </c>
      <c r="AM686" s="63" t="s">
        <v>130</v>
      </c>
      <c r="AN686"/>
    </row>
    <row r="687" spans="1:40" ht="18" customHeight="1">
      <c r="A687" s="1" t="s">
        <v>2184</v>
      </c>
      <c r="B687" s="1" t="s">
        <v>2185</v>
      </c>
      <c r="C687" s="4">
        <v>46174</v>
      </c>
      <c r="D687" s="4">
        <v>46188</v>
      </c>
      <c r="E687" s="4">
        <v>46185</v>
      </c>
      <c r="F687" s="63" t="s">
        <v>48</v>
      </c>
      <c r="G687" s="63" t="s">
        <v>3836</v>
      </c>
      <c r="H687" s="63" t="s">
        <v>102</v>
      </c>
      <c r="I687" s="63" t="s">
        <v>120</v>
      </c>
      <c r="J687" s="63" t="s">
        <v>153</v>
      </c>
      <c r="K687" s="63" t="s">
        <v>2186</v>
      </c>
      <c r="L687" s="63" t="s">
        <v>318</v>
      </c>
      <c r="M687" s="69">
        <v>433.58</v>
      </c>
      <c r="N687" s="63" t="s">
        <v>38</v>
      </c>
      <c r="O687" s="73">
        <f>_xlfn.XLOOKUP(Supplier_Perf_Table[[#This Row],[Currency]],'Comments 2'!$C$4:$C$16,'Comments 2'!$D$4:$D$16)</f>
        <v>7.7000000000000002E-3</v>
      </c>
      <c r="P687" s="69">
        <f>IFERROR(Supplier_Perf_Table[[#This Row],[Unit_Cost]]*Supplier_Perf_Table[[#This Row],[Dollar Equivalent]],"")</f>
        <v>3.3385660000000001</v>
      </c>
      <c r="Q687" s="75">
        <v>250</v>
      </c>
      <c r="R687" s="1">
        <v>108395</v>
      </c>
      <c r="S687" s="75">
        <f>Supplier_Perf_Table[[#This Row],[Unit_Cost]]*Supplier_Perf_Table[[#This Row],[Order_Quantity]]</f>
        <v>108395</v>
      </c>
      <c r="T687" s="75">
        <f>IFERROR(Supplier_Perf_Table[[#This Row],[Dollar Equivalent]]*Supplier_Perf_Table[[#This Row],[Ordered_Value]],"")</f>
        <v>834.64150000000006</v>
      </c>
      <c r="U687" s="75">
        <v>0</v>
      </c>
      <c r="V687" s="7">
        <v>0</v>
      </c>
      <c r="W687" s="75">
        <v>11</v>
      </c>
      <c r="X687" s="55">
        <f>IFERROR(Supplier_Perf_Table[[#This Row],[Actual_Delivery_Date]]-Supplier_Perf_Table[[#This Row],[Order Date]],"")</f>
        <v>11</v>
      </c>
      <c r="Y687" s="75">
        <v>14</v>
      </c>
      <c r="Z687" s="56">
        <f>IFERROR(Supplier_Perf_Table[[#This Row],[Expected Delivery_Date]]-Supplier_Perf_Table[[#This Row],[Order Date]],"")</f>
        <v>14</v>
      </c>
      <c r="AA687" s="56">
        <f>Supplier_Perf_Table[[#This Row],[Calculated_Lead_Time2]]-Supplier_Perf_Table[[#This Row],[Calculated_Expected_Lead_Time]]</f>
        <v>-3</v>
      </c>
      <c r="AB687" s="75">
        <v>-3</v>
      </c>
      <c r="AC687" s="63" t="s">
        <v>87</v>
      </c>
      <c r="AD687" s="63" t="s">
        <v>40</v>
      </c>
      <c r="AE687" s="63" t="s">
        <v>105</v>
      </c>
      <c r="AF687" s="63" t="s">
        <v>3088</v>
      </c>
      <c r="AG687" s="63" t="s">
        <v>107</v>
      </c>
      <c r="AH687" s="63" t="s">
        <v>129</v>
      </c>
      <c r="AI687" s="63" t="s">
        <v>44</v>
      </c>
      <c r="AJ687" s="63" t="s">
        <v>138</v>
      </c>
      <c r="AK687" s="83">
        <v>2.1</v>
      </c>
      <c r="AL687" s="63" t="s">
        <v>139</v>
      </c>
      <c r="AM687" s="63" t="s">
        <v>138</v>
      </c>
      <c r="AN687"/>
    </row>
    <row r="688" spans="1:40" ht="18" customHeight="1">
      <c r="A688" s="1" t="s">
        <v>2187</v>
      </c>
      <c r="B688" s="1" t="s">
        <v>2188</v>
      </c>
      <c r="C688" s="4">
        <v>46070</v>
      </c>
      <c r="D688" s="4">
        <v>46089</v>
      </c>
      <c r="E688" s="4">
        <v>46100</v>
      </c>
      <c r="F688" s="63" t="s">
        <v>142</v>
      </c>
      <c r="G688" s="63" t="s">
        <v>3843</v>
      </c>
      <c r="H688" s="63" t="s">
        <v>169</v>
      </c>
      <c r="I688" s="63" t="s">
        <v>92</v>
      </c>
      <c r="J688" s="63" t="s">
        <v>50</v>
      </c>
      <c r="K688" s="63" t="s">
        <v>2189</v>
      </c>
      <c r="L688" s="63" t="s">
        <v>126</v>
      </c>
      <c r="M688" s="69">
        <v>3229.19</v>
      </c>
      <c r="N688" s="63" t="s">
        <v>65</v>
      </c>
      <c r="O688" s="73">
        <f>_xlfn.XLOOKUP(Supplier_Perf_Table[[#This Row],[Currency]],'Comments 2'!$C$4:$C$16,'Comments 2'!$D$4:$D$16)</f>
        <v>1</v>
      </c>
      <c r="P688" s="69">
        <f>IFERROR(Supplier_Perf_Table[[#This Row],[Unit_Cost]]*Supplier_Perf_Table[[#This Row],[Dollar Equivalent]],"")</f>
        <v>3229.19</v>
      </c>
      <c r="Q688" s="75">
        <v>500</v>
      </c>
      <c r="R688" s="1">
        <v>1614595</v>
      </c>
      <c r="S688" s="75">
        <f>Supplier_Perf_Table[[#This Row],[Unit_Cost]]*Supplier_Perf_Table[[#This Row],[Order_Quantity]]</f>
        <v>1614595</v>
      </c>
      <c r="T688" s="75">
        <f>IFERROR(Supplier_Perf_Table[[#This Row],[Dollar Equivalent]]*Supplier_Perf_Table[[#This Row],[Ordered_Value]],"")</f>
        <v>1614595</v>
      </c>
      <c r="U688" s="75">
        <v>4</v>
      </c>
      <c r="V688" s="7">
        <v>8.0000000000000002E-3</v>
      </c>
      <c r="W688" s="75">
        <v>30</v>
      </c>
      <c r="X688" s="55">
        <f>IFERROR(Supplier_Perf_Table[[#This Row],[Actual_Delivery_Date]]-Supplier_Perf_Table[[#This Row],[Order Date]],"")</f>
        <v>30</v>
      </c>
      <c r="Y688" s="75">
        <v>19</v>
      </c>
      <c r="Z688" s="56">
        <f>IFERROR(Supplier_Perf_Table[[#This Row],[Expected Delivery_Date]]-Supplier_Perf_Table[[#This Row],[Order Date]],"")</f>
        <v>19</v>
      </c>
      <c r="AA688" s="56">
        <f>Supplier_Perf_Table[[#This Row],[Calculated_Lead_Time2]]-Supplier_Perf_Table[[#This Row],[Calculated_Expected_Lead_Time]]</f>
        <v>11</v>
      </c>
      <c r="AB688" s="75">
        <v>11</v>
      </c>
      <c r="AC688" s="63" t="s">
        <v>135</v>
      </c>
      <c r="AD688" s="63" t="s">
        <v>40</v>
      </c>
      <c r="AE688" s="63" t="s">
        <v>41</v>
      </c>
      <c r="AF688" s="63" t="s">
        <v>190</v>
      </c>
      <c r="AG688" s="63" t="s">
        <v>3088</v>
      </c>
      <c r="AH688" s="63" t="s">
        <v>206</v>
      </c>
      <c r="AI688" s="63" t="s">
        <v>191</v>
      </c>
      <c r="AJ688" s="63" t="s">
        <v>138</v>
      </c>
      <c r="AK688" s="83">
        <v>3.2</v>
      </c>
      <c r="AL688" s="63" t="s">
        <v>76</v>
      </c>
      <c r="AM688" s="63" t="s">
        <v>46</v>
      </c>
      <c r="AN688"/>
    </row>
    <row r="689" spans="1:40" ht="18" customHeight="1">
      <c r="A689" s="1" t="s">
        <v>2190</v>
      </c>
      <c r="B689" s="1" t="s">
        <v>2191</v>
      </c>
      <c r="C689" s="4">
        <v>46103</v>
      </c>
      <c r="D689" s="4">
        <v>46114</v>
      </c>
      <c r="E689" s="4">
        <v>46113</v>
      </c>
      <c r="F689" s="63" t="s">
        <v>69</v>
      </c>
      <c r="G689" s="63" t="s">
        <v>3838</v>
      </c>
      <c r="H689" s="63" t="s">
        <v>194</v>
      </c>
      <c r="I689" s="63" t="s">
        <v>241</v>
      </c>
      <c r="J689" s="63" t="s">
        <v>50</v>
      </c>
      <c r="K689" s="63" t="s">
        <v>2192</v>
      </c>
      <c r="L689" s="63" t="s">
        <v>189</v>
      </c>
      <c r="M689" s="69">
        <v>1423.17</v>
      </c>
      <c r="N689" s="63" t="s">
        <v>65</v>
      </c>
      <c r="O689" s="73">
        <f>_xlfn.XLOOKUP(Supplier_Perf_Table[[#This Row],[Currency]],'Comments 2'!$C$4:$C$16,'Comments 2'!$D$4:$D$16)</f>
        <v>1</v>
      </c>
      <c r="P689" s="69">
        <f>IFERROR(Supplier_Perf_Table[[#This Row],[Unit_Cost]]*Supplier_Perf_Table[[#This Row],[Dollar Equivalent]],"")</f>
        <v>1423.17</v>
      </c>
      <c r="Q689" s="75">
        <v>1500</v>
      </c>
      <c r="R689" s="1">
        <v>2134755</v>
      </c>
      <c r="S689" s="75">
        <f>Supplier_Perf_Table[[#This Row],[Unit_Cost]]*Supplier_Perf_Table[[#This Row],[Order_Quantity]]</f>
        <v>2134755</v>
      </c>
      <c r="T689" s="75">
        <f>IFERROR(Supplier_Perf_Table[[#This Row],[Dollar Equivalent]]*Supplier_Perf_Table[[#This Row],[Ordered_Value]],"")</f>
        <v>2134755</v>
      </c>
      <c r="U689" s="75">
        <v>66</v>
      </c>
      <c r="V689" s="7">
        <v>4.3999999999999997E-2</v>
      </c>
      <c r="W689" s="75">
        <v>10</v>
      </c>
      <c r="X689" s="55">
        <f>IFERROR(Supplier_Perf_Table[[#This Row],[Actual_Delivery_Date]]-Supplier_Perf_Table[[#This Row],[Order Date]],"")</f>
        <v>10</v>
      </c>
      <c r="Y689" s="75">
        <v>11</v>
      </c>
      <c r="Z689" s="56">
        <f>IFERROR(Supplier_Perf_Table[[#This Row],[Expected Delivery_Date]]-Supplier_Perf_Table[[#This Row],[Order Date]],"")</f>
        <v>11</v>
      </c>
      <c r="AA689" s="56">
        <f>Supplier_Perf_Table[[#This Row],[Calculated_Lead_Time2]]-Supplier_Perf_Table[[#This Row],[Calculated_Expected_Lead_Time]]</f>
        <v>-1</v>
      </c>
      <c r="AB689" s="75">
        <v>-1</v>
      </c>
      <c r="AC689" s="63" t="s">
        <v>270</v>
      </c>
      <c r="AD689" s="63" t="s">
        <v>420</v>
      </c>
      <c r="AE689" s="63" t="s">
        <v>127</v>
      </c>
      <c r="AF689" s="63" t="s">
        <v>106</v>
      </c>
      <c r="AG689" s="63" t="s">
        <v>43</v>
      </c>
      <c r="AH689" s="63" t="s">
        <v>174</v>
      </c>
      <c r="AI689" s="63" t="s">
        <v>95</v>
      </c>
      <c r="AJ689" s="63" t="s">
        <v>75</v>
      </c>
      <c r="AK689" s="83">
        <v>2.8</v>
      </c>
      <c r="AL689" s="63" t="s">
        <v>57</v>
      </c>
      <c r="AM689" s="63" t="s">
        <v>284</v>
      </c>
      <c r="AN689"/>
    </row>
    <row r="690" spans="1:40" ht="18" customHeight="1">
      <c r="A690" s="1" t="s">
        <v>2193</v>
      </c>
      <c r="B690" s="1" t="s">
        <v>2194</v>
      </c>
      <c r="C690" s="4">
        <v>46101</v>
      </c>
      <c r="D690" s="4">
        <v>46112</v>
      </c>
      <c r="E690" s="4">
        <v>46112</v>
      </c>
      <c r="F690" s="63" t="s">
        <v>151</v>
      </c>
      <c r="G690" s="63" t="s">
        <v>3844</v>
      </c>
      <c r="H690" s="63" t="s">
        <v>152</v>
      </c>
      <c r="I690" s="63" t="s">
        <v>83</v>
      </c>
      <c r="J690" s="63" t="s">
        <v>112</v>
      </c>
      <c r="K690" s="63" t="s">
        <v>2195</v>
      </c>
      <c r="L690" s="63" t="s">
        <v>218</v>
      </c>
      <c r="M690" s="69">
        <v>151.94</v>
      </c>
      <c r="N690" s="63" t="s">
        <v>159</v>
      </c>
      <c r="O690" s="73">
        <f>_xlfn.XLOOKUP(Supplier_Perf_Table[[#This Row],[Currency]],'Comments 2'!$C$4:$C$16,'Comments 2'!$D$4:$D$16)</f>
        <v>7.2999999999999996E-4</v>
      </c>
      <c r="P690" s="69">
        <f>IFERROR(Supplier_Perf_Table[[#This Row],[Unit_Cost]]*Supplier_Perf_Table[[#This Row],[Dollar Equivalent]],"")</f>
        <v>0.11091619999999999</v>
      </c>
      <c r="Q690" s="75">
        <v>2000</v>
      </c>
      <c r="R690" s="1">
        <v>303880</v>
      </c>
      <c r="S690" s="75">
        <f>Supplier_Perf_Table[[#This Row],[Unit_Cost]]*Supplier_Perf_Table[[#This Row],[Order_Quantity]]</f>
        <v>303880</v>
      </c>
      <c r="T690" s="75">
        <f>IFERROR(Supplier_Perf_Table[[#This Row],[Dollar Equivalent]]*Supplier_Perf_Table[[#This Row],[Ordered_Value]],"")</f>
        <v>221.83239999999998</v>
      </c>
      <c r="U690" s="75">
        <v>30</v>
      </c>
      <c r="V690" s="7">
        <v>1.4999999999999999E-2</v>
      </c>
      <c r="W690" s="75">
        <v>11</v>
      </c>
      <c r="X690" s="55">
        <f>IFERROR(Supplier_Perf_Table[[#This Row],[Actual_Delivery_Date]]-Supplier_Perf_Table[[#This Row],[Order Date]],"")</f>
        <v>11</v>
      </c>
      <c r="Y690" s="75">
        <v>11</v>
      </c>
      <c r="Z690" s="56">
        <f>IFERROR(Supplier_Perf_Table[[#This Row],[Expected Delivery_Date]]-Supplier_Perf_Table[[#This Row],[Order Date]],"")</f>
        <v>11</v>
      </c>
      <c r="AA690" s="56">
        <f>Supplier_Perf_Table[[#This Row],[Calculated_Lead_Time2]]-Supplier_Perf_Table[[#This Row],[Calculated_Expected_Lead_Time]]</f>
        <v>0</v>
      </c>
      <c r="AB690" s="75">
        <v>0</v>
      </c>
      <c r="AC690" s="63" t="s">
        <v>270</v>
      </c>
      <c r="AD690" s="63" t="s">
        <v>40</v>
      </c>
      <c r="AE690" s="63" t="s">
        <v>41</v>
      </c>
      <c r="AF690" s="63" t="s">
        <v>190</v>
      </c>
      <c r="AG690" s="63" t="s">
        <v>173</v>
      </c>
      <c r="AH690" s="63" t="s">
        <v>88</v>
      </c>
      <c r="AI690" s="63" t="s">
        <v>191</v>
      </c>
      <c r="AJ690" s="63" t="s">
        <v>138</v>
      </c>
      <c r="AK690" s="83">
        <v>3.3</v>
      </c>
      <c r="AL690" s="63" t="s">
        <v>45</v>
      </c>
      <c r="AM690" s="63" t="s">
        <v>138</v>
      </c>
      <c r="AN690"/>
    </row>
    <row r="691" spans="1:40" ht="18" customHeight="1">
      <c r="A691" s="1" t="s">
        <v>2196</v>
      </c>
      <c r="B691" s="1" t="s">
        <v>2197</v>
      </c>
      <c r="C691" s="4">
        <v>46151</v>
      </c>
      <c r="D691" s="4">
        <v>46160</v>
      </c>
      <c r="E691" s="4">
        <v>46161</v>
      </c>
      <c r="F691" s="63" t="s">
        <v>100</v>
      </c>
      <c r="G691" s="63" t="s">
        <v>3841</v>
      </c>
      <c r="H691" s="63" t="s">
        <v>102</v>
      </c>
      <c r="I691" s="63" t="s">
        <v>178</v>
      </c>
      <c r="J691" s="63" t="s">
        <v>112</v>
      </c>
      <c r="K691" s="63" t="s">
        <v>2198</v>
      </c>
      <c r="L691" s="63" t="s">
        <v>218</v>
      </c>
      <c r="M691" s="69">
        <v>365.36</v>
      </c>
      <c r="N691" s="63" t="s">
        <v>159</v>
      </c>
      <c r="O691" s="73">
        <f>_xlfn.XLOOKUP(Supplier_Perf_Table[[#This Row],[Currency]],'Comments 2'!$C$4:$C$16,'Comments 2'!$D$4:$D$16)</f>
        <v>7.2999999999999996E-4</v>
      </c>
      <c r="P691" s="69">
        <f>IFERROR(Supplier_Perf_Table[[#This Row],[Unit_Cost]]*Supplier_Perf_Table[[#This Row],[Dollar Equivalent]],"")</f>
        <v>0.26671279999999997</v>
      </c>
      <c r="Q691" s="75">
        <v>150</v>
      </c>
      <c r="R691" s="1">
        <v>54804</v>
      </c>
      <c r="S691" s="75">
        <f>Supplier_Perf_Table[[#This Row],[Unit_Cost]]*Supplier_Perf_Table[[#This Row],[Order_Quantity]]</f>
        <v>54804</v>
      </c>
      <c r="T691" s="75">
        <f>IFERROR(Supplier_Perf_Table[[#This Row],[Dollar Equivalent]]*Supplier_Perf_Table[[#This Row],[Ordered_Value]],"")</f>
        <v>40.006920000000001</v>
      </c>
      <c r="U691" s="75">
        <v>2</v>
      </c>
      <c r="V691" s="7">
        <v>1.3299999999999999E-2</v>
      </c>
      <c r="W691" s="75" t="s">
        <v>3080</v>
      </c>
      <c r="X691" s="55">
        <f>IFERROR(Supplier_Perf_Table[[#This Row],[Actual_Delivery_Date]]-Supplier_Perf_Table[[#This Row],[Order Date]],"")</f>
        <v>10</v>
      </c>
      <c r="Y691" s="75">
        <v>9</v>
      </c>
      <c r="Z691" s="56">
        <f>IFERROR(Supplier_Perf_Table[[#This Row],[Expected Delivery_Date]]-Supplier_Perf_Table[[#This Row],[Order Date]],"")</f>
        <v>9</v>
      </c>
      <c r="AA691" s="56">
        <f>Supplier_Perf_Table[[#This Row],[Calculated_Lead_Time2]]-Supplier_Perf_Table[[#This Row],[Calculated_Expected_Lead_Time]]</f>
        <v>1</v>
      </c>
      <c r="AB691" s="75"/>
      <c r="AC691" s="63" t="s">
        <v>166</v>
      </c>
      <c r="AD691" s="63" t="s">
        <v>40</v>
      </c>
      <c r="AE691" s="63" t="s">
        <v>3088</v>
      </c>
      <c r="AF691" s="63" t="s">
        <v>3088</v>
      </c>
      <c r="AG691" s="63" t="s">
        <v>43</v>
      </c>
      <c r="AH691" s="63" t="s">
        <v>55</v>
      </c>
      <c r="AI691" s="63" t="s">
        <v>56</v>
      </c>
      <c r="AJ691" s="63" t="s">
        <v>138</v>
      </c>
      <c r="AK691" s="83">
        <v>4.8</v>
      </c>
      <c r="AL691" s="63" t="s">
        <v>139</v>
      </c>
      <c r="AM691" s="63" t="s">
        <v>148</v>
      </c>
      <c r="AN691"/>
    </row>
    <row r="692" spans="1:40" ht="18" customHeight="1">
      <c r="A692" s="1" t="s">
        <v>2199</v>
      </c>
      <c r="B692" s="1" t="s">
        <v>2200</v>
      </c>
      <c r="C692" s="4">
        <v>46077</v>
      </c>
      <c r="D692" s="4">
        <v>46094</v>
      </c>
      <c r="E692" s="4">
        <v>46090</v>
      </c>
      <c r="F692" s="63" t="s">
        <v>100</v>
      </c>
      <c r="G692" s="63" t="s">
        <v>3841</v>
      </c>
      <c r="H692" s="63" t="s">
        <v>102</v>
      </c>
      <c r="I692" s="63" t="s">
        <v>61</v>
      </c>
      <c r="J692" s="63" t="s">
        <v>50</v>
      </c>
      <c r="K692" s="63" t="s">
        <v>2201</v>
      </c>
      <c r="L692" s="63" t="s">
        <v>189</v>
      </c>
      <c r="M692" s="69">
        <v>186.73</v>
      </c>
      <c r="N692" s="63" t="s">
        <v>65</v>
      </c>
      <c r="O692" s="73">
        <f>_xlfn.XLOOKUP(Supplier_Perf_Table[[#This Row],[Currency]],'Comments 2'!$C$4:$C$16,'Comments 2'!$D$4:$D$16)</f>
        <v>1</v>
      </c>
      <c r="P692" s="69">
        <f>IFERROR(Supplier_Perf_Table[[#This Row],[Unit_Cost]]*Supplier_Perf_Table[[#This Row],[Dollar Equivalent]],"")</f>
        <v>186.73</v>
      </c>
      <c r="Q692" s="75">
        <v>250</v>
      </c>
      <c r="R692" s="1">
        <v>46682.5</v>
      </c>
      <c r="S692" s="75">
        <f>Supplier_Perf_Table[[#This Row],[Unit_Cost]]*Supplier_Perf_Table[[#This Row],[Order_Quantity]]</f>
        <v>46682.5</v>
      </c>
      <c r="T692" s="75">
        <f>IFERROR(Supplier_Perf_Table[[#This Row],[Dollar Equivalent]]*Supplier_Perf_Table[[#This Row],[Ordered_Value]],"")</f>
        <v>46682.5</v>
      </c>
      <c r="U692" s="75">
        <v>12</v>
      </c>
      <c r="V692" s="7">
        <v>4.8000000000000001E-2</v>
      </c>
      <c r="W692" s="75">
        <v>13</v>
      </c>
      <c r="X692" s="55">
        <f>IFERROR(Supplier_Perf_Table[[#This Row],[Actual_Delivery_Date]]-Supplier_Perf_Table[[#This Row],[Order Date]],"")</f>
        <v>13</v>
      </c>
      <c r="Y692" s="75">
        <v>17</v>
      </c>
      <c r="Z692" s="56">
        <f>IFERROR(Supplier_Perf_Table[[#This Row],[Expected Delivery_Date]]-Supplier_Perf_Table[[#This Row],[Order Date]],"")</f>
        <v>17</v>
      </c>
      <c r="AA692" s="56">
        <f>Supplier_Perf_Table[[#This Row],[Calculated_Lead_Time2]]-Supplier_Perf_Table[[#This Row],[Calculated_Expected_Lead_Time]]</f>
        <v>-4</v>
      </c>
      <c r="AB692" s="75">
        <v>-4</v>
      </c>
      <c r="AC692" s="63" t="s">
        <v>87</v>
      </c>
      <c r="AD692" s="63" t="s">
        <v>366</v>
      </c>
      <c r="AE692" s="63" t="s">
        <v>105</v>
      </c>
      <c r="AF692" s="63" t="s">
        <v>42</v>
      </c>
      <c r="AG692" s="63" t="s">
        <v>43</v>
      </c>
      <c r="AH692" s="63" t="s">
        <v>129</v>
      </c>
      <c r="AI692" s="63" t="s">
        <v>56</v>
      </c>
      <c r="AJ692" s="63" t="s">
        <v>373</v>
      </c>
      <c r="AK692" s="83">
        <v>1.9</v>
      </c>
      <c r="AL692" s="63" t="s">
        <v>57</v>
      </c>
      <c r="AM692" s="63" t="s">
        <v>97</v>
      </c>
      <c r="AN692"/>
    </row>
    <row r="693" spans="1:40" ht="18" customHeight="1">
      <c r="A693" s="1" t="s">
        <v>2202</v>
      </c>
      <c r="B693" s="1" t="s">
        <v>2203</v>
      </c>
      <c r="C693" s="4">
        <v>46158</v>
      </c>
      <c r="D693" s="4">
        <v>46171</v>
      </c>
      <c r="E693" s="4">
        <v>46178</v>
      </c>
      <c r="F693" s="63" t="s">
        <v>100</v>
      </c>
      <c r="G693" s="63" t="s">
        <v>3841</v>
      </c>
      <c r="H693" s="63" t="s">
        <v>102</v>
      </c>
      <c r="I693" s="63" t="s">
        <v>49</v>
      </c>
      <c r="J693" s="63" t="s">
        <v>50</v>
      </c>
      <c r="K693" s="63" t="s">
        <v>2204</v>
      </c>
      <c r="L693" s="63" t="s">
        <v>52</v>
      </c>
      <c r="M693" s="69">
        <v>26.56</v>
      </c>
      <c r="N693" s="63" t="s">
        <v>65</v>
      </c>
      <c r="O693" s="73">
        <f>_xlfn.XLOOKUP(Supplier_Perf_Table[[#This Row],[Currency]],'Comments 2'!$C$4:$C$16,'Comments 2'!$D$4:$D$16)</f>
        <v>1</v>
      </c>
      <c r="P693" s="69">
        <f>IFERROR(Supplier_Perf_Table[[#This Row],[Unit_Cost]]*Supplier_Perf_Table[[#This Row],[Dollar Equivalent]],"")</f>
        <v>26.56</v>
      </c>
      <c r="Q693" s="75">
        <v>100</v>
      </c>
      <c r="R693" s="1">
        <v>2656</v>
      </c>
      <c r="S693" s="75">
        <f>Supplier_Perf_Table[[#This Row],[Unit_Cost]]*Supplier_Perf_Table[[#This Row],[Order_Quantity]]</f>
        <v>2656</v>
      </c>
      <c r="T693" s="75">
        <f>IFERROR(Supplier_Perf_Table[[#This Row],[Dollar Equivalent]]*Supplier_Perf_Table[[#This Row],[Ordered_Value]],"")</f>
        <v>2656</v>
      </c>
      <c r="U693" s="75">
        <v>5</v>
      </c>
      <c r="V693" s="7">
        <v>0.05</v>
      </c>
      <c r="W693" s="75">
        <v>20</v>
      </c>
      <c r="X693" s="55">
        <f>IFERROR(Supplier_Perf_Table[[#This Row],[Actual_Delivery_Date]]-Supplier_Perf_Table[[#This Row],[Order Date]],"")</f>
        <v>20</v>
      </c>
      <c r="Y693" s="75">
        <v>13</v>
      </c>
      <c r="Z693" s="56">
        <f>IFERROR(Supplier_Perf_Table[[#This Row],[Expected Delivery_Date]]-Supplier_Perf_Table[[#This Row],[Order Date]],"")</f>
        <v>13</v>
      </c>
      <c r="AA693" s="56">
        <f>Supplier_Perf_Table[[#This Row],[Calculated_Lead_Time2]]-Supplier_Perf_Table[[#This Row],[Calculated_Expected_Lead_Time]]</f>
        <v>7</v>
      </c>
      <c r="AB693" s="75">
        <v>7</v>
      </c>
      <c r="AC693" s="63" t="s">
        <v>205</v>
      </c>
      <c r="AD693" s="63" t="s">
        <v>420</v>
      </c>
      <c r="AE693" s="63" t="s">
        <v>105</v>
      </c>
      <c r="AF693" s="63" t="s">
        <v>3088</v>
      </c>
      <c r="AG693" s="63" t="s">
        <v>43</v>
      </c>
      <c r="AH693" s="63" t="s">
        <v>174</v>
      </c>
      <c r="AI693" s="63" t="s">
        <v>44</v>
      </c>
      <c r="AJ693" s="63" t="s">
        <v>373</v>
      </c>
      <c r="AK693" s="83">
        <v>4</v>
      </c>
      <c r="AL693" s="63" t="s">
        <v>45</v>
      </c>
      <c r="AM693" s="63" t="s">
        <v>77</v>
      </c>
      <c r="AN693"/>
    </row>
    <row r="694" spans="1:40" ht="18" customHeight="1">
      <c r="A694" s="1" t="s">
        <v>1646</v>
      </c>
      <c r="B694" s="1" t="s">
        <v>2205</v>
      </c>
      <c r="C694" s="4">
        <v>46113</v>
      </c>
      <c r="D694" s="4">
        <v>46122</v>
      </c>
      <c r="E694" s="4">
        <v>46121</v>
      </c>
      <c r="F694" s="63" t="s">
        <v>151</v>
      </c>
      <c r="G694" s="63" t="s">
        <v>3844</v>
      </c>
      <c r="H694" s="63" t="s">
        <v>152</v>
      </c>
      <c r="I694" s="63" t="s">
        <v>49</v>
      </c>
      <c r="J694" s="63" t="s">
        <v>112</v>
      </c>
      <c r="K694" s="63" t="s">
        <v>2206</v>
      </c>
      <c r="L694" s="63" t="s">
        <v>229</v>
      </c>
      <c r="M694" s="69">
        <v>754.22</v>
      </c>
      <c r="N694" s="63" t="s">
        <v>86</v>
      </c>
      <c r="O694" s="73">
        <f>_xlfn.XLOOKUP(Supplier_Perf_Table[[#This Row],[Currency]],'Comments 2'!$C$4:$C$16,'Comments 2'!$D$4:$D$16)</f>
        <v>8.8999999999999996E-2</v>
      </c>
      <c r="P694" s="69">
        <f>IFERROR(Supplier_Perf_Table[[#This Row],[Unit_Cost]]*Supplier_Perf_Table[[#This Row],[Dollar Equivalent]],"")</f>
        <v>67.125579999999999</v>
      </c>
      <c r="Q694" s="75">
        <v>200</v>
      </c>
      <c r="R694" s="1">
        <v>150844</v>
      </c>
      <c r="S694" s="75">
        <f>Supplier_Perf_Table[[#This Row],[Unit_Cost]]*Supplier_Perf_Table[[#This Row],[Order_Quantity]]</f>
        <v>150844</v>
      </c>
      <c r="T694" s="75">
        <f>IFERROR(Supplier_Perf_Table[[#This Row],[Dollar Equivalent]]*Supplier_Perf_Table[[#This Row],[Ordered_Value]],"")</f>
        <v>13425.116</v>
      </c>
      <c r="U694" s="75">
        <v>3</v>
      </c>
      <c r="V694" s="7">
        <v>1.4999999999999999E-2</v>
      </c>
      <c r="W694" s="75">
        <v>8</v>
      </c>
      <c r="X694" s="55">
        <f>IFERROR(Supplier_Perf_Table[[#This Row],[Actual_Delivery_Date]]-Supplier_Perf_Table[[#This Row],[Order Date]],"")</f>
        <v>8</v>
      </c>
      <c r="Y694" s="75" t="s">
        <v>3080</v>
      </c>
      <c r="Z694" s="56">
        <f>IFERROR(Supplier_Perf_Table[[#This Row],[Expected Delivery_Date]]-Supplier_Perf_Table[[#This Row],[Order Date]],"")</f>
        <v>9</v>
      </c>
      <c r="AA694" s="56">
        <f>Supplier_Perf_Table[[#This Row],[Calculated_Lead_Time2]]-Supplier_Perf_Table[[#This Row],[Calculated_Expected_Lead_Time]]</f>
        <v>-1</v>
      </c>
      <c r="AB694" s="75">
        <v>-1</v>
      </c>
      <c r="AC694" s="63" t="s">
        <v>87</v>
      </c>
      <c r="AD694" s="63" t="s">
        <v>40</v>
      </c>
      <c r="AE694" s="63" t="s">
        <v>127</v>
      </c>
      <c r="AF694" s="63" t="s">
        <v>106</v>
      </c>
      <c r="AG694" s="63" t="s">
        <v>43</v>
      </c>
      <c r="AH694" s="63" t="s">
        <v>206</v>
      </c>
      <c r="AI694" s="63" t="s">
        <v>137</v>
      </c>
      <c r="AJ694" s="63" t="s">
        <v>138</v>
      </c>
      <c r="AK694" s="83">
        <v>2.5</v>
      </c>
      <c r="AL694" s="63" t="s">
        <v>139</v>
      </c>
      <c r="AM694" s="63" t="s">
        <v>130</v>
      </c>
      <c r="AN694"/>
    </row>
    <row r="695" spans="1:40" ht="18" customHeight="1">
      <c r="A695" s="1" t="s">
        <v>2207</v>
      </c>
      <c r="B695" s="1" t="s">
        <v>2208</v>
      </c>
      <c r="C695" s="4">
        <v>46200</v>
      </c>
      <c r="D695" s="4">
        <v>46214</v>
      </c>
      <c r="E695" s="4">
        <v>46215</v>
      </c>
      <c r="F695" s="63" t="s">
        <v>69</v>
      </c>
      <c r="G695" s="63" t="s">
        <v>3838</v>
      </c>
      <c r="H695" s="63" t="s">
        <v>194</v>
      </c>
      <c r="I695" s="63" t="s">
        <v>49</v>
      </c>
      <c r="J695" s="63" t="s">
        <v>153</v>
      </c>
      <c r="K695" s="63" t="s">
        <v>2209</v>
      </c>
      <c r="L695" s="63" t="s">
        <v>204</v>
      </c>
      <c r="M695" s="69">
        <v>733.99</v>
      </c>
      <c r="N695" s="63" t="s">
        <v>65</v>
      </c>
      <c r="O695" s="73">
        <f>_xlfn.XLOOKUP(Supplier_Perf_Table[[#This Row],[Currency]],'Comments 2'!$C$4:$C$16,'Comments 2'!$D$4:$D$16)</f>
        <v>1</v>
      </c>
      <c r="P695" s="69">
        <f>IFERROR(Supplier_Perf_Table[[#This Row],[Unit_Cost]]*Supplier_Perf_Table[[#This Row],[Dollar Equivalent]],"")</f>
        <v>733.99</v>
      </c>
      <c r="Q695" s="75">
        <v>200</v>
      </c>
      <c r="R695" s="1">
        <v>146798</v>
      </c>
      <c r="S695" s="75">
        <f>Supplier_Perf_Table[[#This Row],[Unit_Cost]]*Supplier_Perf_Table[[#This Row],[Order_Quantity]]</f>
        <v>146798</v>
      </c>
      <c r="T695" s="75">
        <f>IFERROR(Supplier_Perf_Table[[#This Row],[Dollar Equivalent]]*Supplier_Perf_Table[[#This Row],[Ordered_Value]],"")</f>
        <v>146798</v>
      </c>
      <c r="U695" s="75">
        <v>7</v>
      </c>
      <c r="V695" s="7">
        <v>3.5000000000000003E-2</v>
      </c>
      <c r="W695" s="75">
        <v>15</v>
      </c>
      <c r="X695" s="55">
        <f>IFERROR(Supplier_Perf_Table[[#This Row],[Actual_Delivery_Date]]-Supplier_Perf_Table[[#This Row],[Order Date]],"")</f>
        <v>15</v>
      </c>
      <c r="Y695" s="75">
        <v>14</v>
      </c>
      <c r="Z695" s="56">
        <f>IFERROR(Supplier_Perf_Table[[#This Row],[Expected Delivery_Date]]-Supplier_Perf_Table[[#This Row],[Order Date]],"")</f>
        <v>14</v>
      </c>
      <c r="AA695" s="56">
        <f>Supplier_Perf_Table[[#This Row],[Calculated_Lead_Time2]]-Supplier_Perf_Table[[#This Row],[Calculated_Expected_Lead_Time]]</f>
        <v>1</v>
      </c>
      <c r="AB695" s="75">
        <v>1</v>
      </c>
      <c r="AC695" s="63" t="s">
        <v>135</v>
      </c>
      <c r="AD695" s="63" t="s">
        <v>40</v>
      </c>
      <c r="AE695" s="63" t="s">
        <v>105</v>
      </c>
      <c r="AF695" s="63" t="s">
        <v>106</v>
      </c>
      <c r="AG695" s="63" t="s">
        <v>173</v>
      </c>
      <c r="AH695" s="63" t="s">
        <v>55</v>
      </c>
      <c r="AI695" s="63" t="s">
        <v>138</v>
      </c>
      <c r="AJ695" s="63" t="s">
        <v>138</v>
      </c>
      <c r="AK695" s="83">
        <v>3.4</v>
      </c>
      <c r="AL695" s="63" t="s">
        <v>57</v>
      </c>
      <c r="AM695" s="63" t="s">
        <v>46</v>
      </c>
      <c r="AN695"/>
    </row>
    <row r="696" spans="1:40" ht="18" customHeight="1">
      <c r="A696" s="1" t="s">
        <v>779</v>
      </c>
      <c r="B696" s="1" t="s">
        <v>2210</v>
      </c>
      <c r="C696" s="4">
        <v>46024</v>
      </c>
      <c r="D696" s="4">
        <v>46035</v>
      </c>
      <c r="E696" s="4">
        <v>46027</v>
      </c>
      <c r="F696" s="63" t="s">
        <v>162</v>
      </c>
      <c r="G696" s="63" t="s">
        <v>3847</v>
      </c>
      <c r="H696" s="63" t="s">
        <v>152</v>
      </c>
      <c r="I696" s="63" t="s">
        <v>241</v>
      </c>
      <c r="J696" s="63" t="s">
        <v>163</v>
      </c>
      <c r="K696" s="63" t="s">
        <v>2088</v>
      </c>
      <c r="L696" s="63" t="s">
        <v>171</v>
      </c>
      <c r="M696" s="69">
        <v>75.19</v>
      </c>
      <c r="N696" s="63" t="s">
        <v>159</v>
      </c>
      <c r="O696" s="73">
        <f>_xlfn.XLOOKUP(Supplier_Perf_Table[[#This Row],[Currency]],'Comments 2'!$C$4:$C$16,'Comments 2'!$D$4:$D$16)</f>
        <v>7.2999999999999996E-4</v>
      </c>
      <c r="P696" s="69">
        <f>IFERROR(Supplier_Perf_Table[[#This Row],[Unit_Cost]]*Supplier_Perf_Table[[#This Row],[Dollar Equivalent]],"")</f>
        <v>5.4888699999999999E-2</v>
      </c>
      <c r="Q696" s="75">
        <v>1500</v>
      </c>
      <c r="R696" s="1" t="s">
        <v>3080</v>
      </c>
      <c r="S696" s="75">
        <f>Supplier_Perf_Table[[#This Row],[Unit_Cost]]*Supplier_Perf_Table[[#This Row],[Order_Quantity]]</f>
        <v>112785</v>
      </c>
      <c r="T696" s="75" t="str">
        <f>IFERROR(Supplier_Perf_Table[[#This Row],[Dollar Equivalent]]*Supplier_Perf_Table[[#This Row],[Ordered_Value]],"")</f>
        <v/>
      </c>
      <c r="U696" s="75">
        <v>18</v>
      </c>
      <c r="V696" s="7">
        <v>1.2E-2</v>
      </c>
      <c r="W696" s="75">
        <v>3</v>
      </c>
      <c r="X696" s="55">
        <f>IFERROR(Supplier_Perf_Table[[#This Row],[Actual_Delivery_Date]]-Supplier_Perf_Table[[#This Row],[Order Date]],"")</f>
        <v>3</v>
      </c>
      <c r="Y696" s="75" t="s">
        <v>3080</v>
      </c>
      <c r="Z696" s="56">
        <f>IFERROR(Supplier_Perf_Table[[#This Row],[Expected Delivery_Date]]-Supplier_Perf_Table[[#This Row],[Order Date]],"")</f>
        <v>11</v>
      </c>
      <c r="AA696" s="56">
        <f>Supplier_Perf_Table[[#This Row],[Calculated_Lead_Time2]]-Supplier_Perf_Table[[#This Row],[Calculated_Expected_Lead_Time]]</f>
        <v>-8</v>
      </c>
      <c r="AB696" s="75">
        <v>-8</v>
      </c>
      <c r="AC696" s="63" t="s">
        <v>87</v>
      </c>
      <c r="AD696" s="63" t="s">
        <v>3088</v>
      </c>
      <c r="AE696" s="63" t="s">
        <v>127</v>
      </c>
      <c r="AF696" s="63" t="s">
        <v>106</v>
      </c>
      <c r="AG696" s="63" t="s">
        <v>43</v>
      </c>
      <c r="AH696" s="63" t="s">
        <v>174</v>
      </c>
      <c r="AI696" s="63" t="s">
        <v>56</v>
      </c>
      <c r="AJ696" s="63" t="s">
        <v>138</v>
      </c>
      <c r="AK696" s="83">
        <v>4.7</v>
      </c>
      <c r="AL696" s="63" t="s">
        <v>184</v>
      </c>
      <c r="AM696" s="63" t="s">
        <v>130</v>
      </c>
      <c r="AN696"/>
    </row>
    <row r="697" spans="1:40" ht="18" customHeight="1">
      <c r="A697" s="63" t="s">
        <v>2211</v>
      </c>
      <c r="B697" s="63" t="s">
        <v>2212</v>
      </c>
      <c r="C697" s="4">
        <v>46138</v>
      </c>
      <c r="D697" s="4">
        <v>46151</v>
      </c>
      <c r="E697" s="4">
        <v>46157</v>
      </c>
      <c r="F697" s="63" t="s">
        <v>100</v>
      </c>
      <c r="G697" s="63" t="s">
        <v>3841</v>
      </c>
      <c r="H697" s="63" t="s">
        <v>102</v>
      </c>
      <c r="I697" s="63" t="s">
        <v>61</v>
      </c>
      <c r="J697" s="63" t="s">
        <v>50</v>
      </c>
      <c r="K697" s="63" t="s">
        <v>2213</v>
      </c>
      <c r="L697" s="63" t="s">
        <v>145</v>
      </c>
      <c r="M697" s="69">
        <v>1686.6</v>
      </c>
      <c r="N697" s="63" t="s">
        <v>38</v>
      </c>
      <c r="O697" s="73">
        <f>_xlfn.XLOOKUP(Supplier_Perf_Table[[#This Row],[Currency]],'Comments 2'!$C$4:$C$16,'Comments 2'!$D$4:$D$16)</f>
        <v>7.7000000000000002E-3</v>
      </c>
      <c r="P697" s="69">
        <f>IFERROR(Supplier_Perf_Table[[#This Row],[Unit_Cost]]*Supplier_Perf_Table[[#This Row],[Dollar Equivalent]],"")</f>
        <v>12.98682</v>
      </c>
      <c r="Q697" s="75">
        <v>75</v>
      </c>
      <c r="R697" s="1">
        <v>126495</v>
      </c>
      <c r="S697" s="75">
        <f>Supplier_Perf_Table[[#This Row],[Unit_Cost]]*Supplier_Perf_Table[[#This Row],[Order_Quantity]]</f>
        <v>126495</v>
      </c>
      <c r="T697" s="75">
        <f>IFERROR(Supplier_Perf_Table[[#This Row],[Dollar Equivalent]]*Supplier_Perf_Table[[#This Row],[Ordered_Value]],"")</f>
        <v>974.01150000000007</v>
      </c>
      <c r="U697" s="75">
        <v>3</v>
      </c>
      <c r="V697" s="7">
        <v>0.04</v>
      </c>
      <c r="W697" s="75">
        <v>19</v>
      </c>
      <c r="X697" s="55">
        <f>IFERROR(Supplier_Perf_Table[[#This Row],[Actual_Delivery_Date]]-Supplier_Perf_Table[[#This Row],[Order Date]],"")</f>
        <v>19</v>
      </c>
      <c r="Y697" s="75">
        <v>13</v>
      </c>
      <c r="Z697" s="56">
        <f>IFERROR(Supplier_Perf_Table[[#This Row],[Expected Delivery_Date]]-Supplier_Perf_Table[[#This Row],[Order Date]],"")</f>
        <v>13</v>
      </c>
      <c r="AA697" s="56">
        <f>Supplier_Perf_Table[[#This Row],[Calculated_Lead_Time2]]-Supplier_Perf_Table[[#This Row],[Calculated_Expected_Lead_Time]]</f>
        <v>6</v>
      </c>
      <c r="AB697" s="75">
        <v>6</v>
      </c>
      <c r="AC697" s="63" t="s">
        <v>39</v>
      </c>
      <c r="AD697" s="63" t="s">
        <v>40</v>
      </c>
      <c r="AE697" s="63" t="s">
        <v>105</v>
      </c>
      <c r="AF697" s="63" t="s">
        <v>3088</v>
      </c>
      <c r="AG697" s="63" t="s">
        <v>43</v>
      </c>
      <c r="AH697" s="63" t="s">
        <v>3112</v>
      </c>
      <c r="AI697" s="63" t="s">
        <v>191</v>
      </c>
      <c r="AJ697" s="63" t="s">
        <v>138</v>
      </c>
      <c r="AK697" s="83">
        <v>3.4</v>
      </c>
      <c r="AL697" s="63" t="s">
        <v>76</v>
      </c>
      <c r="AM697" s="63" t="s">
        <v>46</v>
      </c>
      <c r="AN697"/>
    </row>
    <row r="698" spans="1:40" ht="18" customHeight="1">
      <c r="A698" s="1" t="s">
        <v>2214</v>
      </c>
      <c r="B698" s="1" t="s">
        <v>2215</v>
      </c>
      <c r="C698" s="4">
        <v>46132</v>
      </c>
      <c r="D698" s="4">
        <v>46146</v>
      </c>
      <c r="E698" s="4">
        <v>46145</v>
      </c>
      <c r="F698" s="63" t="s">
        <v>215</v>
      </c>
      <c r="G698" s="63" t="s">
        <v>3846</v>
      </c>
      <c r="H698" s="63" t="s">
        <v>152</v>
      </c>
      <c r="I698" s="63" t="s">
        <v>49</v>
      </c>
      <c r="J698" s="63" t="s">
        <v>112</v>
      </c>
      <c r="K698" s="63" t="s">
        <v>2216</v>
      </c>
      <c r="L698" s="63" t="s">
        <v>246</v>
      </c>
      <c r="M698" s="69">
        <v>542.35</v>
      </c>
      <c r="N698" s="63" t="s">
        <v>104</v>
      </c>
      <c r="O698" s="73">
        <f>_xlfn.XLOOKUP(Supplier_Perf_Table[[#This Row],[Currency]],'Comments 2'!$C$4:$C$16,'Comments 2'!$D$4:$D$16)</f>
        <v>1.9E-2</v>
      </c>
      <c r="P698" s="69">
        <f>IFERROR(Supplier_Perf_Table[[#This Row],[Unit_Cost]]*Supplier_Perf_Table[[#This Row],[Dollar Equivalent]],"")</f>
        <v>10.304650000000001</v>
      </c>
      <c r="Q698" s="75">
        <v>1500</v>
      </c>
      <c r="R698" s="1">
        <v>813525</v>
      </c>
      <c r="S698" s="75">
        <f>Supplier_Perf_Table[[#This Row],[Unit_Cost]]*Supplier_Perf_Table[[#This Row],[Order_Quantity]]</f>
        <v>813525</v>
      </c>
      <c r="T698" s="75">
        <f>IFERROR(Supplier_Perf_Table[[#This Row],[Dollar Equivalent]]*Supplier_Perf_Table[[#This Row],[Ordered_Value]],"")</f>
        <v>15456.975</v>
      </c>
      <c r="U698" s="75">
        <v>28</v>
      </c>
      <c r="V698" s="7">
        <v>1.8700000000000001E-2</v>
      </c>
      <c r="W698" s="75">
        <v>13</v>
      </c>
      <c r="X698" s="55">
        <f>IFERROR(Supplier_Perf_Table[[#This Row],[Actual_Delivery_Date]]-Supplier_Perf_Table[[#This Row],[Order Date]],"")</f>
        <v>13</v>
      </c>
      <c r="Y698" s="75">
        <v>14</v>
      </c>
      <c r="Z698" s="56">
        <f>IFERROR(Supplier_Perf_Table[[#This Row],[Expected Delivery_Date]]-Supplier_Perf_Table[[#This Row],[Order Date]],"")</f>
        <v>14</v>
      </c>
      <c r="AA698" s="56">
        <f>Supplier_Perf_Table[[#This Row],[Calculated_Lead_Time2]]-Supplier_Perf_Table[[#This Row],[Calculated_Expected_Lead_Time]]</f>
        <v>-1</v>
      </c>
      <c r="AB698" s="75">
        <v>-1</v>
      </c>
      <c r="AC698" s="63" t="s">
        <v>87</v>
      </c>
      <c r="AD698" s="63" t="s">
        <v>40</v>
      </c>
      <c r="AE698" s="63" t="s">
        <v>105</v>
      </c>
      <c r="AF698" s="63" t="s">
        <v>42</v>
      </c>
      <c r="AG698" s="63" t="s">
        <v>173</v>
      </c>
      <c r="AH698" s="63" t="s">
        <v>88</v>
      </c>
      <c r="AI698" s="63" t="s">
        <v>56</v>
      </c>
      <c r="AJ698" s="63" t="s">
        <v>138</v>
      </c>
      <c r="AK698" s="83">
        <v>2.7</v>
      </c>
      <c r="AL698" s="63" t="s">
        <v>139</v>
      </c>
      <c r="AM698" s="63" t="s">
        <v>138</v>
      </c>
      <c r="AN698"/>
    </row>
    <row r="699" spans="1:40" ht="18" customHeight="1">
      <c r="A699" s="1" t="s">
        <v>2217</v>
      </c>
      <c r="B699" s="1" t="s">
        <v>2218</v>
      </c>
      <c r="C699" s="4">
        <v>46066</v>
      </c>
      <c r="D699" s="4">
        <v>46074</v>
      </c>
      <c r="E699" s="4">
        <v>46084</v>
      </c>
      <c r="F699" s="63" t="s">
        <v>69</v>
      </c>
      <c r="G699" s="63" t="s">
        <v>3838</v>
      </c>
      <c r="H699" s="63" t="s">
        <v>194</v>
      </c>
      <c r="I699" s="63" t="s">
        <v>61</v>
      </c>
      <c r="J699" s="63" t="s">
        <v>112</v>
      </c>
      <c r="K699" s="63" t="s">
        <v>2219</v>
      </c>
      <c r="L699" s="63" t="s">
        <v>229</v>
      </c>
      <c r="M699" s="69">
        <v>148.66</v>
      </c>
      <c r="N699" s="63" t="s">
        <v>3078</v>
      </c>
      <c r="O699" s="73">
        <f>_xlfn.XLOOKUP(Supplier_Perf_Table[[#This Row],[Currency]],'Comments 2'!$C$4:$C$16,'Comments 2'!$D$4:$D$16)</f>
        <v>2.7E-4</v>
      </c>
      <c r="P699" s="69">
        <f>IFERROR(Supplier_Perf_Table[[#This Row],[Unit_Cost]]*Supplier_Perf_Table[[#This Row],[Dollar Equivalent]],"")</f>
        <v>4.0138199999999999E-2</v>
      </c>
      <c r="Q699" s="75">
        <v>150</v>
      </c>
      <c r="R699" s="1">
        <v>22299</v>
      </c>
      <c r="S699" s="75">
        <f>Supplier_Perf_Table[[#This Row],[Unit_Cost]]*Supplier_Perf_Table[[#This Row],[Order_Quantity]]</f>
        <v>22299</v>
      </c>
      <c r="T699" s="75">
        <f>IFERROR(Supplier_Perf_Table[[#This Row],[Dollar Equivalent]]*Supplier_Perf_Table[[#This Row],[Ordered_Value]],"")</f>
        <v>6.0207300000000004</v>
      </c>
      <c r="U699" s="75">
        <v>0</v>
      </c>
      <c r="V699" s="7">
        <v>0</v>
      </c>
      <c r="W699" s="75">
        <v>18</v>
      </c>
      <c r="X699" s="55">
        <f>IFERROR(Supplier_Perf_Table[[#This Row],[Actual_Delivery_Date]]-Supplier_Perf_Table[[#This Row],[Order Date]],"")</f>
        <v>18</v>
      </c>
      <c r="Y699" s="75">
        <v>8</v>
      </c>
      <c r="Z699" s="56">
        <f>IFERROR(Supplier_Perf_Table[[#This Row],[Expected Delivery_Date]]-Supplier_Perf_Table[[#This Row],[Order Date]],"")</f>
        <v>8</v>
      </c>
      <c r="AA699" s="56">
        <f>Supplier_Perf_Table[[#This Row],[Calculated_Lead_Time2]]-Supplier_Perf_Table[[#This Row],[Calculated_Expected_Lead_Time]]</f>
        <v>10</v>
      </c>
      <c r="AB699" s="75">
        <v>10</v>
      </c>
      <c r="AC699" s="63" t="s">
        <v>205</v>
      </c>
      <c r="AD699" s="63" t="s">
        <v>40</v>
      </c>
      <c r="AE699" s="63" t="s">
        <v>105</v>
      </c>
      <c r="AF699" s="63" t="s">
        <v>212</v>
      </c>
      <c r="AG699" s="63" t="s">
        <v>54</v>
      </c>
      <c r="AH699" s="63" t="s">
        <v>3112</v>
      </c>
      <c r="AI699" s="63" t="s">
        <v>191</v>
      </c>
      <c r="AJ699" s="63" t="s">
        <v>138</v>
      </c>
      <c r="AK699" s="83">
        <v>1.5</v>
      </c>
      <c r="AL699" s="63" t="s">
        <v>139</v>
      </c>
      <c r="AM699" s="63" t="s">
        <v>386</v>
      </c>
      <c r="AN699"/>
    </row>
    <row r="700" spans="1:40" ht="18" customHeight="1">
      <c r="A700" s="1" t="s">
        <v>2220</v>
      </c>
      <c r="B700" s="1" t="s">
        <v>2221</v>
      </c>
      <c r="C700" s="4">
        <v>46098</v>
      </c>
      <c r="D700" s="4">
        <v>46108</v>
      </c>
      <c r="E700" s="4">
        <v>46119</v>
      </c>
      <c r="F700" s="63" t="s">
        <v>69</v>
      </c>
      <c r="G700" s="63" t="s">
        <v>3838</v>
      </c>
      <c r="H700" s="63" t="s">
        <v>194</v>
      </c>
      <c r="I700" s="63" t="s">
        <v>34</v>
      </c>
      <c r="J700" s="63" t="s">
        <v>112</v>
      </c>
      <c r="K700" s="63" t="s">
        <v>2222</v>
      </c>
      <c r="L700" s="63" t="s">
        <v>229</v>
      </c>
      <c r="M700" s="69">
        <v>534.30999999999995</v>
      </c>
      <c r="N700" s="63" t="s">
        <v>104</v>
      </c>
      <c r="O700" s="73">
        <f>_xlfn.XLOOKUP(Supplier_Perf_Table[[#This Row],[Currency]],'Comments 2'!$C$4:$C$16,'Comments 2'!$D$4:$D$16)</f>
        <v>1.9E-2</v>
      </c>
      <c r="P700" s="69">
        <f>IFERROR(Supplier_Perf_Table[[#This Row],[Unit_Cost]]*Supplier_Perf_Table[[#This Row],[Dollar Equivalent]],"")</f>
        <v>10.151889999999998</v>
      </c>
      <c r="Q700" s="75">
        <v>500</v>
      </c>
      <c r="R700" s="1">
        <v>267155</v>
      </c>
      <c r="S700" s="75">
        <f>Supplier_Perf_Table[[#This Row],[Unit_Cost]]*Supplier_Perf_Table[[#This Row],[Order_Quantity]]</f>
        <v>267155</v>
      </c>
      <c r="T700" s="75">
        <f>IFERROR(Supplier_Perf_Table[[#This Row],[Dollar Equivalent]]*Supplier_Perf_Table[[#This Row],[Ordered_Value]],"")</f>
        <v>5075.9449999999997</v>
      </c>
      <c r="U700" s="75">
        <v>12</v>
      </c>
      <c r="V700" s="7">
        <v>2.4E-2</v>
      </c>
      <c r="W700" s="75">
        <v>21</v>
      </c>
      <c r="X700" s="55">
        <f>IFERROR(Supplier_Perf_Table[[#This Row],[Actual_Delivery_Date]]-Supplier_Perf_Table[[#This Row],[Order Date]],"")</f>
        <v>21</v>
      </c>
      <c r="Y700" s="75">
        <v>10</v>
      </c>
      <c r="Z700" s="56">
        <f>IFERROR(Supplier_Perf_Table[[#This Row],[Expected Delivery_Date]]-Supplier_Perf_Table[[#This Row],[Order Date]],"")</f>
        <v>10</v>
      </c>
      <c r="AA700" s="56">
        <f>Supplier_Perf_Table[[#This Row],[Calculated_Lead_Time2]]-Supplier_Perf_Table[[#This Row],[Calculated_Expected_Lead_Time]]</f>
        <v>11</v>
      </c>
      <c r="AB700" s="75">
        <v>11</v>
      </c>
      <c r="AC700" s="63" t="s">
        <v>205</v>
      </c>
      <c r="AD700" s="63" t="s">
        <v>40</v>
      </c>
      <c r="AE700" s="63" t="s">
        <v>146</v>
      </c>
      <c r="AF700" s="63" t="s">
        <v>106</v>
      </c>
      <c r="AG700" s="63" t="s">
        <v>107</v>
      </c>
      <c r="AH700" s="63" t="s">
        <v>88</v>
      </c>
      <c r="AI700" s="63" t="s">
        <v>147</v>
      </c>
      <c r="AJ700" s="63" t="s">
        <v>138</v>
      </c>
      <c r="AK700" s="83">
        <v>2.6</v>
      </c>
      <c r="AL700" s="63" t="s">
        <v>45</v>
      </c>
      <c r="AM700" s="63" t="s">
        <v>148</v>
      </c>
      <c r="AN700"/>
    </row>
    <row r="701" spans="1:40" ht="18" customHeight="1">
      <c r="A701" s="63" t="s">
        <v>2223</v>
      </c>
      <c r="B701" s="63" t="s">
        <v>2224</v>
      </c>
      <c r="C701" s="4">
        <v>46110</v>
      </c>
      <c r="D701" s="4">
        <v>46132</v>
      </c>
      <c r="E701" s="4">
        <v>46131</v>
      </c>
      <c r="F701" s="63" t="s">
        <v>90</v>
      </c>
      <c r="G701" s="63" t="s">
        <v>3840</v>
      </c>
      <c r="H701" s="63" t="s">
        <v>133</v>
      </c>
      <c r="I701" s="63" t="s">
        <v>120</v>
      </c>
      <c r="J701" s="63" t="s">
        <v>71</v>
      </c>
      <c r="K701" s="63" t="s">
        <v>2225</v>
      </c>
      <c r="L701" s="63" t="s">
        <v>238</v>
      </c>
      <c r="M701" s="69">
        <v>309.37</v>
      </c>
      <c r="N701" s="63" t="s">
        <v>53</v>
      </c>
      <c r="O701" s="73">
        <f>_xlfn.XLOOKUP(Supplier_Perf_Table[[#This Row],[Currency]],'Comments 2'!$C$4:$C$16,'Comments 2'!$D$4:$D$16)</f>
        <v>6.0999999999999999E-2</v>
      </c>
      <c r="P701" s="69">
        <f>IFERROR(Supplier_Perf_Table[[#This Row],[Unit_Cost]]*Supplier_Perf_Table[[#This Row],[Dollar Equivalent]],"")</f>
        <v>18.871569999999998</v>
      </c>
      <c r="Q701" s="75">
        <v>750</v>
      </c>
      <c r="R701" s="1">
        <v>232027.5</v>
      </c>
      <c r="S701" s="75">
        <f>Supplier_Perf_Table[[#This Row],[Unit_Cost]]*Supplier_Perf_Table[[#This Row],[Order_Quantity]]</f>
        <v>232027.5</v>
      </c>
      <c r="T701" s="75">
        <f>IFERROR(Supplier_Perf_Table[[#This Row],[Dollar Equivalent]]*Supplier_Perf_Table[[#This Row],[Ordered_Value]],"")</f>
        <v>14153.6775</v>
      </c>
      <c r="U701" s="75">
        <v>33</v>
      </c>
      <c r="V701" s="7">
        <v>4.3999999999999997E-2</v>
      </c>
      <c r="W701" s="75">
        <v>21</v>
      </c>
      <c r="X701" s="55">
        <f>IFERROR(Supplier_Perf_Table[[#This Row],[Actual_Delivery_Date]]-Supplier_Perf_Table[[#This Row],[Order Date]],"")</f>
        <v>21</v>
      </c>
      <c r="Y701" s="75">
        <v>22</v>
      </c>
      <c r="Z701" s="56">
        <f>IFERROR(Supplier_Perf_Table[[#This Row],[Expected Delivery_Date]]-Supplier_Perf_Table[[#This Row],[Order Date]],"")</f>
        <v>22</v>
      </c>
      <c r="AA701" s="56">
        <f>Supplier_Perf_Table[[#This Row],[Calculated_Lead_Time2]]-Supplier_Perf_Table[[#This Row],[Calculated_Expected_Lead_Time]]</f>
        <v>-1</v>
      </c>
      <c r="AB701" s="75">
        <v>-1</v>
      </c>
      <c r="AC701" s="63" t="s">
        <v>87</v>
      </c>
      <c r="AD701" s="63" t="s">
        <v>420</v>
      </c>
      <c r="AE701" s="63" t="s">
        <v>105</v>
      </c>
      <c r="AF701" s="63" t="s">
        <v>212</v>
      </c>
      <c r="AG701" s="63" t="s">
        <v>173</v>
      </c>
      <c r="AH701" s="63" t="s">
        <v>206</v>
      </c>
      <c r="AI701" s="63" t="s">
        <v>138</v>
      </c>
      <c r="AJ701" s="63" t="s">
        <v>183</v>
      </c>
      <c r="AK701" s="83">
        <v>2.5</v>
      </c>
      <c r="AL701" s="63" t="s">
        <v>57</v>
      </c>
      <c r="AM701" s="63" t="s">
        <v>97</v>
      </c>
      <c r="AN701"/>
    </row>
    <row r="702" spans="1:40" ht="18" customHeight="1">
      <c r="A702" s="1" t="s">
        <v>2226</v>
      </c>
      <c r="B702" s="1" t="s">
        <v>2227</v>
      </c>
      <c r="C702" s="4">
        <v>46033</v>
      </c>
      <c r="D702" s="4">
        <v>46056</v>
      </c>
      <c r="E702" s="4">
        <v>46052</v>
      </c>
      <c r="F702" s="63" t="s">
        <v>32</v>
      </c>
      <c r="G702" s="63" t="s">
        <v>3835</v>
      </c>
      <c r="H702" s="63" t="s">
        <v>177</v>
      </c>
      <c r="I702" s="63" t="s">
        <v>49</v>
      </c>
      <c r="J702" s="63" t="s">
        <v>35</v>
      </c>
      <c r="K702" s="63" t="s">
        <v>2228</v>
      </c>
      <c r="L702" s="63" t="s">
        <v>85</v>
      </c>
      <c r="M702" s="69">
        <v>1515.82</v>
      </c>
      <c r="N702" s="63" t="s">
        <v>86</v>
      </c>
      <c r="O702" s="73">
        <f>_xlfn.XLOOKUP(Supplier_Perf_Table[[#This Row],[Currency]],'Comments 2'!$C$4:$C$16,'Comments 2'!$D$4:$D$16)</f>
        <v>8.8999999999999996E-2</v>
      </c>
      <c r="P702" s="69">
        <f>IFERROR(Supplier_Perf_Table[[#This Row],[Unit_Cost]]*Supplier_Perf_Table[[#This Row],[Dollar Equivalent]],"")</f>
        <v>134.90797999999998</v>
      </c>
      <c r="Q702" s="75">
        <v>150</v>
      </c>
      <c r="R702" s="1">
        <v>227373</v>
      </c>
      <c r="S702" s="75">
        <f>Supplier_Perf_Table[[#This Row],[Unit_Cost]]*Supplier_Perf_Table[[#This Row],[Order_Quantity]]</f>
        <v>227373</v>
      </c>
      <c r="T702" s="75">
        <f>IFERROR(Supplier_Perf_Table[[#This Row],[Dollar Equivalent]]*Supplier_Perf_Table[[#This Row],[Ordered_Value]],"")</f>
        <v>20236.197</v>
      </c>
      <c r="U702" s="75">
        <v>7</v>
      </c>
      <c r="V702" s="7">
        <v>4.6699999999999998E-2</v>
      </c>
      <c r="W702" s="75">
        <v>19</v>
      </c>
      <c r="X702" s="55">
        <f>IFERROR(Supplier_Perf_Table[[#This Row],[Actual_Delivery_Date]]-Supplier_Perf_Table[[#This Row],[Order Date]],"")</f>
        <v>19</v>
      </c>
      <c r="Y702" s="75">
        <v>23</v>
      </c>
      <c r="Z702" s="56">
        <f>IFERROR(Supplier_Perf_Table[[#This Row],[Expected Delivery_Date]]-Supplier_Perf_Table[[#This Row],[Order Date]],"")</f>
        <v>23</v>
      </c>
      <c r="AA702" s="56">
        <f>Supplier_Perf_Table[[#This Row],[Calculated_Lead_Time2]]-Supplier_Perf_Table[[#This Row],[Calculated_Expected_Lead_Time]]</f>
        <v>-4</v>
      </c>
      <c r="AB702" s="75">
        <v>-4</v>
      </c>
      <c r="AC702" s="63" t="s">
        <v>87</v>
      </c>
      <c r="AD702" s="63" t="s">
        <v>74</v>
      </c>
      <c r="AE702" s="63" t="s">
        <v>41</v>
      </c>
      <c r="AF702" s="63" t="s">
        <v>190</v>
      </c>
      <c r="AG702" s="63" t="s">
        <v>43</v>
      </c>
      <c r="AH702" s="63" t="s">
        <v>174</v>
      </c>
      <c r="AI702" s="63" t="s">
        <v>95</v>
      </c>
      <c r="AJ702" s="63" t="s">
        <v>75</v>
      </c>
      <c r="AK702" s="83">
        <v>1</v>
      </c>
      <c r="AL702" s="63" t="s">
        <v>184</v>
      </c>
      <c r="AM702" s="63" t="s">
        <v>97</v>
      </c>
      <c r="AN702"/>
    </row>
    <row r="703" spans="1:40" ht="18" customHeight="1">
      <c r="A703" s="1" t="s">
        <v>2229</v>
      </c>
      <c r="B703" s="1" t="s">
        <v>2230</v>
      </c>
      <c r="C703" s="4">
        <v>46123</v>
      </c>
      <c r="D703" s="4">
        <v>46129</v>
      </c>
      <c r="E703" s="4">
        <v>46131</v>
      </c>
      <c r="F703" s="63" t="s">
        <v>69</v>
      </c>
      <c r="G703" s="63" t="s">
        <v>3838</v>
      </c>
      <c r="H703" s="63" t="s">
        <v>194</v>
      </c>
      <c r="I703" s="63" t="s">
        <v>120</v>
      </c>
      <c r="J703" s="63" t="s">
        <v>112</v>
      </c>
      <c r="K703" s="63" t="s">
        <v>2231</v>
      </c>
      <c r="L703" s="63" t="s">
        <v>114</v>
      </c>
      <c r="M703" s="69">
        <v>542.88</v>
      </c>
      <c r="N703" s="63" t="s">
        <v>104</v>
      </c>
      <c r="O703" s="73">
        <f>_xlfn.XLOOKUP(Supplier_Perf_Table[[#This Row],[Currency]],'Comments 2'!$C$4:$C$16,'Comments 2'!$D$4:$D$16)</f>
        <v>1.9E-2</v>
      </c>
      <c r="P703" s="69">
        <f>IFERROR(Supplier_Perf_Table[[#This Row],[Unit_Cost]]*Supplier_Perf_Table[[#This Row],[Dollar Equivalent]],"")</f>
        <v>10.314719999999999</v>
      </c>
      <c r="Q703" s="75">
        <v>50</v>
      </c>
      <c r="R703" s="1">
        <v>27144</v>
      </c>
      <c r="S703" s="75">
        <f>Supplier_Perf_Table[[#This Row],[Unit_Cost]]*Supplier_Perf_Table[[#This Row],[Order_Quantity]]</f>
        <v>27144</v>
      </c>
      <c r="T703" s="75">
        <f>IFERROR(Supplier_Perf_Table[[#This Row],[Dollar Equivalent]]*Supplier_Perf_Table[[#This Row],[Ordered_Value]],"")</f>
        <v>515.73599999999999</v>
      </c>
      <c r="U703" s="75">
        <v>1</v>
      </c>
      <c r="V703" s="7">
        <v>0.02</v>
      </c>
      <c r="W703" s="75">
        <v>8</v>
      </c>
      <c r="X703" s="55">
        <f>IFERROR(Supplier_Perf_Table[[#This Row],[Actual_Delivery_Date]]-Supplier_Perf_Table[[#This Row],[Order Date]],"")</f>
        <v>8</v>
      </c>
      <c r="Y703" s="75">
        <v>6</v>
      </c>
      <c r="Z703" s="56">
        <f>IFERROR(Supplier_Perf_Table[[#This Row],[Expected Delivery_Date]]-Supplier_Perf_Table[[#This Row],[Order Date]],"")</f>
        <v>6</v>
      </c>
      <c r="AA703" s="56">
        <f>Supplier_Perf_Table[[#This Row],[Calculated_Lead_Time2]]-Supplier_Perf_Table[[#This Row],[Calculated_Expected_Lead_Time]]</f>
        <v>2</v>
      </c>
      <c r="AB703" s="75">
        <v>2</v>
      </c>
      <c r="AC703" s="63" t="s">
        <v>135</v>
      </c>
      <c r="AD703" s="63" t="s">
        <v>40</v>
      </c>
      <c r="AE703" s="63" t="s">
        <v>146</v>
      </c>
      <c r="AF703" s="63" t="s">
        <v>212</v>
      </c>
      <c r="AG703" s="63" t="s">
        <v>54</v>
      </c>
      <c r="AH703" s="63" t="s">
        <v>55</v>
      </c>
      <c r="AI703" s="63" t="s">
        <v>147</v>
      </c>
      <c r="AJ703" s="63" t="s">
        <v>138</v>
      </c>
      <c r="AK703" s="83">
        <v>2.7</v>
      </c>
      <c r="AL703" s="63" t="s">
        <v>184</v>
      </c>
      <c r="AM703" s="63" t="s">
        <v>148</v>
      </c>
      <c r="AN703"/>
    </row>
    <row r="704" spans="1:40" ht="18" customHeight="1">
      <c r="A704" s="1" t="s">
        <v>2232</v>
      </c>
      <c r="B704" s="1" t="s">
        <v>2233</v>
      </c>
      <c r="C704" s="4">
        <v>46056</v>
      </c>
      <c r="D704" s="4">
        <v>46066</v>
      </c>
      <c r="E704" s="4">
        <v>46070</v>
      </c>
      <c r="F704" s="63" t="s">
        <v>80</v>
      </c>
      <c r="G704" s="63" t="s">
        <v>3839</v>
      </c>
      <c r="H704" s="63" t="s">
        <v>82</v>
      </c>
      <c r="I704" s="63" t="s">
        <v>178</v>
      </c>
      <c r="J704" s="63" t="s">
        <v>35</v>
      </c>
      <c r="K704" s="63" t="s">
        <v>2234</v>
      </c>
      <c r="L704" s="63" t="s">
        <v>180</v>
      </c>
      <c r="M704" s="69">
        <v>36.380000000000003</v>
      </c>
      <c r="N704" s="63" t="s">
        <v>159</v>
      </c>
      <c r="O704" s="73">
        <f>_xlfn.XLOOKUP(Supplier_Perf_Table[[#This Row],[Currency]],'Comments 2'!$C$4:$C$16,'Comments 2'!$D$4:$D$16)</f>
        <v>7.2999999999999996E-4</v>
      </c>
      <c r="P704" s="69">
        <f>IFERROR(Supplier_Perf_Table[[#This Row],[Unit_Cost]]*Supplier_Perf_Table[[#This Row],[Dollar Equivalent]],"")</f>
        <v>2.6557400000000002E-2</v>
      </c>
      <c r="Q704" s="75" t="s">
        <v>3080</v>
      </c>
      <c r="R704" s="1">
        <v>27285</v>
      </c>
      <c r="S704" s="75" t="e">
        <f>Supplier_Perf_Table[[#This Row],[Unit_Cost]]*Supplier_Perf_Table[[#This Row],[Order_Quantity]]</f>
        <v>#VALUE!</v>
      </c>
      <c r="T704" s="75">
        <f>IFERROR(Supplier_Perf_Table[[#This Row],[Dollar Equivalent]]*Supplier_Perf_Table[[#This Row],[Ordered_Value]],"")</f>
        <v>19.918049999999997</v>
      </c>
      <c r="U704" s="75">
        <v>0</v>
      </c>
      <c r="V704" s="7">
        <v>0</v>
      </c>
      <c r="W704" s="75">
        <v>14</v>
      </c>
      <c r="X704" s="55">
        <f>IFERROR(Supplier_Perf_Table[[#This Row],[Actual_Delivery_Date]]-Supplier_Perf_Table[[#This Row],[Order Date]],"")</f>
        <v>14</v>
      </c>
      <c r="Y704" s="75">
        <v>10</v>
      </c>
      <c r="Z704" s="56">
        <f>IFERROR(Supplier_Perf_Table[[#This Row],[Expected Delivery_Date]]-Supplier_Perf_Table[[#This Row],[Order Date]],"")</f>
        <v>10</v>
      </c>
      <c r="AA704" s="56">
        <f>Supplier_Perf_Table[[#This Row],[Calculated_Lead_Time2]]-Supplier_Perf_Table[[#This Row],[Calculated_Expected_Lead_Time]]</f>
        <v>4</v>
      </c>
      <c r="AB704" s="75">
        <v>4</v>
      </c>
      <c r="AC704" s="63" t="s">
        <v>135</v>
      </c>
      <c r="AD704" s="63" t="s">
        <v>40</v>
      </c>
      <c r="AE704" s="63" t="s">
        <v>105</v>
      </c>
      <c r="AF704" s="63" t="s">
        <v>106</v>
      </c>
      <c r="AG704" s="63" t="s">
        <v>54</v>
      </c>
      <c r="AH704" s="63" t="s">
        <v>174</v>
      </c>
      <c r="AI704" s="63" t="s">
        <v>56</v>
      </c>
      <c r="AJ704" s="63" t="s">
        <v>138</v>
      </c>
      <c r="AK704" s="83">
        <v>4.7</v>
      </c>
      <c r="AL704" s="63" t="s">
        <v>76</v>
      </c>
      <c r="AM704" s="63" t="s">
        <v>46</v>
      </c>
      <c r="AN704"/>
    </row>
    <row r="705" spans="1:40" ht="18" customHeight="1">
      <c r="A705" s="1" t="s">
        <v>2235</v>
      </c>
      <c r="B705" s="1" t="s">
        <v>2236</v>
      </c>
      <c r="C705" s="4">
        <v>46176</v>
      </c>
      <c r="D705" s="4">
        <v>46192</v>
      </c>
      <c r="E705" s="4">
        <v>46195</v>
      </c>
      <c r="F705" s="63" t="s">
        <v>118</v>
      </c>
      <c r="G705" s="63" t="s">
        <v>3842</v>
      </c>
      <c r="H705" s="63" t="s">
        <v>301</v>
      </c>
      <c r="I705" s="63" t="s">
        <v>178</v>
      </c>
      <c r="J705" s="63" t="s">
        <v>163</v>
      </c>
      <c r="K705" s="63" t="s">
        <v>2237</v>
      </c>
      <c r="L705" s="63" t="s">
        <v>171</v>
      </c>
      <c r="M705" s="69">
        <v>4096.0600000000004</v>
      </c>
      <c r="N705" s="63" t="s">
        <v>104</v>
      </c>
      <c r="O705" s="73">
        <f>_xlfn.XLOOKUP(Supplier_Perf_Table[[#This Row],[Currency]],'Comments 2'!$C$4:$C$16,'Comments 2'!$D$4:$D$16)</f>
        <v>1.9E-2</v>
      </c>
      <c r="P705" s="69">
        <f>IFERROR(Supplier_Perf_Table[[#This Row],[Unit_Cost]]*Supplier_Perf_Table[[#This Row],[Dollar Equivalent]],"")</f>
        <v>77.825140000000005</v>
      </c>
      <c r="Q705" s="75">
        <v>1500</v>
      </c>
      <c r="R705" s="1">
        <v>6144090</v>
      </c>
      <c r="S705" s="75">
        <f>Supplier_Perf_Table[[#This Row],[Unit_Cost]]*Supplier_Perf_Table[[#This Row],[Order_Quantity]]</f>
        <v>6144090.0000000009</v>
      </c>
      <c r="T705" s="75">
        <f>IFERROR(Supplier_Perf_Table[[#This Row],[Dollar Equivalent]]*Supplier_Perf_Table[[#This Row],[Ordered_Value]],"")</f>
        <v>116737.70999999999</v>
      </c>
      <c r="U705" s="75">
        <v>6</v>
      </c>
      <c r="V705" s="7">
        <v>4.0000000000000001E-3</v>
      </c>
      <c r="W705" s="75">
        <v>19</v>
      </c>
      <c r="X705" s="55">
        <f>IFERROR(Supplier_Perf_Table[[#This Row],[Actual_Delivery_Date]]-Supplier_Perf_Table[[#This Row],[Order Date]],"")</f>
        <v>19</v>
      </c>
      <c r="Y705" s="75">
        <v>16</v>
      </c>
      <c r="Z705" s="56">
        <f>IFERROR(Supplier_Perf_Table[[#This Row],[Expected Delivery_Date]]-Supplier_Perf_Table[[#This Row],[Order Date]],"")</f>
        <v>16</v>
      </c>
      <c r="AA705" s="56">
        <f>Supplier_Perf_Table[[#This Row],[Calculated_Lead_Time2]]-Supplier_Perf_Table[[#This Row],[Calculated_Expected_Lead_Time]]</f>
        <v>3</v>
      </c>
      <c r="AB705" s="75">
        <v>3</v>
      </c>
      <c r="AC705" s="63" t="s">
        <v>166</v>
      </c>
      <c r="AD705" s="63" t="s">
        <v>40</v>
      </c>
      <c r="AE705" s="63" t="s">
        <v>105</v>
      </c>
      <c r="AF705" s="63" t="s">
        <v>106</v>
      </c>
      <c r="AG705" s="63" t="s">
        <v>173</v>
      </c>
      <c r="AH705" s="63" t="s">
        <v>136</v>
      </c>
      <c r="AI705" s="63" t="s">
        <v>56</v>
      </c>
      <c r="AJ705" s="63" t="s">
        <v>138</v>
      </c>
      <c r="AK705" s="83">
        <v>3.3</v>
      </c>
      <c r="AL705" s="63" t="s">
        <v>76</v>
      </c>
      <c r="AM705" s="63" t="s">
        <v>46</v>
      </c>
      <c r="AN705"/>
    </row>
    <row r="706" spans="1:40" ht="18" customHeight="1">
      <c r="A706" s="1" t="s">
        <v>2238</v>
      </c>
      <c r="B706" s="1" t="s">
        <v>2239</v>
      </c>
      <c r="C706" s="4">
        <v>46036</v>
      </c>
      <c r="D706" s="4">
        <v>46049</v>
      </c>
      <c r="E706" s="4">
        <v>46048</v>
      </c>
      <c r="F706" s="63" t="s">
        <v>256</v>
      </c>
      <c r="G706" s="63" t="s">
        <v>3849</v>
      </c>
      <c r="H706" s="63" t="s">
        <v>258</v>
      </c>
      <c r="I706" s="63" t="s">
        <v>83</v>
      </c>
      <c r="J706" s="63" t="s">
        <v>153</v>
      </c>
      <c r="K706" s="63" t="s">
        <v>2240</v>
      </c>
      <c r="L706" s="63" t="s">
        <v>318</v>
      </c>
      <c r="M706" s="69">
        <v>524.41</v>
      </c>
      <c r="N706" s="63" t="s">
        <v>159</v>
      </c>
      <c r="O706" s="73">
        <f>_xlfn.XLOOKUP(Supplier_Perf_Table[[#This Row],[Currency]],'Comments 2'!$C$4:$C$16,'Comments 2'!$D$4:$D$16)</f>
        <v>7.2999999999999996E-4</v>
      </c>
      <c r="P706" s="69">
        <f>IFERROR(Supplier_Perf_Table[[#This Row],[Unit_Cost]]*Supplier_Perf_Table[[#This Row],[Dollar Equivalent]],"")</f>
        <v>0.38281929999999997</v>
      </c>
      <c r="Q706" s="75">
        <v>150</v>
      </c>
      <c r="R706" s="1">
        <v>78661.5</v>
      </c>
      <c r="S706" s="75">
        <f>Supplier_Perf_Table[[#This Row],[Unit_Cost]]*Supplier_Perf_Table[[#This Row],[Order_Quantity]]</f>
        <v>78661.5</v>
      </c>
      <c r="T706" s="75">
        <f>IFERROR(Supplier_Perf_Table[[#This Row],[Dollar Equivalent]]*Supplier_Perf_Table[[#This Row],[Ordered_Value]],"")</f>
        <v>57.422894999999997</v>
      </c>
      <c r="U706" s="75">
        <v>8</v>
      </c>
      <c r="V706" s="7">
        <v>5.33E-2</v>
      </c>
      <c r="W706" s="75">
        <v>12</v>
      </c>
      <c r="X706" s="55">
        <f>IFERROR(Supplier_Perf_Table[[#This Row],[Actual_Delivery_Date]]-Supplier_Perf_Table[[#This Row],[Order Date]],"")</f>
        <v>12</v>
      </c>
      <c r="Y706" s="75">
        <v>13</v>
      </c>
      <c r="Z706" s="56">
        <f>IFERROR(Supplier_Perf_Table[[#This Row],[Expected Delivery_Date]]-Supplier_Perf_Table[[#This Row],[Order Date]],"")</f>
        <v>13</v>
      </c>
      <c r="AA706" s="56">
        <f>Supplier_Perf_Table[[#This Row],[Calculated_Lead_Time2]]-Supplier_Perf_Table[[#This Row],[Calculated_Expected_Lead_Time]]</f>
        <v>-1</v>
      </c>
      <c r="AB706" s="75">
        <v>-1</v>
      </c>
      <c r="AC706" s="63" t="s">
        <v>87</v>
      </c>
      <c r="AD706" s="63" t="s">
        <v>74</v>
      </c>
      <c r="AE706" s="63" t="s">
        <v>105</v>
      </c>
      <c r="AF706" s="63" t="s">
        <v>190</v>
      </c>
      <c r="AG706" s="63" t="s">
        <v>173</v>
      </c>
      <c r="AH706" s="63" t="s">
        <v>206</v>
      </c>
      <c r="AI706" s="63" t="s">
        <v>95</v>
      </c>
      <c r="AJ706" s="63" t="s">
        <v>96</v>
      </c>
      <c r="AK706" s="83">
        <v>2.5</v>
      </c>
      <c r="AL706" s="63" t="s">
        <v>57</v>
      </c>
      <c r="AM706" s="63" t="s">
        <v>97</v>
      </c>
      <c r="AN706"/>
    </row>
    <row r="707" spans="1:40" ht="18" customHeight="1">
      <c r="A707" s="1" t="s">
        <v>2241</v>
      </c>
      <c r="B707" s="1" t="s">
        <v>2242</v>
      </c>
      <c r="C707" s="4">
        <v>46050</v>
      </c>
      <c r="D707" s="4">
        <v>46062</v>
      </c>
      <c r="E707" s="4">
        <v>46052</v>
      </c>
      <c r="F707" s="63" t="s">
        <v>90</v>
      </c>
      <c r="G707" s="63" t="s">
        <v>3840</v>
      </c>
      <c r="H707" s="63" t="s">
        <v>133</v>
      </c>
      <c r="I707" s="63" t="s">
        <v>178</v>
      </c>
      <c r="J707" s="63" t="s">
        <v>71</v>
      </c>
      <c r="K707" s="63" t="s">
        <v>2243</v>
      </c>
      <c r="L707" s="63" t="s">
        <v>73</v>
      </c>
      <c r="M707" s="69">
        <v>29.26</v>
      </c>
      <c r="N707" s="63" t="s">
        <v>159</v>
      </c>
      <c r="O707" s="73">
        <f>_xlfn.XLOOKUP(Supplier_Perf_Table[[#This Row],[Currency]],'Comments 2'!$C$4:$C$16,'Comments 2'!$D$4:$D$16)</f>
        <v>7.2999999999999996E-4</v>
      </c>
      <c r="P707" s="69">
        <f>IFERROR(Supplier_Perf_Table[[#This Row],[Unit_Cost]]*Supplier_Perf_Table[[#This Row],[Dollar Equivalent]],"")</f>
        <v>2.1359800000000002E-2</v>
      </c>
      <c r="Q707" s="75" t="s">
        <v>3080</v>
      </c>
      <c r="R707" s="1">
        <v>5852</v>
      </c>
      <c r="S707" s="75" t="e">
        <f>Supplier_Perf_Table[[#This Row],[Unit_Cost]]*Supplier_Perf_Table[[#This Row],[Order_Quantity]]</f>
        <v>#VALUE!</v>
      </c>
      <c r="T707" s="75">
        <f>IFERROR(Supplier_Perf_Table[[#This Row],[Dollar Equivalent]]*Supplier_Perf_Table[[#This Row],[Ordered_Value]],"")</f>
        <v>4.27196</v>
      </c>
      <c r="U707" s="75">
        <v>18</v>
      </c>
      <c r="V707" s="7">
        <v>0.09</v>
      </c>
      <c r="W707" s="75">
        <v>2</v>
      </c>
      <c r="X707" s="55">
        <f>IFERROR(Supplier_Perf_Table[[#This Row],[Actual_Delivery_Date]]-Supplier_Perf_Table[[#This Row],[Order Date]],"")</f>
        <v>2</v>
      </c>
      <c r="Y707" s="75">
        <v>12</v>
      </c>
      <c r="Z707" s="56">
        <f>IFERROR(Supplier_Perf_Table[[#This Row],[Expected Delivery_Date]]-Supplier_Perf_Table[[#This Row],[Order Date]],"")</f>
        <v>12</v>
      </c>
      <c r="AA707" s="56">
        <f>Supplier_Perf_Table[[#This Row],[Calculated_Lead_Time2]]-Supplier_Perf_Table[[#This Row],[Calculated_Expected_Lead_Time]]</f>
        <v>-10</v>
      </c>
      <c r="AB707" s="75">
        <v>-10</v>
      </c>
      <c r="AC707" s="63" t="s">
        <v>87</v>
      </c>
      <c r="AD707" s="63" t="s">
        <v>420</v>
      </c>
      <c r="AE707" s="63" t="s">
        <v>105</v>
      </c>
      <c r="AF707" s="63" t="s">
        <v>66</v>
      </c>
      <c r="AG707" s="63" t="s">
        <v>54</v>
      </c>
      <c r="AH707" s="63" t="s">
        <v>55</v>
      </c>
      <c r="AI707" s="63" t="s">
        <v>138</v>
      </c>
      <c r="AJ707" s="63" t="s">
        <v>183</v>
      </c>
      <c r="AK707" s="83">
        <v>3.3</v>
      </c>
      <c r="AL707" s="63" t="s">
        <v>139</v>
      </c>
      <c r="AM707" s="63" t="s">
        <v>97</v>
      </c>
      <c r="AN707"/>
    </row>
    <row r="708" spans="1:40" ht="18" customHeight="1">
      <c r="A708" s="1" t="s">
        <v>2244</v>
      </c>
      <c r="B708" s="1" t="s">
        <v>2245</v>
      </c>
      <c r="C708" s="4">
        <v>46116</v>
      </c>
      <c r="D708" s="4">
        <v>46138</v>
      </c>
      <c r="E708" s="4">
        <v>46136</v>
      </c>
      <c r="F708" s="63" t="s">
        <v>118</v>
      </c>
      <c r="G708" s="63" t="s">
        <v>3842</v>
      </c>
      <c r="H708" s="63" t="s">
        <v>301</v>
      </c>
      <c r="I708" s="63" t="s">
        <v>49</v>
      </c>
      <c r="J708" s="63" t="s">
        <v>62</v>
      </c>
      <c r="K708" s="63" t="s">
        <v>2246</v>
      </c>
      <c r="L708" s="63" t="s">
        <v>225</v>
      </c>
      <c r="M708" s="69">
        <v>639.92999999999995</v>
      </c>
      <c r="N708" s="63" t="s">
        <v>104</v>
      </c>
      <c r="O708" s="73">
        <f>_xlfn.XLOOKUP(Supplier_Perf_Table[[#This Row],[Currency]],'Comments 2'!$C$4:$C$16,'Comments 2'!$D$4:$D$16)</f>
        <v>1.9E-2</v>
      </c>
      <c r="P708" s="69">
        <f>IFERROR(Supplier_Perf_Table[[#This Row],[Unit_Cost]]*Supplier_Perf_Table[[#This Row],[Dollar Equivalent]],"")</f>
        <v>12.158669999999999</v>
      </c>
      <c r="Q708" s="75">
        <v>250</v>
      </c>
      <c r="R708" s="1">
        <v>159982.5</v>
      </c>
      <c r="S708" s="75">
        <f>Supplier_Perf_Table[[#This Row],[Unit_Cost]]*Supplier_Perf_Table[[#This Row],[Order_Quantity]]</f>
        <v>159982.5</v>
      </c>
      <c r="T708" s="75">
        <f>IFERROR(Supplier_Perf_Table[[#This Row],[Dollar Equivalent]]*Supplier_Perf_Table[[#This Row],[Ordered_Value]],"")</f>
        <v>3039.6675</v>
      </c>
      <c r="U708" s="75">
        <v>4</v>
      </c>
      <c r="V708" s="7">
        <v>1.6E-2</v>
      </c>
      <c r="W708" s="75">
        <v>20</v>
      </c>
      <c r="X708" s="55">
        <f>IFERROR(Supplier_Perf_Table[[#This Row],[Actual_Delivery_Date]]-Supplier_Perf_Table[[#This Row],[Order Date]],"")</f>
        <v>20</v>
      </c>
      <c r="Y708" s="75">
        <v>22</v>
      </c>
      <c r="Z708" s="56">
        <f>IFERROR(Supplier_Perf_Table[[#This Row],[Expected Delivery_Date]]-Supplier_Perf_Table[[#This Row],[Order Date]],"")</f>
        <v>22</v>
      </c>
      <c r="AA708" s="56">
        <f>Supplier_Perf_Table[[#This Row],[Calculated_Lead_Time2]]-Supplier_Perf_Table[[#This Row],[Calculated_Expected_Lead_Time]]</f>
        <v>-2</v>
      </c>
      <c r="AB708" s="75">
        <v>-2</v>
      </c>
      <c r="AC708" s="63" t="s">
        <v>87</v>
      </c>
      <c r="AD708" s="63" t="s">
        <v>40</v>
      </c>
      <c r="AE708" s="63" t="s">
        <v>105</v>
      </c>
      <c r="AF708" s="63" t="s">
        <v>3088</v>
      </c>
      <c r="AG708" s="63" t="s">
        <v>43</v>
      </c>
      <c r="AH708" s="63" t="s">
        <v>174</v>
      </c>
      <c r="AI708" s="63" t="s">
        <v>138</v>
      </c>
      <c r="AJ708" s="63" t="s">
        <v>138</v>
      </c>
      <c r="AK708" s="83">
        <v>2.7</v>
      </c>
      <c r="AL708" s="63" t="s">
        <v>108</v>
      </c>
      <c r="AM708" s="63" t="s">
        <v>138</v>
      </c>
      <c r="AN708"/>
    </row>
    <row r="709" spans="1:40" ht="18" customHeight="1">
      <c r="A709" s="1" t="s">
        <v>2247</v>
      </c>
      <c r="B709" s="1" t="s">
        <v>2248</v>
      </c>
      <c r="C709" s="4">
        <v>46177</v>
      </c>
      <c r="D709" s="4">
        <v>46203</v>
      </c>
      <c r="E709" s="4">
        <v>46200</v>
      </c>
      <c r="F709" s="63" t="s">
        <v>32</v>
      </c>
      <c r="G709" s="63" t="s">
        <v>3835</v>
      </c>
      <c r="H709" s="63" t="s">
        <v>177</v>
      </c>
      <c r="I709" s="63" t="s">
        <v>92</v>
      </c>
      <c r="J709" s="63" t="s">
        <v>153</v>
      </c>
      <c r="K709" s="63" t="s">
        <v>2249</v>
      </c>
      <c r="L709" s="63" t="s">
        <v>295</v>
      </c>
      <c r="M709" s="69">
        <v>603.5</v>
      </c>
      <c r="N709" s="63" t="s">
        <v>53</v>
      </c>
      <c r="O709" s="73">
        <f>_xlfn.XLOOKUP(Supplier_Perf_Table[[#This Row],[Currency]],'Comments 2'!$C$4:$C$16,'Comments 2'!$D$4:$D$16)</f>
        <v>6.0999999999999999E-2</v>
      </c>
      <c r="P709" s="69">
        <f>IFERROR(Supplier_Perf_Table[[#This Row],[Unit_Cost]]*Supplier_Perf_Table[[#This Row],[Dollar Equivalent]],"")</f>
        <v>36.813499999999998</v>
      </c>
      <c r="Q709" s="75">
        <v>300</v>
      </c>
      <c r="R709" s="1">
        <v>181050</v>
      </c>
      <c r="S709" s="75">
        <f>Supplier_Perf_Table[[#This Row],[Unit_Cost]]*Supplier_Perf_Table[[#This Row],[Order_Quantity]]</f>
        <v>181050</v>
      </c>
      <c r="T709" s="75">
        <f>IFERROR(Supplier_Perf_Table[[#This Row],[Dollar Equivalent]]*Supplier_Perf_Table[[#This Row],[Ordered_Value]],"")</f>
        <v>11044.05</v>
      </c>
      <c r="U709" s="75">
        <v>11</v>
      </c>
      <c r="V709" s="7">
        <v>3.6700000000000003E-2</v>
      </c>
      <c r="W709" s="75" t="s">
        <v>3080</v>
      </c>
      <c r="X709" s="55">
        <f>IFERROR(Supplier_Perf_Table[[#This Row],[Actual_Delivery_Date]]-Supplier_Perf_Table[[#This Row],[Order Date]],"")</f>
        <v>23</v>
      </c>
      <c r="Y709" s="75">
        <v>26</v>
      </c>
      <c r="Z709" s="56">
        <f>IFERROR(Supplier_Perf_Table[[#This Row],[Expected Delivery_Date]]-Supplier_Perf_Table[[#This Row],[Order Date]],"")</f>
        <v>26</v>
      </c>
      <c r="AA709" s="56">
        <f>Supplier_Perf_Table[[#This Row],[Calculated_Lead_Time2]]-Supplier_Perf_Table[[#This Row],[Calculated_Expected_Lead_Time]]</f>
        <v>-3</v>
      </c>
      <c r="AB709" s="75">
        <v>-3</v>
      </c>
      <c r="AC709" s="63" t="s">
        <v>87</v>
      </c>
      <c r="AD709" s="63" t="s">
        <v>40</v>
      </c>
      <c r="AE709" s="63" t="s">
        <v>105</v>
      </c>
      <c r="AF709" s="63" t="s">
        <v>66</v>
      </c>
      <c r="AG709" s="63" t="s">
        <v>173</v>
      </c>
      <c r="AH709" s="63" t="s">
        <v>3112</v>
      </c>
      <c r="AI709" s="63" t="s">
        <v>147</v>
      </c>
      <c r="AJ709" s="63" t="s">
        <v>138</v>
      </c>
      <c r="AK709" s="83">
        <v>3.8</v>
      </c>
      <c r="AL709" s="63" t="s">
        <v>108</v>
      </c>
      <c r="AM709" s="63" t="s">
        <v>138</v>
      </c>
      <c r="AN709"/>
    </row>
    <row r="710" spans="1:40" ht="18" customHeight="1">
      <c r="A710" s="1" t="s">
        <v>2250</v>
      </c>
      <c r="B710" s="1" t="s">
        <v>2251</v>
      </c>
      <c r="C710" s="4">
        <v>46078</v>
      </c>
      <c r="D710" s="4">
        <v>46084</v>
      </c>
      <c r="E710" s="4">
        <v>46089</v>
      </c>
      <c r="F710" s="63" t="s">
        <v>215</v>
      </c>
      <c r="G710" s="63" t="s">
        <v>3846</v>
      </c>
      <c r="H710" s="63" t="s">
        <v>152</v>
      </c>
      <c r="I710" s="63" t="s">
        <v>83</v>
      </c>
      <c r="J710" s="63" t="s">
        <v>71</v>
      </c>
      <c r="K710" s="63" t="s">
        <v>2252</v>
      </c>
      <c r="L710" s="63" t="s">
        <v>553</v>
      </c>
      <c r="M710" s="69">
        <v>680.82</v>
      </c>
      <c r="N710" s="63" t="s">
        <v>159</v>
      </c>
      <c r="O710" s="73">
        <f>_xlfn.XLOOKUP(Supplier_Perf_Table[[#This Row],[Currency]],'Comments 2'!$C$4:$C$16,'Comments 2'!$D$4:$D$16)</f>
        <v>7.2999999999999996E-4</v>
      </c>
      <c r="P710" s="69">
        <f>IFERROR(Supplier_Perf_Table[[#This Row],[Unit_Cost]]*Supplier_Perf_Table[[#This Row],[Dollar Equivalent]],"")</f>
        <v>0.49699860000000001</v>
      </c>
      <c r="Q710" s="75">
        <v>250</v>
      </c>
      <c r="R710" s="1">
        <v>170205</v>
      </c>
      <c r="S710" s="75">
        <f>Supplier_Perf_Table[[#This Row],[Unit_Cost]]*Supplier_Perf_Table[[#This Row],[Order_Quantity]]</f>
        <v>170205</v>
      </c>
      <c r="T710" s="75">
        <f>IFERROR(Supplier_Perf_Table[[#This Row],[Dollar Equivalent]]*Supplier_Perf_Table[[#This Row],[Ordered_Value]],"")</f>
        <v>124.24964999999999</v>
      </c>
      <c r="U710" s="75">
        <v>12</v>
      </c>
      <c r="V710" s="7">
        <v>4.8000000000000001E-2</v>
      </c>
      <c r="W710" s="75">
        <v>11</v>
      </c>
      <c r="X710" s="55">
        <f>IFERROR(Supplier_Perf_Table[[#This Row],[Actual_Delivery_Date]]-Supplier_Perf_Table[[#This Row],[Order Date]],"")</f>
        <v>11</v>
      </c>
      <c r="Y710" s="75">
        <v>6</v>
      </c>
      <c r="Z710" s="56">
        <f>IFERROR(Supplier_Perf_Table[[#This Row],[Expected Delivery_Date]]-Supplier_Perf_Table[[#This Row],[Order Date]],"")</f>
        <v>6</v>
      </c>
      <c r="AA710" s="56">
        <f>Supplier_Perf_Table[[#This Row],[Calculated_Lead_Time2]]-Supplier_Perf_Table[[#This Row],[Calculated_Expected_Lead_Time]]</f>
        <v>5</v>
      </c>
      <c r="AB710" s="75">
        <v>5</v>
      </c>
      <c r="AC710" s="63" t="s">
        <v>39</v>
      </c>
      <c r="AD710" s="63" t="s">
        <v>366</v>
      </c>
      <c r="AE710" s="63" t="s">
        <v>146</v>
      </c>
      <c r="AF710" s="63" t="s">
        <v>106</v>
      </c>
      <c r="AG710" s="63" t="s">
        <v>3088</v>
      </c>
      <c r="AH710" s="63" t="s">
        <v>129</v>
      </c>
      <c r="AI710" s="63" t="s">
        <v>138</v>
      </c>
      <c r="AJ710" s="63" t="s">
        <v>373</v>
      </c>
      <c r="AK710" s="83">
        <v>1.5</v>
      </c>
      <c r="AL710" s="63" t="s">
        <v>45</v>
      </c>
      <c r="AM710" s="63" t="s">
        <v>185</v>
      </c>
      <c r="AN710"/>
    </row>
    <row r="711" spans="1:40" ht="18" customHeight="1">
      <c r="A711" s="1" t="s">
        <v>2253</v>
      </c>
      <c r="B711" s="1" t="s">
        <v>2254</v>
      </c>
      <c r="C711" s="4">
        <v>46065</v>
      </c>
      <c r="D711" s="4">
        <v>46081</v>
      </c>
      <c r="E711" s="4">
        <v>46079</v>
      </c>
      <c r="F711" s="63" t="s">
        <v>80</v>
      </c>
      <c r="G711" s="63" t="s">
        <v>3839</v>
      </c>
      <c r="H711" s="63" t="s">
        <v>82</v>
      </c>
      <c r="I711" s="63" t="s">
        <v>61</v>
      </c>
      <c r="J711" s="63" t="s">
        <v>35</v>
      </c>
      <c r="K711" s="63" t="s">
        <v>2255</v>
      </c>
      <c r="L711" s="63" t="s">
        <v>37</v>
      </c>
      <c r="M711" s="69">
        <v>2887.97</v>
      </c>
      <c r="N711" s="63" t="s">
        <v>104</v>
      </c>
      <c r="O711" s="73">
        <f>_xlfn.XLOOKUP(Supplier_Perf_Table[[#This Row],[Currency]],'Comments 2'!$C$4:$C$16,'Comments 2'!$D$4:$D$16)</f>
        <v>1.9E-2</v>
      </c>
      <c r="P711" s="69">
        <f>IFERROR(Supplier_Perf_Table[[#This Row],[Unit_Cost]]*Supplier_Perf_Table[[#This Row],[Dollar Equivalent]],"")</f>
        <v>54.871429999999997</v>
      </c>
      <c r="Q711" s="75">
        <v>750</v>
      </c>
      <c r="R711" s="1">
        <v>2165977.5</v>
      </c>
      <c r="S711" s="75">
        <f>Supplier_Perf_Table[[#This Row],[Unit_Cost]]*Supplier_Perf_Table[[#This Row],[Order_Quantity]]</f>
        <v>2165977.5</v>
      </c>
      <c r="T711" s="75">
        <f>IFERROR(Supplier_Perf_Table[[#This Row],[Dollar Equivalent]]*Supplier_Perf_Table[[#This Row],[Ordered_Value]],"")</f>
        <v>41153.572500000002</v>
      </c>
      <c r="U711" s="75">
        <v>6</v>
      </c>
      <c r="V711" s="7">
        <v>8.0000000000000002E-3</v>
      </c>
      <c r="W711" s="75">
        <v>14</v>
      </c>
      <c r="X711" s="55">
        <f>IFERROR(Supplier_Perf_Table[[#This Row],[Actual_Delivery_Date]]-Supplier_Perf_Table[[#This Row],[Order Date]],"")</f>
        <v>14</v>
      </c>
      <c r="Y711" s="75">
        <v>16</v>
      </c>
      <c r="Z711" s="56">
        <f>IFERROR(Supplier_Perf_Table[[#This Row],[Expected Delivery_Date]]-Supplier_Perf_Table[[#This Row],[Order Date]],"")</f>
        <v>16</v>
      </c>
      <c r="AA711" s="56">
        <f>Supplier_Perf_Table[[#This Row],[Calculated_Lead_Time2]]-Supplier_Perf_Table[[#This Row],[Calculated_Expected_Lead_Time]]</f>
        <v>-2</v>
      </c>
      <c r="AB711" s="75">
        <v>-2</v>
      </c>
      <c r="AC711" s="63" t="s">
        <v>87</v>
      </c>
      <c r="AD711" s="63" t="s">
        <v>40</v>
      </c>
      <c r="AE711" s="63" t="s">
        <v>105</v>
      </c>
      <c r="AF711" s="63" t="s">
        <v>106</v>
      </c>
      <c r="AG711" s="63" t="s">
        <v>3088</v>
      </c>
      <c r="AH711" s="63" t="s">
        <v>3112</v>
      </c>
      <c r="AI711" s="63" t="s">
        <v>138</v>
      </c>
      <c r="AJ711" s="63" t="s">
        <v>138</v>
      </c>
      <c r="AK711" s="83">
        <v>3.2</v>
      </c>
      <c r="AL711" s="63" t="s">
        <v>139</v>
      </c>
      <c r="AM711" s="63" t="s">
        <v>138</v>
      </c>
      <c r="AN711"/>
    </row>
    <row r="712" spans="1:40" ht="18" customHeight="1">
      <c r="A712" s="1" t="s">
        <v>2256</v>
      </c>
      <c r="B712" s="1" t="s">
        <v>2257</v>
      </c>
      <c r="C712" s="4">
        <v>46158</v>
      </c>
      <c r="D712" s="4">
        <v>46169</v>
      </c>
      <c r="E712" s="4">
        <v>46165</v>
      </c>
      <c r="F712" s="63" t="s">
        <v>69</v>
      </c>
      <c r="G712" s="63" t="s">
        <v>3838</v>
      </c>
      <c r="H712" s="63" t="s">
        <v>194</v>
      </c>
      <c r="I712" s="63" t="s">
        <v>241</v>
      </c>
      <c r="J712" s="63" t="s">
        <v>35</v>
      </c>
      <c r="K712" s="63" t="s">
        <v>2258</v>
      </c>
      <c r="L712" s="63" t="s">
        <v>200</v>
      </c>
      <c r="M712" s="69">
        <v>4175.74</v>
      </c>
      <c r="N712" s="63" t="s">
        <v>104</v>
      </c>
      <c r="O712" s="73">
        <f>_xlfn.XLOOKUP(Supplier_Perf_Table[[#This Row],[Currency]],'Comments 2'!$C$4:$C$16,'Comments 2'!$D$4:$D$16)</f>
        <v>1.9E-2</v>
      </c>
      <c r="P712" s="69">
        <f>IFERROR(Supplier_Perf_Table[[#This Row],[Unit_Cost]]*Supplier_Perf_Table[[#This Row],[Dollar Equivalent]],"")</f>
        <v>79.339059999999989</v>
      </c>
      <c r="Q712" s="75">
        <v>1500</v>
      </c>
      <c r="R712" s="1">
        <v>6263610</v>
      </c>
      <c r="S712" s="75">
        <f>Supplier_Perf_Table[[#This Row],[Unit_Cost]]*Supplier_Perf_Table[[#This Row],[Order_Quantity]]</f>
        <v>6263610</v>
      </c>
      <c r="T712" s="75">
        <f>IFERROR(Supplier_Perf_Table[[#This Row],[Dollar Equivalent]]*Supplier_Perf_Table[[#This Row],[Ordered_Value]],"")</f>
        <v>119008.59</v>
      </c>
      <c r="U712" s="75">
        <v>0</v>
      </c>
      <c r="V712" s="7">
        <v>0</v>
      </c>
      <c r="W712" s="75">
        <v>7</v>
      </c>
      <c r="X712" s="55">
        <f>IFERROR(Supplier_Perf_Table[[#This Row],[Actual_Delivery_Date]]-Supplier_Perf_Table[[#This Row],[Order Date]],"")</f>
        <v>7</v>
      </c>
      <c r="Y712" s="75">
        <v>11</v>
      </c>
      <c r="Z712" s="56">
        <f>IFERROR(Supplier_Perf_Table[[#This Row],[Expected Delivery_Date]]-Supplier_Perf_Table[[#This Row],[Order Date]],"")</f>
        <v>11</v>
      </c>
      <c r="AA712" s="56">
        <f>Supplier_Perf_Table[[#This Row],[Calculated_Lead_Time2]]-Supplier_Perf_Table[[#This Row],[Calculated_Expected_Lead_Time]]</f>
        <v>-4</v>
      </c>
      <c r="AB712" s="75">
        <v>-4</v>
      </c>
      <c r="AC712" s="63" t="s">
        <v>87</v>
      </c>
      <c r="AD712" s="63" t="s">
        <v>40</v>
      </c>
      <c r="AE712" s="63" t="s">
        <v>3088</v>
      </c>
      <c r="AF712" s="63" t="s">
        <v>66</v>
      </c>
      <c r="AG712" s="63" t="s">
        <v>107</v>
      </c>
      <c r="AH712" s="63" t="s">
        <v>136</v>
      </c>
      <c r="AI712" s="63" t="s">
        <v>147</v>
      </c>
      <c r="AJ712" s="63" t="s">
        <v>138</v>
      </c>
      <c r="AK712" s="83">
        <v>2.7</v>
      </c>
      <c r="AL712" s="63" t="s">
        <v>115</v>
      </c>
      <c r="AM712" s="63" t="s">
        <v>130</v>
      </c>
      <c r="AN712"/>
    </row>
    <row r="713" spans="1:40" ht="18" customHeight="1">
      <c r="A713" s="1" t="s">
        <v>2259</v>
      </c>
      <c r="B713" s="1" t="s">
        <v>2260</v>
      </c>
      <c r="C713" s="4">
        <v>46105</v>
      </c>
      <c r="D713" s="4">
        <v>46122</v>
      </c>
      <c r="E713" s="4">
        <v>46127</v>
      </c>
      <c r="F713" s="63" t="s">
        <v>235</v>
      </c>
      <c r="G713" s="63" t="s">
        <v>3848</v>
      </c>
      <c r="H713" s="63" t="s">
        <v>479</v>
      </c>
      <c r="I713" s="63" t="s">
        <v>178</v>
      </c>
      <c r="J713" s="63" t="s">
        <v>71</v>
      </c>
      <c r="K713" s="63" t="s">
        <v>2261</v>
      </c>
      <c r="L713" s="63" t="s">
        <v>238</v>
      </c>
      <c r="M713" s="69">
        <v>242.21</v>
      </c>
      <c r="N713" s="63" t="s">
        <v>38</v>
      </c>
      <c r="O713" s="73">
        <f>_xlfn.XLOOKUP(Supplier_Perf_Table[[#This Row],[Currency]],'Comments 2'!$C$4:$C$16,'Comments 2'!$D$4:$D$16)</f>
        <v>7.7000000000000002E-3</v>
      </c>
      <c r="P713" s="69">
        <f>IFERROR(Supplier_Perf_Table[[#This Row],[Unit_Cost]]*Supplier_Perf_Table[[#This Row],[Dollar Equivalent]],"")</f>
        <v>1.8650170000000001</v>
      </c>
      <c r="Q713" s="75">
        <v>500</v>
      </c>
      <c r="R713" s="1">
        <v>121105</v>
      </c>
      <c r="S713" s="75">
        <f>Supplier_Perf_Table[[#This Row],[Unit_Cost]]*Supplier_Perf_Table[[#This Row],[Order_Quantity]]</f>
        <v>121105</v>
      </c>
      <c r="T713" s="75">
        <f>IFERROR(Supplier_Perf_Table[[#This Row],[Dollar Equivalent]]*Supplier_Perf_Table[[#This Row],[Ordered_Value]],"")</f>
        <v>932.50850000000003</v>
      </c>
      <c r="U713" s="75">
        <v>27</v>
      </c>
      <c r="V713" s="7">
        <v>5.3999999999999999E-2</v>
      </c>
      <c r="W713" s="75">
        <v>22</v>
      </c>
      <c r="X713" s="55">
        <f>IFERROR(Supplier_Perf_Table[[#This Row],[Actual_Delivery_Date]]-Supplier_Perf_Table[[#This Row],[Order Date]],"")</f>
        <v>22</v>
      </c>
      <c r="Y713" s="75">
        <v>17</v>
      </c>
      <c r="Z713" s="56">
        <f>IFERROR(Supplier_Perf_Table[[#This Row],[Expected Delivery_Date]]-Supplier_Perf_Table[[#This Row],[Order Date]],"")</f>
        <v>17</v>
      </c>
      <c r="AA713" s="56">
        <f>Supplier_Perf_Table[[#This Row],[Calculated_Lead_Time2]]-Supplier_Perf_Table[[#This Row],[Calculated_Expected_Lead_Time]]</f>
        <v>5</v>
      </c>
      <c r="AB713" s="75">
        <v>5</v>
      </c>
      <c r="AC713" s="63" t="s">
        <v>39</v>
      </c>
      <c r="AD713" s="63" t="s">
        <v>74</v>
      </c>
      <c r="AE713" s="63" t="s">
        <v>41</v>
      </c>
      <c r="AF713" s="63" t="s">
        <v>106</v>
      </c>
      <c r="AG713" s="63" t="s">
        <v>173</v>
      </c>
      <c r="AH713" s="63" t="s">
        <v>3112</v>
      </c>
      <c r="AI713" s="63" t="s">
        <v>191</v>
      </c>
      <c r="AJ713" s="63" t="s">
        <v>373</v>
      </c>
      <c r="AK713" s="83">
        <v>2.2999999999999998</v>
      </c>
      <c r="AL713" s="63" t="s">
        <v>76</v>
      </c>
      <c r="AM713" s="63" t="s">
        <v>77</v>
      </c>
      <c r="AN713"/>
    </row>
    <row r="714" spans="1:40" ht="18" customHeight="1">
      <c r="A714" s="1" t="s">
        <v>2262</v>
      </c>
      <c r="B714" s="1" t="s">
        <v>2263</v>
      </c>
      <c r="C714" s="4">
        <v>46172</v>
      </c>
      <c r="D714" s="4">
        <v>46179</v>
      </c>
      <c r="E714" s="4">
        <v>46183</v>
      </c>
      <c r="F714" s="63" t="s">
        <v>215</v>
      </c>
      <c r="G714" s="63" t="s">
        <v>3846</v>
      </c>
      <c r="H714" s="63" t="s">
        <v>152</v>
      </c>
      <c r="I714" s="63" t="s">
        <v>241</v>
      </c>
      <c r="J714" s="63" t="s">
        <v>112</v>
      </c>
      <c r="K714" s="63" t="s">
        <v>2264</v>
      </c>
      <c r="L714" s="63" t="s">
        <v>229</v>
      </c>
      <c r="M714" s="69">
        <v>647.14</v>
      </c>
      <c r="N714" s="63" t="s">
        <v>53</v>
      </c>
      <c r="O714" s="73">
        <f>_xlfn.XLOOKUP(Supplier_Perf_Table[[#This Row],[Currency]],'Comments 2'!$C$4:$C$16,'Comments 2'!$D$4:$D$16)</f>
        <v>6.0999999999999999E-2</v>
      </c>
      <c r="P714" s="69">
        <f>IFERROR(Supplier_Perf_Table[[#This Row],[Unit_Cost]]*Supplier_Perf_Table[[#This Row],[Dollar Equivalent]],"")</f>
        <v>39.475539999999995</v>
      </c>
      <c r="Q714" s="75">
        <v>50</v>
      </c>
      <c r="R714" s="1">
        <v>32357</v>
      </c>
      <c r="S714" s="75">
        <f>Supplier_Perf_Table[[#This Row],[Unit_Cost]]*Supplier_Perf_Table[[#This Row],[Order_Quantity]]</f>
        <v>32357</v>
      </c>
      <c r="T714" s="75">
        <f>IFERROR(Supplier_Perf_Table[[#This Row],[Dollar Equivalent]]*Supplier_Perf_Table[[#This Row],[Ordered_Value]],"")</f>
        <v>1973.777</v>
      </c>
      <c r="U714" s="75">
        <v>3</v>
      </c>
      <c r="V714" s="7">
        <v>0.06</v>
      </c>
      <c r="W714" s="75">
        <v>11</v>
      </c>
      <c r="X714" s="55">
        <f>IFERROR(Supplier_Perf_Table[[#This Row],[Actual_Delivery_Date]]-Supplier_Perf_Table[[#This Row],[Order Date]],"")</f>
        <v>11</v>
      </c>
      <c r="Y714" s="75">
        <v>7</v>
      </c>
      <c r="Z714" s="56">
        <f>IFERROR(Supplier_Perf_Table[[#This Row],[Expected Delivery_Date]]-Supplier_Perf_Table[[#This Row],[Order Date]],"")</f>
        <v>7</v>
      </c>
      <c r="AA714" s="56">
        <f>Supplier_Perf_Table[[#This Row],[Calculated_Lead_Time2]]-Supplier_Perf_Table[[#This Row],[Calculated_Expected_Lead_Time]]</f>
        <v>4</v>
      </c>
      <c r="AB714" s="75">
        <v>4</v>
      </c>
      <c r="AC714" s="63" t="s">
        <v>39</v>
      </c>
      <c r="AD714" s="63" t="s">
        <v>74</v>
      </c>
      <c r="AE714" s="63" t="s">
        <v>41</v>
      </c>
      <c r="AF714" s="63" t="s">
        <v>106</v>
      </c>
      <c r="AG714" s="63" t="s">
        <v>128</v>
      </c>
      <c r="AH714" s="63" t="s">
        <v>3112</v>
      </c>
      <c r="AI714" s="63" t="s">
        <v>95</v>
      </c>
      <c r="AJ714" s="63" t="s">
        <v>373</v>
      </c>
      <c r="AK714" s="83">
        <v>1.4</v>
      </c>
      <c r="AL714" s="63" t="s">
        <v>45</v>
      </c>
      <c r="AM714" s="63" t="s">
        <v>77</v>
      </c>
      <c r="AN714"/>
    </row>
    <row r="715" spans="1:40" ht="18" customHeight="1">
      <c r="A715" s="1" t="s">
        <v>2265</v>
      </c>
      <c r="B715" s="1" t="s">
        <v>2266</v>
      </c>
      <c r="C715" s="4">
        <v>46100</v>
      </c>
      <c r="D715" s="4">
        <v>46108</v>
      </c>
      <c r="E715" s="4">
        <v>46108</v>
      </c>
      <c r="F715" s="63" t="s">
        <v>162</v>
      </c>
      <c r="G715" s="63" t="s">
        <v>3847</v>
      </c>
      <c r="H715" s="63" t="s">
        <v>152</v>
      </c>
      <c r="I715" s="63" t="s">
        <v>61</v>
      </c>
      <c r="J715" s="63" t="s">
        <v>163</v>
      </c>
      <c r="K715" s="63" t="s">
        <v>2267</v>
      </c>
      <c r="L715" s="63" t="s">
        <v>165</v>
      </c>
      <c r="M715" s="69">
        <v>3039.21</v>
      </c>
      <c r="N715" s="63" t="s">
        <v>38</v>
      </c>
      <c r="O715" s="73">
        <f>_xlfn.XLOOKUP(Supplier_Perf_Table[[#This Row],[Currency]],'Comments 2'!$C$4:$C$16,'Comments 2'!$D$4:$D$16)</f>
        <v>7.7000000000000002E-3</v>
      </c>
      <c r="P715" s="69">
        <f>IFERROR(Supplier_Perf_Table[[#This Row],[Unit_Cost]]*Supplier_Perf_Table[[#This Row],[Dollar Equivalent]],"")</f>
        <v>23.401917000000001</v>
      </c>
      <c r="Q715" s="75">
        <v>100</v>
      </c>
      <c r="R715" s="1">
        <v>303921</v>
      </c>
      <c r="S715" s="75">
        <f>Supplier_Perf_Table[[#This Row],[Unit_Cost]]*Supplier_Perf_Table[[#This Row],[Order_Quantity]]</f>
        <v>303921</v>
      </c>
      <c r="T715" s="75">
        <f>IFERROR(Supplier_Perf_Table[[#This Row],[Dollar Equivalent]]*Supplier_Perf_Table[[#This Row],[Ordered_Value]],"")</f>
        <v>2340.1916999999999</v>
      </c>
      <c r="U715" s="75">
        <v>0</v>
      </c>
      <c r="V715" s="7">
        <v>0</v>
      </c>
      <c r="W715" s="75">
        <v>8</v>
      </c>
      <c r="X715" s="55">
        <f>IFERROR(Supplier_Perf_Table[[#This Row],[Actual_Delivery_Date]]-Supplier_Perf_Table[[#This Row],[Order Date]],"")</f>
        <v>8</v>
      </c>
      <c r="Y715" s="75">
        <v>8</v>
      </c>
      <c r="Z715" s="56">
        <f>IFERROR(Supplier_Perf_Table[[#This Row],[Expected Delivery_Date]]-Supplier_Perf_Table[[#This Row],[Order Date]],"")</f>
        <v>8</v>
      </c>
      <c r="AA715" s="56">
        <f>Supplier_Perf_Table[[#This Row],[Calculated_Lead_Time2]]-Supplier_Perf_Table[[#This Row],[Calculated_Expected_Lead_Time]]</f>
        <v>0</v>
      </c>
      <c r="AB715" s="75">
        <v>0</v>
      </c>
      <c r="AC715" s="63" t="s">
        <v>87</v>
      </c>
      <c r="AD715" s="63" t="s">
        <v>40</v>
      </c>
      <c r="AE715" s="63" t="s">
        <v>105</v>
      </c>
      <c r="AF715" s="63" t="s">
        <v>3088</v>
      </c>
      <c r="AG715" s="63" t="s">
        <v>107</v>
      </c>
      <c r="AH715" s="63" t="s">
        <v>206</v>
      </c>
      <c r="AI715" s="63" t="s">
        <v>95</v>
      </c>
      <c r="AJ715" s="63" t="s">
        <v>138</v>
      </c>
      <c r="AK715" s="83">
        <v>2.2000000000000002</v>
      </c>
      <c r="AL715" s="63" t="s">
        <v>115</v>
      </c>
      <c r="AM715" s="63" t="s">
        <v>138</v>
      </c>
      <c r="AN715"/>
    </row>
    <row r="716" spans="1:40" ht="18" customHeight="1">
      <c r="A716" s="1" t="s">
        <v>2268</v>
      </c>
      <c r="B716" s="1" t="s">
        <v>2269</v>
      </c>
      <c r="C716" s="4">
        <v>46034</v>
      </c>
      <c r="D716" s="4">
        <v>46047</v>
      </c>
      <c r="E716" s="4">
        <v>46055</v>
      </c>
      <c r="F716" s="63" t="s">
        <v>48</v>
      </c>
      <c r="G716" s="63" t="s">
        <v>3836</v>
      </c>
      <c r="H716" s="63" t="s">
        <v>102</v>
      </c>
      <c r="I716" s="63" t="s">
        <v>61</v>
      </c>
      <c r="J716" s="63" t="s">
        <v>50</v>
      </c>
      <c r="K716" s="63" t="s">
        <v>2270</v>
      </c>
      <c r="L716" s="63" t="s">
        <v>52</v>
      </c>
      <c r="M716" s="69">
        <v>2035.62</v>
      </c>
      <c r="N716" s="63" t="s">
        <v>53</v>
      </c>
      <c r="O716" s="73">
        <f>_xlfn.XLOOKUP(Supplier_Perf_Table[[#This Row],[Currency]],'Comments 2'!$C$4:$C$16,'Comments 2'!$D$4:$D$16)</f>
        <v>6.0999999999999999E-2</v>
      </c>
      <c r="P716" s="69">
        <f>IFERROR(Supplier_Perf_Table[[#This Row],[Unit_Cost]]*Supplier_Perf_Table[[#This Row],[Dollar Equivalent]],"")</f>
        <v>124.17281999999999</v>
      </c>
      <c r="Q716" s="75">
        <v>75</v>
      </c>
      <c r="R716" s="1">
        <v>152671.5</v>
      </c>
      <c r="S716" s="75">
        <f>Supplier_Perf_Table[[#This Row],[Unit_Cost]]*Supplier_Perf_Table[[#This Row],[Order_Quantity]]</f>
        <v>152671.5</v>
      </c>
      <c r="T716" s="75">
        <f>IFERROR(Supplier_Perf_Table[[#This Row],[Dollar Equivalent]]*Supplier_Perf_Table[[#This Row],[Ordered_Value]],"")</f>
        <v>9312.9614999999994</v>
      </c>
      <c r="U716" s="75">
        <v>0</v>
      </c>
      <c r="V716" s="7">
        <v>0</v>
      </c>
      <c r="W716" s="75">
        <v>21</v>
      </c>
      <c r="X716" s="55">
        <f>IFERROR(Supplier_Perf_Table[[#This Row],[Actual_Delivery_Date]]-Supplier_Perf_Table[[#This Row],[Order Date]],"")</f>
        <v>21</v>
      </c>
      <c r="Y716" s="75">
        <v>13</v>
      </c>
      <c r="Z716" s="56">
        <f>IFERROR(Supplier_Perf_Table[[#This Row],[Expected Delivery_Date]]-Supplier_Perf_Table[[#This Row],[Order Date]],"")</f>
        <v>13</v>
      </c>
      <c r="AA716" s="56">
        <f>Supplier_Perf_Table[[#This Row],[Calculated_Lead_Time2]]-Supplier_Perf_Table[[#This Row],[Calculated_Expected_Lead_Time]]</f>
        <v>8</v>
      </c>
      <c r="AB716" s="75">
        <v>8</v>
      </c>
      <c r="AC716" s="63" t="s">
        <v>205</v>
      </c>
      <c r="AD716" s="63" t="s">
        <v>40</v>
      </c>
      <c r="AE716" s="63" t="s">
        <v>146</v>
      </c>
      <c r="AF716" s="63" t="s">
        <v>106</v>
      </c>
      <c r="AG716" s="63" t="s">
        <v>107</v>
      </c>
      <c r="AH716" s="63" t="s">
        <v>174</v>
      </c>
      <c r="AI716" s="63" t="s">
        <v>137</v>
      </c>
      <c r="AJ716" s="63" t="s">
        <v>138</v>
      </c>
      <c r="AK716" s="83">
        <v>2.1</v>
      </c>
      <c r="AL716" s="63" t="s">
        <v>184</v>
      </c>
      <c r="AM716" s="63" t="s">
        <v>148</v>
      </c>
      <c r="AN716"/>
    </row>
    <row r="717" spans="1:40" ht="18" customHeight="1">
      <c r="A717" s="1" t="s">
        <v>2271</v>
      </c>
      <c r="B717" s="1" t="s">
        <v>2272</v>
      </c>
      <c r="C717" s="4">
        <v>46195</v>
      </c>
      <c r="D717" s="4">
        <v>46208</v>
      </c>
      <c r="E717" s="4">
        <v>46204</v>
      </c>
      <c r="F717" s="63" t="s">
        <v>80</v>
      </c>
      <c r="G717" s="63" t="s">
        <v>3839</v>
      </c>
      <c r="H717" s="63" t="s">
        <v>82</v>
      </c>
      <c r="I717" s="63" t="s">
        <v>120</v>
      </c>
      <c r="J717" s="63" t="s">
        <v>35</v>
      </c>
      <c r="K717" s="63" t="s">
        <v>2273</v>
      </c>
      <c r="L717" s="63" t="s">
        <v>85</v>
      </c>
      <c r="M717" s="69">
        <v>511.91</v>
      </c>
      <c r="N717" s="63" t="s">
        <v>86</v>
      </c>
      <c r="O717" s="73">
        <f>_xlfn.XLOOKUP(Supplier_Perf_Table[[#This Row],[Currency]],'Comments 2'!$C$4:$C$16,'Comments 2'!$D$4:$D$16)</f>
        <v>8.8999999999999996E-2</v>
      </c>
      <c r="P717" s="69">
        <f>IFERROR(Supplier_Perf_Table[[#This Row],[Unit_Cost]]*Supplier_Perf_Table[[#This Row],[Dollar Equivalent]],"")</f>
        <v>45.559989999999999</v>
      </c>
      <c r="Q717" s="75">
        <v>1000</v>
      </c>
      <c r="R717" s="1">
        <v>511910</v>
      </c>
      <c r="S717" s="75">
        <f>Supplier_Perf_Table[[#This Row],[Unit_Cost]]*Supplier_Perf_Table[[#This Row],[Order_Quantity]]</f>
        <v>511910</v>
      </c>
      <c r="T717" s="75">
        <f>IFERROR(Supplier_Perf_Table[[#This Row],[Dollar Equivalent]]*Supplier_Perf_Table[[#This Row],[Ordered_Value]],"")</f>
        <v>45559.99</v>
      </c>
      <c r="U717" s="75">
        <v>25</v>
      </c>
      <c r="V717" s="7">
        <v>2.5000000000000001E-2</v>
      </c>
      <c r="W717" s="75">
        <v>9</v>
      </c>
      <c r="X717" s="55">
        <f>IFERROR(Supplier_Perf_Table[[#This Row],[Actual_Delivery_Date]]-Supplier_Perf_Table[[#This Row],[Order Date]],"")</f>
        <v>9</v>
      </c>
      <c r="Y717" s="75">
        <v>13</v>
      </c>
      <c r="Z717" s="56">
        <f>IFERROR(Supplier_Perf_Table[[#This Row],[Expected Delivery_Date]]-Supplier_Perf_Table[[#This Row],[Order Date]],"")</f>
        <v>13</v>
      </c>
      <c r="AA717" s="56">
        <f>Supplier_Perf_Table[[#This Row],[Calculated_Lead_Time2]]-Supplier_Perf_Table[[#This Row],[Calculated_Expected_Lead_Time]]</f>
        <v>-4</v>
      </c>
      <c r="AB717" s="75">
        <v>-4</v>
      </c>
      <c r="AC717" s="63" t="s">
        <v>87</v>
      </c>
      <c r="AD717" s="63" t="s">
        <v>40</v>
      </c>
      <c r="AE717" s="63" t="s">
        <v>3088</v>
      </c>
      <c r="AF717" s="63" t="s">
        <v>212</v>
      </c>
      <c r="AG717" s="63" t="s">
        <v>173</v>
      </c>
      <c r="AH717" s="63" t="s">
        <v>174</v>
      </c>
      <c r="AI717" s="63" t="s">
        <v>147</v>
      </c>
      <c r="AJ717" s="63" t="s">
        <v>138</v>
      </c>
      <c r="AK717" s="83">
        <v>2.2999999999999998</v>
      </c>
      <c r="AL717" s="63" t="s">
        <v>45</v>
      </c>
      <c r="AM717" s="63" t="s">
        <v>130</v>
      </c>
      <c r="AN717"/>
    </row>
    <row r="718" spans="1:40" ht="18" customHeight="1">
      <c r="A718" s="1" t="s">
        <v>2274</v>
      </c>
      <c r="B718" s="1" t="s">
        <v>2275</v>
      </c>
      <c r="C718" s="4">
        <v>46125</v>
      </c>
      <c r="D718" s="4">
        <v>46138</v>
      </c>
      <c r="E718" s="4">
        <v>46139</v>
      </c>
      <c r="F718" s="63" t="s">
        <v>209</v>
      </c>
      <c r="G718" s="63" t="s">
        <v>3845</v>
      </c>
      <c r="H718" s="63" t="s">
        <v>316</v>
      </c>
      <c r="I718" s="63" t="s">
        <v>34</v>
      </c>
      <c r="J718" s="63" t="s">
        <v>153</v>
      </c>
      <c r="K718" s="63" t="s">
        <v>2276</v>
      </c>
      <c r="L718" s="63" t="s">
        <v>204</v>
      </c>
      <c r="M718" s="69">
        <v>338.51</v>
      </c>
      <c r="N718" s="63" t="s">
        <v>53</v>
      </c>
      <c r="O718" s="73">
        <f>_xlfn.XLOOKUP(Supplier_Perf_Table[[#This Row],[Currency]],'Comments 2'!$C$4:$C$16,'Comments 2'!$D$4:$D$16)</f>
        <v>6.0999999999999999E-2</v>
      </c>
      <c r="P718" s="69">
        <f>IFERROR(Supplier_Perf_Table[[#This Row],[Unit_Cost]]*Supplier_Perf_Table[[#This Row],[Dollar Equivalent]],"")</f>
        <v>20.64911</v>
      </c>
      <c r="Q718" s="75">
        <v>250</v>
      </c>
      <c r="R718" s="1">
        <v>84627.5</v>
      </c>
      <c r="S718" s="75">
        <f>Supplier_Perf_Table[[#This Row],[Unit_Cost]]*Supplier_Perf_Table[[#This Row],[Order_Quantity]]</f>
        <v>84627.5</v>
      </c>
      <c r="T718" s="75">
        <f>IFERROR(Supplier_Perf_Table[[#This Row],[Dollar Equivalent]]*Supplier_Perf_Table[[#This Row],[Ordered_Value]],"")</f>
        <v>5162.2775000000001</v>
      </c>
      <c r="U718" s="75">
        <v>8</v>
      </c>
      <c r="V718" s="7">
        <v>3.2000000000000001E-2</v>
      </c>
      <c r="W718" s="75">
        <v>14</v>
      </c>
      <c r="X718" s="55">
        <f>IFERROR(Supplier_Perf_Table[[#This Row],[Actual_Delivery_Date]]-Supplier_Perf_Table[[#This Row],[Order Date]],"")</f>
        <v>14</v>
      </c>
      <c r="Y718" s="75">
        <v>13</v>
      </c>
      <c r="Z718" s="56">
        <f>IFERROR(Supplier_Perf_Table[[#This Row],[Expected Delivery_Date]]-Supplier_Perf_Table[[#This Row],[Order Date]],"")</f>
        <v>13</v>
      </c>
      <c r="AA718" s="56">
        <f>Supplier_Perf_Table[[#This Row],[Calculated_Lead_Time2]]-Supplier_Perf_Table[[#This Row],[Calculated_Expected_Lead_Time]]</f>
        <v>1</v>
      </c>
      <c r="AB718" s="75">
        <v>1</v>
      </c>
      <c r="AC718" s="63" t="s">
        <v>135</v>
      </c>
      <c r="AD718" s="63" t="s">
        <v>40</v>
      </c>
      <c r="AE718" s="63" t="s">
        <v>105</v>
      </c>
      <c r="AF718" s="63" t="s">
        <v>106</v>
      </c>
      <c r="AG718" s="63" t="s">
        <v>173</v>
      </c>
      <c r="AH718" s="63" t="s">
        <v>206</v>
      </c>
      <c r="AI718" s="63" t="s">
        <v>137</v>
      </c>
      <c r="AJ718" s="63" t="s">
        <v>138</v>
      </c>
      <c r="AK718" s="83">
        <v>2.7</v>
      </c>
      <c r="AL718" s="63" t="s">
        <v>57</v>
      </c>
      <c r="AM718" s="63" t="s">
        <v>46</v>
      </c>
      <c r="AN718"/>
    </row>
    <row r="719" spans="1:40" ht="18" customHeight="1">
      <c r="A719" s="1" t="s">
        <v>2277</v>
      </c>
      <c r="B719" s="1" t="s">
        <v>2278</v>
      </c>
      <c r="C719" s="4">
        <v>46070</v>
      </c>
      <c r="D719" s="4">
        <v>46074</v>
      </c>
      <c r="E719" s="4">
        <v>46082</v>
      </c>
      <c r="F719" s="63" t="s">
        <v>151</v>
      </c>
      <c r="G719" s="63" t="s">
        <v>3844</v>
      </c>
      <c r="H719" s="63" t="s">
        <v>152</v>
      </c>
      <c r="I719" s="63" t="s">
        <v>49</v>
      </c>
      <c r="J719" s="63" t="s">
        <v>112</v>
      </c>
      <c r="K719" s="63" t="s">
        <v>2279</v>
      </c>
      <c r="L719" s="63" t="s">
        <v>229</v>
      </c>
      <c r="M719" s="69">
        <v>411.93</v>
      </c>
      <c r="N719" s="63" t="s">
        <v>38</v>
      </c>
      <c r="O719" s="73">
        <f>_xlfn.XLOOKUP(Supplier_Perf_Table[[#This Row],[Currency]],'Comments 2'!$C$4:$C$16,'Comments 2'!$D$4:$D$16)</f>
        <v>7.7000000000000002E-3</v>
      </c>
      <c r="P719" s="69">
        <f>IFERROR(Supplier_Perf_Table[[#This Row],[Unit_Cost]]*Supplier_Perf_Table[[#This Row],[Dollar Equivalent]],"")</f>
        <v>3.1718610000000003</v>
      </c>
      <c r="Q719" s="75">
        <v>1500</v>
      </c>
      <c r="R719" s="1">
        <v>617895</v>
      </c>
      <c r="S719" s="75">
        <f>Supplier_Perf_Table[[#This Row],[Unit_Cost]]*Supplier_Perf_Table[[#This Row],[Order_Quantity]]</f>
        <v>617895</v>
      </c>
      <c r="T719" s="75">
        <f>IFERROR(Supplier_Perf_Table[[#This Row],[Dollar Equivalent]]*Supplier_Perf_Table[[#This Row],[Ordered_Value]],"")</f>
        <v>4757.7915000000003</v>
      </c>
      <c r="U719" s="75">
        <v>22</v>
      </c>
      <c r="V719" s="7">
        <v>1.47E-2</v>
      </c>
      <c r="W719" s="75" t="s">
        <v>3080</v>
      </c>
      <c r="X719" s="55">
        <f>IFERROR(Supplier_Perf_Table[[#This Row],[Actual_Delivery_Date]]-Supplier_Perf_Table[[#This Row],[Order Date]],"")</f>
        <v>12</v>
      </c>
      <c r="Y719" s="75">
        <v>4</v>
      </c>
      <c r="Z719" s="56">
        <f>IFERROR(Supplier_Perf_Table[[#This Row],[Expected Delivery_Date]]-Supplier_Perf_Table[[#This Row],[Order Date]],"")</f>
        <v>4</v>
      </c>
      <c r="AA719" s="56">
        <f>Supplier_Perf_Table[[#This Row],[Calculated_Lead_Time2]]-Supplier_Perf_Table[[#This Row],[Calculated_Expected_Lead_Time]]</f>
        <v>8</v>
      </c>
      <c r="AB719" s="75">
        <v>8</v>
      </c>
      <c r="AC719" s="63" t="s">
        <v>39</v>
      </c>
      <c r="AD719" s="63" t="s">
        <v>40</v>
      </c>
      <c r="AE719" s="63" t="s">
        <v>105</v>
      </c>
      <c r="AF719" s="63" t="s">
        <v>3088</v>
      </c>
      <c r="AG719" s="63" t="s">
        <v>173</v>
      </c>
      <c r="AH719" s="63" t="s">
        <v>136</v>
      </c>
      <c r="AI719" s="63" t="s">
        <v>191</v>
      </c>
      <c r="AJ719" s="63" t="s">
        <v>138</v>
      </c>
      <c r="AK719" s="83">
        <v>1.9</v>
      </c>
      <c r="AL719" s="63" t="s">
        <v>76</v>
      </c>
      <c r="AM719" s="63" t="s">
        <v>46</v>
      </c>
      <c r="AN719"/>
    </row>
    <row r="720" spans="1:40" ht="18" customHeight="1">
      <c r="A720" s="1" t="s">
        <v>2280</v>
      </c>
      <c r="B720" s="1" t="s">
        <v>2281</v>
      </c>
      <c r="C720" s="4">
        <v>46045</v>
      </c>
      <c r="D720" s="4">
        <v>46063</v>
      </c>
      <c r="E720" s="4">
        <v>46067</v>
      </c>
      <c r="F720" s="63" t="s">
        <v>235</v>
      </c>
      <c r="G720" s="63" t="s">
        <v>3848</v>
      </c>
      <c r="H720" s="63" t="s">
        <v>479</v>
      </c>
      <c r="I720" s="63" t="s">
        <v>83</v>
      </c>
      <c r="J720" s="63" t="s">
        <v>71</v>
      </c>
      <c r="K720" s="63" t="s">
        <v>2282</v>
      </c>
      <c r="L720" s="63" t="s">
        <v>337</v>
      </c>
      <c r="M720" s="69">
        <v>617.99</v>
      </c>
      <c r="N720" s="63" t="s">
        <v>65</v>
      </c>
      <c r="O720" s="73">
        <f>_xlfn.XLOOKUP(Supplier_Perf_Table[[#This Row],[Currency]],'Comments 2'!$C$4:$C$16,'Comments 2'!$D$4:$D$16)</f>
        <v>1</v>
      </c>
      <c r="P720" s="69">
        <f>IFERROR(Supplier_Perf_Table[[#This Row],[Unit_Cost]]*Supplier_Perf_Table[[#This Row],[Dollar Equivalent]],"")</f>
        <v>617.99</v>
      </c>
      <c r="Q720" s="75">
        <v>75</v>
      </c>
      <c r="R720" s="1">
        <v>46349.25</v>
      </c>
      <c r="S720" s="75">
        <f>Supplier_Perf_Table[[#This Row],[Unit_Cost]]*Supplier_Perf_Table[[#This Row],[Order_Quantity]]</f>
        <v>46349.25</v>
      </c>
      <c r="T720" s="75">
        <f>IFERROR(Supplier_Perf_Table[[#This Row],[Dollar Equivalent]]*Supplier_Perf_Table[[#This Row],[Ordered_Value]],"")</f>
        <v>46349.25</v>
      </c>
      <c r="U720" s="75">
        <v>0</v>
      </c>
      <c r="V720" s="7">
        <v>0</v>
      </c>
      <c r="W720" s="75">
        <v>22</v>
      </c>
      <c r="X720" s="55">
        <f>IFERROR(Supplier_Perf_Table[[#This Row],[Actual_Delivery_Date]]-Supplier_Perf_Table[[#This Row],[Order Date]],"")</f>
        <v>22</v>
      </c>
      <c r="Y720" s="75">
        <v>18</v>
      </c>
      <c r="Z720" s="56">
        <f>IFERROR(Supplier_Perf_Table[[#This Row],[Expected Delivery_Date]]-Supplier_Perf_Table[[#This Row],[Order Date]],"")</f>
        <v>18</v>
      </c>
      <c r="AA720" s="56">
        <f>Supplier_Perf_Table[[#This Row],[Calculated_Lead_Time2]]-Supplier_Perf_Table[[#This Row],[Calculated_Expected_Lead_Time]]</f>
        <v>4</v>
      </c>
      <c r="AB720" s="75">
        <v>4</v>
      </c>
      <c r="AC720" s="63" t="s">
        <v>205</v>
      </c>
      <c r="AD720" s="63" t="s">
        <v>649</v>
      </c>
      <c r="AE720" s="63" t="s">
        <v>41</v>
      </c>
      <c r="AF720" s="63" t="s">
        <v>66</v>
      </c>
      <c r="AG720" s="63" t="s">
        <v>173</v>
      </c>
      <c r="AH720" s="63" t="s">
        <v>3112</v>
      </c>
      <c r="AI720" s="63" t="s">
        <v>138</v>
      </c>
      <c r="AJ720" s="63" t="s">
        <v>138</v>
      </c>
      <c r="AK720" s="83">
        <v>2.5</v>
      </c>
      <c r="AL720" s="63" t="s">
        <v>76</v>
      </c>
      <c r="AM720" s="63" t="s">
        <v>46</v>
      </c>
      <c r="AN720"/>
    </row>
    <row r="721" spans="1:40" ht="18" customHeight="1">
      <c r="A721" s="1" t="s">
        <v>2283</v>
      </c>
      <c r="B721" s="1" t="s">
        <v>2284</v>
      </c>
      <c r="C721" s="4">
        <v>46057</v>
      </c>
      <c r="D721" s="4">
        <v>46075</v>
      </c>
      <c r="E721" s="4">
        <v>46078</v>
      </c>
      <c r="F721" s="63" t="s">
        <v>256</v>
      </c>
      <c r="G721" s="63" t="s">
        <v>3849</v>
      </c>
      <c r="H721" s="63" t="s">
        <v>258</v>
      </c>
      <c r="I721" s="63" t="s">
        <v>92</v>
      </c>
      <c r="J721" s="63" t="s">
        <v>153</v>
      </c>
      <c r="K721" s="63" t="s">
        <v>2285</v>
      </c>
      <c r="L721" s="63" t="s">
        <v>204</v>
      </c>
      <c r="M721" s="69">
        <v>413.1</v>
      </c>
      <c r="N721" s="63" t="s">
        <v>86</v>
      </c>
      <c r="O721" s="73">
        <f>_xlfn.XLOOKUP(Supplier_Perf_Table[[#This Row],[Currency]],'Comments 2'!$C$4:$C$16,'Comments 2'!$D$4:$D$16)</f>
        <v>8.8999999999999996E-2</v>
      </c>
      <c r="P721" s="69">
        <f>IFERROR(Supplier_Perf_Table[[#This Row],[Unit_Cost]]*Supplier_Perf_Table[[#This Row],[Dollar Equivalent]],"")</f>
        <v>36.765900000000002</v>
      </c>
      <c r="Q721" s="75">
        <v>150</v>
      </c>
      <c r="R721" s="1">
        <v>61965</v>
      </c>
      <c r="S721" s="75">
        <f>Supplier_Perf_Table[[#This Row],[Unit_Cost]]*Supplier_Perf_Table[[#This Row],[Order_Quantity]]</f>
        <v>61965</v>
      </c>
      <c r="T721" s="75">
        <f>IFERROR(Supplier_Perf_Table[[#This Row],[Dollar Equivalent]]*Supplier_Perf_Table[[#This Row],[Ordered_Value]],"")</f>
        <v>5514.8849999999993</v>
      </c>
      <c r="U721" s="75">
        <v>9</v>
      </c>
      <c r="V721" s="7">
        <v>0.06</v>
      </c>
      <c r="W721" s="75">
        <v>21</v>
      </c>
      <c r="X721" s="55">
        <f>IFERROR(Supplier_Perf_Table[[#This Row],[Actual_Delivery_Date]]-Supplier_Perf_Table[[#This Row],[Order Date]],"")</f>
        <v>21</v>
      </c>
      <c r="Y721" s="75">
        <v>18</v>
      </c>
      <c r="Z721" s="56">
        <f>IFERROR(Supplier_Perf_Table[[#This Row],[Expected Delivery_Date]]-Supplier_Perf_Table[[#This Row],[Order Date]],"")</f>
        <v>18</v>
      </c>
      <c r="AA721" s="56">
        <f>Supplier_Perf_Table[[#This Row],[Calculated_Lead_Time2]]-Supplier_Perf_Table[[#This Row],[Calculated_Expected_Lead_Time]]</f>
        <v>3</v>
      </c>
      <c r="AB721" s="75">
        <v>3</v>
      </c>
      <c r="AC721" s="63" t="s">
        <v>135</v>
      </c>
      <c r="AD721" s="63" t="s">
        <v>366</v>
      </c>
      <c r="AE721" s="63" t="s">
        <v>146</v>
      </c>
      <c r="AF721" s="63" t="s">
        <v>190</v>
      </c>
      <c r="AG721" s="63" t="s">
        <v>3088</v>
      </c>
      <c r="AH721" s="63" t="s">
        <v>206</v>
      </c>
      <c r="AI721" s="63" t="s">
        <v>137</v>
      </c>
      <c r="AJ721" s="63" t="s">
        <v>373</v>
      </c>
      <c r="AK721" s="83">
        <v>2.1</v>
      </c>
      <c r="AL721" s="63" t="s">
        <v>184</v>
      </c>
      <c r="AM721" s="63" t="s">
        <v>185</v>
      </c>
      <c r="AN721"/>
    </row>
    <row r="722" spans="1:40" ht="18" customHeight="1">
      <c r="A722" s="1" t="s">
        <v>2286</v>
      </c>
      <c r="B722" s="1" t="s">
        <v>2287</v>
      </c>
      <c r="C722" s="4">
        <v>46060</v>
      </c>
      <c r="D722" s="4">
        <v>46069</v>
      </c>
      <c r="E722" s="4">
        <v>46068</v>
      </c>
      <c r="F722" s="63" t="s">
        <v>100</v>
      </c>
      <c r="G722" s="63" t="s">
        <v>3841</v>
      </c>
      <c r="H722" s="63" t="s">
        <v>102</v>
      </c>
      <c r="I722" s="63" t="s">
        <v>92</v>
      </c>
      <c r="J722" s="63" t="s">
        <v>153</v>
      </c>
      <c r="K722" s="63" t="s">
        <v>2288</v>
      </c>
      <c r="L722" s="63" t="s">
        <v>295</v>
      </c>
      <c r="M722" s="69">
        <v>631.92999999999995</v>
      </c>
      <c r="N722" s="63" t="s">
        <v>53</v>
      </c>
      <c r="O722" s="73">
        <f>_xlfn.XLOOKUP(Supplier_Perf_Table[[#This Row],[Currency]],'Comments 2'!$C$4:$C$16,'Comments 2'!$D$4:$D$16)</f>
        <v>6.0999999999999999E-2</v>
      </c>
      <c r="P722" s="69">
        <f>IFERROR(Supplier_Perf_Table[[#This Row],[Unit_Cost]]*Supplier_Perf_Table[[#This Row],[Dollar Equivalent]],"")</f>
        <v>38.547729999999994</v>
      </c>
      <c r="Q722" s="75">
        <v>200</v>
      </c>
      <c r="R722" s="1">
        <v>126386</v>
      </c>
      <c r="S722" s="75">
        <f>Supplier_Perf_Table[[#This Row],[Unit_Cost]]*Supplier_Perf_Table[[#This Row],[Order_Quantity]]</f>
        <v>126385.99999999999</v>
      </c>
      <c r="T722" s="75">
        <f>IFERROR(Supplier_Perf_Table[[#This Row],[Dollar Equivalent]]*Supplier_Perf_Table[[#This Row],[Ordered_Value]],"")</f>
        <v>7709.5460000000003</v>
      </c>
      <c r="U722" s="75">
        <v>1</v>
      </c>
      <c r="V722" s="7">
        <v>5.0000000000000001E-3</v>
      </c>
      <c r="W722" s="75">
        <v>8</v>
      </c>
      <c r="X722" s="55">
        <f>IFERROR(Supplier_Perf_Table[[#This Row],[Actual_Delivery_Date]]-Supplier_Perf_Table[[#This Row],[Order Date]],"")</f>
        <v>8</v>
      </c>
      <c r="Y722" s="75">
        <v>9</v>
      </c>
      <c r="Z722" s="56">
        <f>IFERROR(Supplier_Perf_Table[[#This Row],[Expected Delivery_Date]]-Supplier_Perf_Table[[#This Row],[Order Date]],"")</f>
        <v>9</v>
      </c>
      <c r="AA722" s="56">
        <f>Supplier_Perf_Table[[#This Row],[Calculated_Lead_Time2]]-Supplier_Perf_Table[[#This Row],[Calculated_Expected_Lead_Time]]</f>
        <v>-1</v>
      </c>
      <c r="AB722" s="75">
        <v>-1</v>
      </c>
      <c r="AC722" s="63" t="s">
        <v>87</v>
      </c>
      <c r="AD722" s="63" t="s">
        <v>40</v>
      </c>
      <c r="AE722" s="63" t="s">
        <v>105</v>
      </c>
      <c r="AF722" s="63" t="s">
        <v>212</v>
      </c>
      <c r="AG722" s="63" t="s">
        <v>3088</v>
      </c>
      <c r="AH722" s="63" t="s">
        <v>206</v>
      </c>
      <c r="AI722" s="63" t="s">
        <v>95</v>
      </c>
      <c r="AJ722" s="63" t="s">
        <v>138</v>
      </c>
      <c r="AK722" s="83">
        <v>4.3</v>
      </c>
      <c r="AL722" s="63" t="s">
        <v>115</v>
      </c>
      <c r="AM722" s="63" t="s">
        <v>138</v>
      </c>
      <c r="AN722"/>
    </row>
    <row r="723" spans="1:40" ht="18" customHeight="1">
      <c r="A723" s="63" t="s">
        <v>2012</v>
      </c>
      <c r="B723" s="63" t="s">
        <v>2289</v>
      </c>
      <c r="C723" s="4">
        <v>46088</v>
      </c>
      <c r="D723" s="4">
        <v>46100</v>
      </c>
      <c r="E723" s="4">
        <v>46111</v>
      </c>
      <c r="F723" s="63" t="s">
        <v>256</v>
      </c>
      <c r="G723" s="63" t="s">
        <v>3849</v>
      </c>
      <c r="H723" s="63" t="s">
        <v>258</v>
      </c>
      <c r="I723" s="63" t="s">
        <v>120</v>
      </c>
      <c r="J723" s="63" t="s">
        <v>50</v>
      </c>
      <c r="K723" s="63" t="s">
        <v>2290</v>
      </c>
      <c r="L723" s="63" t="s">
        <v>52</v>
      </c>
      <c r="M723" s="69">
        <v>549.89</v>
      </c>
      <c r="N723" s="63" t="s">
        <v>104</v>
      </c>
      <c r="O723" s="73">
        <f>_xlfn.XLOOKUP(Supplier_Perf_Table[[#This Row],[Currency]],'Comments 2'!$C$4:$C$16,'Comments 2'!$D$4:$D$16)</f>
        <v>1.9E-2</v>
      </c>
      <c r="P723" s="69">
        <f>IFERROR(Supplier_Perf_Table[[#This Row],[Unit_Cost]]*Supplier_Perf_Table[[#This Row],[Dollar Equivalent]],"")</f>
        <v>10.44791</v>
      </c>
      <c r="Q723" s="75">
        <v>500</v>
      </c>
      <c r="R723" s="1">
        <v>274945</v>
      </c>
      <c r="S723" s="75">
        <f>Supplier_Perf_Table[[#This Row],[Unit_Cost]]*Supplier_Perf_Table[[#This Row],[Order_Quantity]]</f>
        <v>274945</v>
      </c>
      <c r="T723" s="75">
        <f>IFERROR(Supplier_Perf_Table[[#This Row],[Dollar Equivalent]]*Supplier_Perf_Table[[#This Row],[Ordered_Value]],"")</f>
        <v>5223.9549999999999</v>
      </c>
      <c r="U723" s="75">
        <v>25</v>
      </c>
      <c r="V723" s="7">
        <v>0.05</v>
      </c>
      <c r="W723" s="75">
        <v>23</v>
      </c>
      <c r="X723" s="55">
        <f>IFERROR(Supplier_Perf_Table[[#This Row],[Actual_Delivery_Date]]-Supplier_Perf_Table[[#This Row],[Order Date]],"")</f>
        <v>23</v>
      </c>
      <c r="Y723" s="75">
        <v>12</v>
      </c>
      <c r="Z723" s="56">
        <f>IFERROR(Supplier_Perf_Table[[#This Row],[Expected Delivery_Date]]-Supplier_Perf_Table[[#This Row],[Order Date]],"")</f>
        <v>12</v>
      </c>
      <c r="AA723" s="56">
        <f>Supplier_Perf_Table[[#This Row],[Calculated_Lead_Time2]]-Supplier_Perf_Table[[#This Row],[Calculated_Expected_Lead_Time]]</f>
        <v>11</v>
      </c>
      <c r="AB723" s="75">
        <v>11</v>
      </c>
      <c r="AC723" s="63" t="s">
        <v>205</v>
      </c>
      <c r="AD723" s="63" t="s">
        <v>74</v>
      </c>
      <c r="AE723" s="63" t="s">
        <v>127</v>
      </c>
      <c r="AF723" s="63" t="s">
        <v>106</v>
      </c>
      <c r="AG723" s="63" t="s">
        <v>173</v>
      </c>
      <c r="AH723" s="63" t="s">
        <v>3112</v>
      </c>
      <c r="AI723" s="63" t="s">
        <v>137</v>
      </c>
      <c r="AJ723" s="63" t="s">
        <v>373</v>
      </c>
      <c r="AK723" s="83">
        <v>1</v>
      </c>
      <c r="AL723" s="63" t="s">
        <v>108</v>
      </c>
      <c r="AM723" s="63" t="s">
        <v>185</v>
      </c>
      <c r="AN723"/>
    </row>
    <row r="724" spans="1:40" ht="18" customHeight="1">
      <c r="A724" s="1" t="s">
        <v>2291</v>
      </c>
      <c r="B724" s="1" t="s">
        <v>2292</v>
      </c>
      <c r="C724" s="4">
        <v>46100</v>
      </c>
      <c r="D724" s="4">
        <v>46116</v>
      </c>
      <c r="E724" s="4">
        <v>46120</v>
      </c>
      <c r="F724" s="63" t="s">
        <v>235</v>
      </c>
      <c r="G724" s="63" t="s">
        <v>3848</v>
      </c>
      <c r="H724" s="63" t="s">
        <v>102</v>
      </c>
      <c r="I724" s="63" t="s">
        <v>70</v>
      </c>
      <c r="J724" s="63" t="s">
        <v>71</v>
      </c>
      <c r="K724" s="63" t="s">
        <v>2293</v>
      </c>
      <c r="L724" s="63" t="s">
        <v>73</v>
      </c>
      <c r="M724" s="69">
        <v>517.71</v>
      </c>
      <c r="N724" s="63" t="s">
        <v>38</v>
      </c>
      <c r="O724" s="73">
        <f>_xlfn.XLOOKUP(Supplier_Perf_Table[[#This Row],[Currency]],'Comments 2'!$C$4:$C$16,'Comments 2'!$D$4:$D$16)</f>
        <v>7.7000000000000002E-3</v>
      </c>
      <c r="P724" s="69">
        <f>IFERROR(Supplier_Perf_Table[[#This Row],[Unit_Cost]]*Supplier_Perf_Table[[#This Row],[Dollar Equivalent]],"")</f>
        <v>3.9863670000000004</v>
      </c>
      <c r="Q724" s="75">
        <v>1500</v>
      </c>
      <c r="R724" s="1">
        <v>776565</v>
      </c>
      <c r="S724" s="75">
        <f>Supplier_Perf_Table[[#This Row],[Unit_Cost]]*Supplier_Perf_Table[[#This Row],[Order_Quantity]]</f>
        <v>776565</v>
      </c>
      <c r="T724" s="75">
        <f>IFERROR(Supplier_Perf_Table[[#This Row],[Dollar Equivalent]]*Supplier_Perf_Table[[#This Row],[Ordered_Value]],"")</f>
        <v>5979.5505000000003</v>
      </c>
      <c r="U724" s="75">
        <v>90</v>
      </c>
      <c r="V724" s="7">
        <v>0.06</v>
      </c>
      <c r="W724" s="75">
        <v>20</v>
      </c>
      <c r="X724" s="55">
        <f>IFERROR(Supplier_Perf_Table[[#This Row],[Actual_Delivery_Date]]-Supplier_Perf_Table[[#This Row],[Order Date]],"")</f>
        <v>20</v>
      </c>
      <c r="Y724" s="75">
        <v>16</v>
      </c>
      <c r="Z724" s="56">
        <f>IFERROR(Supplier_Perf_Table[[#This Row],[Expected Delivery_Date]]-Supplier_Perf_Table[[#This Row],[Order Date]],"")</f>
        <v>16</v>
      </c>
      <c r="AA724" s="56">
        <f>Supplier_Perf_Table[[#This Row],[Calculated_Lead_Time2]]-Supplier_Perf_Table[[#This Row],[Calculated_Expected_Lead_Time]]</f>
        <v>4</v>
      </c>
      <c r="AB724" s="75">
        <v>4</v>
      </c>
      <c r="AC724" s="63" t="s">
        <v>135</v>
      </c>
      <c r="AD724" s="63" t="s">
        <v>366</v>
      </c>
      <c r="AE724" s="63" t="s">
        <v>127</v>
      </c>
      <c r="AF724" s="63" t="s">
        <v>106</v>
      </c>
      <c r="AG724" s="63" t="s">
        <v>54</v>
      </c>
      <c r="AH724" s="63" t="s">
        <v>55</v>
      </c>
      <c r="AI724" s="63" t="s">
        <v>44</v>
      </c>
      <c r="AJ724" s="63" t="s">
        <v>75</v>
      </c>
      <c r="AK724" s="83">
        <v>2</v>
      </c>
      <c r="AL724" s="63" t="s">
        <v>184</v>
      </c>
      <c r="AM724" s="63" t="s">
        <v>185</v>
      </c>
      <c r="AN724"/>
    </row>
    <row r="725" spans="1:40" ht="18" customHeight="1">
      <c r="A725" s="1" t="s">
        <v>2294</v>
      </c>
      <c r="B725" s="1" t="s">
        <v>2295</v>
      </c>
      <c r="C725" s="4">
        <v>46148</v>
      </c>
      <c r="D725" s="4">
        <v>46157</v>
      </c>
      <c r="E725" s="4">
        <v>46159</v>
      </c>
      <c r="F725" s="63" t="s">
        <v>151</v>
      </c>
      <c r="G725" s="63" t="s">
        <v>3844</v>
      </c>
      <c r="H725" s="63" t="s">
        <v>152</v>
      </c>
      <c r="I725" s="63" t="s">
        <v>61</v>
      </c>
      <c r="J725" s="63" t="s">
        <v>112</v>
      </c>
      <c r="K725" s="63" t="s">
        <v>2296</v>
      </c>
      <c r="L725" s="63" t="s">
        <v>246</v>
      </c>
      <c r="M725" s="69">
        <v>821.5</v>
      </c>
      <c r="N725" s="63" t="s">
        <v>38</v>
      </c>
      <c r="O725" s="73">
        <f>_xlfn.XLOOKUP(Supplier_Perf_Table[[#This Row],[Currency]],'Comments 2'!$C$4:$C$16,'Comments 2'!$D$4:$D$16)</f>
        <v>7.7000000000000002E-3</v>
      </c>
      <c r="P725" s="69">
        <f>IFERROR(Supplier_Perf_Table[[#This Row],[Unit_Cost]]*Supplier_Perf_Table[[#This Row],[Dollar Equivalent]],"")</f>
        <v>6.3255499999999998</v>
      </c>
      <c r="Q725" s="75">
        <v>75</v>
      </c>
      <c r="R725" s="1">
        <v>61612.5</v>
      </c>
      <c r="S725" s="75">
        <f>Supplier_Perf_Table[[#This Row],[Unit_Cost]]*Supplier_Perf_Table[[#This Row],[Order_Quantity]]</f>
        <v>61612.5</v>
      </c>
      <c r="T725" s="75">
        <f>IFERROR(Supplier_Perf_Table[[#This Row],[Dollar Equivalent]]*Supplier_Perf_Table[[#This Row],[Ordered_Value]],"")</f>
        <v>474.41624999999999</v>
      </c>
      <c r="U725" s="75">
        <v>1</v>
      </c>
      <c r="V725" s="7">
        <v>1.3299999999999999E-2</v>
      </c>
      <c r="W725" s="75">
        <v>11</v>
      </c>
      <c r="X725" s="55">
        <f>IFERROR(Supplier_Perf_Table[[#This Row],[Actual_Delivery_Date]]-Supplier_Perf_Table[[#This Row],[Order Date]],"")</f>
        <v>11</v>
      </c>
      <c r="Y725" s="75">
        <v>9</v>
      </c>
      <c r="Z725" s="56">
        <f>IFERROR(Supplier_Perf_Table[[#This Row],[Expected Delivery_Date]]-Supplier_Perf_Table[[#This Row],[Order Date]],"")</f>
        <v>9</v>
      </c>
      <c r="AA725" s="56">
        <f>Supplier_Perf_Table[[#This Row],[Calculated_Lead_Time2]]-Supplier_Perf_Table[[#This Row],[Calculated_Expected_Lead_Time]]</f>
        <v>2</v>
      </c>
      <c r="AB725" s="75">
        <v>2</v>
      </c>
      <c r="AC725" s="63" t="s">
        <v>135</v>
      </c>
      <c r="AD725" s="63" t="s">
        <v>40</v>
      </c>
      <c r="AE725" s="63" t="s">
        <v>105</v>
      </c>
      <c r="AF725" s="63" t="s">
        <v>190</v>
      </c>
      <c r="AG725" s="63" t="s">
        <v>107</v>
      </c>
      <c r="AH725" s="63" t="s">
        <v>55</v>
      </c>
      <c r="AI725" s="63" t="s">
        <v>147</v>
      </c>
      <c r="AJ725" s="63" t="s">
        <v>138</v>
      </c>
      <c r="AK725" s="83">
        <v>4.9000000000000004</v>
      </c>
      <c r="AL725" s="63" t="s">
        <v>184</v>
      </c>
      <c r="AM725" s="63" t="s">
        <v>46</v>
      </c>
      <c r="AN725"/>
    </row>
    <row r="726" spans="1:40" ht="18" customHeight="1">
      <c r="A726" s="1" t="s">
        <v>2297</v>
      </c>
      <c r="B726" s="1" t="s">
        <v>2298</v>
      </c>
      <c r="C726" s="4">
        <v>46159</v>
      </c>
      <c r="D726" s="4">
        <v>46166</v>
      </c>
      <c r="E726" s="4">
        <v>46163</v>
      </c>
      <c r="F726" s="63" t="s">
        <v>69</v>
      </c>
      <c r="G726" s="63" t="s">
        <v>3838</v>
      </c>
      <c r="H726" s="63" t="s">
        <v>194</v>
      </c>
      <c r="I726" s="63" t="s">
        <v>34</v>
      </c>
      <c r="J726" s="63" t="s">
        <v>112</v>
      </c>
      <c r="K726" s="63" t="s">
        <v>2299</v>
      </c>
      <c r="L726" s="63" t="s">
        <v>218</v>
      </c>
      <c r="M726" s="69">
        <v>164.7</v>
      </c>
      <c r="N726" s="63" t="s">
        <v>3078</v>
      </c>
      <c r="O726" s="73">
        <f>_xlfn.XLOOKUP(Supplier_Perf_Table[[#This Row],[Currency]],'Comments 2'!$C$4:$C$16,'Comments 2'!$D$4:$D$16)</f>
        <v>2.7E-4</v>
      </c>
      <c r="P726" s="69">
        <f>IFERROR(Supplier_Perf_Table[[#This Row],[Unit_Cost]]*Supplier_Perf_Table[[#This Row],[Dollar Equivalent]],"")</f>
        <v>4.4468999999999995E-2</v>
      </c>
      <c r="Q726" s="75">
        <v>200</v>
      </c>
      <c r="R726" s="1">
        <v>32940</v>
      </c>
      <c r="S726" s="75">
        <f>Supplier_Perf_Table[[#This Row],[Unit_Cost]]*Supplier_Perf_Table[[#This Row],[Order_Quantity]]</f>
        <v>32940</v>
      </c>
      <c r="T726" s="75">
        <f>IFERROR(Supplier_Perf_Table[[#This Row],[Dollar Equivalent]]*Supplier_Perf_Table[[#This Row],[Ordered_Value]],"")</f>
        <v>8.8938000000000006</v>
      </c>
      <c r="U726" s="75">
        <v>11</v>
      </c>
      <c r="V726" s="7">
        <v>5.5E-2</v>
      </c>
      <c r="W726" s="75">
        <v>4</v>
      </c>
      <c r="X726" s="55">
        <f>IFERROR(Supplier_Perf_Table[[#This Row],[Actual_Delivery_Date]]-Supplier_Perf_Table[[#This Row],[Order Date]],"")</f>
        <v>4</v>
      </c>
      <c r="Y726" s="75">
        <v>7</v>
      </c>
      <c r="Z726" s="56">
        <f>IFERROR(Supplier_Perf_Table[[#This Row],[Expected Delivery_Date]]-Supplier_Perf_Table[[#This Row],[Order Date]],"")</f>
        <v>7</v>
      </c>
      <c r="AA726" s="56">
        <f>Supplier_Perf_Table[[#This Row],[Calculated_Lead_Time2]]-Supplier_Perf_Table[[#This Row],[Calculated_Expected_Lead_Time]]</f>
        <v>-3</v>
      </c>
      <c r="AB726" s="75">
        <v>-3</v>
      </c>
      <c r="AC726" s="63" t="s">
        <v>87</v>
      </c>
      <c r="AD726" s="63" t="s">
        <v>420</v>
      </c>
      <c r="AE726" s="63" t="s">
        <v>41</v>
      </c>
      <c r="AF726" s="63" t="s">
        <v>3088</v>
      </c>
      <c r="AG726" s="63" t="s">
        <v>54</v>
      </c>
      <c r="AH726" s="63" t="s">
        <v>129</v>
      </c>
      <c r="AI726" s="63" t="s">
        <v>95</v>
      </c>
      <c r="AJ726" s="63" t="s">
        <v>183</v>
      </c>
      <c r="AK726" s="83">
        <v>2.7</v>
      </c>
      <c r="AL726" s="63" t="s">
        <v>115</v>
      </c>
      <c r="AM726" s="63" t="s">
        <v>97</v>
      </c>
      <c r="AN726"/>
    </row>
    <row r="727" spans="1:40" ht="18" customHeight="1">
      <c r="A727" s="1" t="s">
        <v>2300</v>
      </c>
      <c r="B727" s="1" t="s">
        <v>2301</v>
      </c>
      <c r="C727" s="4">
        <v>46032</v>
      </c>
      <c r="D727" s="4">
        <v>46039</v>
      </c>
      <c r="E727" s="4">
        <v>46042</v>
      </c>
      <c r="F727" s="63" t="s">
        <v>162</v>
      </c>
      <c r="G727" s="63" t="s">
        <v>3847</v>
      </c>
      <c r="H727" s="63" t="s">
        <v>152</v>
      </c>
      <c r="I727" s="63" t="s">
        <v>61</v>
      </c>
      <c r="J727" s="63" t="s">
        <v>163</v>
      </c>
      <c r="K727" s="63" t="s">
        <v>2302</v>
      </c>
      <c r="L727" s="63" t="s">
        <v>171</v>
      </c>
      <c r="M727" s="69">
        <v>984.83</v>
      </c>
      <c r="N727" s="63" t="s">
        <v>86</v>
      </c>
      <c r="O727" s="73">
        <f>_xlfn.XLOOKUP(Supplier_Perf_Table[[#This Row],[Currency]],'Comments 2'!$C$4:$C$16,'Comments 2'!$D$4:$D$16)</f>
        <v>8.8999999999999996E-2</v>
      </c>
      <c r="P727" s="69">
        <f>IFERROR(Supplier_Perf_Table[[#This Row],[Unit_Cost]]*Supplier_Perf_Table[[#This Row],[Dollar Equivalent]],"")</f>
        <v>87.649869999999993</v>
      </c>
      <c r="Q727" s="75">
        <v>50</v>
      </c>
      <c r="R727" s="1">
        <v>49241.5</v>
      </c>
      <c r="S727" s="75">
        <f>Supplier_Perf_Table[[#This Row],[Unit_Cost]]*Supplier_Perf_Table[[#This Row],[Order_Quantity]]</f>
        <v>49241.5</v>
      </c>
      <c r="T727" s="75">
        <f>IFERROR(Supplier_Perf_Table[[#This Row],[Dollar Equivalent]]*Supplier_Perf_Table[[#This Row],[Ordered_Value]],"")</f>
        <v>4382.4934999999996</v>
      </c>
      <c r="U727" s="75">
        <v>0</v>
      </c>
      <c r="V727" s="7">
        <v>0</v>
      </c>
      <c r="W727" s="75">
        <v>10</v>
      </c>
      <c r="X727" s="55">
        <f>IFERROR(Supplier_Perf_Table[[#This Row],[Actual_Delivery_Date]]-Supplier_Perf_Table[[#This Row],[Order Date]],"")</f>
        <v>10</v>
      </c>
      <c r="Y727" s="75">
        <v>7</v>
      </c>
      <c r="Z727" s="56">
        <f>IFERROR(Supplier_Perf_Table[[#This Row],[Expected Delivery_Date]]-Supplier_Perf_Table[[#This Row],[Order Date]],"")</f>
        <v>7</v>
      </c>
      <c r="AA727" s="56">
        <f>Supplier_Perf_Table[[#This Row],[Calculated_Lead_Time2]]-Supplier_Perf_Table[[#This Row],[Calculated_Expected_Lead_Time]]</f>
        <v>3</v>
      </c>
      <c r="AB727" s="75">
        <v>3</v>
      </c>
      <c r="AC727" s="63" t="s">
        <v>166</v>
      </c>
      <c r="AD727" s="63" t="s">
        <v>40</v>
      </c>
      <c r="AE727" s="63" t="s">
        <v>3088</v>
      </c>
      <c r="AF727" s="63" t="s">
        <v>190</v>
      </c>
      <c r="AG727" s="63" t="s">
        <v>128</v>
      </c>
      <c r="AH727" s="63" t="s">
        <v>88</v>
      </c>
      <c r="AI727" s="63" t="s">
        <v>95</v>
      </c>
      <c r="AJ727" s="63" t="s">
        <v>138</v>
      </c>
      <c r="AK727" s="83">
        <v>3</v>
      </c>
      <c r="AL727" s="63" t="s">
        <v>76</v>
      </c>
      <c r="AM727" s="63" t="s">
        <v>148</v>
      </c>
      <c r="AN727"/>
    </row>
    <row r="728" spans="1:40" ht="18" customHeight="1">
      <c r="A728" s="1" t="s">
        <v>2303</v>
      </c>
      <c r="B728" s="1" t="s">
        <v>2304</v>
      </c>
      <c r="C728" s="4">
        <v>46145</v>
      </c>
      <c r="D728" s="4">
        <v>46152</v>
      </c>
      <c r="E728" s="4">
        <v>46155</v>
      </c>
      <c r="F728" s="63" t="s">
        <v>60</v>
      </c>
      <c r="G728" s="63" t="s">
        <v>3837</v>
      </c>
      <c r="H728" s="63" t="s">
        <v>152</v>
      </c>
      <c r="I728" s="63" t="s">
        <v>34</v>
      </c>
      <c r="J728" s="63" t="s">
        <v>62</v>
      </c>
      <c r="K728" s="63" t="s">
        <v>2305</v>
      </c>
      <c r="L728" s="63" t="s">
        <v>94</v>
      </c>
      <c r="M728" s="69">
        <v>35.99</v>
      </c>
      <c r="N728" s="63" t="s">
        <v>38</v>
      </c>
      <c r="O728" s="73">
        <f>_xlfn.XLOOKUP(Supplier_Perf_Table[[#This Row],[Currency]],'Comments 2'!$C$4:$C$16,'Comments 2'!$D$4:$D$16)</f>
        <v>7.7000000000000002E-3</v>
      </c>
      <c r="P728" s="69">
        <f>IFERROR(Supplier_Perf_Table[[#This Row],[Unit_Cost]]*Supplier_Perf_Table[[#This Row],[Dollar Equivalent]],"")</f>
        <v>0.27712300000000001</v>
      </c>
      <c r="Q728" s="75">
        <v>1000</v>
      </c>
      <c r="R728" s="1">
        <v>35990</v>
      </c>
      <c r="S728" s="75">
        <f>Supplier_Perf_Table[[#This Row],[Unit_Cost]]*Supplier_Perf_Table[[#This Row],[Order_Quantity]]</f>
        <v>35990</v>
      </c>
      <c r="T728" s="75">
        <f>IFERROR(Supplier_Perf_Table[[#This Row],[Dollar Equivalent]]*Supplier_Perf_Table[[#This Row],[Ordered_Value]],"")</f>
        <v>277.12299999999999</v>
      </c>
      <c r="U728" s="75">
        <v>0</v>
      </c>
      <c r="V728" s="7">
        <v>0</v>
      </c>
      <c r="W728" s="75">
        <v>10</v>
      </c>
      <c r="X728" s="55">
        <f>IFERROR(Supplier_Perf_Table[[#This Row],[Actual_Delivery_Date]]-Supplier_Perf_Table[[#This Row],[Order Date]],"")</f>
        <v>10</v>
      </c>
      <c r="Y728" s="75">
        <v>7</v>
      </c>
      <c r="Z728" s="56">
        <f>IFERROR(Supplier_Perf_Table[[#This Row],[Expected Delivery_Date]]-Supplier_Perf_Table[[#This Row],[Order Date]],"")</f>
        <v>7</v>
      </c>
      <c r="AA728" s="56">
        <f>Supplier_Perf_Table[[#This Row],[Calculated_Lead_Time2]]-Supplier_Perf_Table[[#This Row],[Calculated_Expected_Lead_Time]]</f>
        <v>3</v>
      </c>
      <c r="AB728" s="75">
        <v>3</v>
      </c>
      <c r="AC728" s="63" t="s">
        <v>135</v>
      </c>
      <c r="AD728" s="63" t="s">
        <v>40</v>
      </c>
      <c r="AE728" s="63" t="s">
        <v>105</v>
      </c>
      <c r="AF728" s="63" t="s">
        <v>106</v>
      </c>
      <c r="AG728" s="63" t="s">
        <v>3088</v>
      </c>
      <c r="AH728" s="63" t="s">
        <v>174</v>
      </c>
      <c r="AI728" s="63" t="s">
        <v>191</v>
      </c>
      <c r="AJ728" s="63" t="s">
        <v>138</v>
      </c>
      <c r="AK728" s="83">
        <v>2.7</v>
      </c>
      <c r="AL728" s="63" t="s">
        <v>184</v>
      </c>
      <c r="AM728" s="63" t="s">
        <v>46</v>
      </c>
      <c r="AN728"/>
    </row>
    <row r="729" spans="1:40" ht="18" customHeight="1">
      <c r="A729" s="1" t="s">
        <v>2306</v>
      </c>
      <c r="B729" s="1" t="s">
        <v>2307</v>
      </c>
      <c r="C729" s="4">
        <v>46056</v>
      </c>
      <c r="D729" s="4">
        <v>46074</v>
      </c>
      <c r="E729" s="4">
        <v>46086</v>
      </c>
      <c r="F729" s="63" t="s">
        <v>142</v>
      </c>
      <c r="G729" s="63" t="s">
        <v>3843</v>
      </c>
      <c r="H729" s="63" t="s">
        <v>169</v>
      </c>
      <c r="I729" s="63" t="s">
        <v>83</v>
      </c>
      <c r="J729" s="63" t="s">
        <v>50</v>
      </c>
      <c r="K729" s="63" t="s">
        <v>2308</v>
      </c>
      <c r="L729" s="63" t="s">
        <v>189</v>
      </c>
      <c r="M729" s="69">
        <v>1793</v>
      </c>
      <c r="N729" s="63" t="s">
        <v>38</v>
      </c>
      <c r="O729" s="73">
        <f>_xlfn.XLOOKUP(Supplier_Perf_Table[[#This Row],[Currency]],'Comments 2'!$C$4:$C$16,'Comments 2'!$D$4:$D$16)</f>
        <v>7.7000000000000002E-3</v>
      </c>
      <c r="P729" s="69">
        <f>IFERROR(Supplier_Perf_Table[[#This Row],[Unit_Cost]]*Supplier_Perf_Table[[#This Row],[Dollar Equivalent]],"")</f>
        <v>13.806100000000001</v>
      </c>
      <c r="Q729" s="75">
        <v>50</v>
      </c>
      <c r="R729" s="1">
        <v>89650</v>
      </c>
      <c r="S729" s="75">
        <f>Supplier_Perf_Table[[#This Row],[Unit_Cost]]*Supplier_Perf_Table[[#This Row],[Order_Quantity]]</f>
        <v>89650</v>
      </c>
      <c r="T729" s="75">
        <f>IFERROR(Supplier_Perf_Table[[#This Row],[Dollar Equivalent]]*Supplier_Perf_Table[[#This Row],[Ordered_Value]],"")</f>
        <v>690.30500000000006</v>
      </c>
      <c r="U729" s="75">
        <v>3</v>
      </c>
      <c r="V729" s="7">
        <v>0.06</v>
      </c>
      <c r="W729" s="75">
        <v>30</v>
      </c>
      <c r="X729" s="55">
        <f>IFERROR(Supplier_Perf_Table[[#This Row],[Actual_Delivery_Date]]-Supplier_Perf_Table[[#This Row],[Order Date]],"")</f>
        <v>30</v>
      </c>
      <c r="Y729" s="75">
        <v>18</v>
      </c>
      <c r="Z729" s="56">
        <f>IFERROR(Supplier_Perf_Table[[#This Row],[Expected Delivery_Date]]-Supplier_Perf_Table[[#This Row],[Order Date]],"")</f>
        <v>18</v>
      </c>
      <c r="AA729" s="56">
        <f>Supplier_Perf_Table[[#This Row],[Calculated_Lead_Time2]]-Supplier_Perf_Table[[#This Row],[Calculated_Expected_Lead_Time]]</f>
        <v>12</v>
      </c>
      <c r="AB729" s="75">
        <v>12</v>
      </c>
      <c r="AC729" s="63" t="s">
        <v>39</v>
      </c>
      <c r="AD729" s="63" t="s">
        <v>420</v>
      </c>
      <c r="AE729" s="63" t="s">
        <v>3088</v>
      </c>
      <c r="AF729" s="63" t="s">
        <v>212</v>
      </c>
      <c r="AG729" s="63" t="s">
        <v>107</v>
      </c>
      <c r="AH729" s="63" t="s">
        <v>55</v>
      </c>
      <c r="AI729" s="63" t="s">
        <v>147</v>
      </c>
      <c r="AJ729" s="63" t="s">
        <v>373</v>
      </c>
      <c r="AK729" s="83">
        <v>3</v>
      </c>
      <c r="AL729" s="63" t="s">
        <v>139</v>
      </c>
      <c r="AM729" s="63" t="s">
        <v>185</v>
      </c>
      <c r="AN729"/>
    </row>
    <row r="730" spans="1:40" ht="18" customHeight="1">
      <c r="A730" s="1" t="s">
        <v>2309</v>
      </c>
      <c r="B730" s="1" t="s">
        <v>2310</v>
      </c>
      <c r="C730" s="4">
        <v>46149</v>
      </c>
      <c r="D730" s="4">
        <v>46160</v>
      </c>
      <c r="E730" s="4">
        <v>46161</v>
      </c>
      <c r="F730" s="63" t="s">
        <v>215</v>
      </c>
      <c r="G730" s="63" t="s">
        <v>3846</v>
      </c>
      <c r="H730" s="63" t="s">
        <v>152</v>
      </c>
      <c r="I730" s="63" t="s">
        <v>70</v>
      </c>
      <c r="J730" s="63" t="s">
        <v>112</v>
      </c>
      <c r="K730" s="63" t="s">
        <v>1139</v>
      </c>
      <c r="L730" s="63" t="s">
        <v>218</v>
      </c>
      <c r="M730" s="69">
        <v>10.78</v>
      </c>
      <c r="N730" s="63" t="s">
        <v>159</v>
      </c>
      <c r="O730" s="73">
        <f>_xlfn.XLOOKUP(Supplier_Perf_Table[[#This Row],[Currency]],'Comments 2'!$C$4:$C$16,'Comments 2'!$D$4:$D$16)</f>
        <v>7.2999999999999996E-4</v>
      </c>
      <c r="P730" s="69">
        <f>IFERROR(Supplier_Perf_Table[[#This Row],[Unit_Cost]]*Supplier_Perf_Table[[#This Row],[Dollar Equivalent]],"")</f>
        <v>7.8693999999999986E-3</v>
      </c>
      <c r="Q730" s="75">
        <v>1500</v>
      </c>
      <c r="R730" s="1">
        <v>16170</v>
      </c>
      <c r="S730" s="75">
        <f>Supplier_Perf_Table[[#This Row],[Unit_Cost]]*Supplier_Perf_Table[[#This Row],[Order_Quantity]]</f>
        <v>16169.999999999998</v>
      </c>
      <c r="T730" s="75">
        <f>IFERROR(Supplier_Perf_Table[[#This Row],[Dollar Equivalent]]*Supplier_Perf_Table[[#This Row],[Ordered_Value]],"")</f>
        <v>11.8041</v>
      </c>
      <c r="U730" s="75">
        <v>12</v>
      </c>
      <c r="V730" s="7">
        <v>8.0000000000000002E-3</v>
      </c>
      <c r="W730" s="75">
        <v>12</v>
      </c>
      <c r="X730" s="55">
        <f>IFERROR(Supplier_Perf_Table[[#This Row],[Actual_Delivery_Date]]-Supplier_Perf_Table[[#This Row],[Order Date]],"")</f>
        <v>12</v>
      </c>
      <c r="Y730" s="75">
        <v>11</v>
      </c>
      <c r="Z730" s="56">
        <f>IFERROR(Supplier_Perf_Table[[#This Row],[Expected Delivery_Date]]-Supplier_Perf_Table[[#This Row],[Order Date]],"")</f>
        <v>11</v>
      </c>
      <c r="AA730" s="56">
        <f>Supplier_Perf_Table[[#This Row],[Calculated_Lead_Time2]]-Supplier_Perf_Table[[#This Row],[Calculated_Expected_Lead_Time]]</f>
        <v>1</v>
      </c>
      <c r="AB730" s="75">
        <v>1</v>
      </c>
      <c r="AC730" s="63" t="s">
        <v>135</v>
      </c>
      <c r="AD730" s="63" t="s">
        <v>40</v>
      </c>
      <c r="AE730" s="63" t="s">
        <v>105</v>
      </c>
      <c r="AF730" s="63" t="s">
        <v>106</v>
      </c>
      <c r="AG730" s="63" t="s">
        <v>43</v>
      </c>
      <c r="AH730" s="63" t="s">
        <v>174</v>
      </c>
      <c r="AI730" s="63" t="s">
        <v>56</v>
      </c>
      <c r="AJ730" s="63" t="s">
        <v>138</v>
      </c>
      <c r="AK730" s="83">
        <v>4.0999999999999996</v>
      </c>
      <c r="AL730" s="63" t="s">
        <v>57</v>
      </c>
      <c r="AM730" s="63" t="s">
        <v>46</v>
      </c>
      <c r="AN730"/>
    </row>
    <row r="731" spans="1:40" ht="18" customHeight="1">
      <c r="A731" s="1" t="s">
        <v>2311</v>
      </c>
      <c r="B731" s="1" t="s">
        <v>2312</v>
      </c>
      <c r="C731" s="4">
        <v>46200</v>
      </c>
      <c r="D731" s="4">
        <v>46212</v>
      </c>
      <c r="E731" s="4">
        <v>46216</v>
      </c>
      <c r="F731" s="63" t="s">
        <v>69</v>
      </c>
      <c r="G731" s="63" t="s">
        <v>3838</v>
      </c>
      <c r="H731" s="63" t="s">
        <v>194</v>
      </c>
      <c r="I731" s="63" t="s">
        <v>178</v>
      </c>
      <c r="J731" s="63" t="s">
        <v>112</v>
      </c>
      <c r="K731" s="63" t="s">
        <v>2313</v>
      </c>
      <c r="L731" s="63" t="s">
        <v>246</v>
      </c>
      <c r="M731" s="69">
        <v>162.62</v>
      </c>
      <c r="N731" s="63" t="s">
        <v>53</v>
      </c>
      <c r="O731" s="73">
        <f>_xlfn.XLOOKUP(Supplier_Perf_Table[[#This Row],[Currency]],'Comments 2'!$C$4:$C$16,'Comments 2'!$D$4:$D$16)</f>
        <v>6.0999999999999999E-2</v>
      </c>
      <c r="P731" s="69">
        <f>IFERROR(Supplier_Perf_Table[[#This Row],[Unit_Cost]]*Supplier_Perf_Table[[#This Row],[Dollar Equivalent]],"")</f>
        <v>9.9198199999999996</v>
      </c>
      <c r="Q731" s="75">
        <v>750</v>
      </c>
      <c r="R731" s="1">
        <v>121965</v>
      </c>
      <c r="S731" s="75">
        <f>Supplier_Perf_Table[[#This Row],[Unit_Cost]]*Supplier_Perf_Table[[#This Row],[Order_Quantity]]</f>
        <v>121965</v>
      </c>
      <c r="T731" s="75">
        <f>IFERROR(Supplier_Perf_Table[[#This Row],[Dollar Equivalent]]*Supplier_Perf_Table[[#This Row],[Ordered_Value]],"")</f>
        <v>7439.8649999999998</v>
      </c>
      <c r="U731" s="75">
        <v>27</v>
      </c>
      <c r="V731" s="7">
        <v>3.5999999999999997E-2</v>
      </c>
      <c r="W731" s="75">
        <v>16</v>
      </c>
      <c r="X731" s="55">
        <f>IFERROR(Supplier_Perf_Table[[#This Row],[Actual_Delivery_Date]]-Supplier_Perf_Table[[#This Row],[Order Date]],"")</f>
        <v>16</v>
      </c>
      <c r="Y731" s="75">
        <v>12</v>
      </c>
      <c r="Z731" s="56">
        <f>IFERROR(Supplier_Perf_Table[[#This Row],[Expected Delivery_Date]]-Supplier_Perf_Table[[#This Row],[Order Date]],"")</f>
        <v>12</v>
      </c>
      <c r="AA731" s="56">
        <f>Supplier_Perf_Table[[#This Row],[Calculated_Lead_Time2]]-Supplier_Perf_Table[[#This Row],[Calculated_Expected_Lead_Time]]</f>
        <v>4</v>
      </c>
      <c r="AB731" s="75">
        <v>4</v>
      </c>
      <c r="AC731" s="63" t="s">
        <v>39</v>
      </c>
      <c r="AD731" s="63" t="s">
        <v>40</v>
      </c>
      <c r="AE731" s="63" t="s">
        <v>41</v>
      </c>
      <c r="AF731" s="63" t="s">
        <v>212</v>
      </c>
      <c r="AG731" s="63" t="s">
        <v>3088</v>
      </c>
      <c r="AH731" s="63" t="s">
        <v>206</v>
      </c>
      <c r="AI731" s="63" t="s">
        <v>56</v>
      </c>
      <c r="AJ731" s="63" t="s">
        <v>138</v>
      </c>
      <c r="AK731" s="83">
        <v>4</v>
      </c>
      <c r="AL731" s="63" t="s">
        <v>45</v>
      </c>
      <c r="AM731" s="63" t="s">
        <v>46</v>
      </c>
      <c r="AN731"/>
    </row>
    <row r="732" spans="1:40" ht="18" customHeight="1">
      <c r="A732" s="1" t="s">
        <v>2314</v>
      </c>
      <c r="B732" s="1" t="s">
        <v>2315</v>
      </c>
      <c r="C732" s="4">
        <v>46058</v>
      </c>
      <c r="D732" s="4">
        <v>46067</v>
      </c>
      <c r="E732" s="4">
        <v>46080</v>
      </c>
      <c r="F732" s="63" t="s">
        <v>209</v>
      </c>
      <c r="G732" s="63" t="s">
        <v>3845</v>
      </c>
      <c r="H732" s="63" t="s">
        <v>316</v>
      </c>
      <c r="I732" s="63" t="s">
        <v>241</v>
      </c>
      <c r="J732" s="63" t="s">
        <v>163</v>
      </c>
      <c r="K732" s="63" t="s">
        <v>2316</v>
      </c>
      <c r="L732" s="63" t="s">
        <v>171</v>
      </c>
      <c r="M732" s="69">
        <v>1902.2</v>
      </c>
      <c r="N732" s="63" t="s">
        <v>53</v>
      </c>
      <c r="O732" s="73">
        <f>_xlfn.XLOOKUP(Supplier_Perf_Table[[#This Row],[Currency]],'Comments 2'!$C$4:$C$16,'Comments 2'!$D$4:$D$16)</f>
        <v>6.0999999999999999E-2</v>
      </c>
      <c r="P732" s="69">
        <f>IFERROR(Supplier_Perf_Table[[#This Row],[Unit_Cost]]*Supplier_Perf_Table[[#This Row],[Dollar Equivalent]],"")</f>
        <v>116.0342</v>
      </c>
      <c r="Q732" s="75">
        <v>75</v>
      </c>
      <c r="R732" s="1">
        <v>142665</v>
      </c>
      <c r="S732" s="75">
        <f>Supplier_Perf_Table[[#This Row],[Unit_Cost]]*Supplier_Perf_Table[[#This Row],[Order_Quantity]]</f>
        <v>142665</v>
      </c>
      <c r="T732" s="75">
        <f>IFERROR(Supplier_Perf_Table[[#This Row],[Dollar Equivalent]]*Supplier_Perf_Table[[#This Row],[Ordered_Value]],"")</f>
        <v>8702.5650000000005</v>
      </c>
      <c r="U732" s="75">
        <v>2</v>
      </c>
      <c r="V732" s="7">
        <v>2.6700000000000002E-2</v>
      </c>
      <c r="W732" s="75">
        <v>22</v>
      </c>
      <c r="X732" s="55">
        <f>IFERROR(Supplier_Perf_Table[[#This Row],[Actual_Delivery_Date]]-Supplier_Perf_Table[[#This Row],[Order Date]],"")</f>
        <v>22</v>
      </c>
      <c r="Y732" s="75">
        <v>9</v>
      </c>
      <c r="Z732" s="56">
        <f>IFERROR(Supplier_Perf_Table[[#This Row],[Expected Delivery_Date]]-Supplier_Perf_Table[[#This Row],[Order Date]],"")</f>
        <v>9</v>
      </c>
      <c r="AA732" s="56">
        <f>Supplier_Perf_Table[[#This Row],[Calculated_Lead_Time2]]-Supplier_Perf_Table[[#This Row],[Calculated_Expected_Lead_Time]]</f>
        <v>13</v>
      </c>
      <c r="AB732" s="75">
        <v>13</v>
      </c>
      <c r="AC732" s="63" t="s">
        <v>135</v>
      </c>
      <c r="AD732" s="63" t="s">
        <v>40</v>
      </c>
      <c r="AE732" s="63" t="s">
        <v>41</v>
      </c>
      <c r="AF732" s="63" t="s">
        <v>190</v>
      </c>
      <c r="AG732" s="63" t="s">
        <v>3088</v>
      </c>
      <c r="AH732" s="63" t="s">
        <v>129</v>
      </c>
      <c r="AI732" s="63" t="s">
        <v>138</v>
      </c>
      <c r="AJ732" s="63" t="s">
        <v>138</v>
      </c>
      <c r="AK732" s="83">
        <v>1.1000000000000001</v>
      </c>
      <c r="AL732" s="63" t="s">
        <v>108</v>
      </c>
      <c r="AM732" s="63" t="s">
        <v>46</v>
      </c>
      <c r="AN732"/>
    </row>
    <row r="733" spans="1:40" ht="18" customHeight="1">
      <c r="A733" s="1" t="s">
        <v>2317</v>
      </c>
      <c r="B733" s="1" t="s">
        <v>2318</v>
      </c>
      <c r="C733" s="4">
        <v>46161</v>
      </c>
      <c r="D733" s="4">
        <v>46166</v>
      </c>
      <c r="E733" s="4">
        <v>46168</v>
      </c>
      <c r="F733" s="63" t="s">
        <v>151</v>
      </c>
      <c r="G733" s="63" t="s">
        <v>3844</v>
      </c>
      <c r="H733" s="63" t="s">
        <v>152</v>
      </c>
      <c r="I733" s="63" t="s">
        <v>92</v>
      </c>
      <c r="J733" s="63" t="s">
        <v>163</v>
      </c>
      <c r="K733" s="63" t="s">
        <v>2319</v>
      </c>
      <c r="L733" s="63" t="s">
        <v>253</v>
      </c>
      <c r="M733" s="69" t="s">
        <v>3080</v>
      </c>
      <c r="N733" s="63" t="s">
        <v>38</v>
      </c>
      <c r="O733" s="73">
        <f>_xlfn.XLOOKUP(Supplier_Perf_Table[[#This Row],[Currency]],'Comments 2'!$C$4:$C$16,'Comments 2'!$D$4:$D$16)</f>
        <v>7.7000000000000002E-3</v>
      </c>
      <c r="P733" s="69" t="str">
        <f>IFERROR(Supplier_Perf_Table[[#This Row],[Unit_Cost]]*Supplier_Perf_Table[[#This Row],[Dollar Equivalent]],"")</f>
        <v/>
      </c>
      <c r="Q733" s="75">
        <v>1500</v>
      </c>
      <c r="R733" s="1">
        <v>3828540</v>
      </c>
      <c r="S733" s="75" t="e">
        <f>Supplier_Perf_Table[[#This Row],[Unit_Cost]]*Supplier_Perf_Table[[#This Row],[Order_Quantity]]</f>
        <v>#VALUE!</v>
      </c>
      <c r="T733" s="75">
        <f>IFERROR(Supplier_Perf_Table[[#This Row],[Dollar Equivalent]]*Supplier_Perf_Table[[#This Row],[Ordered_Value]],"")</f>
        <v>29479.758000000002</v>
      </c>
      <c r="U733" s="75">
        <v>26</v>
      </c>
      <c r="V733" s="7">
        <v>1.7299999999999999E-2</v>
      </c>
      <c r="W733" s="75">
        <v>7</v>
      </c>
      <c r="X733" s="55">
        <f>IFERROR(Supplier_Perf_Table[[#This Row],[Actual_Delivery_Date]]-Supplier_Perf_Table[[#This Row],[Order Date]],"")</f>
        <v>7</v>
      </c>
      <c r="Y733" s="75">
        <v>5</v>
      </c>
      <c r="Z733" s="56">
        <f>IFERROR(Supplier_Perf_Table[[#This Row],[Expected Delivery_Date]]-Supplier_Perf_Table[[#This Row],[Order Date]],"")</f>
        <v>5</v>
      </c>
      <c r="AA733" s="56">
        <f>Supplier_Perf_Table[[#This Row],[Calculated_Lead_Time2]]-Supplier_Perf_Table[[#This Row],[Calculated_Expected_Lead_Time]]</f>
        <v>2</v>
      </c>
      <c r="AB733" s="75">
        <v>2</v>
      </c>
      <c r="AC733" s="63" t="s">
        <v>135</v>
      </c>
      <c r="AD733" s="63" t="s">
        <v>40</v>
      </c>
      <c r="AE733" s="63" t="s">
        <v>41</v>
      </c>
      <c r="AF733" s="63" t="s">
        <v>212</v>
      </c>
      <c r="AG733" s="63" t="s">
        <v>54</v>
      </c>
      <c r="AH733" s="63" t="s">
        <v>88</v>
      </c>
      <c r="AI733" s="63" t="s">
        <v>191</v>
      </c>
      <c r="AJ733" s="63" t="s">
        <v>138</v>
      </c>
      <c r="AK733" s="83">
        <v>2.4</v>
      </c>
      <c r="AL733" s="63" t="s">
        <v>45</v>
      </c>
      <c r="AM733" s="63" t="s">
        <v>46</v>
      </c>
      <c r="AN733"/>
    </row>
    <row r="734" spans="1:40" ht="18" customHeight="1">
      <c r="A734" s="1" t="s">
        <v>2320</v>
      </c>
      <c r="B734" s="1" t="s">
        <v>2321</v>
      </c>
      <c r="C734" s="4">
        <v>46170</v>
      </c>
      <c r="D734" s="4">
        <v>46173</v>
      </c>
      <c r="E734" s="4">
        <v>46191</v>
      </c>
      <c r="F734" s="63" t="s">
        <v>215</v>
      </c>
      <c r="G734" s="63" t="s">
        <v>3846</v>
      </c>
      <c r="H734" s="63" t="s">
        <v>152</v>
      </c>
      <c r="I734" s="63" t="s">
        <v>92</v>
      </c>
      <c r="J734" s="63" t="s">
        <v>112</v>
      </c>
      <c r="K734" s="63" t="s">
        <v>2322</v>
      </c>
      <c r="L734" s="63" t="s">
        <v>246</v>
      </c>
      <c r="M734" s="69">
        <v>774.09</v>
      </c>
      <c r="N734" s="63" t="s">
        <v>86</v>
      </c>
      <c r="O734" s="73">
        <f>_xlfn.XLOOKUP(Supplier_Perf_Table[[#This Row],[Currency]],'Comments 2'!$C$4:$C$16,'Comments 2'!$D$4:$D$16)</f>
        <v>8.8999999999999996E-2</v>
      </c>
      <c r="P734" s="69">
        <f>IFERROR(Supplier_Perf_Table[[#This Row],[Unit_Cost]]*Supplier_Perf_Table[[#This Row],[Dollar Equivalent]],"")</f>
        <v>68.894009999999994</v>
      </c>
      <c r="Q734" s="75">
        <v>75</v>
      </c>
      <c r="R734" s="1">
        <v>58056.75</v>
      </c>
      <c r="S734" s="75">
        <f>Supplier_Perf_Table[[#This Row],[Unit_Cost]]*Supplier_Perf_Table[[#This Row],[Order_Quantity]]</f>
        <v>58056.75</v>
      </c>
      <c r="T734" s="75">
        <f>IFERROR(Supplier_Perf_Table[[#This Row],[Dollar Equivalent]]*Supplier_Perf_Table[[#This Row],[Ordered_Value]],"")</f>
        <v>5167.0507499999994</v>
      </c>
      <c r="U734" s="75">
        <v>1</v>
      </c>
      <c r="V734" s="7">
        <v>1.3299999999999999E-2</v>
      </c>
      <c r="W734" s="75">
        <v>21</v>
      </c>
      <c r="X734" s="55">
        <f>IFERROR(Supplier_Perf_Table[[#This Row],[Actual_Delivery_Date]]-Supplier_Perf_Table[[#This Row],[Order Date]],"")</f>
        <v>21</v>
      </c>
      <c r="Y734" s="75">
        <v>3</v>
      </c>
      <c r="Z734" s="56">
        <f>IFERROR(Supplier_Perf_Table[[#This Row],[Expected Delivery_Date]]-Supplier_Perf_Table[[#This Row],[Order Date]],"")</f>
        <v>3</v>
      </c>
      <c r="AA734" s="56">
        <f>Supplier_Perf_Table[[#This Row],[Calculated_Lead_Time2]]-Supplier_Perf_Table[[#This Row],[Calculated_Expected_Lead_Time]]</f>
        <v>18</v>
      </c>
      <c r="AB734" s="75">
        <v>18</v>
      </c>
      <c r="AC734" s="63" t="s">
        <v>39</v>
      </c>
      <c r="AD734" s="63" t="s">
        <v>40</v>
      </c>
      <c r="AE734" s="63" t="s">
        <v>105</v>
      </c>
      <c r="AF734" s="63" t="s">
        <v>212</v>
      </c>
      <c r="AG734" s="63" t="s">
        <v>43</v>
      </c>
      <c r="AH734" s="63" t="s">
        <v>136</v>
      </c>
      <c r="AI734" s="63" t="s">
        <v>56</v>
      </c>
      <c r="AJ734" s="63" t="s">
        <v>138</v>
      </c>
      <c r="AK734" s="83">
        <v>2.2999999999999998</v>
      </c>
      <c r="AL734" s="63" t="s">
        <v>139</v>
      </c>
      <c r="AM734" s="63" t="s">
        <v>46</v>
      </c>
      <c r="AN734"/>
    </row>
    <row r="735" spans="1:40" ht="18" customHeight="1">
      <c r="A735" s="1" t="s">
        <v>2323</v>
      </c>
      <c r="B735" s="1" t="s">
        <v>2324</v>
      </c>
      <c r="C735" s="4">
        <v>46071</v>
      </c>
      <c r="D735" s="4">
        <v>46081</v>
      </c>
      <c r="E735" s="4">
        <v>46083</v>
      </c>
      <c r="F735" s="63" t="s">
        <v>151</v>
      </c>
      <c r="G735" s="63" t="s">
        <v>3844</v>
      </c>
      <c r="H735" s="63" t="s">
        <v>702</v>
      </c>
      <c r="I735" s="63" t="s">
        <v>34</v>
      </c>
      <c r="J735" s="63" t="s">
        <v>112</v>
      </c>
      <c r="K735" s="63" t="s">
        <v>2325</v>
      </c>
      <c r="L735" s="63" t="s">
        <v>218</v>
      </c>
      <c r="M735" s="69">
        <v>633.62</v>
      </c>
      <c r="N735" s="63" t="s">
        <v>86</v>
      </c>
      <c r="O735" s="73">
        <f>_xlfn.XLOOKUP(Supplier_Perf_Table[[#This Row],[Currency]],'Comments 2'!$C$4:$C$16,'Comments 2'!$D$4:$D$16)</f>
        <v>8.8999999999999996E-2</v>
      </c>
      <c r="P735" s="69">
        <f>IFERROR(Supplier_Perf_Table[[#This Row],[Unit_Cost]]*Supplier_Perf_Table[[#This Row],[Dollar Equivalent]],"")</f>
        <v>56.392179999999996</v>
      </c>
      <c r="Q735" s="75">
        <v>50</v>
      </c>
      <c r="R735" s="1">
        <v>31681</v>
      </c>
      <c r="S735" s="75">
        <f>Supplier_Perf_Table[[#This Row],[Unit_Cost]]*Supplier_Perf_Table[[#This Row],[Order_Quantity]]</f>
        <v>31681</v>
      </c>
      <c r="T735" s="75">
        <f>IFERROR(Supplier_Perf_Table[[#This Row],[Dollar Equivalent]]*Supplier_Perf_Table[[#This Row],[Ordered_Value]],"")</f>
        <v>2819.6089999999999</v>
      </c>
      <c r="U735" s="75">
        <v>0</v>
      </c>
      <c r="V735" s="7">
        <v>0</v>
      </c>
      <c r="W735" s="75">
        <v>12</v>
      </c>
      <c r="X735" s="55">
        <f>IFERROR(Supplier_Perf_Table[[#This Row],[Actual_Delivery_Date]]-Supplier_Perf_Table[[#This Row],[Order Date]],"")</f>
        <v>12</v>
      </c>
      <c r="Y735" s="75">
        <v>10</v>
      </c>
      <c r="Z735" s="56">
        <f>IFERROR(Supplier_Perf_Table[[#This Row],[Expected Delivery_Date]]-Supplier_Perf_Table[[#This Row],[Order Date]],"")</f>
        <v>10</v>
      </c>
      <c r="AA735" s="56">
        <f>Supplier_Perf_Table[[#This Row],[Calculated_Lead_Time2]]-Supplier_Perf_Table[[#This Row],[Calculated_Expected_Lead_Time]]</f>
        <v>2</v>
      </c>
      <c r="AB735" s="75">
        <v>2</v>
      </c>
      <c r="AC735" s="63" t="s">
        <v>135</v>
      </c>
      <c r="AD735" s="63" t="s">
        <v>40</v>
      </c>
      <c r="AE735" s="63" t="s">
        <v>105</v>
      </c>
      <c r="AF735" s="63" t="s">
        <v>190</v>
      </c>
      <c r="AG735" s="63" t="s">
        <v>173</v>
      </c>
      <c r="AH735" s="63" t="s">
        <v>206</v>
      </c>
      <c r="AI735" s="63" t="s">
        <v>147</v>
      </c>
      <c r="AJ735" s="63" t="s">
        <v>138</v>
      </c>
      <c r="AK735" s="83">
        <v>4.0999999999999996</v>
      </c>
      <c r="AL735" s="63" t="s">
        <v>45</v>
      </c>
      <c r="AM735" s="63" t="s">
        <v>46</v>
      </c>
      <c r="AN735"/>
    </row>
    <row r="736" spans="1:40" ht="18" customHeight="1">
      <c r="A736" s="1" t="s">
        <v>2326</v>
      </c>
      <c r="B736" s="1" t="s">
        <v>2327</v>
      </c>
      <c r="C736" s="4">
        <v>46029</v>
      </c>
      <c r="D736" s="4">
        <v>46036</v>
      </c>
      <c r="E736" s="4">
        <v>46038</v>
      </c>
      <c r="F736" s="63" t="s">
        <v>162</v>
      </c>
      <c r="G736" s="63" t="s">
        <v>3847</v>
      </c>
      <c r="H736" s="63" t="s">
        <v>152</v>
      </c>
      <c r="I736" s="63" t="s">
        <v>178</v>
      </c>
      <c r="J736" s="63" t="s">
        <v>163</v>
      </c>
      <c r="K736" s="63" t="s">
        <v>2328</v>
      </c>
      <c r="L736" s="63" t="s">
        <v>171</v>
      </c>
      <c r="M736" s="69">
        <v>279.29000000000002</v>
      </c>
      <c r="N736" s="63" t="s">
        <v>104</v>
      </c>
      <c r="O736" s="73">
        <f>_xlfn.XLOOKUP(Supplier_Perf_Table[[#This Row],[Currency]],'Comments 2'!$C$4:$C$16,'Comments 2'!$D$4:$D$16)</f>
        <v>1.9E-2</v>
      </c>
      <c r="P736" s="69">
        <f>IFERROR(Supplier_Perf_Table[[#This Row],[Unit_Cost]]*Supplier_Perf_Table[[#This Row],[Dollar Equivalent]],"")</f>
        <v>5.3065100000000003</v>
      </c>
      <c r="Q736" s="75">
        <v>2000</v>
      </c>
      <c r="R736" s="1">
        <v>558580</v>
      </c>
      <c r="S736" s="75">
        <f>Supplier_Perf_Table[[#This Row],[Unit_Cost]]*Supplier_Perf_Table[[#This Row],[Order_Quantity]]</f>
        <v>558580</v>
      </c>
      <c r="T736" s="75">
        <f>IFERROR(Supplier_Perf_Table[[#This Row],[Dollar Equivalent]]*Supplier_Perf_Table[[#This Row],[Ordered_Value]],"")</f>
        <v>10613.02</v>
      </c>
      <c r="U736" s="75">
        <v>30</v>
      </c>
      <c r="V736" s="7">
        <v>1.4999999999999999E-2</v>
      </c>
      <c r="W736" s="75">
        <v>9</v>
      </c>
      <c r="X736" s="55">
        <f>IFERROR(Supplier_Perf_Table[[#This Row],[Actual_Delivery_Date]]-Supplier_Perf_Table[[#This Row],[Order Date]],"")</f>
        <v>9</v>
      </c>
      <c r="Y736" s="75">
        <v>7</v>
      </c>
      <c r="Z736" s="56">
        <f>IFERROR(Supplier_Perf_Table[[#This Row],[Expected Delivery_Date]]-Supplier_Perf_Table[[#This Row],[Order Date]],"")</f>
        <v>7</v>
      </c>
      <c r="AA736" s="56">
        <f>Supplier_Perf_Table[[#This Row],[Calculated_Lead_Time2]]-Supplier_Perf_Table[[#This Row],[Calculated_Expected_Lead_Time]]</f>
        <v>2</v>
      </c>
      <c r="AB736" s="75">
        <v>2</v>
      </c>
      <c r="AC736" s="63" t="s">
        <v>135</v>
      </c>
      <c r="AD736" s="63" t="s">
        <v>649</v>
      </c>
      <c r="AE736" s="63" t="s">
        <v>105</v>
      </c>
      <c r="AF736" s="63" t="s">
        <v>42</v>
      </c>
      <c r="AG736" s="63" t="s">
        <v>107</v>
      </c>
      <c r="AH736" s="63" t="s">
        <v>55</v>
      </c>
      <c r="AI736" s="63" t="s">
        <v>95</v>
      </c>
      <c r="AJ736" s="63" t="s">
        <v>138</v>
      </c>
      <c r="AK736" s="83">
        <v>3.7</v>
      </c>
      <c r="AL736" s="63" t="s">
        <v>57</v>
      </c>
      <c r="AM736" s="63" t="s">
        <v>46</v>
      </c>
      <c r="AN736"/>
    </row>
    <row r="737" spans="1:40" ht="18" customHeight="1">
      <c r="A737" s="1" t="s">
        <v>2329</v>
      </c>
      <c r="B737" s="1" t="s">
        <v>2330</v>
      </c>
      <c r="C737" s="4">
        <v>46073</v>
      </c>
      <c r="D737" s="4">
        <v>46077</v>
      </c>
      <c r="E737" s="4">
        <v>46083</v>
      </c>
      <c r="F737" s="63" t="s">
        <v>151</v>
      </c>
      <c r="G737" s="63" t="s">
        <v>3844</v>
      </c>
      <c r="H737" s="63" t="s">
        <v>152</v>
      </c>
      <c r="I737" s="63" t="s">
        <v>178</v>
      </c>
      <c r="J737" s="63" t="s">
        <v>112</v>
      </c>
      <c r="K737" s="63" t="s">
        <v>2331</v>
      </c>
      <c r="L737" s="63" t="s">
        <v>246</v>
      </c>
      <c r="M737" s="69">
        <v>702.05</v>
      </c>
      <c r="N737" s="63" t="s">
        <v>53</v>
      </c>
      <c r="O737" s="73">
        <f>_xlfn.XLOOKUP(Supplier_Perf_Table[[#This Row],[Currency]],'Comments 2'!$C$4:$C$16,'Comments 2'!$D$4:$D$16)</f>
        <v>6.0999999999999999E-2</v>
      </c>
      <c r="P737" s="69">
        <f>IFERROR(Supplier_Perf_Table[[#This Row],[Unit_Cost]]*Supplier_Perf_Table[[#This Row],[Dollar Equivalent]],"")</f>
        <v>42.825049999999997</v>
      </c>
      <c r="Q737" s="75">
        <v>300</v>
      </c>
      <c r="R737" s="1">
        <v>210615</v>
      </c>
      <c r="S737" s="75">
        <f>Supplier_Perf_Table[[#This Row],[Unit_Cost]]*Supplier_Perf_Table[[#This Row],[Order_Quantity]]</f>
        <v>210615</v>
      </c>
      <c r="T737" s="75">
        <f>IFERROR(Supplier_Perf_Table[[#This Row],[Dollar Equivalent]]*Supplier_Perf_Table[[#This Row],[Ordered_Value]],"")</f>
        <v>12847.514999999999</v>
      </c>
      <c r="U737" s="75">
        <v>-1</v>
      </c>
      <c r="V737" s="7">
        <v>3.3E-3</v>
      </c>
      <c r="W737" s="75">
        <v>10</v>
      </c>
      <c r="X737" s="55">
        <f>IFERROR(Supplier_Perf_Table[[#This Row],[Actual_Delivery_Date]]-Supplier_Perf_Table[[#This Row],[Order Date]],"")</f>
        <v>10</v>
      </c>
      <c r="Y737" s="75">
        <v>4</v>
      </c>
      <c r="Z737" s="56">
        <f>IFERROR(Supplier_Perf_Table[[#This Row],[Expected Delivery_Date]]-Supplier_Perf_Table[[#This Row],[Order Date]],"")</f>
        <v>4</v>
      </c>
      <c r="AA737" s="56">
        <f>Supplier_Perf_Table[[#This Row],[Calculated_Lead_Time2]]-Supplier_Perf_Table[[#This Row],[Calculated_Expected_Lead_Time]]</f>
        <v>6</v>
      </c>
      <c r="AB737" s="75">
        <v>6</v>
      </c>
      <c r="AC737" s="63" t="s">
        <v>39</v>
      </c>
      <c r="AD737" s="63" t="s">
        <v>40</v>
      </c>
      <c r="AE737" s="63" t="s">
        <v>127</v>
      </c>
      <c r="AF737" s="63" t="s">
        <v>42</v>
      </c>
      <c r="AG737" s="63" t="s">
        <v>43</v>
      </c>
      <c r="AH737" s="63" t="s">
        <v>174</v>
      </c>
      <c r="AI737" s="63" t="s">
        <v>138</v>
      </c>
      <c r="AJ737" s="63" t="s">
        <v>138</v>
      </c>
      <c r="AK737" s="83">
        <v>3.1</v>
      </c>
      <c r="AL737" s="63" t="s">
        <v>76</v>
      </c>
      <c r="AM737" s="63" t="s">
        <v>148</v>
      </c>
      <c r="AN737"/>
    </row>
    <row r="738" spans="1:40" ht="18" customHeight="1">
      <c r="A738" s="1" t="s">
        <v>2332</v>
      </c>
      <c r="B738" s="1" t="s">
        <v>2333</v>
      </c>
      <c r="C738" s="4">
        <v>46090</v>
      </c>
      <c r="D738" s="4">
        <v>46097</v>
      </c>
      <c r="E738" s="4">
        <v>46105</v>
      </c>
      <c r="F738" s="63" t="s">
        <v>162</v>
      </c>
      <c r="G738" s="63" t="s">
        <v>3847</v>
      </c>
      <c r="H738" s="63" t="s">
        <v>152</v>
      </c>
      <c r="I738" s="63" t="s">
        <v>178</v>
      </c>
      <c r="J738" s="63" t="s">
        <v>163</v>
      </c>
      <c r="K738" s="63" t="s">
        <v>2334</v>
      </c>
      <c r="L738" s="63" t="s">
        <v>171</v>
      </c>
      <c r="M738" s="69">
        <v>1441.5</v>
      </c>
      <c r="N738" s="63" t="s">
        <v>159</v>
      </c>
      <c r="O738" s="73">
        <f>_xlfn.XLOOKUP(Supplier_Perf_Table[[#This Row],[Currency]],'Comments 2'!$C$4:$C$16,'Comments 2'!$D$4:$D$16)</f>
        <v>7.2999999999999996E-4</v>
      </c>
      <c r="P738" s="69">
        <f>IFERROR(Supplier_Perf_Table[[#This Row],[Unit_Cost]]*Supplier_Perf_Table[[#This Row],[Dollar Equivalent]],"")</f>
        <v>1.052295</v>
      </c>
      <c r="Q738" s="75">
        <v>200</v>
      </c>
      <c r="R738" s="1">
        <v>288300</v>
      </c>
      <c r="S738" s="75">
        <f>Supplier_Perf_Table[[#This Row],[Unit_Cost]]*Supplier_Perf_Table[[#This Row],[Order_Quantity]]</f>
        <v>288300</v>
      </c>
      <c r="T738" s="75">
        <f>IFERROR(Supplier_Perf_Table[[#This Row],[Dollar Equivalent]]*Supplier_Perf_Table[[#This Row],[Ordered_Value]],"")</f>
        <v>210.459</v>
      </c>
      <c r="U738" s="75">
        <v>2</v>
      </c>
      <c r="V738" s="7">
        <v>0.01</v>
      </c>
      <c r="W738" s="75">
        <v>15</v>
      </c>
      <c r="X738" s="55">
        <f>IFERROR(Supplier_Perf_Table[[#This Row],[Actual_Delivery_Date]]-Supplier_Perf_Table[[#This Row],[Order Date]],"")</f>
        <v>15</v>
      </c>
      <c r="Y738" s="75">
        <v>7</v>
      </c>
      <c r="Z738" s="56">
        <f>IFERROR(Supplier_Perf_Table[[#This Row],[Expected Delivery_Date]]-Supplier_Perf_Table[[#This Row],[Order Date]],"")</f>
        <v>7</v>
      </c>
      <c r="AA738" s="56">
        <f>Supplier_Perf_Table[[#This Row],[Calculated_Lead_Time2]]-Supplier_Perf_Table[[#This Row],[Calculated_Expected_Lead_Time]]</f>
        <v>8</v>
      </c>
      <c r="AB738" s="75">
        <v>8</v>
      </c>
      <c r="AC738" s="63" t="s">
        <v>39</v>
      </c>
      <c r="AD738" s="63" t="s">
        <v>40</v>
      </c>
      <c r="AE738" s="63" t="s">
        <v>105</v>
      </c>
      <c r="AF738" s="63" t="s">
        <v>190</v>
      </c>
      <c r="AG738" s="63" t="s">
        <v>43</v>
      </c>
      <c r="AH738" s="63" t="s">
        <v>3112</v>
      </c>
      <c r="AI738" s="63" t="s">
        <v>191</v>
      </c>
      <c r="AJ738" s="63" t="s">
        <v>138</v>
      </c>
      <c r="AK738" s="83">
        <v>1.2</v>
      </c>
      <c r="AL738" s="63" t="s">
        <v>115</v>
      </c>
      <c r="AM738" s="63" t="s">
        <v>46</v>
      </c>
      <c r="AN738"/>
    </row>
    <row r="739" spans="1:40" ht="18" customHeight="1">
      <c r="A739" s="1" t="s">
        <v>2335</v>
      </c>
      <c r="B739" s="1" t="s">
        <v>2336</v>
      </c>
      <c r="C739" s="4">
        <v>46199</v>
      </c>
      <c r="D739" s="4">
        <v>46204</v>
      </c>
      <c r="E739" s="4">
        <v>46206</v>
      </c>
      <c r="F739" s="63" t="s">
        <v>151</v>
      </c>
      <c r="G739" s="63" t="s">
        <v>3844</v>
      </c>
      <c r="H739" s="63" t="s">
        <v>152</v>
      </c>
      <c r="I739" s="63" t="s">
        <v>49</v>
      </c>
      <c r="J739" s="63" t="s">
        <v>112</v>
      </c>
      <c r="K739" s="63" t="s">
        <v>2337</v>
      </c>
      <c r="L739" s="63" t="s">
        <v>114</v>
      </c>
      <c r="M739" s="69">
        <v>644.66</v>
      </c>
      <c r="N739" s="63" t="s">
        <v>53</v>
      </c>
      <c r="O739" s="73">
        <f>_xlfn.XLOOKUP(Supplier_Perf_Table[[#This Row],[Currency]],'Comments 2'!$C$4:$C$16,'Comments 2'!$D$4:$D$16)</f>
        <v>6.0999999999999999E-2</v>
      </c>
      <c r="P739" s="69">
        <f>IFERROR(Supplier_Perf_Table[[#This Row],[Unit_Cost]]*Supplier_Perf_Table[[#This Row],[Dollar Equivalent]],"")</f>
        <v>39.324259999999995</v>
      </c>
      <c r="Q739" s="75">
        <v>300</v>
      </c>
      <c r="R739" s="1">
        <v>193398</v>
      </c>
      <c r="S739" s="75">
        <f>Supplier_Perf_Table[[#This Row],[Unit_Cost]]*Supplier_Perf_Table[[#This Row],[Order_Quantity]]</f>
        <v>193398</v>
      </c>
      <c r="T739" s="75">
        <f>IFERROR(Supplier_Perf_Table[[#This Row],[Dollar Equivalent]]*Supplier_Perf_Table[[#This Row],[Ordered_Value]],"")</f>
        <v>11797.278</v>
      </c>
      <c r="U739" s="75">
        <v>0</v>
      </c>
      <c r="V739" s="7">
        <v>0</v>
      </c>
      <c r="W739" s="75">
        <v>7</v>
      </c>
      <c r="X739" s="55">
        <f>IFERROR(Supplier_Perf_Table[[#This Row],[Actual_Delivery_Date]]-Supplier_Perf_Table[[#This Row],[Order Date]],"")</f>
        <v>7</v>
      </c>
      <c r="Y739" s="75" t="s">
        <v>3080</v>
      </c>
      <c r="Z739" s="56">
        <f>IFERROR(Supplier_Perf_Table[[#This Row],[Expected Delivery_Date]]-Supplier_Perf_Table[[#This Row],[Order Date]],"")</f>
        <v>5</v>
      </c>
      <c r="AA739" s="56">
        <f>Supplier_Perf_Table[[#This Row],[Calculated_Lead_Time2]]-Supplier_Perf_Table[[#This Row],[Calculated_Expected_Lead_Time]]</f>
        <v>2</v>
      </c>
      <c r="AB739" s="75"/>
      <c r="AC739" s="63" t="s">
        <v>135</v>
      </c>
      <c r="AD739" s="63" t="s">
        <v>40</v>
      </c>
      <c r="AE739" s="63" t="s">
        <v>105</v>
      </c>
      <c r="AF739" s="63" t="s">
        <v>190</v>
      </c>
      <c r="AG739" s="63" t="s">
        <v>107</v>
      </c>
      <c r="AH739" s="63" t="s">
        <v>129</v>
      </c>
      <c r="AI739" s="63" t="s">
        <v>137</v>
      </c>
      <c r="AJ739" s="63" t="s">
        <v>138</v>
      </c>
      <c r="AK739" s="83">
        <v>3.5</v>
      </c>
      <c r="AL739" s="63" t="s">
        <v>45</v>
      </c>
      <c r="AM739" s="63" t="s">
        <v>46</v>
      </c>
      <c r="AN739"/>
    </row>
    <row r="740" spans="1:40" ht="18" customHeight="1">
      <c r="A740" s="1" t="s">
        <v>2338</v>
      </c>
      <c r="B740" s="1" t="s">
        <v>2339</v>
      </c>
      <c r="C740" s="4">
        <v>46136</v>
      </c>
      <c r="D740" s="4">
        <v>46145</v>
      </c>
      <c r="E740" s="4">
        <v>46151</v>
      </c>
      <c r="F740" s="63" t="s">
        <v>215</v>
      </c>
      <c r="G740" s="63" t="s">
        <v>3846</v>
      </c>
      <c r="H740" s="63" t="s">
        <v>152</v>
      </c>
      <c r="I740" s="63" t="s">
        <v>49</v>
      </c>
      <c r="J740" s="63" t="s">
        <v>112</v>
      </c>
      <c r="K740" s="63" t="s">
        <v>2340</v>
      </c>
      <c r="L740" s="63" t="s">
        <v>114</v>
      </c>
      <c r="M740" s="69">
        <v>527.92999999999995</v>
      </c>
      <c r="N740" s="63" t="s">
        <v>159</v>
      </c>
      <c r="O740" s="73">
        <f>_xlfn.XLOOKUP(Supplier_Perf_Table[[#This Row],[Currency]],'Comments 2'!$C$4:$C$16,'Comments 2'!$D$4:$D$16)</f>
        <v>7.2999999999999996E-4</v>
      </c>
      <c r="P740" s="69">
        <f>IFERROR(Supplier_Perf_Table[[#This Row],[Unit_Cost]]*Supplier_Perf_Table[[#This Row],[Dollar Equivalent]],"")</f>
        <v>0.38538889999999992</v>
      </c>
      <c r="Q740" s="75">
        <v>300</v>
      </c>
      <c r="R740" s="1">
        <v>158379</v>
      </c>
      <c r="S740" s="75">
        <f>Supplier_Perf_Table[[#This Row],[Unit_Cost]]*Supplier_Perf_Table[[#This Row],[Order_Quantity]]</f>
        <v>158378.99999999997</v>
      </c>
      <c r="T740" s="75">
        <f>IFERROR(Supplier_Perf_Table[[#This Row],[Dollar Equivalent]]*Supplier_Perf_Table[[#This Row],[Ordered_Value]],"")</f>
        <v>115.61667</v>
      </c>
      <c r="U740" s="75">
        <v>10</v>
      </c>
      <c r="V740" s="7">
        <v>3.3300000000000003E-2</v>
      </c>
      <c r="W740" s="75" t="s">
        <v>3080</v>
      </c>
      <c r="X740" s="55">
        <f>IFERROR(Supplier_Perf_Table[[#This Row],[Actual_Delivery_Date]]-Supplier_Perf_Table[[#This Row],[Order Date]],"")</f>
        <v>15</v>
      </c>
      <c r="Y740" s="75">
        <v>9</v>
      </c>
      <c r="Z740" s="56">
        <f>IFERROR(Supplier_Perf_Table[[#This Row],[Expected Delivery_Date]]-Supplier_Perf_Table[[#This Row],[Order Date]],"")</f>
        <v>9</v>
      </c>
      <c r="AA740" s="56">
        <f>Supplier_Perf_Table[[#This Row],[Calculated_Lead_Time2]]-Supplier_Perf_Table[[#This Row],[Calculated_Expected_Lead_Time]]</f>
        <v>6</v>
      </c>
      <c r="AB740" s="75">
        <v>6</v>
      </c>
      <c r="AC740" s="63" t="s">
        <v>39</v>
      </c>
      <c r="AD740" s="63" t="s">
        <v>40</v>
      </c>
      <c r="AE740" s="63" t="s">
        <v>146</v>
      </c>
      <c r="AF740" s="63" t="s">
        <v>106</v>
      </c>
      <c r="AG740" s="63" t="s">
        <v>43</v>
      </c>
      <c r="AH740" s="63" t="s">
        <v>174</v>
      </c>
      <c r="AI740" s="63" t="s">
        <v>191</v>
      </c>
      <c r="AJ740" s="63" t="s">
        <v>138</v>
      </c>
      <c r="AK740" s="83">
        <v>-1</v>
      </c>
      <c r="AL740" s="63" t="s">
        <v>108</v>
      </c>
      <c r="AM740" s="63" t="s">
        <v>148</v>
      </c>
      <c r="AN740"/>
    </row>
    <row r="741" spans="1:40" ht="18" customHeight="1">
      <c r="A741" s="1" t="s">
        <v>2341</v>
      </c>
      <c r="B741" s="1" t="s">
        <v>2342</v>
      </c>
      <c r="C741" s="4">
        <v>46026</v>
      </c>
      <c r="D741" s="4">
        <v>46032</v>
      </c>
      <c r="E741" s="4">
        <v>46031</v>
      </c>
      <c r="F741" s="63" t="s">
        <v>60</v>
      </c>
      <c r="G741" s="63" t="s">
        <v>3837</v>
      </c>
      <c r="H741" s="63" t="s">
        <v>152</v>
      </c>
      <c r="I741" s="63" t="s">
        <v>120</v>
      </c>
      <c r="J741" s="63" t="s">
        <v>62</v>
      </c>
      <c r="K741" s="63" t="s">
        <v>1211</v>
      </c>
      <c r="L741" s="63" t="s">
        <v>64</v>
      </c>
      <c r="M741" s="69">
        <v>213.15</v>
      </c>
      <c r="N741" s="63" t="s">
        <v>38</v>
      </c>
      <c r="O741" s="73">
        <f>_xlfn.XLOOKUP(Supplier_Perf_Table[[#This Row],[Currency]],'Comments 2'!$C$4:$C$16,'Comments 2'!$D$4:$D$16)</f>
        <v>7.7000000000000002E-3</v>
      </c>
      <c r="P741" s="69">
        <f>IFERROR(Supplier_Perf_Table[[#This Row],[Unit_Cost]]*Supplier_Perf_Table[[#This Row],[Dollar Equivalent]],"")</f>
        <v>1.6412550000000001</v>
      </c>
      <c r="Q741" s="75">
        <v>150</v>
      </c>
      <c r="R741" s="1">
        <v>31972.5</v>
      </c>
      <c r="S741" s="75">
        <f>Supplier_Perf_Table[[#This Row],[Unit_Cost]]*Supplier_Perf_Table[[#This Row],[Order_Quantity]]</f>
        <v>31972.5</v>
      </c>
      <c r="T741" s="75">
        <f>IFERROR(Supplier_Perf_Table[[#This Row],[Dollar Equivalent]]*Supplier_Perf_Table[[#This Row],[Ordered_Value]],"")</f>
        <v>246.18825000000001</v>
      </c>
      <c r="U741" s="75">
        <v>5</v>
      </c>
      <c r="V741" s="7">
        <v>3.3300000000000003E-2</v>
      </c>
      <c r="W741" s="75">
        <v>5</v>
      </c>
      <c r="X741" s="55">
        <f>IFERROR(Supplier_Perf_Table[[#This Row],[Actual_Delivery_Date]]-Supplier_Perf_Table[[#This Row],[Order Date]],"")</f>
        <v>5</v>
      </c>
      <c r="Y741" s="75">
        <v>6</v>
      </c>
      <c r="Z741" s="56">
        <f>IFERROR(Supplier_Perf_Table[[#This Row],[Expected Delivery_Date]]-Supplier_Perf_Table[[#This Row],[Order Date]],"")</f>
        <v>6</v>
      </c>
      <c r="AA741" s="56">
        <f>Supplier_Perf_Table[[#This Row],[Calculated_Lead_Time2]]-Supplier_Perf_Table[[#This Row],[Calculated_Expected_Lead_Time]]</f>
        <v>-1</v>
      </c>
      <c r="AB741" s="75">
        <v>-1</v>
      </c>
      <c r="AC741" s="63" t="s">
        <v>87</v>
      </c>
      <c r="AD741" s="63" t="s">
        <v>40</v>
      </c>
      <c r="AE741" s="63" t="s">
        <v>105</v>
      </c>
      <c r="AF741" s="63" t="s">
        <v>106</v>
      </c>
      <c r="AG741" s="63" t="s">
        <v>107</v>
      </c>
      <c r="AH741" s="63" t="s">
        <v>174</v>
      </c>
      <c r="AI741" s="63" t="s">
        <v>137</v>
      </c>
      <c r="AJ741" s="63" t="s">
        <v>138</v>
      </c>
      <c r="AK741" s="83">
        <v>2.5</v>
      </c>
      <c r="AL741" s="63" t="s">
        <v>45</v>
      </c>
      <c r="AM741" s="63" t="s">
        <v>138</v>
      </c>
      <c r="AN741"/>
    </row>
    <row r="742" spans="1:40" ht="18" customHeight="1">
      <c r="A742" s="1" t="s">
        <v>2343</v>
      </c>
      <c r="B742" s="1" t="s">
        <v>2344</v>
      </c>
      <c r="C742" s="4">
        <v>46167</v>
      </c>
      <c r="D742" s="4">
        <v>46189</v>
      </c>
      <c r="E742" s="4">
        <v>46196</v>
      </c>
      <c r="F742" s="63" t="s">
        <v>118</v>
      </c>
      <c r="G742" s="63" t="s">
        <v>3842</v>
      </c>
      <c r="H742" s="63" t="s">
        <v>301</v>
      </c>
      <c r="I742" s="63" t="s">
        <v>178</v>
      </c>
      <c r="J742" s="63" t="s">
        <v>62</v>
      </c>
      <c r="K742" s="63" t="s">
        <v>2345</v>
      </c>
      <c r="L742" s="63" t="s">
        <v>64</v>
      </c>
      <c r="M742" s="69">
        <v>773.21</v>
      </c>
      <c r="N742" s="63" t="s">
        <v>65</v>
      </c>
      <c r="O742" s="73">
        <f>_xlfn.XLOOKUP(Supplier_Perf_Table[[#This Row],[Currency]],'Comments 2'!$C$4:$C$16,'Comments 2'!$D$4:$D$16)</f>
        <v>1</v>
      </c>
      <c r="P742" s="69">
        <f>IFERROR(Supplier_Perf_Table[[#This Row],[Unit_Cost]]*Supplier_Perf_Table[[#This Row],[Dollar Equivalent]],"")</f>
        <v>773.21</v>
      </c>
      <c r="Q742" s="75">
        <v>150</v>
      </c>
      <c r="R742" s="1">
        <v>115981.5</v>
      </c>
      <c r="S742" s="75">
        <f>Supplier_Perf_Table[[#This Row],[Unit_Cost]]*Supplier_Perf_Table[[#This Row],[Order_Quantity]]</f>
        <v>115981.5</v>
      </c>
      <c r="T742" s="75">
        <f>IFERROR(Supplier_Perf_Table[[#This Row],[Dollar Equivalent]]*Supplier_Perf_Table[[#This Row],[Ordered_Value]],"")</f>
        <v>115981.5</v>
      </c>
      <c r="U742" s="75">
        <v>1</v>
      </c>
      <c r="V742" s="7">
        <v>6.7000000000000002E-3</v>
      </c>
      <c r="W742" s="75">
        <v>29</v>
      </c>
      <c r="X742" s="55">
        <f>IFERROR(Supplier_Perf_Table[[#This Row],[Actual_Delivery_Date]]-Supplier_Perf_Table[[#This Row],[Order Date]],"")</f>
        <v>29</v>
      </c>
      <c r="Y742" s="75" t="s">
        <v>3080</v>
      </c>
      <c r="Z742" s="56">
        <f>IFERROR(Supplier_Perf_Table[[#This Row],[Expected Delivery_Date]]-Supplier_Perf_Table[[#This Row],[Order Date]],"")</f>
        <v>22</v>
      </c>
      <c r="AA742" s="56">
        <f>Supplier_Perf_Table[[#This Row],[Calculated_Lead_Time2]]-Supplier_Perf_Table[[#This Row],[Calculated_Expected_Lead_Time]]</f>
        <v>7</v>
      </c>
      <c r="AB742" s="75">
        <v>7</v>
      </c>
      <c r="AC742" s="63" t="s">
        <v>205</v>
      </c>
      <c r="AD742" s="63" t="s">
        <v>404</v>
      </c>
      <c r="AE742" s="63" t="s">
        <v>105</v>
      </c>
      <c r="AF742" s="63" t="s">
        <v>3088</v>
      </c>
      <c r="AG742" s="63" t="s">
        <v>43</v>
      </c>
      <c r="AH742" s="63" t="s">
        <v>206</v>
      </c>
      <c r="AI742" s="63" t="s">
        <v>56</v>
      </c>
      <c r="AJ742" s="63" t="s">
        <v>138</v>
      </c>
      <c r="AK742" s="83">
        <v>3</v>
      </c>
      <c r="AL742" s="63" t="s">
        <v>139</v>
      </c>
      <c r="AM742" s="63" t="s">
        <v>46</v>
      </c>
      <c r="AN742"/>
    </row>
    <row r="743" spans="1:40" ht="18" customHeight="1">
      <c r="A743" s="1" t="s">
        <v>2346</v>
      </c>
      <c r="B743" s="1" t="s">
        <v>2347</v>
      </c>
      <c r="C743" s="4">
        <v>46137</v>
      </c>
      <c r="D743" s="4">
        <v>46152</v>
      </c>
      <c r="E743" s="4">
        <v>46149</v>
      </c>
      <c r="F743" s="63" t="s">
        <v>69</v>
      </c>
      <c r="G743" s="63" t="s">
        <v>3838</v>
      </c>
      <c r="H743" s="63" t="s">
        <v>194</v>
      </c>
      <c r="I743" s="63" t="s">
        <v>70</v>
      </c>
      <c r="J743" s="63" t="s">
        <v>112</v>
      </c>
      <c r="K743" s="63" t="s">
        <v>2348</v>
      </c>
      <c r="L743" s="63" t="s">
        <v>246</v>
      </c>
      <c r="M743" s="69">
        <v>781.96</v>
      </c>
      <c r="N743" s="63" t="s">
        <v>86</v>
      </c>
      <c r="O743" s="73">
        <f>_xlfn.XLOOKUP(Supplier_Perf_Table[[#This Row],[Currency]],'Comments 2'!$C$4:$C$16,'Comments 2'!$D$4:$D$16)</f>
        <v>8.8999999999999996E-2</v>
      </c>
      <c r="P743" s="69">
        <f>IFERROR(Supplier_Perf_Table[[#This Row],[Unit_Cost]]*Supplier_Perf_Table[[#This Row],[Dollar Equivalent]],"")</f>
        <v>69.594440000000006</v>
      </c>
      <c r="Q743" s="75">
        <v>150</v>
      </c>
      <c r="R743" s="1">
        <v>117294</v>
      </c>
      <c r="S743" s="75">
        <f>Supplier_Perf_Table[[#This Row],[Unit_Cost]]*Supplier_Perf_Table[[#This Row],[Order_Quantity]]</f>
        <v>117294</v>
      </c>
      <c r="T743" s="75">
        <f>IFERROR(Supplier_Perf_Table[[#This Row],[Dollar Equivalent]]*Supplier_Perf_Table[[#This Row],[Ordered_Value]],"")</f>
        <v>10439.165999999999</v>
      </c>
      <c r="U743" s="75">
        <v>0</v>
      </c>
      <c r="V743" s="7">
        <v>0</v>
      </c>
      <c r="W743" s="75">
        <v>12</v>
      </c>
      <c r="X743" s="55">
        <f>IFERROR(Supplier_Perf_Table[[#This Row],[Actual_Delivery_Date]]-Supplier_Perf_Table[[#This Row],[Order Date]],"")</f>
        <v>12</v>
      </c>
      <c r="Y743" s="75">
        <v>15</v>
      </c>
      <c r="Z743" s="56">
        <f>IFERROR(Supplier_Perf_Table[[#This Row],[Expected Delivery_Date]]-Supplier_Perf_Table[[#This Row],[Order Date]],"")</f>
        <v>15</v>
      </c>
      <c r="AA743" s="56">
        <f>Supplier_Perf_Table[[#This Row],[Calculated_Lead_Time2]]-Supplier_Perf_Table[[#This Row],[Calculated_Expected_Lead_Time]]</f>
        <v>-3</v>
      </c>
      <c r="AB743" s="75">
        <v>-3</v>
      </c>
      <c r="AC743" s="63" t="s">
        <v>87</v>
      </c>
      <c r="AD743" s="63" t="s">
        <v>40</v>
      </c>
      <c r="AE743" s="63" t="s">
        <v>105</v>
      </c>
      <c r="AF743" s="63" t="s">
        <v>3088</v>
      </c>
      <c r="AG743" s="63" t="s">
        <v>43</v>
      </c>
      <c r="AH743" s="63" t="s">
        <v>129</v>
      </c>
      <c r="AI743" s="63" t="s">
        <v>191</v>
      </c>
      <c r="AJ743" s="63" t="s">
        <v>138</v>
      </c>
      <c r="AK743" s="83">
        <v>2.6</v>
      </c>
      <c r="AL743" s="63" t="s">
        <v>76</v>
      </c>
      <c r="AM743" s="63" t="s">
        <v>138</v>
      </c>
      <c r="AN743"/>
    </row>
    <row r="744" spans="1:40" ht="18" customHeight="1">
      <c r="A744" s="1" t="s">
        <v>2349</v>
      </c>
      <c r="B744" s="1" t="s">
        <v>2350</v>
      </c>
      <c r="C744" s="4">
        <v>46100</v>
      </c>
      <c r="D744" s="4">
        <v>46108</v>
      </c>
      <c r="E744" s="4">
        <v>46097</v>
      </c>
      <c r="F744" s="63" t="s">
        <v>151</v>
      </c>
      <c r="G744" s="63" t="s">
        <v>3844</v>
      </c>
      <c r="H744" s="63" t="s">
        <v>152</v>
      </c>
      <c r="I744" s="63" t="s">
        <v>120</v>
      </c>
      <c r="J744" s="63" t="s">
        <v>112</v>
      </c>
      <c r="K744" s="63" t="s">
        <v>2351</v>
      </c>
      <c r="L744" s="63" t="s">
        <v>229</v>
      </c>
      <c r="M744" s="69">
        <v>191</v>
      </c>
      <c r="N744" s="63" t="s">
        <v>65</v>
      </c>
      <c r="O744" s="73">
        <f>_xlfn.XLOOKUP(Supplier_Perf_Table[[#This Row],[Currency]],'Comments 2'!$C$4:$C$16,'Comments 2'!$D$4:$D$16)</f>
        <v>1</v>
      </c>
      <c r="P744" s="69">
        <f>IFERROR(Supplier_Perf_Table[[#This Row],[Unit_Cost]]*Supplier_Perf_Table[[#This Row],[Dollar Equivalent]],"")</f>
        <v>191</v>
      </c>
      <c r="Q744" s="75">
        <v>250</v>
      </c>
      <c r="R744" s="1">
        <v>47750</v>
      </c>
      <c r="S744" s="75">
        <f>Supplier_Perf_Table[[#This Row],[Unit_Cost]]*Supplier_Perf_Table[[#This Row],[Order_Quantity]]</f>
        <v>47750</v>
      </c>
      <c r="T744" s="75">
        <f>IFERROR(Supplier_Perf_Table[[#This Row],[Dollar Equivalent]]*Supplier_Perf_Table[[#This Row],[Ordered_Value]],"")</f>
        <v>47750</v>
      </c>
      <c r="U744" s="75">
        <v>5</v>
      </c>
      <c r="V744" s="7">
        <v>0.02</v>
      </c>
      <c r="W744" s="75">
        <v>-3</v>
      </c>
      <c r="X744" s="55">
        <f>IFERROR(Supplier_Perf_Table[[#This Row],[Actual_Delivery_Date]]-Supplier_Perf_Table[[#This Row],[Order Date]],"")</f>
        <v>-3</v>
      </c>
      <c r="Y744" s="75">
        <v>8</v>
      </c>
      <c r="Z744" s="56">
        <f>IFERROR(Supplier_Perf_Table[[#This Row],[Expected Delivery_Date]]-Supplier_Perf_Table[[#This Row],[Order Date]],"")</f>
        <v>8</v>
      </c>
      <c r="AA744" s="56">
        <f>Supplier_Perf_Table[[#This Row],[Calculated_Lead_Time2]]-Supplier_Perf_Table[[#This Row],[Calculated_Expected_Lead_Time]]</f>
        <v>-11</v>
      </c>
      <c r="AB744" s="75">
        <v>-11</v>
      </c>
      <c r="AC744" s="63" t="s">
        <v>362</v>
      </c>
      <c r="AD744" s="63" t="s">
        <v>40</v>
      </c>
      <c r="AE744" s="63" t="s">
        <v>41</v>
      </c>
      <c r="AF744" s="63" t="s">
        <v>66</v>
      </c>
      <c r="AG744" s="63" t="s">
        <v>43</v>
      </c>
      <c r="AH744" s="63" t="s">
        <v>206</v>
      </c>
      <c r="AI744" s="63" t="s">
        <v>191</v>
      </c>
      <c r="AJ744" s="63" t="s">
        <v>138</v>
      </c>
      <c r="AK744" s="83">
        <v>4.0999999999999996</v>
      </c>
      <c r="AL744" s="63" t="s">
        <v>115</v>
      </c>
      <c r="AM744" s="63" t="s">
        <v>138</v>
      </c>
      <c r="AN744"/>
    </row>
    <row r="745" spans="1:40" ht="18" customHeight="1">
      <c r="A745" s="1" t="s">
        <v>2211</v>
      </c>
      <c r="B745" s="1" t="s">
        <v>2352</v>
      </c>
      <c r="C745" s="4">
        <v>46118</v>
      </c>
      <c r="D745" s="4">
        <v>46130</v>
      </c>
      <c r="E745" s="4">
        <v>46129</v>
      </c>
      <c r="F745" s="63" t="s">
        <v>80</v>
      </c>
      <c r="G745" s="63" t="s">
        <v>3839</v>
      </c>
      <c r="H745" s="63" t="s">
        <v>82</v>
      </c>
      <c r="I745" s="63" t="s">
        <v>61</v>
      </c>
      <c r="J745" s="63" t="s">
        <v>62</v>
      </c>
      <c r="K745" s="63" t="s">
        <v>2353</v>
      </c>
      <c r="L745" s="63" t="s">
        <v>64</v>
      </c>
      <c r="M745" s="69">
        <v>594.03</v>
      </c>
      <c r="N745" s="63" t="s">
        <v>65</v>
      </c>
      <c r="O745" s="73">
        <f>_xlfn.XLOOKUP(Supplier_Perf_Table[[#This Row],[Currency]],'Comments 2'!$C$4:$C$16,'Comments 2'!$D$4:$D$16)</f>
        <v>1</v>
      </c>
      <c r="P745" s="69">
        <f>IFERROR(Supplier_Perf_Table[[#This Row],[Unit_Cost]]*Supplier_Perf_Table[[#This Row],[Dollar Equivalent]],"")</f>
        <v>594.03</v>
      </c>
      <c r="Q745" s="75">
        <v>75</v>
      </c>
      <c r="R745" s="1">
        <v>44552.25</v>
      </c>
      <c r="S745" s="75">
        <f>Supplier_Perf_Table[[#This Row],[Unit_Cost]]*Supplier_Perf_Table[[#This Row],[Order_Quantity]]</f>
        <v>44552.25</v>
      </c>
      <c r="T745" s="75">
        <f>IFERROR(Supplier_Perf_Table[[#This Row],[Dollar Equivalent]]*Supplier_Perf_Table[[#This Row],[Ordered_Value]],"")</f>
        <v>44552.25</v>
      </c>
      <c r="U745" s="75">
        <v>0</v>
      </c>
      <c r="V745" s="7">
        <v>0</v>
      </c>
      <c r="W745" s="75">
        <v>11</v>
      </c>
      <c r="X745" s="55">
        <f>IFERROR(Supplier_Perf_Table[[#This Row],[Actual_Delivery_Date]]-Supplier_Perf_Table[[#This Row],[Order Date]],"")</f>
        <v>11</v>
      </c>
      <c r="Y745" s="75">
        <v>12</v>
      </c>
      <c r="Z745" s="56">
        <f>IFERROR(Supplier_Perf_Table[[#This Row],[Expected Delivery_Date]]-Supplier_Perf_Table[[#This Row],[Order Date]],"")</f>
        <v>12</v>
      </c>
      <c r="AA745" s="56">
        <f>Supplier_Perf_Table[[#This Row],[Calculated_Lead_Time2]]-Supplier_Perf_Table[[#This Row],[Calculated_Expected_Lead_Time]]</f>
        <v>-1</v>
      </c>
      <c r="AB745" s="75"/>
      <c r="AC745" s="63" t="s">
        <v>87</v>
      </c>
      <c r="AD745" s="63" t="s">
        <v>40</v>
      </c>
      <c r="AE745" s="63" t="s">
        <v>105</v>
      </c>
      <c r="AF745" s="63" t="s">
        <v>3088</v>
      </c>
      <c r="AG745" s="63" t="s">
        <v>128</v>
      </c>
      <c r="AH745" s="63" t="s">
        <v>88</v>
      </c>
      <c r="AI745" s="63" t="s">
        <v>147</v>
      </c>
      <c r="AJ745" s="63" t="s">
        <v>138</v>
      </c>
      <c r="AK745" s="83">
        <v>2.4</v>
      </c>
      <c r="AL745" s="63" t="s">
        <v>139</v>
      </c>
      <c r="AM745" s="63" t="s">
        <v>138</v>
      </c>
      <c r="AN745"/>
    </row>
    <row r="746" spans="1:40" ht="18" customHeight="1">
      <c r="A746" s="1" t="s">
        <v>2354</v>
      </c>
      <c r="B746" s="1" t="s">
        <v>2355</v>
      </c>
      <c r="C746" s="4">
        <v>46103</v>
      </c>
      <c r="D746" s="4">
        <v>46110</v>
      </c>
      <c r="E746" s="4">
        <v>46108</v>
      </c>
      <c r="F746" s="63" t="s">
        <v>60</v>
      </c>
      <c r="G746" s="63" t="s">
        <v>3837</v>
      </c>
      <c r="H746" s="63" t="s">
        <v>152</v>
      </c>
      <c r="I746" s="63" t="s">
        <v>241</v>
      </c>
      <c r="J746" s="63" t="s">
        <v>35</v>
      </c>
      <c r="K746" s="63" t="s">
        <v>1229</v>
      </c>
      <c r="L746" s="63" t="s">
        <v>200</v>
      </c>
      <c r="M746" s="69">
        <v>1027.73</v>
      </c>
      <c r="N746" s="63" t="s">
        <v>86</v>
      </c>
      <c r="O746" s="73">
        <f>_xlfn.XLOOKUP(Supplier_Perf_Table[[#This Row],[Currency]],'Comments 2'!$C$4:$C$16,'Comments 2'!$D$4:$D$16)</f>
        <v>8.8999999999999996E-2</v>
      </c>
      <c r="P746" s="69">
        <f>IFERROR(Supplier_Perf_Table[[#This Row],[Unit_Cost]]*Supplier_Perf_Table[[#This Row],[Dollar Equivalent]],"")</f>
        <v>91.467969999999994</v>
      </c>
      <c r="Q746" s="75">
        <v>1000</v>
      </c>
      <c r="R746" s="1">
        <v>1027730</v>
      </c>
      <c r="S746" s="75">
        <f>Supplier_Perf_Table[[#This Row],[Unit_Cost]]*Supplier_Perf_Table[[#This Row],[Order_Quantity]]</f>
        <v>1027730</v>
      </c>
      <c r="T746" s="75">
        <f>IFERROR(Supplier_Perf_Table[[#This Row],[Dollar Equivalent]]*Supplier_Perf_Table[[#This Row],[Ordered_Value]],"")</f>
        <v>91467.97</v>
      </c>
      <c r="U746" s="75"/>
      <c r="V746" s="7">
        <v>1.4999999999999999E-2</v>
      </c>
      <c r="W746" s="75">
        <v>5</v>
      </c>
      <c r="X746" s="55">
        <f>IFERROR(Supplier_Perf_Table[[#This Row],[Actual_Delivery_Date]]-Supplier_Perf_Table[[#This Row],[Order Date]],"")</f>
        <v>5</v>
      </c>
      <c r="Y746" s="75">
        <v>7</v>
      </c>
      <c r="Z746" s="56">
        <f>IFERROR(Supplier_Perf_Table[[#This Row],[Expected Delivery_Date]]-Supplier_Perf_Table[[#This Row],[Order Date]],"")</f>
        <v>7</v>
      </c>
      <c r="AA746" s="56">
        <f>Supplier_Perf_Table[[#This Row],[Calculated_Lead_Time2]]-Supplier_Perf_Table[[#This Row],[Calculated_Expected_Lead_Time]]</f>
        <v>-2</v>
      </c>
      <c r="AB746" s="75">
        <v>-2</v>
      </c>
      <c r="AC746" s="63" t="s">
        <v>270</v>
      </c>
      <c r="AD746" s="63" t="s">
        <v>40</v>
      </c>
      <c r="AE746" s="63" t="s">
        <v>41</v>
      </c>
      <c r="AF746" s="63" t="s">
        <v>212</v>
      </c>
      <c r="AG746" s="63" t="s">
        <v>128</v>
      </c>
      <c r="AH746" s="63" t="s">
        <v>3112</v>
      </c>
      <c r="AI746" s="63" t="s">
        <v>137</v>
      </c>
      <c r="AJ746" s="63" t="s">
        <v>138</v>
      </c>
      <c r="AK746" s="83">
        <v>3.5</v>
      </c>
      <c r="AL746" s="63" t="s">
        <v>184</v>
      </c>
      <c r="AM746" s="63" t="s">
        <v>138</v>
      </c>
      <c r="AN746"/>
    </row>
    <row r="747" spans="1:40" ht="18" customHeight="1">
      <c r="A747" s="63" t="s">
        <v>2356</v>
      </c>
      <c r="B747" s="63" t="s">
        <v>2357</v>
      </c>
      <c r="C747" s="86">
        <v>46066</v>
      </c>
      <c r="D747" s="4">
        <v>46077</v>
      </c>
      <c r="E747" s="4">
        <v>46077</v>
      </c>
      <c r="F747" s="63" t="s">
        <v>69</v>
      </c>
      <c r="G747" s="63" t="s">
        <v>3838</v>
      </c>
      <c r="H747" s="63" t="s">
        <v>194</v>
      </c>
      <c r="I747" s="63" t="s">
        <v>70</v>
      </c>
      <c r="J747" s="63" t="s">
        <v>112</v>
      </c>
      <c r="K747" s="63" t="s">
        <v>2358</v>
      </c>
      <c r="L747" s="63" t="s">
        <v>218</v>
      </c>
      <c r="M747" s="69">
        <v>600.80999999999995</v>
      </c>
      <c r="N747" s="63" t="s">
        <v>86</v>
      </c>
      <c r="O747" s="73">
        <f>_xlfn.XLOOKUP(Supplier_Perf_Table[[#This Row],[Currency]],'Comments 2'!$C$4:$C$16,'Comments 2'!$D$4:$D$16)</f>
        <v>8.8999999999999996E-2</v>
      </c>
      <c r="P747" s="69">
        <f>IFERROR(Supplier_Perf_Table[[#This Row],[Unit_Cost]]*Supplier_Perf_Table[[#This Row],[Dollar Equivalent]],"")</f>
        <v>53.472089999999994</v>
      </c>
      <c r="Q747" s="75">
        <v>2000</v>
      </c>
      <c r="R747" s="1">
        <v>1201620</v>
      </c>
      <c r="S747" s="75">
        <f>Supplier_Perf_Table[[#This Row],[Unit_Cost]]*Supplier_Perf_Table[[#This Row],[Order_Quantity]]</f>
        <v>1201620</v>
      </c>
      <c r="T747" s="75">
        <f>IFERROR(Supplier_Perf_Table[[#This Row],[Dollar Equivalent]]*Supplier_Perf_Table[[#This Row],[Ordered_Value]],"")</f>
        <v>106944.18</v>
      </c>
      <c r="U747" s="75">
        <v>10</v>
      </c>
      <c r="V747" s="7">
        <v>5.0000000000000001E-3</v>
      </c>
      <c r="W747" s="75">
        <v>11</v>
      </c>
      <c r="X747" s="55">
        <f>IFERROR(Supplier_Perf_Table[[#This Row],[Actual_Delivery_Date]]-Supplier_Perf_Table[[#This Row],[Order Date]],"")</f>
        <v>11</v>
      </c>
      <c r="Y747" s="75">
        <v>11</v>
      </c>
      <c r="Z747" s="56">
        <f>IFERROR(Supplier_Perf_Table[[#This Row],[Expected Delivery_Date]]-Supplier_Perf_Table[[#This Row],[Order Date]],"")</f>
        <v>11</v>
      </c>
      <c r="AA747" s="56">
        <f>Supplier_Perf_Table[[#This Row],[Calculated_Lead_Time2]]-Supplier_Perf_Table[[#This Row],[Calculated_Expected_Lead_Time]]</f>
        <v>0</v>
      </c>
      <c r="AB747" s="75">
        <v>0</v>
      </c>
      <c r="AC747" s="63" t="s">
        <v>87</v>
      </c>
      <c r="AD747" s="63" t="s">
        <v>40</v>
      </c>
      <c r="AE747" s="63" t="s">
        <v>105</v>
      </c>
      <c r="AF747" s="63" t="s">
        <v>42</v>
      </c>
      <c r="AG747" s="63" t="s">
        <v>107</v>
      </c>
      <c r="AH747" s="63" t="s">
        <v>88</v>
      </c>
      <c r="AI747" s="63" t="s">
        <v>95</v>
      </c>
      <c r="AJ747" s="63" t="s">
        <v>138</v>
      </c>
      <c r="AK747" s="83">
        <v>2.6</v>
      </c>
      <c r="AL747" s="63" t="s">
        <v>108</v>
      </c>
      <c r="AM747" s="63" t="s">
        <v>138</v>
      </c>
      <c r="AN747"/>
    </row>
    <row r="748" spans="1:40" ht="18" customHeight="1">
      <c r="A748" s="1" t="s">
        <v>2359</v>
      </c>
      <c r="B748" s="1" t="s">
        <v>2360</v>
      </c>
      <c r="C748" s="4">
        <v>46127</v>
      </c>
      <c r="D748" s="4">
        <v>46140</v>
      </c>
      <c r="E748" s="4">
        <v>46141</v>
      </c>
      <c r="F748" s="63" t="s">
        <v>69</v>
      </c>
      <c r="G748" s="63" t="s">
        <v>3838</v>
      </c>
      <c r="H748" s="63" t="s">
        <v>194</v>
      </c>
      <c r="I748" s="63" t="s">
        <v>120</v>
      </c>
      <c r="J748" s="63" t="s">
        <v>112</v>
      </c>
      <c r="K748" s="63" t="s">
        <v>2361</v>
      </c>
      <c r="L748" s="63" t="s">
        <v>246</v>
      </c>
      <c r="M748" s="69">
        <v>303.37</v>
      </c>
      <c r="N748" s="63" t="s">
        <v>104</v>
      </c>
      <c r="O748" s="73">
        <f>_xlfn.XLOOKUP(Supplier_Perf_Table[[#This Row],[Currency]],'Comments 2'!$C$4:$C$16,'Comments 2'!$D$4:$D$16)</f>
        <v>1.9E-2</v>
      </c>
      <c r="P748" s="69">
        <f>IFERROR(Supplier_Perf_Table[[#This Row],[Unit_Cost]]*Supplier_Perf_Table[[#This Row],[Dollar Equivalent]],"")</f>
        <v>5.76403</v>
      </c>
      <c r="Q748" s="75">
        <v>250</v>
      </c>
      <c r="R748" s="1">
        <v>75842.5</v>
      </c>
      <c r="S748" s="75">
        <f>Supplier_Perf_Table[[#This Row],[Unit_Cost]]*Supplier_Perf_Table[[#This Row],[Order_Quantity]]</f>
        <v>75842.5</v>
      </c>
      <c r="T748" s="75">
        <f>IFERROR(Supplier_Perf_Table[[#This Row],[Dollar Equivalent]]*Supplier_Perf_Table[[#This Row],[Ordered_Value]],"")</f>
        <v>1441.0074999999999</v>
      </c>
      <c r="U748" s="75">
        <v>14</v>
      </c>
      <c r="V748" s="7">
        <v>5.6000000000000001E-2</v>
      </c>
      <c r="W748" s="75">
        <v>14</v>
      </c>
      <c r="X748" s="55">
        <f>IFERROR(Supplier_Perf_Table[[#This Row],[Actual_Delivery_Date]]-Supplier_Perf_Table[[#This Row],[Order Date]],"")</f>
        <v>14</v>
      </c>
      <c r="Y748" s="75" t="s">
        <v>3080</v>
      </c>
      <c r="Z748" s="56">
        <f>IFERROR(Supplier_Perf_Table[[#This Row],[Expected Delivery_Date]]-Supplier_Perf_Table[[#This Row],[Order Date]],"")</f>
        <v>13</v>
      </c>
      <c r="AA748" s="56">
        <f>Supplier_Perf_Table[[#This Row],[Calculated_Lead_Time2]]-Supplier_Perf_Table[[#This Row],[Calculated_Expected_Lead_Time]]</f>
        <v>1</v>
      </c>
      <c r="AB748" s="75">
        <v>1</v>
      </c>
      <c r="AC748" s="63" t="s">
        <v>135</v>
      </c>
      <c r="AD748" s="63" t="s">
        <v>420</v>
      </c>
      <c r="AE748" s="63" t="s">
        <v>105</v>
      </c>
      <c r="AF748" s="63" t="s">
        <v>106</v>
      </c>
      <c r="AG748" s="63" t="s">
        <v>173</v>
      </c>
      <c r="AH748" s="63" t="s">
        <v>88</v>
      </c>
      <c r="AI748" s="63" t="s">
        <v>44</v>
      </c>
      <c r="AJ748" s="63" t="s">
        <v>373</v>
      </c>
      <c r="AK748" s="83">
        <v>2.6</v>
      </c>
      <c r="AL748" s="63" t="s">
        <v>115</v>
      </c>
      <c r="AM748" s="63" t="s">
        <v>77</v>
      </c>
      <c r="AN748"/>
    </row>
    <row r="749" spans="1:40" ht="18" customHeight="1">
      <c r="A749" s="1" t="s">
        <v>2362</v>
      </c>
      <c r="B749" s="1" t="s">
        <v>2363</v>
      </c>
      <c r="C749" s="4">
        <v>46136</v>
      </c>
      <c r="D749" s="4">
        <v>46153</v>
      </c>
      <c r="E749" s="4">
        <v>46142</v>
      </c>
      <c r="F749" s="63" t="s">
        <v>235</v>
      </c>
      <c r="G749" s="63" t="s">
        <v>3848</v>
      </c>
      <c r="H749" s="63" t="s">
        <v>479</v>
      </c>
      <c r="I749" s="63" t="s">
        <v>178</v>
      </c>
      <c r="J749" s="63" t="s">
        <v>62</v>
      </c>
      <c r="K749" s="63" t="s">
        <v>1347</v>
      </c>
      <c r="L749" s="63" t="s">
        <v>94</v>
      </c>
      <c r="M749" s="69">
        <v>621.5</v>
      </c>
      <c r="N749" s="63" t="s">
        <v>159</v>
      </c>
      <c r="O749" s="73">
        <f>_xlfn.XLOOKUP(Supplier_Perf_Table[[#This Row],[Currency]],'Comments 2'!$C$4:$C$16,'Comments 2'!$D$4:$D$16)</f>
        <v>7.2999999999999996E-4</v>
      </c>
      <c r="P749" s="69">
        <f>IFERROR(Supplier_Perf_Table[[#This Row],[Unit_Cost]]*Supplier_Perf_Table[[#This Row],[Dollar Equivalent]],"")</f>
        <v>0.45369499999999996</v>
      </c>
      <c r="Q749" s="75">
        <v>50</v>
      </c>
      <c r="R749" s="1">
        <v>31075</v>
      </c>
      <c r="S749" s="75">
        <f>Supplier_Perf_Table[[#This Row],[Unit_Cost]]*Supplier_Perf_Table[[#This Row],[Order_Quantity]]</f>
        <v>31075</v>
      </c>
      <c r="T749" s="75">
        <f>IFERROR(Supplier_Perf_Table[[#This Row],[Dollar Equivalent]]*Supplier_Perf_Table[[#This Row],[Ordered_Value]],"")</f>
        <v>22.684749999999998</v>
      </c>
      <c r="U749" s="75">
        <v>0</v>
      </c>
      <c r="V749" s="7">
        <v>0</v>
      </c>
      <c r="W749" s="75" t="s">
        <v>3080</v>
      </c>
      <c r="X749" s="55">
        <f>IFERROR(Supplier_Perf_Table[[#This Row],[Actual_Delivery_Date]]-Supplier_Perf_Table[[#This Row],[Order Date]],"")</f>
        <v>6</v>
      </c>
      <c r="Y749" s="75">
        <v>17</v>
      </c>
      <c r="Z749" s="56">
        <f>IFERROR(Supplier_Perf_Table[[#This Row],[Expected Delivery_Date]]-Supplier_Perf_Table[[#This Row],[Order Date]],"")</f>
        <v>17</v>
      </c>
      <c r="AA749" s="56">
        <f>Supplier_Perf_Table[[#This Row],[Calculated_Lead_Time2]]-Supplier_Perf_Table[[#This Row],[Calculated_Expected_Lead_Time]]</f>
        <v>-11</v>
      </c>
      <c r="AB749" s="75">
        <v>-11</v>
      </c>
      <c r="AC749" s="63" t="s">
        <v>270</v>
      </c>
      <c r="AD749" s="63" t="s">
        <v>3088</v>
      </c>
      <c r="AE749" s="63" t="s">
        <v>105</v>
      </c>
      <c r="AF749" s="63" t="s">
        <v>66</v>
      </c>
      <c r="AG749" s="63" t="s">
        <v>173</v>
      </c>
      <c r="AH749" s="63" t="s">
        <v>136</v>
      </c>
      <c r="AI749" s="63" t="s">
        <v>56</v>
      </c>
      <c r="AJ749" s="63" t="s">
        <v>138</v>
      </c>
      <c r="AK749" s="83">
        <v>3.8</v>
      </c>
      <c r="AL749" s="63" t="s">
        <v>108</v>
      </c>
      <c r="AM749" s="63" t="s">
        <v>138</v>
      </c>
      <c r="AN749"/>
    </row>
    <row r="750" spans="1:40" ht="18" customHeight="1">
      <c r="A750" s="1" t="s">
        <v>2364</v>
      </c>
      <c r="B750" s="1" t="s">
        <v>2365</v>
      </c>
      <c r="C750" s="4">
        <v>46046</v>
      </c>
      <c r="D750" s="4">
        <v>46062</v>
      </c>
      <c r="E750" s="4">
        <v>46060</v>
      </c>
      <c r="F750" s="63" t="s">
        <v>209</v>
      </c>
      <c r="G750" s="63" t="s">
        <v>3845</v>
      </c>
      <c r="H750" s="63" t="s">
        <v>316</v>
      </c>
      <c r="I750" s="63" t="s">
        <v>83</v>
      </c>
      <c r="J750" s="63" t="s">
        <v>153</v>
      </c>
      <c r="K750" s="63" t="s">
        <v>2366</v>
      </c>
      <c r="L750" s="63" t="s">
        <v>295</v>
      </c>
      <c r="M750" s="69">
        <v>451.89</v>
      </c>
      <c r="N750" s="63" t="s">
        <v>38</v>
      </c>
      <c r="O750" s="73">
        <f>_xlfn.XLOOKUP(Supplier_Perf_Table[[#This Row],[Currency]],'Comments 2'!$C$4:$C$16,'Comments 2'!$D$4:$D$16)</f>
        <v>7.7000000000000002E-3</v>
      </c>
      <c r="P750" s="69">
        <f>IFERROR(Supplier_Perf_Table[[#This Row],[Unit_Cost]]*Supplier_Perf_Table[[#This Row],[Dollar Equivalent]],"")</f>
        <v>3.4795530000000001</v>
      </c>
      <c r="Q750" s="75">
        <v>150</v>
      </c>
      <c r="R750" s="1">
        <v>67783.5</v>
      </c>
      <c r="S750" s="75">
        <f>Supplier_Perf_Table[[#This Row],[Unit_Cost]]*Supplier_Perf_Table[[#This Row],[Order_Quantity]]</f>
        <v>67783.5</v>
      </c>
      <c r="T750" s="75">
        <f>IFERROR(Supplier_Perf_Table[[#This Row],[Dollar Equivalent]]*Supplier_Perf_Table[[#This Row],[Ordered_Value]],"")</f>
        <v>521.93295000000001</v>
      </c>
      <c r="U750" s="75">
        <v>0</v>
      </c>
      <c r="V750" s="7">
        <v>0</v>
      </c>
      <c r="W750" s="75">
        <v>14</v>
      </c>
      <c r="X750" s="55">
        <f>IFERROR(Supplier_Perf_Table[[#This Row],[Actual_Delivery_Date]]-Supplier_Perf_Table[[#This Row],[Order Date]],"")</f>
        <v>14</v>
      </c>
      <c r="Y750" s="75">
        <v>16</v>
      </c>
      <c r="Z750" s="56">
        <f>IFERROR(Supplier_Perf_Table[[#This Row],[Expected Delivery_Date]]-Supplier_Perf_Table[[#This Row],[Order Date]],"")</f>
        <v>16</v>
      </c>
      <c r="AA750" s="56">
        <f>Supplier_Perf_Table[[#This Row],[Calculated_Lead_Time2]]-Supplier_Perf_Table[[#This Row],[Calculated_Expected_Lead_Time]]</f>
        <v>-2</v>
      </c>
      <c r="AB750" s="75">
        <v>-2</v>
      </c>
      <c r="AC750" s="63" t="s">
        <v>270</v>
      </c>
      <c r="AD750" s="63" t="s">
        <v>404</v>
      </c>
      <c r="AE750" s="63" t="s">
        <v>146</v>
      </c>
      <c r="AF750" s="63" t="s">
        <v>42</v>
      </c>
      <c r="AG750" s="63" t="s">
        <v>173</v>
      </c>
      <c r="AH750" s="63" t="s">
        <v>174</v>
      </c>
      <c r="AI750" s="63" t="s">
        <v>147</v>
      </c>
      <c r="AJ750" s="63" t="s">
        <v>138</v>
      </c>
      <c r="AK750" s="83">
        <v>4.0999999999999996</v>
      </c>
      <c r="AL750" s="63" t="s">
        <v>76</v>
      </c>
      <c r="AM750" s="63" t="s">
        <v>130</v>
      </c>
      <c r="AN750"/>
    </row>
    <row r="751" spans="1:40" ht="18" customHeight="1">
      <c r="A751" s="1" t="s">
        <v>2367</v>
      </c>
      <c r="B751" s="1" t="s">
        <v>2368</v>
      </c>
      <c r="C751" s="4">
        <v>46100</v>
      </c>
      <c r="D751" s="4">
        <v>46118</v>
      </c>
      <c r="E751" s="4">
        <v>46112</v>
      </c>
      <c r="F751" s="63" t="s">
        <v>90</v>
      </c>
      <c r="G751" s="63" t="s">
        <v>3840</v>
      </c>
      <c r="H751" s="63" t="s">
        <v>133</v>
      </c>
      <c r="I751" s="63" t="s">
        <v>70</v>
      </c>
      <c r="J751" s="63" t="s">
        <v>71</v>
      </c>
      <c r="K751" s="63" t="s">
        <v>2369</v>
      </c>
      <c r="L751" s="63" t="s">
        <v>73</v>
      </c>
      <c r="M751" s="69">
        <v>826.52</v>
      </c>
      <c r="N751" s="63" t="s">
        <v>38</v>
      </c>
      <c r="O751" s="73">
        <f>_xlfn.XLOOKUP(Supplier_Perf_Table[[#This Row],[Currency]],'Comments 2'!$C$4:$C$16,'Comments 2'!$D$4:$D$16)</f>
        <v>7.7000000000000002E-3</v>
      </c>
      <c r="P751" s="69">
        <f>IFERROR(Supplier_Perf_Table[[#This Row],[Unit_Cost]]*Supplier_Perf_Table[[#This Row],[Dollar Equivalent]],"")</f>
        <v>6.364204</v>
      </c>
      <c r="Q751" s="75">
        <v>750</v>
      </c>
      <c r="R751" s="1">
        <v>619890</v>
      </c>
      <c r="S751" s="75">
        <f>Supplier_Perf_Table[[#This Row],[Unit_Cost]]*Supplier_Perf_Table[[#This Row],[Order_Quantity]]</f>
        <v>619890</v>
      </c>
      <c r="T751" s="75">
        <f>IFERROR(Supplier_Perf_Table[[#This Row],[Dollar Equivalent]]*Supplier_Perf_Table[[#This Row],[Ordered_Value]],"")</f>
        <v>4773.1530000000002</v>
      </c>
      <c r="U751" s="75">
        <v>0</v>
      </c>
      <c r="V751" s="7">
        <v>0</v>
      </c>
      <c r="W751" s="75">
        <v>12</v>
      </c>
      <c r="X751" s="55">
        <f>IFERROR(Supplier_Perf_Table[[#This Row],[Actual_Delivery_Date]]-Supplier_Perf_Table[[#This Row],[Order Date]],"")</f>
        <v>12</v>
      </c>
      <c r="Y751" s="75">
        <v>18</v>
      </c>
      <c r="Z751" s="56">
        <f>IFERROR(Supplier_Perf_Table[[#This Row],[Expected Delivery_Date]]-Supplier_Perf_Table[[#This Row],[Order Date]],"")</f>
        <v>18</v>
      </c>
      <c r="AA751" s="56">
        <f>Supplier_Perf_Table[[#This Row],[Calculated_Lead_Time2]]-Supplier_Perf_Table[[#This Row],[Calculated_Expected_Lead_Time]]</f>
        <v>-6</v>
      </c>
      <c r="AB751" s="75">
        <v>-6</v>
      </c>
      <c r="AC751" s="63" t="s">
        <v>87</v>
      </c>
      <c r="AD751" s="63" t="s">
        <v>40</v>
      </c>
      <c r="AE751" s="63" t="s">
        <v>146</v>
      </c>
      <c r="AF751" s="63" t="s">
        <v>66</v>
      </c>
      <c r="AG751" s="63" t="s">
        <v>43</v>
      </c>
      <c r="AH751" s="63" t="s">
        <v>136</v>
      </c>
      <c r="AI751" s="63" t="s">
        <v>191</v>
      </c>
      <c r="AJ751" s="63" t="s">
        <v>138</v>
      </c>
      <c r="AK751" s="83">
        <v>3</v>
      </c>
      <c r="AL751" s="63" t="s">
        <v>45</v>
      </c>
      <c r="AM751" s="63" t="s">
        <v>130</v>
      </c>
      <c r="AN751"/>
    </row>
    <row r="752" spans="1:40" ht="18" customHeight="1">
      <c r="A752" s="1" t="s">
        <v>2370</v>
      </c>
      <c r="B752" s="1" t="s">
        <v>2371</v>
      </c>
      <c r="C752" s="4">
        <v>46060</v>
      </c>
      <c r="D752" s="4">
        <v>46066</v>
      </c>
      <c r="E752" s="4">
        <v>46064</v>
      </c>
      <c r="F752" s="63" t="s">
        <v>209</v>
      </c>
      <c r="G752" s="63" t="s">
        <v>3845</v>
      </c>
      <c r="H752" s="63" t="s">
        <v>316</v>
      </c>
      <c r="I752" s="63" t="s">
        <v>49</v>
      </c>
      <c r="J752" s="63" t="s">
        <v>153</v>
      </c>
      <c r="K752" s="63" t="s">
        <v>2372</v>
      </c>
      <c r="L752" s="63" t="s">
        <v>318</v>
      </c>
      <c r="M752" s="69">
        <v>697.16</v>
      </c>
      <c r="N752" s="63" t="s">
        <v>104</v>
      </c>
      <c r="O752" s="73">
        <f>_xlfn.XLOOKUP(Supplier_Perf_Table[[#This Row],[Currency]],'Comments 2'!$C$4:$C$16,'Comments 2'!$D$4:$D$16)</f>
        <v>1.9E-2</v>
      </c>
      <c r="P752" s="69">
        <f>IFERROR(Supplier_Perf_Table[[#This Row],[Unit_Cost]]*Supplier_Perf_Table[[#This Row],[Dollar Equivalent]],"")</f>
        <v>13.246039999999999</v>
      </c>
      <c r="Q752" s="75">
        <v>50</v>
      </c>
      <c r="R752" s="1">
        <v>34858</v>
      </c>
      <c r="S752" s="75">
        <f>Supplier_Perf_Table[[#This Row],[Unit_Cost]]*Supplier_Perf_Table[[#This Row],[Order_Quantity]]</f>
        <v>34858</v>
      </c>
      <c r="T752" s="75">
        <f>IFERROR(Supplier_Perf_Table[[#This Row],[Dollar Equivalent]]*Supplier_Perf_Table[[#This Row],[Ordered_Value]],"")</f>
        <v>662.30200000000002</v>
      </c>
      <c r="U752" s="75">
        <v>0</v>
      </c>
      <c r="V752" s="7">
        <v>0</v>
      </c>
      <c r="W752" s="75">
        <v>4</v>
      </c>
      <c r="X752" s="55">
        <f>IFERROR(Supplier_Perf_Table[[#This Row],[Actual_Delivery_Date]]-Supplier_Perf_Table[[#This Row],[Order Date]],"")</f>
        <v>4</v>
      </c>
      <c r="Y752" s="75">
        <v>6</v>
      </c>
      <c r="Z752" s="56">
        <f>IFERROR(Supplier_Perf_Table[[#This Row],[Expected Delivery_Date]]-Supplier_Perf_Table[[#This Row],[Order Date]],"")</f>
        <v>6</v>
      </c>
      <c r="AA752" s="56">
        <f>Supplier_Perf_Table[[#This Row],[Calculated_Lead_Time2]]-Supplier_Perf_Table[[#This Row],[Calculated_Expected_Lead_Time]]</f>
        <v>-2</v>
      </c>
      <c r="AB752" s="75">
        <v>-2</v>
      </c>
      <c r="AC752" s="63" t="s">
        <v>87</v>
      </c>
      <c r="AD752" s="63" t="s">
        <v>40</v>
      </c>
      <c r="AE752" s="63" t="s">
        <v>41</v>
      </c>
      <c r="AF752" s="63" t="s">
        <v>66</v>
      </c>
      <c r="AG752" s="63" t="s">
        <v>107</v>
      </c>
      <c r="AH752" s="63" t="s">
        <v>55</v>
      </c>
      <c r="AI752" s="63" t="s">
        <v>137</v>
      </c>
      <c r="AJ752" s="63" t="s">
        <v>138</v>
      </c>
      <c r="AK752" s="83">
        <v>2.5</v>
      </c>
      <c r="AL752" s="63" t="s">
        <v>45</v>
      </c>
      <c r="AM752" s="63" t="s">
        <v>138</v>
      </c>
      <c r="AN752"/>
    </row>
    <row r="753" spans="1:40" ht="18" customHeight="1">
      <c r="A753" s="1" t="s">
        <v>2373</v>
      </c>
      <c r="B753" s="1" t="s">
        <v>2374</v>
      </c>
      <c r="C753" s="4">
        <v>46120</v>
      </c>
      <c r="D753" s="4">
        <v>46132</v>
      </c>
      <c r="E753" s="4">
        <v>46135</v>
      </c>
      <c r="F753" s="63" t="s">
        <v>162</v>
      </c>
      <c r="G753" s="63" t="s">
        <v>3847</v>
      </c>
      <c r="H753" s="63" t="s">
        <v>152</v>
      </c>
      <c r="I753" s="63" t="s">
        <v>241</v>
      </c>
      <c r="J753" s="63" t="s">
        <v>50</v>
      </c>
      <c r="K753" s="63" t="s">
        <v>2375</v>
      </c>
      <c r="L753" s="63" t="s">
        <v>145</v>
      </c>
      <c r="M753" s="69">
        <v>1897.71</v>
      </c>
      <c r="N753" s="63" t="s">
        <v>65</v>
      </c>
      <c r="O753" s="73">
        <f>_xlfn.XLOOKUP(Supplier_Perf_Table[[#This Row],[Currency]],'Comments 2'!$C$4:$C$16,'Comments 2'!$D$4:$D$16)</f>
        <v>1</v>
      </c>
      <c r="P753" s="69">
        <f>IFERROR(Supplier_Perf_Table[[#This Row],[Unit_Cost]]*Supplier_Perf_Table[[#This Row],[Dollar Equivalent]],"")</f>
        <v>1897.71</v>
      </c>
      <c r="Q753" s="75">
        <v>2000</v>
      </c>
      <c r="R753" s="1">
        <v>3795420</v>
      </c>
      <c r="S753" s="75">
        <f>Supplier_Perf_Table[[#This Row],[Unit_Cost]]*Supplier_Perf_Table[[#This Row],[Order_Quantity]]</f>
        <v>3795420</v>
      </c>
      <c r="T753" s="75">
        <f>IFERROR(Supplier_Perf_Table[[#This Row],[Dollar Equivalent]]*Supplier_Perf_Table[[#This Row],[Ordered_Value]],"")</f>
        <v>3795420</v>
      </c>
      <c r="U753" s="75">
        <v>38</v>
      </c>
      <c r="V753" s="7">
        <v>1.9E-2</v>
      </c>
      <c r="W753" s="75">
        <v>15</v>
      </c>
      <c r="X753" s="55">
        <f>IFERROR(Supplier_Perf_Table[[#This Row],[Actual_Delivery_Date]]-Supplier_Perf_Table[[#This Row],[Order Date]],"")</f>
        <v>15</v>
      </c>
      <c r="Y753" s="75">
        <v>12</v>
      </c>
      <c r="Z753" s="56">
        <f>IFERROR(Supplier_Perf_Table[[#This Row],[Expected Delivery_Date]]-Supplier_Perf_Table[[#This Row],[Order Date]],"")</f>
        <v>12</v>
      </c>
      <c r="AA753" s="56">
        <f>Supplier_Perf_Table[[#This Row],[Calculated_Lead_Time2]]-Supplier_Perf_Table[[#This Row],[Calculated_Expected_Lead_Time]]</f>
        <v>3</v>
      </c>
      <c r="AB753" s="75">
        <v>3</v>
      </c>
      <c r="AC753" s="63" t="s">
        <v>135</v>
      </c>
      <c r="AD753" s="63" t="s">
        <v>40</v>
      </c>
      <c r="AE753" s="63" t="s">
        <v>41</v>
      </c>
      <c r="AF753" s="63" t="s">
        <v>212</v>
      </c>
      <c r="AG753" s="63" t="s">
        <v>54</v>
      </c>
      <c r="AH753" s="63" t="s">
        <v>3112</v>
      </c>
      <c r="AI753" s="63" t="s">
        <v>95</v>
      </c>
      <c r="AJ753" s="63" t="s">
        <v>138</v>
      </c>
      <c r="AK753" s="83">
        <v>2.6</v>
      </c>
      <c r="AL753" s="63" t="s">
        <v>108</v>
      </c>
      <c r="AM753" s="63" t="s">
        <v>46</v>
      </c>
      <c r="AN753"/>
    </row>
    <row r="754" spans="1:40" ht="18" customHeight="1">
      <c r="A754" s="1" t="s">
        <v>2376</v>
      </c>
      <c r="B754" s="1" t="s">
        <v>2377</v>
      </c>
      <c r="C754" s="4">
        <v>46023</v>
      </c>
      <c r="D754" s="4">
        <v>46038</v>
      </c>
      <c r="E754" s="4">
        <v>46039</v>
      </c>
      <c r="F754" s="63" t="s">
        <v>142</v>
      </c>
      <c r="G754" s="63" t="s">
        <v>3843</v>
      </c>
      <c r="H754" s="63" t="s">
        <v>169</v>
      </c>
      <c r="I754" s="63" t="s">
        <v>120</v>
      </c>
      <c r="J754" s="63" t="s">
        <v>50</v>
      </c>
      <c r="K754" s="63" t="s">
        <v>2378</v>
      </c>
      <c r="L754" s="63" t="s">
        <v>126</v>
      </c>
      <c r="M754" s="69">
        <v>2127.3200000000002</v>
      </c>
      <c r="N754" s="63" t="s">
        <v>65</v>
      </c>
      <c r="O754" s="73">
        <f>_xlfn.XLOOKUP(Supplier_Perf_Table[[#This Row],[Currency]],'Comments 2'!$C$4:$C$16,'Comments 2'!$D$4:$D$16)</f>
        <v>1</v>
      </c>
      <c r="P754" s="69">
        <f>IFERROR(Supplier_Perf_Table[[#This Row],[Unit_Cost]]*Supplier_Perf_Table[[#This Row],[Dollar Equivalent]],"")</f>
        <v>2127.3200000000002</v>
      </c>
      <c r="Q754" s="75">
        <v>500</v>
      </c>
      <c r="R754" s="1">
        <v>1063660</v>
      </c>
      <c r="S754" s="75">
        <f>Supplier_Perf_Table[[#This Row],[Unit_Cost]]*Supplier_Perf_Table[[#This Row],[Order_Quantity]]</f>
        <v>1063660</v>
      </c>
      <c r="T754" s="75">
        <f>IFERROR(Supplier_Perf_Table[[#This Row],[Dollar Equivalent]]*Supplier_Perf_Table[[#This Row],[Ordered_Value]],"")</f>
        <v>1063660</v>
      </c>
      <c r="U754" s="75">
        <v>9</v>
      </c>
      <c r="V754" s="7">
        <v>1.7999999999999999E-2</v>
      </c>
      <c r="W754" s="75">
        <v>16</v>
      </c>
      <c r="X754" s="55">
        <f>IFERROR(Supplier_Perf_Table[[#This Row],[Actual_Delivery_Date]]-Supplier_Perf_Table[[#This Row],[Order Date]],"")</f>
        <v>16</v>
      </c>
      <c r="Y754" s="75">
        <v>15</v>
      </c>
      <c r="Z754" s="56">
        <f>IFERROR(Supplier_Perf_Table[[#This Row],[Expected Delivery_Date]]-Supplier_Perf_Table[[#This Row],[Order Date]],"")</f>
        <v>15</v>
      </c>
      <c r="AA754" s="56">
        <f>Supplier_Perf_Table[[#This Row],[Calculated_Lead_Time2]]-Supplier_Perf_Table[[#This Row],[Calculated_Expected_Lead_Time]]</f>
        <v>1</v>
      </c>
      <c r="AB754" s="75">
        <v>1</v>
      </c>
      <c r="AC754" s="63" t="s">
        <v>135</v>
      </c>
      <c r="AD754" s="63" t="s">
        <v>40</v>
      </c>
      <c r="AE754" s="63" t="s">
        <v>105</v>
      </c>
      <c r="AF754" s="63" t="s">
        <v>106</v>
      </c>
      <c r="AG754" s="63" t="s">
        <v>3088</v>
      </c>
      <c r="AH754" s="63" t="s">
        <v>174</v>
      </c>
      <c r="AI754" s="63" t="s">
        <v>44</v>
      </c>
      <c r="AJ754" s="63" t="s">
        <v>138</v>
      </c>
      <c r="AK754" s="83">
        <v>3.1</v>
      </c>
      <c r="AL754" s="63" t="s">
        <v>115</v>
      </c>
      <c r="AM754" s="63" t="s">
        <v>46</v>
      </c>
      <c r="AN754"/>
    </row>
    <row r="755" spans="1:40" ht="18" customHeight="1">
      <c r="A755" s="1" t="s">
        <v>2379</v>
      </c>
      <c r="B755" s="1" t="s">
        <v>2380</v>
      </c>
      <c r="C755" s="4">
        <v>46111</v>
      </c>
      <c r="D755" s="4">
        <v>46118</v>
      </c>
      <c r="E755" s="4">
        <v>46115</v>
      </c>
      <c r="F755" s="63" t="s">
        <v>162</v>
      </c>
      <c r="G755" s="63" t="s">
        <v>3847</v>
      </c>
      <c r="H755" s="63" t="s">
        <v>152</v>
      </c>
      <c r="I755" s="63" t="s">
        <v>49</v>
      </c>
      <c r="J755" s="63" t="s">
        <v>163</v>
      </c>
      <c r="K755" s="63" t="s">
        <v>2381</v>
      </c>
      <c r="L755" s="63" t="s">
        <v>269</v>
      </c>
      <c r="M755" s="69">
        <v>1354.11</v>
      </c>
      <c r="N755" s="63" t="s">
        <v>159</v>
      </c>
      <c r="O755" s="73">
        <f>_xlfn.XLOOKUP(Supplier_Perf_Table[[#This Row],[Currency]],'Comments 2'!$C$4:$C$16,'Comments 2'!$D$4:$D$16)</f>
        <v>7.2999999999999996E-4</v>
      </c>
      <c r="P755" s="69">
        <f>IFERROR(Supplier_Perf_Table[[#This Row],[Unit_Cost]]*Supplier_Perf_Table[[#This Row],[Dollar Equivalent]],"")</f>
        <v>0.98850029999999989</v>
      </c>
      <c r="Q755" s="75">
        <v>75</v>
      </c>
      <c r="R755" s="1">
        <v>101558.25</v>
      </c>
      <c r="S755" s="75">
        <f>Supplier_Perf_Table[[#This Row],[Unit_Cost]]*Supplier_Perf_Table[[#This Row],[Order_Quantity]]</f>
        <v>101558.24999999999</v>
      </c>
      <c r="T755" s="75">
        <f>IFERROR(Supplier_Perf_Table[[#This Row],[Dollar Equivalent]]*Supplier_Perf_Table[[#This Row],[Ordered_Value]],"")</f>
        <v>74.137522500000003</v>
      </c>
      <c r="U755" s="75">
        <v>0</v>
      </c>
      <c r="V755" s="7">
        <v>0</v>
      </c>
      <c r="W755" s="75">
        <v>4</v>
      </c>
      <c r="X755" s="55">
        <f>IFERROR(Supplier_Perf_Table[[#This Row],[Actual_Delivery_Date]]-Supplier_Perf_Table[[#This Row],[Order Date]],"")</f>
        <v>4</v>
      </c>
      <c r="Y755" s="75">
        <v>7</v>
      </c>
      <c r="Z755" s="56">
        <f>IFERROR(Supplier_Perf_Table[[#This Row],[Expected Delivery_Date]]-Supplier_Perf_Table[[#This Row],[Order Date]],"")</f>
        <v>7</v>
      </c>
      <c r="AA755" s="56">
        <f>Supplier_Perf_Table[[#This Row],[Calculated_Lead_Time2]]-Supplier_Perf_Table[[#This Row],[Calculated_Expected_Lead_Time]]</f>
        <v>-3</v>
      </c>
      <c r="AB755" s="75">
        <v>-3</v>
      </c>
      <c r="AC755" s="63" t="s">
        <v>87</v>
      </c>
      <c r="AD755" s="63" t="s">
        <v>40</v>
      </c>
      <c r="AE755" s="63" t="s">
        <v>146</v>
      </c>
      <c r="AF755" s="63" t="s">
        <v>106</v>
      </c>
      <c r="AG755" s="63" t="s">
        <v>107</v>
      </c>
      <c r="AH755" s="63" t="s">
        <v>3112</v>
      </c>
      <c r="AI755" s="63" t="s">
        <v>147</v>
      </c>
      <c r="AJ755" s="63" t="s">
        <v>138</v>
      </c>
      <c r="AK755" s="83">
        <v>2.1</v>
      </c>
      <c r="AL755" s="63" t="s">
        <v>57</v>
      </c>
      <c r="AM755" s="63" t="s">
        <v>130</v>
      </c>
      <c r="AN755"/>
    </row>
    <row r="756" spans="1:40" ht="18" customHeight="1">
      <c r="A756" s="1" t="s">
        <v>2382</v>
      </c>
      <c r="B756" s="1" t="s">
        <v>2383</v>
      </c>
      <c r="C756" s="4">
        <v>46046</v>
      </c>
      <c r="D756" s="4">
        <v>46054</v>
      </c>
      <c r="E756" s="4">
        <v>46056</v>
      </c>
      <c r="F756" s="63" t="s">
        <v>69</v>
      </c>
      <c r="G756" s="63" t="s">
        <v>3838</v>
      </c>
      <c r="H756" s="63" t="s">
        <v>194</v>
      </c>
      <c r="I756" s="63" t="s">
        <v>120</v>
      </c>
      <c r="J756" s="63" t="s">
        <v>112</v>
      </c>
      <c r="K756" s="63" t="s">
        <v>2384</v>
      </c>
      <c r="L756" s="63" t="s">
        <v>114</v>
      </c>
      <c r="M756" s="69">
        <v>76.72</v>
      </c>
      <c r="N756" s="63" t="s">
        <v>3078</v>
      </c>
      <c r="O756" s="73">
        <f>_xlfn.XLOOKUP(Supplier_Perf_Table[[#This Row],[Currency]],'Comments 2'!$C$4:$C$16,'Comments 2'!$D$4:$D$16)</f>
        <v>2.7E-4</v>
      </c>
      <c r="P756" s="69">
        <f>IFERROR(Supplier_Perf_Table[[#This Row],[Unit_Cost]]*Supplier_Perf_Table[[#This Row],[Dollar Equivalent]],"")</f>
        <v>2.0714400000000001E-2</v>
      </c>
      <c r="Q756" s="75">
        <v>75</v>
      </c>
      <c r="R756" s="1">
        <v>5754</v>
      </c>
      <c r="S756" s="75">
        <f>Supplier_Perf_Table[[#This Row],[Unit_Cost]]*Supplier_Perf_Table[[#This Row],[Order_Quantity]]</f>
        <v>5754</v>
      </c>
      <c r="T756" s="75">
        <f>IFERROR(Supplier_Perf_Table[[#This Row],[Dollar Equivalent]]*Supplier_Perf_Table[[#This Row],[Ordered_Value]],"")</f>
        <v>1.55358</v>
      </c>
      <c r="U756" s="75">
        <v>0</v>
      </c>
      <c r="V756" s="7">
        <v>0</v>
      </c>
      <c r="W756" s="75">
        <v>10</v>
      </c>
      <c r="X756" s="55">
        <f>IFERROR(Supplier_Perf_Table[[#This Row],[Actual_Delivery_Date]]-Supplier_Perf_Table[[#This Row],[Order Date]],"")</f>
        <v>10</v>
      </c>
      <c r="Y756" s="75">
        <v>8</v>
      </c>
      <c r="Z756" s="56">
        <f>IFERROR(Supplier_Perf_Table[[#This Row],[Expected Delivery_Date]]-Supplier_Perf_Table[[#This Row],[Order Date]],"")</f>
        <v>8</v>
      </c>
      <c r="AA756" s="56">
        <f>Supplier_Perf_Table[[#This Row],[Calculated_Lead_Time2]]-Supplier_Perf_Table[[#This Row],[Calculated_Expected_Lead_Time]]</f>
        <v>2</v>
      </c>
      <c r="AB756" s="75">
        <v>2</v>
      </c>
      <c r="AC756" s="63" t="s">
        <v>166</v>
      </c>
      <c r="AD756" s="63" t="s">
        <v>40</v>
      </c>
      <c r="AE756" s="63" t="s">
        <v>105</v>
      </c>
      <c r="AF756" s="63" t="s">
        <v>3088</v>
      </c>
      <c r="AG756" s="63" t="s">
        <v>43</v>
      </c>
      <c r="AH756" s="63" t="s">
        <v>3112</v>
      </c>
      <c r="AI756" s="63" t="s">
        <v>137</v>
      </c>
      <c r="AJ756" s="63" t="s">
        <v>138</v>
      </c>
      <c r="AK756" s="83">
        <v>2.2999999999999998</v>
      </c>
      <c r="AL756" s="63" t="s">
        <v>115</v>
      </c>
      <c r="AM756" s="63" t="s">
        <v>46</v>
      </c>
      <c r="AN756"/>
    </row>
    <row r="757" spans="1:40" ht="18" customHeight="1">
      <c r="A757" s="1" t="s">
        <v>2385</v>
      </c>
      <c r="B757" s="1" t="s">
        <v>2386</v>
      </c>
      <c r="C757" s="4">
        <v>46174</v>
      </c>
      <c r="D757" s="4">
        <v>46183</v>
      </c>
      <c r="E757" s="4">
        <v>46188</v>
      </c>
      <c r="F757" s="63" t="s">
        <v>80</v>
      </c>
      <c r="G757" s="63" t="s">
        <v>3839</v>
      </c>
      <c r="H757" s="63" t="s">
        <v>82</v>
      </c>
      <c r="I757" s="63" t="s">
        <v>241</v>
      </c>
      <c r="J757" s="63" t="s">
        <v>163</v>
      </c>
      <c r="K757" s="63" t="s">
        <v>2387</v>
      </c>
      <c r="L757" s="63" t="s">
        <v>269</v>
      </c>
      <c r="M757" s="69">
        <v>323.61</v>
      </c>
      <c r="N757" s="63" t="s">
        <v>3076</v>
      </c>
      <c r="O757" s="73">
        <f>_xlfn.XLOOKUP(Supplier_Perf_Table[[#This Row],[Currency]],'Comments 2'!$C$4:$C$16,'Comments 2'!$D$4:$D$16)</f>
        <v>6.8000000000000005E-4</v>
      </c>
      <c r="P757" s="69">
        <f>IFERROR(Supplier_Perf_Table[[#This Row],[Unit_Cost]]*Supplier_Perf_Table[[#This Row],[Dollar Equivalent]],"")</f>
        <v>0.22005480000000002</v>
      </c>
      <c r="Q757" s="75">
        <v>2000</v>
      </c>
      <c r="R757" s="1">
        <v>647220</v>
      </c>
      <c r="S757" s="75">
        <f>Supplier_Perf_Table[[#This Row],[Unit_Cost]]*Supplier_Perf_Table[[#This Row],[Order_Quantity]]</f>
        <v>647220</v>
      </c>
      <c r="T757" s="75">
        <f>IFERROR(Supplier_Perf_Table[[#This Row],[Dollar Equivalent]]*Supplier_Perf_Table[[#This Row],[Ordered_Value]],"")</f>
        <v>440.10960000000006</v>
      </c>
      <c r="U757" s="75">
        <v>39</v>
      </c>
      <c r="V757" s="7">
        <v>1.95E-2</v>
      </c>
      <c r="W757" s="75">
        <v>14</v>
      </c>
      <c r="X757" s="55">
        <f>IFERROR(Supplier_Perf_Table[[#This Row],[Actual_Delivery_Date]]-Supplier_Perf_Table[[#This Row],[Order Date]],"")</f>
        <v>14</v>
      </c>
      <c r="Y757" s="75">
        <v>9</v>
      </c>
      <c r="Z757" s="56">
        <f>IFERROR(Supplier_Perf_Table[[#This Row],[Expected Delivery_Date]]-Supplier_Perf_Table[[#This Row],[Order Date]],"")</f>
        <v>9</v>
      </c>
      <c r="AA757" s="56">
        <f>Supplier_Perf_Table[[#This Row],[Calculated_Lead_Time2]]-Supplier_Perf_Table[[#This Row],[Calculated_Expected_Lead_Time]]</f>
        <v>5</v>
      </c>
      <c r="AB757" s="75">
        <v>5</v>
      </c>
      <c r="AC757" s="63" t="s">
        <v>205</v>
      </c>
      <c r="AD757" s="63" t="s">
        <v>40</v>
      </c>
      <c r="AE757" s="63" t="s">
        <v>105</v>
      </c>
      <c r="AF757" s="63" t="s">
        <v>106</v>
      </c>
      <c r="AG757" s="63" t="s">
        <v>43</v>
      </c>
      <c r="AH757" s="63" t="s">
        <v>55</v>
      </c>
      <c r="AI757" s="63" t="s">
        <v>44</v>
      </c>
      <c r="AJ757" s="63" t="s">
        <v>138</v>
      </c>
      <c r="AK757" s="83">
        <v>3.4</v>
      </c>
      <c r="AL757" s="63" t="s">
        <v>45</v>
      </c>
      <c r="AM757" s="63" t="s">
        <v>46</v>
      </c>
      <c r="AN757"/>
    </row>
    <row r="758" spans="1:40" ht="18" customHeight="1">
      <c r="A758" s="1" t="s">
        <v>2388</v>
      </c>
      <c r="B758" s="1" t="s">
        <v>2389</v>
      </c>
      <c r="C758" s="4">
        <v>46099</v>
      </c>
      <c r="D758" s="4">
        <v>46119</v>
      </c>
      <c r="E758" s="4">
        <v>46126</v>
      </c>
      <c r="F758" s="63" t="s">
        <v>142</v>
      </c>
      <c r="G758" s="63" t="s">
        <v>3843</v>
      </c>
      <c r="H758" s="63" t="s">
        <v>169</v>
      </c>
      <c r="I758" s="63" t="s">
        <v>83</v>
      </c>
      <c r="J758" s="63" t="s">
        <v>50</v>
      </c>
      <c r="K758" s="63" t="s">
        <v>2390</v>
      </c>
      <c r="L758" s="63" t="s">
        <v>126</v>
      </c>
      <c r="M758" s="69">
        <v>2579.6999999999998</v>
      </c>
      <c r="N758" s="63" t="s">
        <v>86</v>
      </c>
      <c r="O758" s="73">
        <f>_xlfn.XLOOKUP(Supplier_Perf_Table[[#This Row],[Currency]],'Comments 2'!$C$4:$C$16,'Comments 2'!$D$4:$D$16)</f>
        <v>8.8999999999999996E-2</v>
      </c>
      <c r="P758" s="69">
        <f>IFERROR(Supplier_Perf_Table[[#This Row],[Unit_Cost]]*Supplier_Perf_Table[[#This Row],[Dollar Equivalent]],"")</f>
        <v>229.59329999999997</v>
      </c>
      <c r="Q758" s="75">
        <v>150</v>
      </c>
      <c r="R758" s="1">
        <v>386955</v>
      </c>
      <c r="S758" s="75">
        <f>Supplier_Perf_Table[[#This Row],[Unit_Cost]]*Supplier_Perf_Table[[#This Row],[Order_Quantity]]</f>
        <v>386955</v>
      </c>
      <c r="T758" s="75">
        <f>IFERROR(Supplier_Perf_Table[[#This Row],[Dollar Equivalent]]*Supplier_Perf_Table[[#This Row],[Ordered_Value]],"")</f>
        <v>34438.994999999995</v>
      </c>
      <c r="U758" s="75">
        <v>0</v>
      </c>
      <c r="V758" s="7">
        <v>0</v>
      </c>
      <c r="W758" s="75">
        <v>27</v>
      </c>
      <c r="X758" s="55">
        <f>IFERROR(Supplier_Perf_Table[[#This Row],[Actual_Delivery_Date]]-Supplier_Perf_Table[[#This Row],[Order Date]],"")</f>
        <v>27</v>
      </c>
      <c r="Y758" s="75">
        <v>20</v>
      </c>
      <c r="Z758" s="56">
        <f>IFERROR(Supplier_Perf_Table[[#This Row],[Expected Delivery_Date]]-Supplier_Perf_Table[[#This Row],[Order Date]],"")</f>
        <v>20</v>
      </c>
      <c r="AA758" s="56">
        <f>Supplier_Perf_Table[[#This Row],[Calculated_Lead_Time2]]-Supplier_Perf_Table[[#This Row],[Calculated_Expected_Lead_Time]]</f>
        <v>7</v>
      </c>
      <c r="AB758" s="75">
        <v>7</v>
      </c>
      <c r="AC758" s="63" t="s">
        <v>205</v>
      </c>
      <c r="AD758" s="63" t="s">
        <v>40</v>
      </c>
      <c r="AE758" s="63" t="s">
        <v>105</v>
      </c>
      <c r="AF758" s="63" t="s">
        <v>212</v>
      </c>
      <c r="AG758" s="63" t="s">
        <v>173</v>
      </c>
      <c r="AH758" s="63" t="s">
        <v>88</v>
      </c>
      <c r="AI758" s="63" t="s">
        <v>56</v>
      </c>
      <c r="AJ758" s="63" t="s">
        <v>138</v>
      </c>
      <c r="AK758" s="83">
        <v>2.8</v>
      </c>
      <c r="AL758" s="63" t="s">
        <v>45</v>
      </c>
      <c r="AM758" s="63" t="s">
        <v>46</v>
      </c>
      <c r="AN758"/>
    </row>
    <row r="759" spans="1:40" ht="18" customHeight="1">
      <c r="A759" s="63" t="s">
        <v>2391</v>
      </c>
      <c r="B759" s="63" t="s">
        <v>2392</v>
      </c>
      <c r="C759" s="4">
        <v>46143</v>
      </c>
      <c r="D759" s="4">
        <v>46159</v>
      </c>
      <c r="E759" s="4">
        <v>46157</v>
      </c>
      <c r="F759" s="63" t="s">
        <v>48</v>
      </c>
      <c r="G759" s="63" t="s">
        <v>3836</v>
      </c>
      <c r="H759" s="63" t="s">
        <v>102</v>
      </c>
      <c r="I759" s="63" t="s">
        <v>178</v>
      </c>
      <c r="J759" s="63" t="s">
        <v>50</v>
      </c>
      <c r="K759" s="63" t="s">
        <v>2393</v>
      </c>
      <c r="L759" s="63" t="s">
        <v>145</v>
      </c>
      <c r="M759" s="69">
        <v>509.79</v>
      </c>
      <c r="N759" s="63" t="s">
        <v>53</v>
      </c>
      <c r="O759" s="73">
        <f>_xlfn.XLOOKUP(Supplier_Perf_Table[[#This Row],[Currency]],'Comments 2'!$C$4:$C$16,'Comments 2'!$D$4:$D$16)</f>
        <v>6.0999999999999999E-2</v>
      </c>
      <c r="P759" s="69">
        <f>IFERROR(Supplier_Perf_Table[[#This Row],[Unit_Cost]]*Supplier_Perf_Table[[#This Row],[Dollar Equivalent]],"")</f>
        <v>31.097190000000001</v>
      </c>
      <c r="Q759" s="75">
        <v>300</v>
      </c>
      <c r="R759" s="1">
        <v>152937</v>
      </c>
      <c r="S759" s="75">
        <f>Supplier_Perf_Table[[#This Row],[Unit_Cost]]*Supplier_Perf_Table[[#This Row],[Order_Quantity]]</f>
        <v>152937</v>
      </c>
      <c r="T759" s="75">
        <f>IFERROR(Supplier_Perf_Table[[#This Row],[Dollar Equivalent]]*Supplier_Perf_Table[[#This Row],[Ordered_Value]],"")</f>
        <v>9329.1569999999992</v>
      </c>
      <c r="U759" s="75">
        <v>19</v>
      </c>
      <c r="V759" s="7">
        <v>6.3299999999999995E-2</v>
      </c>
      <c r="W759" s="75">
        <v>14</v>
      </c>
      <c r="X759" s="55">
        <f>IFERROR(Supplier_Perf_Table[[#This Row],[Actual_Delivery_Date]]-Supplier_Perf_Table[[#This Row],[Order Date]],"")</f>
        <v>14</v>
      </c>
      <c r="Y759" s="75">
        <v>16</v>
      </c>
      <c r="Z759" s="56">
        <f>IFERROR(Supplier_Perf_Table[[#This Row],[Expected Delivery_Date]]-Supplier_Perf_Table[[#This Row],[Order Date]],"")</f>
        <v>16</v>
      </c>
      <c r="AA759" s="56">
        <f>Supplier_Perf_Table[[#This Row],[Calculated_Lead_Time2]]-Supplier_Perf_Table[[#This Row],[Calculated_Expected_Lead_Time]]</f>
        <v>-2</v>
      </c>
      <c r="AB759" s="75">
        <v>-2</v>
      </c>
      <c r="AC759" s="63" t="s">
        <v>87</v>
      </c>
      <c r="AD759" s="63" t="s">
        <v>74</v>
      </c>
      <c r="AE759" s="63" t="s">
        <v>146</v>
      </c>
      <c r="AF759" s="63" t="s">
        <v>212</v>
      </c>
      <c r="AG759" s="63" t="s">
        <v>43</v>
      </c>
      <c r="AH759" s="63" t="s">
        <v>136</v>
      </c>
      <c r="AI759" s="63" t="s">
        <v>137</v>
      </c>
      <c r="AJ759" s="63" t="s">
        <v>283</v>
      </c>
      <c r="AK759" s="83">
        <v>2.1</v>
      </c>
      <c r="AL759" s="63" t="s">
        <v>184</v>
      </c>
      <c r="AM759" s="63" t="s">
        <v>284</v>
      </c>
      <c r="AN759"/>
    </row>
    <row r="760" spans="1:40" ht="18" customHeight="1">
      <c r="A760" s="1" t="s">
        <v>2394</v>
      </c>
      <c r="B760" s="1" t="s">
        <v>2395</v>
      </c>
      <c r="C760" s="4">
        <v>46154</v>
      </c>
      <c r="D760" s="4">
        <v>46165</v>
      </c>
      <c r="E760" s="4">
        <v>46171</v>
      </c>
      <c r="F760" s="63" t="s">
        <v>48</v>
      </c>
      <c r="G760" s="63" t="s">
        <v>3836</v>
      </c>
      <c r="H760" s="63" t="s">
        <v>102</v>
      </c>
      <c r="I760" s="63" t="s">
        <v>49</v>
      </c>
      <c r="J760" s="63" t="s">
        <v>50</v>
      </c>
      <c r="K760" s="63" t="s">
        <v>2396</v>
      </c>
      <c r="L760" s="63" t="s">
        <v>52</v>
      </c>
      <c r="M760" s="69">
        <v>1591.73</v>
      </c>
      <c r="N760" s="63" t="s">
        <v>38</v>
      </c>
      <c r="O760" s="73">
        <f>_xlfn.XLOOKUP(Supplier_Perf_Table[[#This Row],[Currency]],'Comments 2'!$C$4:$C$16,'Comments 2'!$D$4:$D$16)</f>
        <v>7.7000000000000002E-3</v>
      </c>
      <c r="P760" s="69">
        <f>IFERROR(Supplier_Perf_Table[[#This Row],[Unit_Cost]]*Supplier_Perf_Table[[#This Row],[Dollar Equivalent]],"")</f>
        <v>12.256321</v>
      </c>
      <c r="Q760" s="75">
        <v>150</v>
      </c>
      <c r="R760" s="1">
        <v>238759.5</v>
      </c>
      <c r="S760" s="75">
        <f>Supplier_Perf_Table[[#This Row],[Unit_Cost]]*Supplier_Perf_Table[[#This Row],[Order_Quantity]]</f>
        <v>238759.5</v>
      </c>
      <c r="T760" s="75">
        <f>IFERROR(Supplier_Perf_Table[[#This Row],[Dollar Equivalent]]*Supplier_Perf_Table[[#This Row],[Ordered_Value]],"")</f>
        <v>1838.4481500000002</v>
      </c>
      <c r="U760" s="75">
        <v>2</v>
      </c>
      <c r="V760" s="7">
        <v>1.3299999999999999E-2</v>
      </c>
      <c r="W760" s="75">
        <v>17</v>
      </c>
      <c r="X760" s="55">
        <f>IFERROR(Supplier_Perf_Table[[#This Row],[Actual_Delivery_Date]]-Supplier_Perf_Table[[#This Row],[Order Date]],"")</f>
        <v>17</v>
      </c>
      <c r="Y760" s="75">
        <v>11</v>
      </c>
      <c r="Z760" s="56">
        <f>IFERROR(Supplier_Perf_Table[[#This Row],[Expected Delivery_Date]]-Supplier_Perf_Table[[#This Row],[Order Date]],"")</f>
        <v>11</v>
      </c>
      <c r="AA760" s="56">
        <f>Supplier_Perf_Table[[#This Row],[Calculated_Lead_Time2]]-Supplier_Perf_Table[[#This Row],[Calculated_Expected_Lead_Time]]</f>
        <v>6</v>
      </c>
      <c r="AB760" s="75">
        <v>6</v>
      </c>
      <c r="AC760" s="63" t="s">
        <v>135</v>
      </c>
      <c r="AD760" s="63" t="s">
        <v>40</v>
      </c>
      <c r="AE760" s="63" t="s">
        <v>127</v>
      </c>
      <c r="AF760" s="63" t="s">
        <v>106</v>
      </c>
      <c r="AG760" s="63" t="s">
        <v>3088</v>
      </c>
      <c r="AH760" s="63" t="s">
        <v>206</v>
      </c>
      <c r="AI760" s="63" t="s">
        <v>56</v>
      </c>
      <c r="AJ760" s="63" t="s">
        <v>138</v>
      </c>
      <c r="AK760" s="83">
        <v>1.2</v>
      </c>
      <c r="AL760" s="63" t="s">
        <v>184</v>
      </c>
      <c r="AM760" s="63" t="s">
        <v>148</v>
      </c>
      <c r="AN760"/>
    </row>
    <row r="761" spans="1:40" ht="18" customHeight="1">
      <c r="A761" s="1" t="s">
        <v>2397</v>
      </c>
      <c r="B761" s="1" t="s">
        <v>2398</v>
      </c>
      <c r="C761" s="4">
        <v>46075</v>
      </c>
      <c r="D761" s="4">
        <v>46095</v>
      </c>
      <c r="E761" s="4">
        <v>46086</v>
      </c>
      <c r="F761" s="63" t="s">
        <v>32</v>
      </c>
      <c r="G761" s="63" t="s">
        <v>3835</v>
      </c>
      <c r="H761" s="63" t="s">
        <v>177</v>
      </c>
      <c r="I761" s="63" t="s">
        <v>49</v>
      </c>
      <c r="J761" s="63" t="s">
        <v>35</v>
      </c>
      <c r="K761" s="63" t="s">
        <v>476</v>
      </c>
      <c r="L761" s="63" t="s">
        <v>180</v>
      </c>
      <c r="M761" s="69">
        <v>2821.62</v>
      </c>
      <c r="N761" s="63" t="s">
        <v>3077</v>
      </c>
      <c r="O761" s="73">
        <f>_xlfn.XLOOKUP(Supplier_Perf_Table[[#This Row],[Currency]],'Comments 2'!$C$4:$C$16,'Comments 2'!$D$4:$D$16)</f>
        <v>3.8999999999999999E-4</v>
      </c>
      <c r="P761" s="69">
        <f>IFERROR(Supplier_Perf_Table[[#This Row],[Unit_Cost]]*Supplier_Perf_Table[[#This Row],[Dollar Equivalent]],"")</f>
        <v>1.1004318</v>
      </c>
      <c r="Q761" s="75">
        <v>1000</v>
      </c>
      <c r="R761" s="1">
        <v>2821620</v>
      </c>
      <c r="S761" s="75">
        <f>Supplier_Perf_Table[[#This Row],[Unit_Cost]]*Supplier_Perf_Table[[#This Row],[Order_Quantity]]</f>
        <v>2821620</v>
      </c>
      <c r="T761" s="75">
        <f>IFERROR(Supplier_Perf_Table[[#This Row],[Dollar Equivalent]]*Supplier_Perf_Table[[#This Row],[Ordered_Value]],"")</f>
        <v>1100.4318000000001</v>
      </c>
      <c r="U761" s="75">
        <v>26</v>
      </c>
      <c r="V761" s="7">
        <v>2.5999999999999999E-2</v>
      </c>
      <c r="W761" s="75" t="s">
        <v>3080</v>
      </c>
      <c r="X761" s="55">
        <f>IFERROR(Supplier_Perf_Table[[#This Row],[Actual_Delivery_Date]]-Supplier_Perf_Table[[#This Row],[Order Date]],"")</f>
        <v>11</v>
      </c>
      <c r="Y761" s="75">
        <v>20</v>
      </c>
      <c r="Z761" s="56">
        <f>IFERROR(Supplier_Perf_Table[[#This Row],[Expected Delivery_Date]]-Supplier_Perf_Table[[#This Row],[Order Date]],"")</f>
        <v>20</v>
      </c>
      <c r="AA761" s="56">
        <f>Supplier_Perf_Table[[#This Row],[Calculated_Lead_Time2]]-Supplier_Perf_Table[[#This Row],[Calculated_Expected_Lead_Time]]</f>
        <v>-9</v>
      </c>
      <c r="AB761" s="75">
        <v>-9</v>
      </c>
      <c r="AC761" s="63" t="s">
        <v>270</v>
      </c>
      <c r="AD761" s="63" t="s">
        <v>40</v>
      </c>
      <c r="AE761" s="63" t="s">
        <v>3088</v>
      </c>
      <c r="AF761" s="63" t="s">
        <v>106</v>
      </c>
      <c r="AG761" s="63" t="s">
        <v>173</v>
      </c>
      <c r="AH761" s="63" t="s">
        <v>129</v>
      </c>
      <c r="AI761" s="63" t="s">
        <v>44</v>
      </c>
      <c r="AJ761" s="63" t="s">
        <v>138</v>
      </c>
      <c r="AK761" s="83">
        <v>4</v>
      </c>
      <c r="AL761" s="63" t="s">
        <v>57</v>
      </c>
      <c r="AM761" s="63" t="s">
        <v>130</v>
      </c>
      <c r="AN761"/>
    </row>
    <row r="762" spans="1:40" ht="18" customHeight="1">
      <c r="A762" s="1" t="s">
        <v>2018</v>
      </c>
      <c r="B762" s="1" t="s">
        <v>2399</v>
      </c>
      <c r="C762" s="4">
        <v>46057</v>
      </c>
      <c r="D762" s="4">
        <v>46069</v>
      </c>
      <c r="E762" s="4">
        <v>46078</v>
      </c>
      <c r="F762" s="63" t="s">
        <v>118</v>
      </c>
      <c r="G762" s="63" t="s">
        <v>3842</v>
      </c>
      <c r="H762" s="63" t="s">
        <v>301</v>
      </c>
      <c r="I762" s="63" t="s">
        <v>92</v>
      </c>
      <c r="J762" s="63" t="s">
        <v>62</v>
      </c>
      <c r="K762" s="63" t="s">
        <v>2400</v>
      </c>
      <c r="L762" s="63" t="s">
        <v>122</v>
      </c>
      <c r="M762" s="69">
        <v>468.39</v>
      </c>
      <c r="N762" s="63" t="s">
        <v>86</v>
      </c>
      <c r="O762" s="73">
        <f>_xlfn.XLOOKUP(Supplier_Perf_Table[[#This Row],[Currency]],'Comments 2'!$C$4:$C$16,'Comments 2'!$D$4:$D$16)</f>
        <v>8.8999999999999996E-2</v>
      </c>
      <c r="P762" s="69">
        <f>IFERROR(Supplier_Perf_Table[[#This Row],[Unit_Cost]]*Supplier_Perf_Table[[#This Row],[Dollar Equivalent]],"")</f>
        <v>41.686709999999998</v>
      </c>
      <c r="Q762" s="75">
        <v>300</v>
      </c>
      <c r="R762" s="1">
        <v>140517</v>
      </c>
      <c r="S762" s="75">
        <f>Supplier_Perf_Table[[#This Row],[Unit_Cost]]*Supplier_Perf_Table[[#This Row],[Order_Quantity]]</f>
        <v>140517</v>
      </c>
      <c r="T762" s="75">
        <f>IFERROR(Supplier_Perf_Table[[#This Row],[Dollar Equivalent]]*Supplier_Perf_Table[[#This Row],[Ordered_Value]],"")</f>
        <v>12506.012999999999</v>
      </c>
      <c r="U762" s="75">
        <v>9</v>
      </c>
      <c r="V762" s="7">
        <v>0.03</v>
      </c>
      <c r="W762" s="75">
        <v>21</v>
      </c>
      <c r="X762" s="55">
        <f>IFERROR(Supplier_Perf_Table[[#This Row],[Actual_Delivery_Date]]-Supplier_Perf_Table[[#This Row],[Order Date]],"")</f>
        <v>21</v>
      </c>
      <c r="Y762" s="75">
        <v>12</v>
      </c>
      <c r="Z762" s="56">
        <f>IFERROR(Supplier_Perf_Table[[#This Row],[Expected Delivery_Date]]-Supplier_Perf_Table[[#This Row],[Order Date]],"")</f>
        <v>12</v>
      </c>
      <c r="AA762" s="56">
        <f>Supplier_Perf_Table[[#This Row],[Calculated_Lead_Time2]]-Supplier_Perf_Table[[#This Row],[Calculated_Expected_Lead_Time]]</f>
        <v>9</v>
      </c>
      <c r="AB762" s="75">
        <v>9</v>
      </c>
      <c r="AC762" s="63" t="s">
        <v>205</v>
      </c>
      <c r="AD762" s="63" t="s">
        <v>40</v>
      </c>
      <c r="AE762" s="63" t="s">
        <v>105</v>
      </c>
      <c r="AF762" s="63" t="s">
        <v>106</v>
      </c>
      <c r="AG762" s="63" t="s">
        <v>3088</v>
      </c>
      <c r="AH762" s="63" t="s">
        <v>3112</v>
      </c>
      <c r="AI762" s="63" t="s">
        <v>147</v>
      </c>
      <c r="AJ762" s="63" t="s">
        <v>138</v>
      </c>
      <c r="AK762" s="83">
        <v>1.3</v>
      </c>
      <c r="AL762" s="63" t="s">
        <v>76</v>
      </c>
      <c r="AM762" s="63" t="s">
        <v>46</v>
      </c>
      <c r="AN762"/>
    </row>
    <row r="763" spans="1:40" ht="18" customHeight="1">
      <c r="A763" s="1" t="s">
        <v>2401</v>
      </c>
      <c r="B763" s="1" t="s">
        <v>2402</v>
      </c>
      <c r="C763" s="4">
        <v>46175</v>
      </c>
      <c r="D763" s="4">
        <v>46183</v>
      </c>
      <c r="E763" s="4">
        <v>46190</v>
      </c>
      <c r="F763" s="63" t="s">
        <v>80</v>
      </c>
      <c r="G763" s="63" t="s">
        <v>3839</v>
      </c>
      <c r="H763" s="63" t="s">
        <v>82</v>
      </c>
      <c r="I763" s="63" t="s">
        <v>34</v>
      </c>
      <c r="J763" s="63" t="s">
        <v>35</v>
      </c>
      <c r="K763" s="63" t="s">
        <v>2403</v>
      </c>
      <c r="L763" s="63" t="s">
        <v>180</v>
      </c>
      <c r="M763" s="69">
        <v>1217.54</v>
      </c>
      <c r="N763" s="63" t="s">
        <v>38</v>
      </c>
      <c r="O763" s="73">
        <f>_xlfn.XLOOKUP(Supplier_Perf_Table[[#This Row],[Currency]],'Comments 2'!$C$4:$C$16,'Comments 2'!$D$4:$D$16)</f>
        <v>7.7000000000000002E-3</v>
      </c>
      <c r="P763" s="69">
        <f>IFERROR(Supplier_Perf_Table[[#This Row],[Unit_Cost]]*Supplier_Perf_Table[[#This Row],[Dollar Equivalent]],"")</f>
        <v>9.3750579999999992</v>
      </c>
      <c r="Q763" s="75">
        <v>150</v>
      </c>
      <c r="R763" s="1">
        <v>182631</v>
      </c>
      <c r="S763" s="75">
        <f>Supplier_Perf_Table[[#This Row],[Unit_Cost]]*Supplier_Perf_Table[[#This Row],[Order_Quantity]]</f>
        <v>182631</v>
      </c>
      <c r="T763" s="75">
        <f>IFERROR(Supplier_Perf_Table[[#This Row],[Dollar Equivalent]]*Supplier_Perf_Table[[#This Row],[Ordered_Value]],"")</f>
        <v>1406.2587000000001</v>
      </c>
      <c r="U763" s="75">
        <v>7</v>
      </c>
      <c r="V763" s="7">
        <v>4.6699999999999998E-2</v>
      </c>
      <c r="W763" s="75">
        <v>15</v>
      </c>
      <c r="X763" s="55">
        <f>IFERROR(Supplier_Perf_Table[[#This Row],[Actual_Delivery_Date]]-Supplier_Perf_Table[[#This Row],[Order Date]],"")</f>
        <v>15</v>
      </c>
      <c r="Y763" s="75">
        <v>8</v>
      </c>
      <c r="Z763" s="56">
        <f>IFERROR(Supplier_Perf_Table[[#This Row],[Expected Delivery_Date]]-Supplier_Perf_Table[[#This Row],[Order Date]],"")</f>
        <v>8</v>
      </c>
      <c r="AA763" s="56">
        <f>Supplier_Perf_Table[[#This Row],[Calculated_Lead_Time2]]-Supplier_Perf_Table[[#This Row],[Calculated_Expected_Lead_Time]]</f>
        <v>7</v>
      </c>
      <c r="AB763" s="75">
        <v>7</v>
      </c>
      <c r="AC763" s="63" t="s">
        <v>135</v>
      </c>
      <c r="AD763" s="63" t="s">
        <v>366</v>
      </c>
      <c r="AE763" s="63" t="s">
        <v>105</v>
      </c>
      <c r="AF763" s="63" t="s">
        <v>190</v>
      </c>
      <c r="AG763" s="63" t="s">
        <v>43</v>
      </c>
      <c r="AH763" s="63" t="s">
        <v>3112</v>
      </c>
      <c r="AI763" s="63" t="s">
        <v>147</v>
      </c>
      <c r="AJ763" s="63" t="s">
        <v>373</v>
      </c>
      <c r="AK763" s="83">
        <v>1.1000000000000001</v>
      </c>
      <c r="AL763" s="63" t="s">
        <v>139</v>
      </c>
      <c r="AM763" s="63" t="s">
        <v>77</v>
      </c>
      <c r="AN763"/>
    </row>
    <row r="764" spans="1:40" ht="18" customHeight="1">
      <c r="A764" s="1" t="s">
        <v>2404</v>
      </c>
      <c r="B764" s="1" t="s">
        <v>2405</v>
      </c>
      <c r="C764" s="4">
        <v>46084</v>
      </c>
      <c r="D764" s="4">
        <v>46093</v>
      </c>
      <c r="E764" s="4">
        <v>46102</v>
      </c>
      <c r="F764" s="63" t="s">
        <v>209</v>
      </c>
      <c r="G764" s="63" t="s">
        <v>3845</v>
      </c>
      <c r="H764" s="63" t="s">
        <v>316</v>
      </c>
      <c r="I764" s="63" t="s">
        <v>178</v>
      </c>
      <c r="J764" s="63" t="s">
        <v>153</v>
      </c>
      <c r="K764" s="63" t="s">
        <v>2406</v>
      </c>
      <c r="L764" s="63" t="s">
        <v>204</v>
      </c>
      <c r="M764" s="69">
        <v>63.45</v>
      </c>
      <c r="N764" s="63" t="s">
        <v>65</v>
      </c>
      <c r="O764" s="73">
        <f>_xlfn.XLOOKUP(Supplier_Perf_Table[[#This Row],[Currency]],'Comments 2'!$C$4:$C$16,'Comments 2'!$D$4:$D$16)</f>
        <v>1</v>
      </c>
      <c r="P764" s="69">
        <f>IFERROR(Supplier_Perf_Table[[#This Row],[Unit_Cost]]*Supplier_Perf_Table[[#This Row],[Dollar Equivalent]],"")</f>
        <v>63.45</v>
      </c>
      <c r="Q764" s="75">
        <v>250</v>
      </c>
      <c r="R764" s="1" t="s">
        <v>3080</v>
      </c>
      <c r="S764" s="75">
        <f>Supplier_Perf_Table[[#This Row],[Unit_Cost]]*Supplier_Perf_Table[[#This Row],[Order_Quantity]]</f>
        <v>15862.5</v>
      </c>
      <c r="T764" s="75" t="str">
        <f>IFERROR(Supplier_Perf_Table[[#This Row],[Dollar Equivalent]]*Supplier_Perf_Table[[#This Row],[Ordered_Value]],"")</f>
        <v/>
      </c>
      <c r="U764" s="75">
        <v>8</v>
      </c>
      <c r="V764" s="7">
        <v>3.2000000000000001E-2</v>
      </c>
      <c r="W764" s="75">
        <v>18</v>
      </c>
      <c r="X764" s="55">
        <f>IFERROR(Supplier_Perf_Table[[#This Row],[Actual_Delivery_Date]]-Supplier_Perf_Table[[#This Row],[Order Date]],"")</f>
        <v>18</v>
      </c>
      <c r="Y764" s="75">
        <v>9</v>
      </c>
      <c r="Z764" s="56">
        <f>IFERROR(Supplier_Perf_Table[[#This Row],[Expected Delivery_Date]]-Supplier_Perf_Table[[#This Row],[Order Date]],"")</f>
        <v>9</v>
      </c>
      <c r="AA764" s="56">
        <f>Supplier_Perf_Table[[#This Row],[Calculated_Lead_Time2]]-Supplier_Perf_Table[[#This Row],[Calculated_Expected_Lead_Time]]</f>
        <v>9</v>
      </c>
      <c r="AB764" s="75">
        <v>9</v>
      </c>
      <c r="AC764" s="63" t="s">
        <v>205</v>
      </c>
      <c r="AD764" s="63" t="s">
        <v>40</v>
      </c>
      <c r="AE764" s="63" t="s">
        <v>105</v>
      </c>
      <c r="AF764" s="63" t="s">
        <v>190</v>
      </c>
      <c r="AG764" s="63" t="s">
        <v>173</v>
      </c>
      <c r="AH764" s="63" t="s">
        <v>206</v>
      </c>
      <c r="AI764" s="63" t="s">
        <v>137</v>
      </c>
      <c r="AJ764" s="63" t="s">
        <v>138</v>
      </c>
      <c r="AK764" s="83">
        <v>1.2</v>
      </c>
      <c r="AL764" s="63" t="s">
        <v>76</v>
      </c>
      <c r="AM764" s="63" t="s">
        <v>46</v>
      </c>
      <c r="AN764"/>
    </row>
    <row r="765" spans="1:40" ht="18" customHeight="1">
      <c r="A765" s="1" t="s">
        <v>2407</v>
      </c>
      <c r="B765" s="1" t="s">
        <v>2408</v>
      </c>
      <c r="C765" s="4">
        <v>46180</v>
      </c>
      <c r="D765" s="4">
        <v>46204</v>
      </c>
      <c r="E765" s="4">
        <v>46201</v>
      </c>
      <c r="F765" s="63" t="s">
        <v>235</v>
      </c>
      <c r="G765" s="63" t="s">
        <v>3848</v>
      </c>
      <c r="H765" s="63" t="s">
        <v>479</v>
      </c>
      <c r="I765" s="63" t="s">
        <v>83</v>
      </c>
      <c r="J765" s="63" t="s">
        <v>71</v>
      </c>
      <c r="K765" s="63" t="s">
        <v>2409</v>
      </c>
      <c r="L765" s="63" t="s">
        <v>337</v>
      </c>
      <c r="M765" s="69">
        <v>185.59</v>
      </c>
      <c r="N765" s="63" t="s">
        <v>86</v>
      </c>
      <c r="O765" s="73">
        <f>_xlfn.XLOOKUP(Supplier_Perf_Table[[#This Row],[Currency]],'Comments 2'!$C$4:$C$16,'Comments 2'!$D$4:$D$16)</f>
        <v>8.8999999999999996E-2</v>
      </c>
      <c r="P765" s="69">
        <f>IFERROR(Supplier_Perf_Table[[#This Row],[Unit_Cost]]*Supplier_Perf_Table[[#This Row],[Dollar Equivalent]],"")</f>
        <v>16.517509999999998</v>
      </c>
      <c r="Q765" s="75">
        <v>750</v>
      </c>
      <c r="R765" s="1">
        <v>139192.5</v>
      </c>
      <c r="S765" s="75">
        <f>Supplier_Perf_Table[[#This Row],[Unit_Cost]]*Supplier_Perf_Table[[#This Row],[Order_Quantity]]</f>
        <v>139192.5</v>
      </c>
      <c r="T765" s="75">
        <f>IFERROR(Supplier_Perf_Table[[#This Row],[Dollar Equivalent]]*Supplier_Perf_Table[[#This Row],[Ordered_Value]],"")</f>
        <v>12388.1325</v>
      </c>
      <c r="U765" s="75">
        <v>13</v>
      </c>
      <c r="V765" s="7">
        <v>1.7299999999999999E-2</v>
      </c>
      <c r="W765" s="75">
        <v>21</v>
      </c>
      <c r="X765" s="55">
        <f>IFERROR(Supplier_Perf_Table[[#This Row],[Actual_Delivery_Date]]-Supplier_Perf_Table[[#This Row],[Order Date]],"")</f>
        <v>21</v>
      </c>
      <c r="Y765" s="75">
        <v>24</v>
      </c>
      <c r="Z765" s="56">
        <f>IFERROR(Supplier_Perf_Table[[#This Row],[Expected Delivery_Date]]-Supplier_Perf_Table[[#This Row],[Order Date]],"")</f>
        <v>24</v>
      </c>
      <c r="AA765" s="56">
        <f>Supplier_Perf_Table[[#This Row],[Calculated_Lead_Time2]]-Supplier_Perf_Table[[#This Row],[Calculated_Expected_Lead_Time]]</f>
        <v>-3</v>
      </c>
      <c r="AB765" s="75">
        <v>-3</v>
      </c>
      <c r="AC765" s="63" t="s">
        <v>87</v>
      </c>
      <c r="AD765" s="63" t="s">
        <v>40</v>
      </c>
      <c r="AE765" s="63" t="s">
        <v>146</v>
      </c>
      <c r="AF765" s="63" t="s">
        <v>42</v>
      </c>
      <c r="AG765" s="63" t="s">
        <v>128</v>
      </c>
      <c r="AH765" s="63" t="s">
        <v>129</v>
      </c>
      <c r="AI765" s="63" t="s">
        <v>95</v>
      </c>
      <c r="AJ765" s="63" t="s">
        <v>138</v>
      </c>
      <c r="AK765" s="83">
        <v>5</v>
      </c>
      <c r="AL765" s="63" t="s">
        <v>115</v>
      </c>
      <c r="AM765" s="63" t="s">
        <v>130</v>
      </c>
      <c r="AN765"/>
    </row>
    <row r="766" spans="1:40" ht="18" customHeight="1">
      <c r="A766" s="1" t="s">
        <v>2410</v>
      </c>
      <c r="B766" s="1" t="s">
        <v>2411</v>
      </c>
      <c r="C766" s="4">
        <v>46151</v>
      </c>
      <c r="D766" s="4">
        <v>46171</v>
      </c>
      <c r="E766" s="4">
        <v>46172</v>
      </c>
      <c r="F766" s="63" t="s">
        <v>142</v>
      </c>
      <c r="G766" s="63" t="s">
        <v>3843</v>
      </c>
      <c r="H766" s="63" t="s">
        <v>169</v>
      </c>
      <c r="I766" s="63" t="s">
        <v>120</v>
      </c>
      <c r="J766" s="63" t="s">
        <v>50</v>
      </c>
      <c r="K766" s="63" t="s">
        <v>2412</v>
      </c>
      <c r="L766" s="63" t="s">
        <v>52</v>
      </c>
      <c r="M766" s="69">
        <v>3754.26</v>
      </c>
      <c r="N766" s="63" t="s">
        <v>38</v>
      </c>
      <c r="O766" s="73">
        <f>_xlfn.XLOOKUP(Supplier_Perf_Table[[#This Row],[Currency]],'Comments 2'!$C$4:$C$16,'Comments 2'!$D$4:$D$16)</f>
        <v>7.7000000000000002E-3</v>
      </c>
      <c r="P766" s="69">
        <f>IFERROR(Supplier_Perf_Table[[#This Row],[Unit_Cost]]*Supplier_Perf_Table[[#This Row],[Dollar Equivalent]],"")</f>
        <v>28.907802000000004</v>
      </c>
      <c r="Q766" s="75">
        <v>150</v>
      </c>
      <c r="R766" s="1">
        <v>563139</v>
      </c>
      <c r="S766" s="75">
        <f>Supplier_Perf_Table[[#This Row],[Unit_Cost]]*Supplier_Perf_Table[[#This Row],[Order_Quantity]]</f>
        <v>563139</v>
      </c>
      <c r="T766" s="75">
        <f>IFERROR(Supplier_Perf_Table[[#This Row],[Dollar Equivalent]]*Supplier_Perf_Table[[#This Row],[Ordered_Value]],"")</f>
        <v>4336.1702999999998</v>
      </c>
      <c r="U766" s="75">
        <v>3</v>
      </c>
      <c r="V766" s="7">
        <v>0.02</v>
      </c>
      <c r="W766" s="75">
        <v>21</v>
      </c>
      <c r="X766" s="55">
        <f>IFERROR(Supplier_Perf_Table[[#This Row],[Actual_Delivery_Date]]-Supplier_Perf_Table[[#This Row],[Order Date]],"")</f>
        <v>21</v>
      </c>
      <c r="Y766" s="75">
        <v>20</v>
      </c>
      <c r="Z766" s="56">
        <f>IFERROR(Supplier_Perf_Table[[#This Row],[Expected Delivery_Date]]-Supplier_Perf_Table[[#This Row],[Order Date]],"")</f>
        <v>20</v>
      </c>
      <c r="AA766" s="56">
        <f>Supplier_Perf_Table[[#This Row],[Calculated_Lead_Time2]]-Supplier_Perf_Table[[#This Row],[Calculated_Expected_Lead_Time]]</f>
        <v>1</v>
      </c>
      <c r="AB766" s="75">
        <v>1</v>
      </c>
      <c r="AC766" s="63" t="s">
        <v>135</v>
      </c>
      <c r="AD766" s="63" t="s">
        <v>40</v>
      </c>
      <c r="AE766" s="63" t="s">
        <v>146</v>
      </c>
      <c r="AF766" s="63" t="s">
        <v>106</v>
      </c>
      <c r="AG766" s="63" t="s">
        <v>43</v>
      </c>
      <c r="AH766" s="63" t="s">
        <v>174</v>
      </c>
      <c r="AI766" s="63" t="s">
        <v>137</v>
      </c>
      <c r="AJ766" s="63" t="s">
        <v>138</v>
      </c>
      <c r="AK766" s="83">
        <v>3</v>
      </c>
      <c r="AL766" s="63" t="s">
        <v>184</v>
      </c>
      <c r="AM766" s="63" t="s">
        <v>148</v>
      </c>
      <c r="AN766"/>
    </row>
    <row r="767" spans="1:40" ht="18" customHeight="1">
      <c r="A767" s="1" t="s">
        <v>2413</v>
      </c>
      <c r="B767" s="1" t="s">
        <v>2414</v>
      </c>
      <c r="C767" s="4">
        <v>46034</v>
      </c>
      <c r="D767" s="4">
        <v>46050</v>
      </c>
      <c r="E767" s="4">
        <v>46063</v>
      </c>
      <c r="F767" s="63" t="s">
        <v>48</v>
      </c>
      <c r="G767" s="63" t="s">
        <v>3836</v>
      </c>
      <c r="H767" s="63" t="s">
        <v>102</v>
      </c>
      <c r="I767" s="63" t="s">
        <v>120</v>
      </c>
      <c r="J767" s="63" t="s">
        <v>71</v>
      </c>
      <c r="K767" s="63" t="s">
        <v>2415</v>
      </c>
      <c r="L767" s="63" t="s">
        <v>238</v>
      </c>
      <c r="M767" s="69">
        <v>145.44999999999999</v>
      </c>
      <c r="N767" s="63" t="s">
        <v>53</v>
      </c>
      <c r="O767" s="73">
        <f>_xlfn.XLOOKUP(Supplier_Perf_Table[[#This Row],[Currency]],'Comments 2'!$C$4:$C$16,'Comments 2'!$D$4:$D$16)</f>
        <v>6.0999999999999999E-2</v>
      </c>
      <c r="P767" s="69">
        <f>IFERROR(Supplier_Perf_Table[[#This Row],[Unit_Cost]]*Supplier_Perf_Table[[#This Row],[Dollar Equivalent]],"")</f>
        <v>8.8724499999999988</v>
      </c>
      <c r="Q767" s="75">
        <v>75</v>
      </c>
      <c r="R767" s="1">
        <v>10908.75</v>
      </c>
      <c r="S767" s="75">
        <f>Supplier_Perf_Table[[#This Row],[Unit_Cost]]*Supplier_Perf_Table[[#This Row],[Order_Quantity]]</f>
        <v>10908.75</v>
      </c>
      <c r="T767" s="75">
        <f>IFERROR(Supplier_Perf_Table[[#This Row],[Dollar Equivalent]]*Supplier_Perf_Table[[#This Row],[Ordered_Value]],"")</f>
        <v>665.43375000000003</v>
      </c>
      <c r="U767" s="75">
        <v>0</v>
      </c>
      <c r="V767" s="7">
        <v>0</v>
      </c>
      <c r="W767" s="75">
        <v>29</v>
      </c>
      <c r="X767" s="55">
        <f>IFERROR(Supplier_Perf_Table[[#This Row],[Actual_Delivery_Date]]-Supplier_Perf_Table[[#This Row],[Order Date]],"")</f>
        <v>29</v>
      </c>
      <c r="Y767" s="75">
        <v>16</v>
      </c>
      <c r="Z767" s="56">
        <f>IFERROR(Supplier_Perf_Table[[#This Row],[Expected Delivery_Date]]-Supplier_Perf_Table[[#This Row],[Order Date]],"")</f>
        <v>16</v>
      </c>
      <c r="AA767" s="56">
        <f>Supplier_Perf_Table[[#This Row],[Calculated_Lead_Time2]]-Supplier_Perf_Table[[#This Row],[Calculated_Expected_Lead_Time]]</f>
        <v>13</v>
      </c>
      <c r="AB767" s="75">
        <v>13</v>
      </c>
      <c r="AC767" s="63" t="s">
        <v>39</v>
      </c>
      <c r="AD767" s="63" t="s">
        <v>40</v>
      </c>
      <c r="AE767" s="63" t="s">
        <v>105</v>
      </c>
      <c r="AF767" s="63" t="s">
        <v>3088</v>
      </c>
      <c r="AG767" s="63" t="s">
        <v>128</v>
      </c>
      <c r="AH767" s="63" t="s">
        <v>174</v>
      </c>
      <c r="AI767" s="63" t="s">
        <v>191</v>
      </c>
      <c r="AJ767" s="63" t="s">
        <v>138</v>
      </c>
      <c r="AK767" s="83">
        <v>1.8</v>
      </c>
      <c r="AL767" s="63" t="s">
        <v>139</v>
      </c>
      <c r="AM767" s="63" t="s">
        <v>46</v>
      </c>
      <c r="AN767"/>
    </row>
    <row r="768" spans="1:40" ht="18" customHeight="1">
      <c r="A768" s="1" t="s">
        <v>2416</v>
      </c>
      <c r="B768" s="1" t="s">
        <v>2417</v>
      </c>
      <c r="C768" s="4">
        <v>46125</v>
      </c>
      <c r="D768" s="4">
        <v>46137</v>
      </c>
      <c r="E768" s="4">
        <v>46136</v>
      </c>
      <c r="F768" s="63" t="s">
        <v>209</v>
      </c>
      <c r="G768" s="63" t="s">
        <v>3845</v>
      </c>
      <c r="H768" s="63" t="s">
        <v>316</v>
      </c>
      <c r="I768" s="63" t="s">
        <v>241</v>
      </c>
      <c r="J768" s="63" t="s">
        <v>153</v>
      </c>
      <c r="K768" s="63" t="s">
        <v>2418</v>
      </c>
      <c r="L768" s="63" t="s">
        <v>295</v>
      </c>
      <c r="M768" s="69">
        <v>673.45</v>
      </c>
      <c r="N768" s="63" t="s">
        <v>53</v>
      </c>
      <c r="O768" s="73">
        <f>_xlfn.XLOOKUP(Supplier_Perf_Table[[#This Row],[Currency]],'Comments 2'!$C$4:$C$16,'Comments 2'!$D$4:$D$16)</f>
        <v>6.0999999999999999E-2</v>
      </c>
      <c r="P768" s="69">
        <f>IFERROR(Supplier_Perf_Table[[#This Row],[Unit_Cost]]*Supplier_Perf_Table[[#This Row],[Dollar Equivalent]],"")</f>
        <v>41.080449999999999</v>
      </c>
      <c r="Q768" s="75">
        <v>2000</v>
      </c>
      <c r="R768" s="1">
        <v>1346900</v>
      </c>
      <c r="S768" s="75">
        <f>Supplier_Perf_Table[[#This Row],[Unit_Cost]]*Supplier_Perf_Table[[#This Row],[Order_Quantity]]</f>
        <v>1346900</v>
      </c>
      <c r="T768" s="75">
        <f>IFERROR(Supplier_Perf_Table[[#This Row],[Dollar Equivalent]]*Supplier_Perf_Table[[#This Row],[Ordered_Value]],"")</f>
        <v>82160.899999999994</v>
      </c>
      <c r="U768" s="75">
        <v>70</v>
      </c>
      <c r="V768" s="7">
        <v>3.5000000000000003E-2</v>
      </c>
      <c r="W768" s="75">
        <v>11</v>
      </c>
      <c r="X768" s="55">
        <f>IFERROR(Supplier_Perf_Table[[#This Row],[Actual_Delivery_Date]]-Supplier_Perf_Table[[#This Row],[Order Date]],"")</f>
        <v>11</v>
      </c>
      <c r="Y768" s="75">
        <v>12</v>
      </c>
      <c r="Z768" s="56">
        <f>IFERROR(Supplier_Perf_Table[[#This Row],[Expected Delivery_Date]]-Supplier_Perf_Table[[#This Row],[Order Date]],"")</f>
        <v>12</v>
      </c>
      <c r="AA768" s="56">
        <f>Supplier_Perf_Table[[#This Row],[Calculated_Lead_Time2]]-Supplier_Perf_Table[[#This Row],[Calculated_Expected_Lead_Time]]</f>
        <v>-1</v>
      </c>
      <c r="AB768" s="75">
        <v>-1</v>
      </c>
      <c r="AC768" s="63" t="s">
        <v>87</v>
      </c>
      <c r="AD768" s="63" t="s">
        <v>40</v>
      </c>
      <c r="AE768" s="63" t="s">
        <v>105</v>
      </c>
      <c r="AF768" s="63" t="s">
        <v>190</v>
      </c>
      <c r="AG768" s="63" t="s">
        <v>43</v>
      </c>
      <c r="AH768" s="63" t="s">
        <v>3112</v>
      </c>
      <c r="AI768" s="63" t="s">
        <v>191</v>
      </c>
      <c r="AJ768" s="63" t="s">
        <v>138</v>
      </c>
      <c r="AK768" s="83">
        <v>2.5</v>
      </c>
      <c r="AL768" s="63" t="s">
        <v>115</v>
      </c>
      <c r="AM768" s="63" t="s">
        <v>138</v>
      </c>
      <c r="AN768"/>
    </row>
    <row r="769" spans="1:40" ht="18" customHeight="1">
      <c r="A769" s="1" t="s">
        <v>2419</v>
      </c>
      <c r="B769" s="1" t="s">
        <v>2420</v>
      </c>
      <c r="C769" s="4">
        <v>46105</v>
      </c>
      <c r="D769" s="4">
        <v>46117</v>
      </c>
      <c r="E769" s="4">
        <v>46114</v>
      </c>
      <c r="F769" s="63" t="s">
        <v>60</v>
      </c>
      <c r="G769" s="63" t="s">
        <v>3837</v>
      </c>
      <c r="H769" s="63" t="s">
        <v>152</v>
      </c>
      <c r="I769" s="63" t="s">
        <v>178</v>
      </c>
      <c r="J769" s="63" t="s">
        <v>62</v>
      </c>
      <c r="K769" s="63" t="s">
        <v>2421</v>
      </c>
      <c r="L769" s="63" t="s">
        <v>94</v>
      </c>
      <c r="M769" s="69">
        <v>273.8</v>
      </c>
      <c r="N769" s="63" t="s">
        <v>38</v>
      </c>
      <c r="O769" s="73">
        <f>_xlfn.XLOOKUP(Supplier_Perf_Table[[#This Row],[Currency]],'Comments 2'!$C$4:$C$16,'Comments 2'!$D$4:$D$16)</f>
        <v>7.7000000000000002E-3</v>
      </c>
      <c r="P769" s="69">
        <f>IFERROR(Supplier_Perf_Table[[#This Row],[Unit_Cost]]*Supplier_Perf_Table[[#This Row],[Dollar Equivalent]],"")</f>
        <v>2.10826</v>
      </c>
      <c r="Q769" s="75">
        <v>1000</v>
      </c>
      <c r="R769" s="1">
        <v>273800</v>
      </c>
      <c r="S769" s="75">
        <f>Supplier_Perf_Table[[#This Row],[Unit_Cost]]*Supplier_Perf_Table[[#This Row],[Order_Quantity]]</f>
        <v>273800</v>
      </c>
      <c r="T769" s="75">
        <f>IFERROR(Supplier_Perf_Table[[#This Row],[Dollar Equivalent]]*Supplier_Perf_Table[[#This Row],[Ordered_Value]],"")</f>
        <v>2108.2600000000002</v>
      </c>
      <c r="U769" s="75">
        <v>38</v>
      </c>
      <c r="V769" s="7">
        <v>3.7999999999999999E-2</v>
      </c>
      <c r="W769" s="75">
        <v>9</v>
      </c>
      <c r="X769" s="55">
        <f>IFERROR(Supplier_Perf_Table[[#This Row],[Actual_Delivery_Date]]-Supplier_Perf_Table[[#This Row],[Order Date]],"")</f>
        <v>9</v>
      </c>
      <c r="Y769" s="75">
        <v>12</v>
      </c>
      <c r="Z769" s="56">
        <f>IFERROR(Supplier_Perf_Table[[#This Row],[Expected Delivery_Date]]-Supplier_Perf_Table[[#This Row],[Order Date]],"")</f>
        <v>12</v>
      </c>
      <c r="AA769" s="56">
        <f>Supplier_Perf_Table[[#This Row],[Calculated_Lead_Time2]]-Supplier_Perf_Table[[#This Row],[Calculated_Expected_Lead_Time]]</f>
        <v>-3</v>
      </c>
      <c r="AB769" s="75">
        <v>-3</v>
      </c>
      <c r="AC769" s="63" t="s">
        <v>87</v>
      </c>
      <c r="AD769" s="63" t="s">
        <v>40</v>
      </c>
      <c r="AE769" s="63" t="s">
        <v>105</v>
      </c>
      <c r="AF769" s="63" t="s">
        <v>106</v>
      </c>
      <c r="AG769" s="63" t="s">
        <v>43</v>
      </c>
      <c r="AH769" s="63" t="s">
        <v>88</v>
      </c>
      <c r="AI769" s="63" t="s">
        <v>56</v>
      </c>
      <c r="AJ769" s="63" t="s">
        <v>138</v>
      </c>
      <c r="AK769" s="83">
        <v>4.5</v>
      </c>
      <c r="AL769" s="63" t="s">
        <v>139</v>
      </c>
      <c r="AM769" s="63" t="s">
        <v>138</v>
      </c>
      <c r="AN769"/>
    </row>
    <row r="770" spans="1:40" ht="18" customHeight="1">
      <c r="A770" s="1" t="s">
        <v>2422</v>
      </c>
      <c r="B770" s="1" t="s">
        <v>2423</v>
      </c>
      <c r="C770" s="4">
        <v>46037</v>
      </c>
      <c r="D770" s="4">
        <v>46049</v>
      </c>
      <c r="E770" s="4">
        <v>46059</v>
      </c>
      <c r="F770" s="63" t="s">
        <v>48</v>
      </c>
      <c r="G770" s="63" t="s">
        <v>3836</v>
      </c>
      <c r="H770" s="63" t="s">
        <v>102</v>
      </c>
      <c r="I770" s="63" t="s">
        <v>241</v>
      </c>
      <c r="J770" s="63" t="s">
        <v>50</v>
      </c>
      <c r="K770" s="63" t="s">
        <v>950</v>
      </c>
      <c r="L770" s="63" t="s">
        <v>145</v>
      </c>
      <c r="M770" s="69" t="s">
        <v>3080</v>
      </c>
      <c r="N770" s="63" t="s">
        <v>38</v>
      </c>
      <c r="O770" s="73">
        <f>_xlfn.XLOOKUP(Supplier_Perf_Table[[#This Row],[Currency]],'Comments 2'!$C$4:$C$16,'Comments 2'!$D$4:$D$16)</f>
        <v>7.7000000000000002E-3</v>
      </c>
      <c r="P770" s="69" t="str">
        <f>IFERROR(Supplier_Perf_Table[[#This Row],[Unit_Cost]]*Supplier_Perf_Table[[#This Row],[Dollar Equivalent]],"")</f>
        <v/>
      </c>
      <c r="Q770" s="75">
        <v>75</v>
      </c>
      <c r="R770" s="1">
        <v>144540.75</v>
      </c>
      <c r="S770" s="75" t="e">
        <f>Supplier_Perf_Table[[#This Row],[Unit_Cost]]*Supplier_Perf_Table[[#This Row],[Order_Quantity]]</f>
        <v>#VALUE!</v>
      </c>
      <c r="T770" s="75">
        <f>IFERROR(Supplier_Perf_Table[[#This Row],[Dollar Equivalent]]*Supplier_Perf_Table[[#This Row],[Ordered_Value]],"")</f>
        <v>1112.9637749999999</v>
      </c>
      <c r="U770" s="75">
        <v>0</v>
      </c>
      <c r="V770" s="7">
        <v>0</v>
      </c>
      <c r="W770" s="75">
        <v>22</v>
      </c>
      <c r="X770" s="55">
        <f>IFERROR(Supplier_Perf_Table[[#This Row],[Actual_Delivery_Date]]-Supplier_Perf_Table[[#This Row],[Order Date]],"")</f>
        <v>22</v>
      </c>
      <c r="Y770" s="75">
        <v>12</v>
      </c>
      <c r="Z770" s="56">
        <f>IFERROR(Supplier_Perf_Table[[#This Row],[Expected Delivery_Date]]-Supplier_Perf_Table[[#This Row],[Order Date]],"")</f>
        <v>12</v>
      </c>
      <c r="AA770" s="56">
        <f>Supplier_Perf_Table[[#This Row],[Calculated_Lead_Time2]]-Supplier_Perf_Table[[#This Row],[Calculated_Expected_Lead_Time]]</f>
        <v>10</v>
      </c>
      <c r="AB770" s="75">
        <v>10</v>
      </c>
      <c r="AC770" s="63" t="s">
        <v>135</v>
      </c>
      <c r="AD770" s="63" t="s">
        <v>40</v>
      </c>
      <c r="AE770" s="63" t="s">
        <v>105</v>
      </c>
      <c r="AF770" s="63" t="s">
        <v>42</v>
      </c>
      <c r="AG770" s="63" t="s">
        <v>173</v>
      </c>
      <c r="AH770" s="63" t="s">
        <v>3112</v>
      </c>
      <c r="AI770" s="63" t="s">
        <v>138</v>
      </c>
      <c r="AJ770" s="63" t="s">
        <v>138</v>
      </c>
      <c r="AK770" s="83">
        <v>1.5</v>
      </c>
      <c r="AL770" s="63" t="s">
        <v>76</v>
      </c>
      <c r="AM770" s="63" t="s">
        <v>46</v>
      </c>
      <c r="AN770"/>
    </row>
    <row r="771" spans="1:40" ht="18" customHeight="1">
      <c r="A771" s="63" t="s">
        <v>2424</v>
      </c>
      <c r="B771" s="63" t="s">
        <v>2425</v>
      </c>
      <c r="C771" s="4">
        <v>46051</v>
      </c>
      <c r="D771" s="4">
        <v>46064</v>
      </c>
      <c r="E771" s="4">
        <v>46071</v>
      </c>
      <c r="F771" s="63" t="s">
        <v>60</v>
      </c>
      <c r="G771" s="63" t="s">
        <v>3837</v>
      </c>
      <c r="H771" s="63" t="s">
        <v>152</v>
      </c>
      <c r="I771" s="63" t="s">
        <v>49</v>
      </c>
      <c r="J771" s="63" t="s">
        <v>62</v>
      </c>
      <c r="K771" s="63" t="s">
        <v>2426</v>
      </c>
      <c r="L771" s="63" t="s">
        <v>225</v>
      </c>
      <c r="M771" s="69">
        <v>40.270000000000003</v>
      </c>
      <c r="N771" s="63" t="s">
        <v>104</v>
      </c>
      <c r="O771" s="73">
        <f>_xlfn.XLOOKUP(Supplier_Perf_Table[[#This Row],[Currency]],'Comments 2'!$C$4:$C$16,'Comments 2'!$D$4:$D$16)</f>
        <v>1.9E-2</v>
      </c>
      <c r="P771" s="69">
        <f>IFERROR(Supplier_Perf_Table[[#This Row],[Unit_Cost]]*Supplier_Perf_Table[[#This Row],[Dollar Equivalent]],"")</f>
        <v>0.76513000000000009</v>
      </c>
      <c r="Q771" s="75">
        <v>250</v>
      </c>
      <c r="R771" s="1">
        <v>10067.5</v>
      </c>
      <c r="S771" s="75">
        <f>Supplier_Perf_Table[[#This Row],[Unit_Cost]]*Supplier_Perf_Table[[#This Row],[Order_Quantity]]</f>
        <v>10067.5</v>
      </c>
      <c r="T771" s="75">
        <f>IFERROR(Supplier_Perf_Table[[#This Row],[Dollar Equivalent]]*Supplier_Perf_Table[[#This Row],[Ordered_Value]],"")</f>
        <v>191.2825</v>
      </c>
      <c r="U771" s="75">
        <v>7</v>
      </c>
      <c r="V771" s="7">
        <v>2.8000000000000001E-2</v>
      </c>
      <c r="W771" s="75">
        <v>20</v>
      </c>
      <c r="X771" s="55">
        <f>IFERROR(Supplier_Perf_Table[[#This Row],[Actual_Delivery_Date]]-Supplier_Perf_Table[[#This Row],[Order Date]],"")</f>
        <v>20</v>
      </c>
      <c r="Y771" s="75">
        <v>13</v>
      </c>
      <c r="Z771" s="56">
        <f>IFERROR(Supplier_Perf_Table[[#This Row],[Expected Delivery_Date]]-Supplier_Perf_Table[[#This Row],[Order Date]],"")</f>
        <v>13</v>
      </c>
      <c r="AA771" s="56">
        <f>Supplier_Perf_Table[[#This Row],[Calculated_Lead_Time2]]-Supplier_Perf_Table[[#This Row],[Calculated_Expected_Lead_Time]]</f>
        <v>7</v>
      </c>
      <c r="AB771" s="75">
        <v>7</v>
      </c>
      <c r="AC771" s="63" t="s">
        <v>135</v>
      </c>
      <c r="AD771" s="63" t="s">
        <v>40</v>
      </c>
      <c r="AE771" s="63" t="s">
        <v>41</v>
      </c>
      <c r="AF771" s="63" t="s">
        <v>106</v>
      </c>
      <c r="AG771" s="63" t="s">
        <v>173</v>
      </c>
      <c r="AH771" s="63" t="s">
        <v>3112</v>
      </c>
      <c r="AI771" s="63" t="s">
        <v>191</v>
      </c>
      <c r="AJ771" s="63" t="s">
        <v>138</v>
      </c>
      <c r="AK771" s="83">
        <v>2.4</v>
      </c>
      <c r="AL771" s="63" t="s">
        <v>115</v>
      </c>
      <c r="AM771" s="63" t="s">
        <v>46</v>
      </c>
      <c r="AN771"/>
    </row>
    <row r="772" spans="1:40" ht="18" customHeight="1">
      <c r="A772" s="1" t="s">
        <v>2427</v>
      </c>
      <c r="B772" s="1" t="s">
        <v>2428</v>
      </c>
      <c r="C772" s="4">
        <v>46039</v>
      </c>
      <c r="D772" s="4">
        <v>46049</v>
      </c>
      <c r="E772" s="4">
        <v>46054</v>
      </c>
      <c r="F772" s="63" t="s">
        <v>69</v>
      </c>
      <c r="G772" s="63" t="s">
        <v>3838</v>
      </c>
      <c r="H772" s="63" t="s">
        <v>194</v>
      </c>
      <c r="I772" s="63" t="s">
        <v>241</v>
      </c>
      <c r="J772" s="63" t="s">
        <v>112</v>
      </c>
      <c r="K772" s="63" t="s">
        <v>2429</v>
      </c>
      <c r="L772" s="63" t="s">
        <v>114</v>
      </c>
      <c r="M772" s="69">
        <v>831.82</v>
      </c>
      <c r="N772" s="63" t="s">
        <v>86</v>
      </c>
      <c r="O772" s="73">
        <f>_xlfn.XLOOKUP(Supplier_Perf_Table[[#This Row],[Currency]],'Comments 2'!$C$4:$C$16,'Comments 2'!$D$4:$D$16)</f>
        <v>8.8999999999999996E-2</v>
      </c>
      <c r="P772" s="69">
        <f>IFERROR(Supplier_Perf_Table[[#This Row],[Unit_Cost]]*Supplier_Perf_Table[[#This Row],[Dollar Equivalent]],"")</f>
        <v>74.031980000000004</v>
      </c>
      <c r="Q772" s="75">
        <v>2000</v>
      </c>
      <c r="R772" s="1">
        <v>1663640</v>
      </c>
      <c r="S772" s="75">
        <f>Supplier_Perf_Table[[#This Row],[Unit_Cost]]*Supplier_Perf_Table[[#This Row],[Order_Quantity]]</f>
        <v>1663640</v>
      </c>
      <c r="T772" s="75">
        <f>IFERROR(Supplier_Perf_Table[[#This Row],[Dollar Equivalent]]*Supplier_Perf_Table[[#This Row],[Ordered_Value]],"")</f>
        <v>148063.96</v>
      </c>
      <c r="U772" s="75">
        <v>105</v>
      </c>
      <c r="V772" s="7">
        <v>5.2499999999999998E-2</v>
      </c>
      <c r="W772" s="75">
        <v>15</v>
      </c>
      <c r="X772" s="55">
        <f>IFERROR(Supplier_Perf_Table[[#This Row],[Actual_Delivery_Date]]-Supplier_Perf_Table[[#This Row],[Order Date]],"")</f>
        <v>15</v>
      </c>
      <c r="Y772" s="75">
        <v>10</v>
      </c>
      <c r="Z772" s="56">
        <f>IFERROR(Supplier_Perf_Table[[#This Row],[Expected Delivery_Date]]-Supplier_Perf_Table[[#This Row],[Order Date]],"")</f>
        <v>10</v>
      </c>
      <c r="AA772" s="56">
        <f>Supplier_Perf_Table[[#This Row],[Calculated_Lead_Time2]]-Supplier_Perf_Table[[#This Row],[Calculated_Expected_Lead_Time]]</f>
        <v>5</v>
      </c>
      <c r="AB772" s="75"/>
      <c r="AC772" s="63" t="s">
        <v>205</v>
      </c>
      <c r="AD772" s="63" t="s">
        <v>74</v>
      </c>
      <c r="AE772" s="63" t="s">
        <v>105</v>
      </c>
      <c r="AF772" s="63" t="s">
        <v>42</v>
      </c>
      <c r="AG772" s="63" t="s">
        <v>43</v>
      </c>
      <c r="AH772" s="63" t="s">
        <v>174</v>
      </c>
      <c r="AI772" s="63" t="s">
        <v>44</v>
      </c>
      <c r="AJ772" s="63" t="s">
        <v>96</v>
      </c>
      <c r="AK772" s="83">
        <v>1.6</v>
      </c>
      <c r="AL772" s="63" t="s">
        <v>139</v>
      </c>
      <c r="AM772" s="63" t="s">
        <v>77</v>
      </c>
      <c r="AN772"/>
    </row>
    <row r="773" spans="1:40" ht="18" customHeight="1">
      <c r="A773" s="1" t="s">
        <v>2430</v>
      </c>
      <c r="B773" s="1" t="s">
        <v>2431</v>
      </c>
      <c r="C773" s="4">
        <v>46201</v>
      </c>
      <c r="D773" s="4">
        <v>46207</v>
      </c>
      <c r="E773" s="4">
        <v>46210</v>
      </c>
      <c r="F773" s="63" t="s">
        <v>69</v>
      </c>
      <c r="G773" s="63" t="s">
        <v>3838</v>
      </c>
      <c r="H773" s="63" t="s">
        <v>194</v>
      </c>
      <c r="I773" s="63" t="s">
        <v>34</v>
      </c>
      <c r="J773" s="63" t="s">
        <v>112</v>
      </c>
      <c r="K773" s="63" t="s">
        <v>2432</v>
      </c>
      <c r="L773" s="63" t="s">
        <v>246</v>
      </c>
      <c r="M773" s="69">
        <v>245.5</v>
      </c>
      <c r="N773" s="63" t="s">
        <v>38</v>
      </c>
      <c r="O773" s="73">
        <f>_xlfn.XLOOKUP(Supplier_Perf_Table[[#This Row],[Currency]],'Comments 2'!$C$4:$C$16,'Comments 2'!$D$4:$D$16)</f>
        <v>7.7000000000000002E-3</v>
      </c>
      <c r="P773" s="69">
        <f>IFERROR(Supplier_Perf_Table[[#This Row],[Unit_Cost]]*Supplier_Perf_Table[[#This Row],[Dollar Equivalent]],"")</f>
        <v>1.89035</v>
      </c>
      <c r="Q773" s="75">
        <v>100</v>
      </c>
      <c r="R773" s="1">
        <v>24550</v>
      </c>
      <c r="S773" s="75">
        <f>Supplier_Perf_Table[[#This Row],[Unit_Cost]]*Supplier_Perf_Table[[#This Row],[Order_Quantity]]</f>
        <v>24550</v>
      </c>
      <c r="T773" s="75">
        <f>IFERROR(Supplier_Perf_Table[[#This Row],[Dollar Equivalent]]*Supplier_Perf_Table[[#This Row],[Ordered_Value]],"")</f>
        <v>189.035</v>
      </c>
      <c r="U773" s="75">
        <v>9</v>
      </c>
      <c r="V773" s="7">
        <v>0.09</v>
      </c>
      <c r="W773" s="75">
        <v>9</v>
      </c>
      <c r="X773" s="55">
        <f>IFERROR(Supplier_Perf_Table[[#This Row],[Actual_Delivery_Date]]-Supplier_Perf_Table[[#This Row],[Order Date]],"")</f>
        <v>9</v>
      </c>
      <c r="Y773" s="75">
        <v>6</v>
      </c>
      <c r="Z773" s="56">
        <f>IFERROR(Supplier_Perf_Table[[#This Row],[Expected Delivery_Date]]-Supplier_Perf_Table[[#This Row],[Order Date]],"")</f>
        <v>6</v>
      </c>
      <c r="AA773" s="56">
        <f>Supplier_Perf_Table[[#This Row],[Calculated_Lead_Time2]]-Supplier_Perf_Table[[#This Row],[Calculated_Expected_Lead_Time]]</f>
        <v>3</v>
      </c>
      <c r="AB773" s="75">
        <v>3</v>
      </c>
      <c r="AC773" s="63" t="s">
        <v>135</v>
      </c>
      <c r="AD773" s="63" t="s">
        <v>366</v>
      </c>
      <c r="AE773" s="63" t="s">
        <v>3088</v>
      </c>
      <c r="AF773" s="63" t="s">
        <v>3088</v>
      </c>
      <c r="AG773" s="63" t="s">
        <v>128</v>
      </c>
      <c r="AH773" s="63" t="s">
        <v>3112</v>
      </c>
      <c r="AI773" s="63" t="s">
        <v>138</v>
      </c>
      <c r="AJ773" s="63" t="s">
        <v>283</v>
      </c>
      <c r="AK773" s="83">
        <v>3.1</v>
      </c>
      <c r="AL773" s="63" t="s">
        <v>45</v>
      </c>
      <c r="AM773" s="63" t="s">
        <v>185</v>
      </c>
      <c r="AN773"/>
    </row>
    <row r="774" spans="1:40" ht="18" customHeight="1">
      <c r="A774" s="1" t="s">
        <v>2433</v>
      </c>
      <c r="B774" s="1" t="s">
        <v>2434</v>
      </c>
      <c r="C774" s="4">
        <v>46034</v>
      </c>
      <c r="D774" s="4">
        <v>46055</v>
      </c>
      <c r="E774" s="4">
        <v>46057</v>
      </c>
      <c r="F774" s="63" t="s">
        <v>90</v>
      </c>
      <c r="G774" s="63" t="s">
        <v>3840</v>
      </c>
      <c r="H774" s="63" t="s">
        <v>133</v>
      </c>
      <c r="I774" s="63" t="s">
        <v>92</v>
      </c>
      <c r="J774" s="63" t="s">
        <v>35</v>
      </c>
      <c r="K774" s="63" t="s">
        <v>2435</v>
      </c>
      <c r="L774" s="63" t="s">
        <v>200</v>
      </c>
      <c r="M774" s="69">
        <v>2250.13</v>
      </c>
      <c r="N774" s="63" t="s">
        <v>104</v>
      </c>
      <c r="O774" s="73">
        <f>_xlfn.XLOOKUP(Supplier_Perf_Table[[#This Row],[Currency]],'Comments 2'!$C$4:$C$16,'Comments 2'!$D$4:$D$16)</f>
        <v>1.9E-2</v>
      </c>
      <c r="P774" s="69">
        <f>IFERROR(Supplier_Perf_Table[[#This Row],[Unit_Cost]]*Supplier_Perf_Table[[#This Row],[Dollar Equivalent]],"")</f>
        <v>42.752470000000002</v>
      </c>
      <c r="Q774" s="75">
        <v>300</v>
      </c>
      <c r="R774" s="1">
        <v>675039</v>
      </c>
      <c r="S774" s="75">
        <f>Supplier_Perf_Table[[#This Row],[Unit_Cost]]*Supplier_Perf_Table[[#This Row],[Order_Quantity]]</f>
        <v>675039</v>
      </c>
      <c r="T774" s="75">
        <f>IFERROR(Supplier_Perf_Table[[#This Row],[Dollar Equivalent]]*Supplier_Perf_Table[[#This Row],[Ordered_Value]],"")</f>
        <v>12825.741</v>
      </c>
      <c r="U774" s="75">
        <v>0</v>
      </c>
      <c r="V774" s="7">
        <v>0</v>
      </c>
      <c r="W774" s="75">
        <v>23</v>
      </c>
      <c r="X774" s="55">
        <f>IFERROR(Supplier_Perf_Table[[#This Row],[Actual_Delivery_Date]]-Supplier_Perf_Table[[#This Row],[Order Date]],"")</f>
        <v>23</v>
      </c>
      <c r="Y774" s="75">
        <v>21</v>
      </c>
      <c r="Z774" s="56">
        <f>IFERROR(Supplier_Perf_Table[[#This Row],[Expected Delivery_Date]]-Supplier_Perf_Table[[#This Row],[Order Date]],"")</f>
        <v>21</v>
      </c>
      <c r="AA774" s="56">
        <f>Supplier_Perf_Table[[#This Row],[Calculated_Lead_Time2]]-Supplier_Perf_Table[[#This Row],[Calculated_Expected_Lead_Time]]</f>
        <v>2</v>
      </c>
      <c r="AB774" s="75">
        <v>2</v>
      </c>
      <c r="AC774" s="63" t="s">
        <v>135</v>
      </c>
      <c r="AD774" s="63" t="s">
        <v>40</v>
      </c>
      <c r="AE774" s="63" t="s">
        <v>3088</v>
      </c>
      <c r="AF774" s="63" t="s">
        <v>212</v>
      </c>
      <c r="AG774" s="63" t="s">
        <v>54</v>
      </c>
      <c r="AH774" s="63" t="s">
        <v>88</v>
      </c>
      <c r="AI774" s="63" t="s">
        <v>137</v>
      </c>
      <c r="AJ774" s="63" t="s">
        <v>138</v>
      </c>
      <c r="AK774" s="83">
        <v>3</v>
      </c>
      <c r="AL774" s="63" t="s">
        <v>184</v>
      </c>
      <c r="AM774" s="63" t="s">
        <v>148</v>
      </c>
      <c r="AN774"/>
    </row>
    <row r="775" spans="1:40" ht="18" customHeight="1">
      <c r="A775" s="1" t="s">
        <v>2436</v>
      </c>
      <c r="B775" s="1" t="s">
        <v>2437</v>
      </c>
      <c r="C775" s="4">
        <v>46189</v>
      </c>
      <c r="D775" s="4">
        <v>46203</v>
      </c>
      <c r="E775" s="4">
        <v>46219</v>
      </c>
      <c r="F775" s="63" t="s">
        <v>235</v>
      </c>
      <c r="G775" s="63" t="s">
        <v>3848</v>
      </c>
      <c r="H775" s="63" t="s">
        <v>479</v>
      </c>
      <c r="I775" s="63" t="s">
        <v>178</v>
      </c>
      <c r="J775" s="63" t="s">
        <v>71</v>
      </c>
      <c r="K775" s="63" t="s">
        <v>2438</v>
      </c>
      <c r="L775" s="63" t="s">
        <v>73</v>
      </c>
      <c r="M775" s="69">
        <v>143.79</v>
      </c>
      <c r="N775" s="63" t="s">
        <v>159</v>
      </c>
      <c r="O775" s="73">
        <f>_xlfn.XLOOKUP(Supplier_Perf_Table[[#This Row],[Currency]],'Comments 2'!$C$4:$C$16,'Comments 2'!$D$4:$D$16)</f>
        <v>7.2999999999999996E-4</v>
      </c>
      <c r="P775" s="69">
        <f>IFERROR(Supplier_Perf_Table[[#This Row],[Unit_Cost]]*Supplier_Perf_Table[[#This Row],[Dollar Equivalent]],"")</f>
        <v>0.10496669999999998</v>
      </c>
      <c r="Q775" s="75">
        <v>75</v>
      </c>
      <c r="R775" s="1">
        <v>10784.25</v>
      </c>
      <c r="S775" s="75">
        <f>Supplier_Perf_Table[[#This Row],[Unit_Cost]]*Supplier_Perf_Table[[#This Row],[Order_Quantity]]</f>
        <v>10784.25</v>
      </c>
      <c r="T775" s="75">
        <f>IFERROR(Supplier_Perf_Table[[#This Row],[Dollar Equivalent]]*Supplier_Perf_Table[[#This Row],[Ordered_Value]],"")</f>
        <v>7.8725024999999995</v>
      </c>
      <c r="U775" s="75">
        <v>3</v>
      </c>
      <c r="V775" s="7">
        <v>0.04</v>
      </c>
      <c r="W775" s="75">
        <v>30</v>
      </c>
      <c r="X775" s="55">
        <f>IFERROR(Supplier_Perf_Table[[#This Row],[Actual_Delivery_Date]]-Supplier_Perf_Table[[#This Row],[Order Date]],"")</f>
        <v>30</v>
      </c>
      <c r="Y775" s="75">
        <v>14</v>
      </c>
      <c r="Z775" s="56">
        <f>IFERROR(Supplier_Perf_Table[[#This Row],[Expected Delivery_Date]]-Supplier_Perf_Table[[#This Row],[Order Date]],"")</f>
        <v>14</v>
      </c>
      <c r="AA775" s="56">
        <f>Supplier_Perf_Table[[#This Row],[Calculated_Lead_Time2]]-Supplier_Perf_Table[[#This Row],[Calculated_Expected_Lead_Time]]</f>
        <v>16</v>
      </c>
      <c r="AB775" s="75">
        <v>16</v>
      </c>
      <c r="AC775" s="63" t="s">
        <v>205</v>
      </c>
      <c r="AD775" s="63" t="s">
        <v>40</v>
      </c>
      <c r="AE775" s="63" t="s">
        <v>105</v>
      </c>
      <c r="AF775" s="63" t="s">
        <v>66</v>
      </c>
      <c r="AG775" s="63" t="s">
        <v>43</v>
      </c>
      <c r="AH775" s="63" t="s">
        <v>206</v>
      </c>
      <c r="AI775" s="63" t="s">
        <v>95</v>
      </c>
      <c r="AJ775" s="63" t="s">
        <v>138</v>
      </c>
      <c r="AK775" s="83">
        <v>2.4</v>
      </c>
      <c r="AL775" s="63" t="s">
        <v>76</v>
      </c>
      <c r="AM775" s="63" t="s">
        <v>46</v>
      </c>
      <c r="AN775"/>
    </row>
    <row r="776" spans="1:40" ht="18" customHeight="1">
      <c r="A776" s="1" t="s">
        <v>2439</v>
      </c>
      <c r="B776" s="1" t="s">
        <v>2440</v>
      </c>
      <c r="C776" s="4">
        <v>46102</v>
      </c>
      <c r="D776" s="4">
        <v>46103</v>
      </c>
      <c r="E776" s="4">
        <v>46116</v>
      </c>
      <c r="F776" s="63" t="s">
        <v>151</v>
      </c>
      <c r="G776" s="63" t="s">
        <v>3844</v>
      </c>
      <c r="H776" s="63" t="s">
        <v>152</v>
      </c>
      <c r="I776" s="63" t="s">
        <v>34</v>
      </c>
      <c r="J776" s="63" t="s">
        <v>112</v>
      </c>
      <c r="K776" s="63" t="s">
        <v>2441</v>
      </c>
      <c r="L776" s="63" t="s">
        <v>229</v>
      </c>
      <c r="M776" s="69">
        <v>416.59</v>
      </c>
      <c r="N776" s="63" t="s">
        <v>65</v>
      </c>
      <c r="O776" s="73">
        <f>_xlfn.XLOOKUP(Supplier_Perf_Table[[#This Row],[Currency]],'Comments 2'!$C$4:$C$16,'Comments 2'!$D$4:$D$16)</f>
        <v>1</v>
      </c>
      <c r="P776" s="69">
        <f>IFERROR(Supplier_Perf_Table[[#This Row],[Unit_Cost]]*Supplier_Perf_Table[[#This Row],[Dollar Equivalent]],"")</f>
        <v>416.59</v>
      </c>
      <c r="Q776" s="75">
        <v>500</v>
      </c>
      <c r="R776" s="1">
        <v>208295</v>
      </c>
      <c r="S776" s="75">
        <f>Supplier_Perf_Table[[#This Row],[Unit_Cost]]*Supplier_Perf_Table[[#This Row],[Order_Quantity]]</f>
        <v>208295</v>
      </c>
      <c r="T776" s="75">
        <f>IFERROR(Supplier_Perf_Table[[#This Row],[Dollar Equivalent]]*Supplier_Perf_Table[[#This Row],[Ordered_Value]],"")</f>
        <v>208295</v>
      </c>
      <c r="U776" s="75">
        <v>7</v>
      </c>
      <c r="V776" s="7">
        <v>1.4E-2</v>
      </c>
      <c r="W776" s="75">
        <v>14</v>
      </c>
      <c r="X776" s="55">
        <f>IFERROR(Supplier_Perf_Table[[#This Row],[Actual_Delivery_Date]]-Supplier_Perf_Table[[#This Row],[Order Date]],"")</f>
        <v>14</v>
      </c>
      <c r="Y776" s="75">
        <v>1</v>
      </c>
      <c r="Z776" s="56">
        <f>IFERROR(Supplier_Perf_Table[[#This Row],[Expected Delivery_Date]]-Supplier_Perf_Table[[#This Row],[Order Date]],"")</f>
        <v>1</v>
      </c>
      <c r="AA776" s="56">
        <f>Supplier_Perf_Table[[#This Row],[Calculated_Lead_Time2]]-Supplier_Perf_Table[[#This Row],[Calculated_Expected_Lead_Time]]</f>
        <v>13</v>
      </c>
      <c r="AB776" s="75">
        <v>13</v>
      </c>
      <c r="AC776" s="63" t="s">
        <v>205</v>
      </c>
      <c r="AD776" s="63" t="s">
        <v>40</v>
      </c>
      <c r="AE776" s="63" t="s">
        <v>105</v>
      </c>
      <c r="AF776" s="63" t="s">
        <v>212</v>
      </c>
      <c r="AG776" s="63" t="s">
        <v>54</v>
      </c>
      <c r="AH776" s="63" t="s">
        <v>3112</v>
      </c>
      <c r="AI776" s="63" t="s">
        <v>191</v>
      </c>
      <c r="AJ776" s="63" t="s">
        <v>138</v>
      </c>
      <c r="AK776" s="83">
        <v>2.8</v>
      </c>
      <c r="AL776" s="63" t="s">
        <v>57</v>
      </c>
      <c r="AM776" s="63" t="s">
        <v>46</v>
      </c>
      <c r="AN776"/>
    </row>
    <row r="777" spans="1:40" ht="18" customHeight="1">
      <c r="A777" s="1" t="s">
        <v>2442</v>
      </c>
      <c r="B777" s="1" t="s">
        <v>2443</v>
      </c>
      <c r="C777" s="4">
        <v>46172</v>
      </c>
      <c r="D777" s="4">
        <v>46184</v>
      </c>
      <c r="E777" s="4">
        <v>46177</v>
      </c>
      <c r="F777" s="63" t="s">
        <v>100</v>
      </c>
      <c r="G777" s="63" t="s">
        <v>3841</v>
      </c>
      <c r="H777" s="63" t="s">
        <v>102</v>
      </c>
      <c r="I777" s="63" t="s">
        <v>241</v>
      </c>
      <c r="J777" s="63" t="s">
        <v>50</v>
      </c>
      <c r="K777" s="63" t="s">
        <v>1538</v>
      </c>
      <c r="L777" s="63" t="s">
        <v>189</v>
      </c>
      <c r="M777" s="69">
        <v>3004.28</v>
      </c>
      <c r="N777" s="63" t="s">
        <v>53</v>
      </c>
      <c r="O777" s="73">
        <f>_xlfn.XLOOKUP(Supplier_Perf_Table[[#This Row],[Currency]],'Comments 2'!$C$4:$C$16,'Comments 2'!$D$4:$D$16)</f>
        <v>6.0999999999999999E-2</v>
      </c>
      <c r="P777" s="69">
        <f>IFERROR(Supplier_Perf_Table[[#This Row],[Unit_Cost]]*Supplier_Perf_Table[[#This Row],[Dollar Equivalent]],"")</f>
        <v>183.26108000000002</v>
      </c>
      <c r="Q777" s="75">
        <v>1500</v>
      </c>
      <c r="R777" s="1">
        <v>4506420</v>
      </c>
      <c r="S777" s="75">
        <f>Supplier_Perf_Table[[#This Row],[Unit_Cost]]*Supplier_Perf_Table[[#This Row],[Order_Quantity]]</f>
        <v>4506420</v>
      </c>
      <c r="T777" s="75">
        <f>IFERROR(Supplier_Perf_Table[[#This Row],[Dollar Equivalent]]*Supplier_Perf_Table[[#This Row],[Ordered_Value]],"")</f>
        <v>274891.62</v>
      </c>
      <c r="U777" s="75">
        <v>26</v>
      </c>
      <c r="V777" s="7">
        <v>1.7299999999999999E-2</v>
      </c>
      <c r="W777" s="75">
        <v>5</v>
      </c>
      <c r="X777" s="55">
        <f>IFERROR(Supplier_Perf_Table[[#This Row],[Actual_Delivery_Date]]-Supplier_Perf_Table[[#This Row],[Order Date]],"")</f>
        <v>5</v>
      </c>
      <c r="Y777" s="75">
        <v>12</v>
      </c>
      <c r="Z777" s="56">
        <f>IFERROR(Supplier_Perf_Table[[#This Row],[Expected Delivery_Date]]-Supplier_Perf_Table[[#This Row],[Order Date]],"")</f>
        <v>12</v>
      </c>
      <c r="AA777" s="56">
        <f>Supplier_Perf_Table[[#This Row],[Calculated_Lead_Time2]]-Supplier_Perf_Table[[#This Row],[Calculated_Expected_Lead_Time]]</f>
        <v>-7</v>
      </c>
      <c r="AB777" s="75">
        <v>-7</v>
      </c>
      <c r="AC777" s="63" t="s">
        <v>87</v>
      </c>
      <c r="AD777" s="63" t="s">
        <v>40</v>
      </c>
      <c r="AE777" s="63" t="s">
        <v>105</v>
      </c>
      <c r="AF777" s="63" t="s">
        <v>106</v>
      </c>
      <c r="AG777" s="63" t="s">
        <v>43</v>
      </c>
      <c r="AH777" s="63" t="s">
        <v>129</v>
      </c>
      <c r="AI777" s="63" t="s">
        <v>95</v>
      </c>
      <c r="AJ777" s="63" t="s">
        <v>138</v>
      </c>
      <c r="AK777" s="83">
        <v>3.2</v>
      </c>
      <c r="AL777" s="63" t="s">
        <v>57</v>
      </c>
      <c r="AM777" s="63" t="s">
        <v>138</v>
      </c>
      <c r="AN777"/>
    </row>
    <row r="778" spans="1:40" ht="18" customHeight="1">
      <c r="A778" s="1" t="s">
        <v>2444</v>
      </c>
      <c r="B778" s="1" t="s">
        <v>2445</v>
      </c>
      <c r="C778" s="4">
        <v>46119</v>
      </c>
      <c r="D778" s="4">
        <v>46133</v>
      </c>
      <c r="E778" s="4">
        <v>46132</v>
      </c>
      <c r="F778" s="63" t="s">
        <v>100</v>
      </c>
      <c r="G778" s="63" t="s">
        <v>3841</v>
      </c>
      <c r="H778" s="63" t="s">
        <v>102</v>
      </c>
      <c r="I778" s="63" t="s">
        <v>83</v>
      </c>
      <c r="J778" s="63" t="s">
        <v>50</v>
      </c>
      <c r="K778" s="63" t="s">
        <v>2446</v>
      </c>
      <c r="L778" s="63" t="s">
        <v>189</v>
      </c>
      <c r="M778" s="69">
        <v>137.83000000000001</v>
      </c>
      <c r="N778" s="63" t="s">
        <v>104</v>
      </c>
      <c r="O778" s="73">
        <f>_xlfn.XLOOKUP(Supplier_Perf_Table[[#This Row],[Currency]],'Comments 2'!$C$4:$C$16,'Comments 2'!$D$4:$D$16)</f>
        <v>1.9E-2</v>
      </c>
      <c r="P778" s="69">
        <f>IFERROR(Supplier_Perf_Table[[#This Row],[Unit_Cost]]*Supplier_Perf_Table[[#This Row],[Dollar Equivalent]],"")</f>
        <v>2.61877</v>
      </c>
      <c r="Q778" s="75">
        <v>750</v>
      </c>
      <c r="R778" s="1">
        <v>103372.5</v>
      </c>
      <c r="S778" s="75">
        <f>Supplier_Perf_Table[[#This Row],[Unit_Cost]]*Supplier_Perf_Table[[#This Row],[Order_Quantity]]</f>
        <v>103372.50000000001</v>
      </c>
      <c r="T778" s="75">
        <f>IFERROR(Supplier_Perf_Table[[#This Row],[Dollar Equivalent]]*Supplier_Perf_Table[[#This Row],[Ordered_Value]],"")</f>
        <v>1964.0774999999999</v>
      </c>
      <c r="U778" s="75">
        <v>0</v>
      </c>
      <c r="V778" s="7">
        <v>0</v>
      </c>
      <c r="W778" s="75">
        <v>13</v>
      </c>
      <c r="X778" s="55">
        <f>IFERROR(Supplier_Perf_Table[[#This Row],[Actual_Delivery_Date]]-Supplier_Perf_Table[[#This Row],[Order Date]],"")</f>
        <v>13</v>
      </c>
      <c r="Y778" s="75">
        <v>14</v>
      </c>
      <c r="Z778" s="56">
        <f>IFERROR(Supplier_Perf_Table[[#This Row],[Expected Delivery_Date]]-Supplier_Perf_Table[[#This Row],[Order Date]],"")</f>
        <v>14</v>
      </c>
      <c r="AA778" s="56">
        <f>Supplier_Perf_Table[[#This Row],[Calculated_Lead_Time2]]-Supplier_Perf_Table[[#This Row],[Calculated_Expected_Lead_Time]]</f>
        <v>-1</v>
      </c>
      <c r="AB778" s="75">
        <v>-1</v>
      </c>
      <c r="AC778" s="63" t="s">
        <v>87</v>
      </c>
      <c r="AD778" s="63" t="s">
        <v>40</v>
      </c>
      <c r="AE778" s="63" t="s">
        <v>105</v>
      </c>
      <c r="AF778" s="63" t="s">
        <v>212</v>
      </c>
      <c r="AG778" s="63" t="s">
        <v>173</v>
      </c>
      <c r="AH778" s="63" t="s">
        <v>3112</v>
      </c>
      <c r="AI778" s="63" t="s">
        <v>44</v>
      </c>
      <c r="AJ778" s="63" t="s">
        <v>138</v>
      </c>
      <c r="AK778" s="83">
        <v>2.7</v>
      </c>
      <c r="AL778" s="63" t="s">
        <v>76</v>
      </c>
      <c r="AM778" s="63" t="s">
        <v>138</v>
      </c>
      <c r="AN778"/>
    </row>
    <row r="779" spans="1:40" ht="18" customHeight="1">
      <c r="A779" s="1" t="s">
        <v>2447</v>
      </c>
      <c r="B779" s="1" t="s">
        <v>2448</v>
      </c>
      <c r="C779" s="4">
        <v>46057</v>
      </c>
      <c r="D779" s="4">
        <v>46070</v>
      </c>
      <c r="E779" s="4">
        <v>46071</v>
      </c>
      <c r="F779" s="63" t="s">
        <v>80</v>
      </c>
      <c r="G779" s="63" t="s">
        <v>3839</v>
      </c>
      <c r="H779" s="63" t="s">
        <v>82</v>
      </c>
      <c r="I779" s="63" t="s">
        <v>83</v>
      </c>
      <c r="J779" s="63" t="s">
        <v>35</v>
      </c>
      <c r="K779" s="63" t="s">
        <v>990</v>
      </c>
      <c r="L779" s="63" t="s">
        <v>85</v>
      </c>
      <c r="M779" s="69">
        <v>2251.91</v>
      </c>
      <c r="N779" s="63" t="s">
        <v>86</v>
      </c>
      <c r="O779" s="73">
        <f>_xlfn.XLOOKUP(Supplier_Perf_Table[[#This Row],[Currency]],'Comments 2'!$C$4:$C$16,'Comments 2'!$D$4:$D$16)</f>
        <v>8.8999999999999996E-2</v>
      </c>
      <c r="P779" s="69">
        <f>IFERROR(Supplier_Perf_Table[[#This Row],[Unit_Cost]]*Supplier_Perf_Table[[#This Row],[Dollar Equivalent]],"")</f>
        <v>200.41998999999998</v>
      </c>
      <c r="Q779" s="75">
        <v>75</v>
      </c>
      <c r="R779" s="1">
        <v>168893.25</v>
      </c>
      <c r="S779" s="75">
        <f>Supplier_Perf_Table[[#This Row],[Unit_Cost]]*Supplier_Perf_Table[[#This Row],[Order_Quantity]]</f>
        <v>168893.25</v>
      </c>
      <c r="T779" s="75">
        <f>IFERROR(Supplier_Perf_Table[[#This Row],[Dollar Equivalent]]*Supplier_Perf_Table[[#This Row],[Ordered_Value]],"")</f>
        <v>15031.499249999999</v>
      </c>
      <c r="U779" s="75">
        <v>4</v>
      </c>
      <c r="V779" s="7">
        <v>5.33E-2</v>
      </c>
      <c r="W779" s="75">
        <v>14</v>
      </c>
      <c r="X779" s="55">
        <f>IFERROR(Supplier_Perf_Table[[#This Row],[Actual_Delivery_Date]]-Supplier_Perf_Table[[#This Row],[Order Date]],"")</f>
        <v>14</v>
      </c>
      <c r="Y779" s="75">
        <v>13</v>
      </c>
      <c r="Z779" s="56">
        <f>IFERROR(Supplier_Perf_Table[[#This Row],[Expected Delivery_Date]]-Supplier_Perf_Table[[#This Row],[Order Date]],"")</f>
        <v>13</v>
      </c>
      <c r="AA779" s="56">
        <f>Supplier_Perf_Table[[#This Row],[Calculated_Lead_Time2]]-Supplier_Perf_Table[[#This Row],[Calculated_Expected_Lead_Time]]</f>
        <v>1</v>
      </c>
      <c r="AB779" s="75">
        <v>1</v>
      </c>
      <c r="AC779" s="63" t="s">
        <v>135</v>
      </c>
      <c r="AD779" s="63" t="s">
        <v>366</v>
      </c>
      <c r="AE779" s="63" t="s">
        <v>105</v>
      </c>
      <c r="AF779" s="63" t="s">
        <v>190</v>
      </c>
      <c r="AG779" s="63" t="s">
        <v>3088</v>
      </c>
      <c r="AH779" s="63" t="s">
        <v>88</v>
      </c>
      <c r="AI779" s="63" t="s">
        <v>147</v>
      </c>
      <c r="AJ779" s="63" t="s">
        <v>373</v>
      </c>
      <c r="AK779" s="83">
        <v>2.8</v>
      </c>
      <c r="AL779" s="63" t="s">
        <v>57</v>
      </c>
      <c r="AM779" s="63" t="s">
        <v>77</v>
      </c>
      <c r="AN779"/>
    </row>
    <row r="780" spans="1:40" ht="18" customHeight="1">
      <c r="A780" s="1" t="s">
        <v>2449</v>
      </c>
      <c r="B780" s="1" t="s">
        <v>2450</v>
      </c>
      <c r="C780" s="4">
        <v>46154</v>
      </c>
      <c r="D780" s="4">
        <v>46171</v>
      </c>
      <c r="E780" s="4">
        <v>46176</v>
      </c>
      <c r="F780" s="63" t="s">
        <v>90</v>
      </c>
      <c r="G780" s="63" t="s">
        <v>3840</v>
      </c>
      <c r="H780" s="63" t="s">
        <v>133</v>
      </c>
      <c r="I780" s="63" t="s">
        <v>120</v>
      </c>
      <c r="J780" s="63" t="s">
        <v>50</v>
      </c>
      <c r="K780" s="63" t="s">
        <v>2451</v>
      </c>
      <c r="L780" s="63" t="s">
        <v>189</v>
      </c>
      <c r="M780" s="69">
        <v>3087.32</v>
      </c>
      <c r="N780" s="63" t="s">
        <v>86</v>
      </c>
      <c r="O780" s="73">
        <f>_xlfn.XLOOKUP(Supplier_Perf_Table[[#This Row],[Currency]],'Comments 2'!$C$4:$C$16,'Comments 2'!$D$4:$D$16)</f>
        <v>8.8999999999999996E-2</v>
      </c>
      <c r="P780" s="69">
        <f>IFERROR(Supplier_Perf_Table[[#This Row],[Unit_Cost]]*Supplier_Perf_Table[[#This Row],[Dollar Equivalent]],"")</f>
        <v>274.77148</v>
      </c>
      <c r="Q780" s="75">
        <v>1500</v>
      </c>
      <c r="R780" s="1">
        <v>4630980</v>
      </c>
      <c r="S780" s="75">
        <f>Supplier_Perf_Table[[#This Row],[Unit_Cost]]*Supplier_Perf_Table[[#This Row],[Order_Quantity]]</f>
        <v>4630980</v>
      </c>
      <c r="T780" s="75">
        <f>IFERROR(Supplier_Perf_Table[[#This Row],[Dollar Equivalent]]*Supplier_Perf_Table[[#This Row],[Ordered_Value]],"")</f>
        <v>412157.22</v>
      </c>
      <c r="U780" s="75">
        <v>38</v>
      </c>
      <c r="V780" s="7">
        <v>2.53E-2</v>
      </c>
      <c r="W780" s="75">
        <v>22</v>
      </c>
      <c r="X780" s="55">
        <f>IFERROR(Supplier_Perf_Table[[#This Row],[Actual_Delivery_Date]]-Supplier_Perf_Table[[#This Row],[Order Date]],"")</f>
        <v>22</v>
      </c>
      <c r="Y780" s="75" t="s">
        <v>3080</v>
      </c>
      <c r="Z780" s="56">
        <f>IFERROR(Supplier_Perf_Table[[#This Row],[Expected Delivery_Date]]-Supplier_Perf_Table[[#This Row],[Order Date]],"")</f>
        <v>17</v>
      </c>
      <c r="AA780" s="56">
        <f>Supplier_Perf_Table[[#This Row],[Calculated_Lead_Time2]]-Supplier_Perf_Table[[#This Row],[Calculated_Expected_Lead_Time]]</f>
        <v>5</v>
      </c>
      <c r="AB780" s="75">
        <v>5</v>
      </c>
      <c r="AC780" s="63" t="s">
        <v>135</v>
      </c>
      <c r="AD780" s="63" t="s">
        <v>40</v>
      </c>
      <c r="AE780" s="63" t="s">
        <v>105</v>
      </c>
      <c r="AF780" s="63" t="s">
        <v>3088</v>
      </c>
      <c r="AG780" s="63" t="s">
        <v>54</v>
      </c>
      <c r="AH780" s="63" t="s">
        <v>129</v>
      </c>
      <c r="AI780" s="63" t="s">
        <v>138</v>
      </c>
      <c r="AJ780" s="63" t="s">
        <v>138</v>
      </c>
      <c r="AK780" s="83">
        <v>3.6</v>
      </c>
      <c r="AL780" s="63" t="s">
        <v>57</v>
      </c>
      <c r="AM780" s="63" t="s">
        <v>46</v>
      </c>
      <c r="AN780"/>
    </row>
    <row r="781" spans="1:40" ht="18" customHeight="1">
      <c r="A781" s="1" t="s">
        <v>2452</v>
      </c>
      <c r="B781" s="1" t="s">
        <v>2453</v>
      </c>
      <c r="C781" s="4">
        <v>46067</v>
      </c>
      <c r="D781" s="4">
        <v>46078</v>
      </c>
      <c r="E781" s="4">
        <v>46086</v>
      </c>
      <c r="F781" s="63" t="s">
        <v>256</v>
      </c>
      <c r="G781" s="63" t="s">
        <v>3849</v>
      </c>
      <c r="H781" s="63" t="s">
        <v>258</v>
      </c>
      <c r="I781" s="63" t="s">
        <v>49</v>
      </c>
      <c r="J781" s="63" t="s">
        <v>62</v>
      </c>
      <c r="K781" s="63" t="s">
        <v>2454</v>
      </c>
      <c r="L781" s="63" t="s">
        <v>225</v>
      </c>
      <c r="M781" s="69">
        <v>106.36</v>
      </c>
      <c r="N781" s="63" t="s">
        <v>159</v>
      </c>
      <c r="O781" s="73">
        <f>_xlfn.XLOOKUP(Supplier_Perf_Table[[#This Row],[Currency]],'Comments 2'!$C$4:$C$16,'Comments 2'!$D$4:$D$16)</f>
        <v>7.2999999999999996E-4</v>
      </c>
      <c r="P781" s="69">
        <f>IFERROR(Supplier_Perf_Table[[#This Row],[Unit_Cost]]*Supplier_Perf_Table[[#This Row],[Dollar Equivalent]],"")</f>
        <v>7.7642799999999998E-2</v>
      </c>
      <c r="Q781" s="75">
        <v>750</v>
      </c>
      <c r="R781" s="1">
        <v>79770</v>
      </c>
      <c r="S781" s="75">
        <f>Supplier_Perf_Table[[#This Row],[Unit_Cost]]*Supplier_Perf_Table[[#This Row],[Order_Quantity]]</f>
        <v>79770</v>
      </c>
      <c r="T781" s="75">
        <f>IFERROR(Supplier_Perf_Table[[#This Row],[Dollar Equivalent]]*Supplier_Perf_Table[[#This Row],[Ordered_Value]],"")</f>
        <v>58.232099999999996</v>
      </c>
      <c r="U781" s="75">
        <v>4</v>
      </c>
      <c r="V781" s="7">
        <v>5.3E-3</v>
      </c>
      <c r="W781" s="75">
        <v>19</v>
      </c>
      <c r="X781" s="55">
        <f>IFERROR(Supplier_Perf_Table[[#This Row],[Actual_Delivery_Date]]-Supplier_Perf_Table[[#This Row],[Order Date]],"")</f>
        <v>19</v>
      </c>
      <c r="Y781" s="75">
        <v>11</v>
      </c>
      <c r="Z781" s="56">
        <f>IFERROR(Supplier_Perf_Table[[#This Row],[Expected Delivery_Date]]-Supplier_Perf_Table[[#This Row],[Order Date]],"")</f>
        <v>11</v>
      </c>
      <c r="AA781" s="56">
        <f>Supplier_Perf_Table[[#This Row],[Calculated_Lead_Time2]]-Supplier_Perf_Table[[#This Row],[Calculated_Expected_Lead_Time]]</f>
        <v>8</v>
      </c>
      <c r="AB781" s="75">
        <v>8</v>
      </c>
      <c r="AC781" s="63" t="s">
        <v>135</v>
      </c>
      <c r="AD781" s="63" t="s">
        <v>40</v>
      </c>
      <c r="AE781" s="63" t="s">
        <v>41</v>
      </c>
      <c r="AF781" s="63" t="s">
        <v>106</v>
      </c>
      <c r="AG781" s="63" t="s">
        <v>107</v>
      </c>
      <c r="AH781" s="63" t="s">
        <v>3112</v>
      </c>
      <c r="AI781" s="63" t="s">
        <v>138</v>
      </c>
      <c r="AJ781" s="63" t="s">
        <v>138</v>
      </c>
      <c r="AK781" s="83">
        <v>1.8</v>
      </c>
      <c r="AL781" s="63" t="s">
        <v>45</v>
      </c>
      <c r="AM781" s="63" t="s">
        <v>46</v>
      </c>
      <c r="AN781"/>
    </row>
    <row r="782" spans="1:40" ht="18" customHeight="1">
      <c r="A782" s="1" t="s">
        <v>2455</v>
      </c>
      <c r="B782" s="1" t="s">
        <v>2456</v>
      </c>
      <c r="C782" s="4">
        <v>46113</v>
      </c>
      <c r="D782" s="4">
        <v>46120</v>
      </c>
      <c r="E782" s="4">
        <v>46128</v>
      </c>
      <c r="F782" s="63" t="s">
        <v>215</v>
      </c>
      <c r="G782" s="63" t="s">
        <v>3846</v>
      </c>
      <c r="H782" s="63" t="s">
        <v>152</v>
      </c>
      <c r="I782" s="63" t="s">
        <v>178</v>
      </c>
      <c r="J782" s="63" t="s">
        <v>112</v>
      </c>
      <c r="K782" s="63" t="s">
        <v>1326</v>
      </c>
      <c r="L782" s="63" t="s">
        <v>114</v>
      </c>
      <c r="M782" s="69">
        <v>130.99</v>
      </c>
      <c r="N782" s="63" t="s">
        <v>38</v>
      </c>
      <c r="O782" s="73">
        <f>_xlfn.XLOOKUP(Supplier_Perf_Table[[#This Row],[Currency]],'Comments 2'!$C$4:$C$16,'Comments 2'!$D$4:$D$16)</f>
        <v>7.7000000000000002E-3</v>
      </c>
      <c r="P782" s="69">
        <f>IFERROR(Supplier_Perf_Table[[#This Row],[Unit_Cost]]*Supplier_Perf_Table[[#This Row],[Dollar Equivalent]],"")</f>
        <v>1.008623</v>
      </c>
      <c r="Q782" s="75">
        <v>150</v>
      </c>
      <c r="R782" s="1">
        <v>19648.5</v>
      </c>
      <c r="S782" s="75">
        <f>Supplier_Perf_Table[[#This Row],[Unit_Cost]]*Supplier_Perf_Table[[#This Row],[Order_Quantity]]</f>
        <v>19648.5</v>
      </c>
      <c r="T782" s="75">
        <f>IFERROR(Supplier_Perf_Table[[#This Row],[Dollar Equivalent]]*Supplier_Perf_Table[[#This Row],[Ordered_Value]],"")</f>
        <v>151.29345000000001</v>
      </c>
      <c r="U782" s="75">
        <v>5</v>
      </c>
      <c r="V782" s="7">
        <v>3.3300000000000003E-2</v>
      </c>
      <c r="W782" s="75">
        <v>15</v>
      </c>
      <c r="X782" s="55">
        <f>IFERROR(Supplier_Perf_Table[[#This Row],[Actual_Delivery_Date]]-Supplier_Perf_Table[[#This Row],[Order Date]],"")</f>
        <v>15</v>
      </c>
      <c r="Y782" s="75">
        <v>7</v>
      </c>
      <c r="Z782" s="56">
        <f>IFERROR(Supplier_Perf_Table[[#This Row],[Expected Delivery_Date]]-Supplier_Perf_Table[[#This Row],[Order Date]],"")</f>
        <v>7</v>
      </c>
      <c r="AA782" s="56">
        <f>Supplier_Perf_Table[[#This Row],[Calculated_Lead_Time2]]-Supplier_Perf_Table[[#This Row],[Calculated_Expected_Lead_Time]]</f>
        <v>8</v>
      </c>
      <c r="AB782" s="75">
        <v>8</v>
      </c>
      <c r="AC782" s="63" t="s">
        <v>135</v>
      </c>
      <c r="AD782" s="63" t="s">
        <v>40</v>
      </c>
      <c r="AE782" s="63" t="s">
        <v>3088</v>
      </c>
      <c r="AF782" s="63" t="s">
        <v>190</v>
      </c>
      <c r="AG782" s="63" t="s">
        <v>43</v>
      </c>
      <c r="AH782" s="63" t="s">
        <v>206</v>
      </c>
      <c r="AI782" s="63" t="s">
        <v>44</v>
      </c>
      <c r="AJ782" s="63" t="s">
        <v>138</v>
      </c>
      <c r="AK782" s="83">
        <v>3</v>
      </c>
      <c r="AL782" s="63" t="s">
        <v>76</v>
      </c>
      <c r="AM782" s="63" t="s">
        <v>148</v>
      </c>
      <c r="AN782"/>
    </row>
    <row r="783" spans="1:40" ht="18" customHeight="1">
      <c r="A783" s="1" t="s">
        <v>2457</v>
      </c>
      <c r="B783" s="1" t="s">
        <v>2458</v>
      </c>
      <c r="C783" s="4">
        <v>46094</v>
      </c>
      <c r="D783" s="4">
        <v>46107</v>
      </c>
      <c r="E783" s="4">
        <v>46114</v>
      </c>
      <c r="F783" s="63" t="s">
        <v>90</v>
      </c>
      <c r="G783" s="63" t="s">
        <v>3840</v>
      </c>
      <c r="H783" s="63" t="s">
        <v>133</v>
      </c>
      <c r="I783" s="63" t="s">
        <v>241</v>
      </c>
      <c r="J783" s="63" t="s">
        <v>71</v>
      </c>
      <c r="K783" s="63" t="s">
        <v>2459</v>
      </c>
      <c r="L783" s="63" t="s">
        <v>553</v>
      </c>
      <c r="M783" s="69">
        <v>581.42999999999995</v>
      </c>
      <c r="N783" s="63" t="s">
        <v>104</v>
      </c>
      <c r="O783" s="73">
        <f>_xlfn.XLOOKUP(Supplier_Perf_Table[[#This Row],[Currency]],'Comments 2'!$C$4:$C$16,'Comments 2'!$D$4:$D$16)</f>
        <v>1.9E-2</v>
      </c>
      <c r="P783" s="69">
        <f>IFERROR(Supplier_Perf_Table[[#This Row],[Unit_Cost]]*Supplier_Perf_Table[[#This Row],[Dollar Equivalent]],"")</f>
        <v>11.047169999999999</v>
      </c>
      <c r="Q783" s="75">
        <v>150</v>
      </c>
      <c r="R783" s="1">
        <v>87214.5</v>
      </c>
      <c r="S783" s="75">
        <f>Supplier_Perf_Table[[#This Row],[Unit_Cost]]*Supplier_Perf_Table[[#This Row],[Order_Quantity]]</f>
        <v>87214.499999999985</v>
      </c>
      <c r="T783" s="75">
        <f>IFERROR(Supplier_Perf_Table[[#This Row],[Dollar Equivalent]]*Supplier_Perf_Table[[#This Row],[Ordered_Value]],"")</f>
        <v>1657.0754999999999</v>
      </c>
      <c r="U783" s="75">
        <v>7</v>
      </c>
      <c r="V783" s="7">
        <v>4.6699999999999998E-2</v>
      </c>
      <c r="W783" s="75">
        <v>20</v>
      </c>
      <c r="X783" s="55">
        <f>IFERROR(Supplier_Perf_Table[[#This Row],[Actual_Delivery_Date]]-Supplier_Perf_Table[[#This Row],[Order Date]],"")</f>
        <v>20</v>
      </c>
      <c r="Y783" s="75">
        <v>13</v>
      </c>
      <c r="Z783" s="56">
        <f>IFERROR(Supplier_Perf_Table[[#This Row],[Expected Delivery_Date]]-Supplier_Perf_Table[[#This Row],[Order Date]],"")</f>
        <v>13</v>
      </c>
      <c r="AA783" s="56">
        <f>Supplier_Perf_Table[[#This Row],[Calculated_Lead_Time2]]-Supplier_Perf_Table[[#This Row],[Calculated_Expected_Lead_Time]]</f>
        <v>7</v>
      </c>
      <c r="AB783" s="75">
        <v>7</v>
      </c>
      <c r="AC783" s="63" t="s">
        <v>205</v>
      </c>
      <c r="AD783" s="63" t="s">
        <v>74</v>
      </c>
      <c r="AE783" s="63" t="s">
        <v>105</v>
      </c>
      <c r="AF783" s="63" t="s">
        <v>212</v>
      </c>
      <c r="AG783" s="63" t="s">
        <v>3088</v>
      </c>
      <c r="AH783" s="63" t="s">
        <v>3112</v>
      </c>
      <c r="AI783" s="63" t="s">
        <v>95</v>
      </c>
      <c r="AJ783" s="63" t="s">
        <v>283</v>
      </c>
      <c r="AK783" s="83">
        <v>2.6</v>
      </c>
      <c r="AL783" s="63" t="s">
        <v>108</v>
      </c>
      <c r="AM783" s="63" t="s">
        <v>77</v>
      </c>
      <c r="AN783"/>
    </row>
    <row r="784" spans="1:40" ht="18" customHeight="1">
      <c r="A784" s="1" t="s">
        <v>2460</v>
      </c>
      <c r="B784" s="1" t="s">
        <v>2461</v>
      </c>
      <c r="C784" s="4">
        <v>46116</v>
      </c>
      <c r="D784" s="4">
        <v>46135</v>
      </c>
      <c r="E784" s="4">
        <v>46137</v>
      </c>
      <c r="F784" s="63" t="s">
        <v>118</v>
      </c>
      <c r="G784" s="63" t="s">
        <v>3842</v>
      </c>
      <c r="H784" s="63" t="s">
        <v>301</v>
      </c>
      <c r="I784" s="63" t="s">
        <v>49</v>
      </c>
      <c r="J784" s="63" t="s">
        <v>163</v>
      </c>
      <c r="K784" s="63" t="s">
        <v>2462</v>
      </c>
      <c r="L784" s="63" t="s">
        <v>253</v>
      </c>
      <c r="M784" s="69">
        <v>1208.95</v>
      </c>
      <c r="N784" s="63" t="s">
        <v>65</v>
      </c>
      <c r="O784" s="73">
        <f>_xlfn.XLOOKUP(Supplier_Perf_Table[[#This Row],[Currency]],'Comments 2'!$C$4:$C$16,'Comments 2'!$D$4:$D$16)</f>
        <v>1</v>
      </c>
      <c r="P784" s="69">
        <f>IFERROR(Supplier_Perf_Table[[#This Row],[Unit_Cost]]*Supplier_Perf_Table[[#This Row],[Dollar Equivalent]],"")</f>
        <v>1208.95</v>
      </c>
      <c r="Q784" s="75">
        <v>100</v>
      </c>
      <c r="R784" s="1">
        <v>120895</v>
      </c>
      <c r="S784" s="75">
        <f>Supplier_Perf_Table[[#This Row],[Unit_Cost]]*Supplier_Perf_Table[[#This Row],[Order_Quantity]]</f>
        <v>120895</v>
      </c>
      <c r="T784" s="75">
        <f>IFERROR(Supplier_Perf_Table[[#This Row],[Dollar Equivalent]]*Supplier_Perf_Table[[#This Row],[Ordered_Value]],"")</f>
        <v>120895</v>
      </c>
      <c r="U784" s="75">
        <v>0</v>
      </c>
      <c r="V784" s="7">
        <v>0</v>
      </c>
      <c r="W784" s="75" t="s">
        <v>3080</v>
      </c>
      <c r="X784" s="55">
        <f>IFERROR(Supplier_Perf_Table[[#This Row],[Actual_Delivery_Date]]-Supplier_Perf_Table[[#This Row],[Order Date]],"")</f>
        <v>21</v>
      </c>
      <c r="Y784" s="75">
        <v>19</v>
      </c>
      <c r="Z784" s="56">
        <f>IFERROR(Supplier_Perf_Table[[#This Row],[Expected Delivery_Date]]-Supplier_Perf_Table[[#This Row],[Order Date]],"")</f>
        <v>19</v>
      </c>
      <c r="AA784" s="56">
        <f>Supplier_Perf_Table[[#This Row],[Calculated_Lead_Time2]]-Supplier_Perf_Table[[#This Row],[Calculated_Expected_Lead_Time]]</f>
        <v>2</v>
      </c>
      <c r="AB784" s="75">
        <v>2</v>
      </c>
      <c r="AC784" s="63" t="s">
        <v>135</v>
      </c>
      <c r="AD784" s="63" t="s">
        <v>40</v>
      </c>
      <c r="AE784" s="63" t="s">
        <v>105</v>
      </c>
      <c r="AF784" s="63" t="s">
        <v>212</v>
      </c>
      <c r="AG784" s="63" t="s">
        <v>173</v>
      </c>
      <c r="AH784" s="63" t="s">
        <v>174</v>
      </c>
      <c r="AI784" s="63" t="s">
        <v>191</v>
      </c>
      <c r="AJ784" s="63" t="s">
        <v>138</v>
      </c>
      <c r="AK784" s="83">
        <v>3.4</v>
      </c>
      <c r="AL784" s="63" t="s">
        <v>115</v>
      </c>
      <c r="AM784" s="63" t="s">
        <v>46</v>
      </c>
      <c r="AN784"/>
    </row>
    <row r="785" spans="1:40" ht="18" customHeight="1">
      <c r="A785" s="1" t="s">
        <v>2463</v>
      </c>
      <c r="B785" s="1" t="s">
        <v>2464</v>
      </c>
      <c r="C785" s="4">
        <v>46125</v>
      </c>
      <c r="D785" s="4">
        <v>46132</v>
      </c>
      <c r="E785" s="4">
        <v>46133</v>
      </c>
      <c r="F785" s="63" t="s">
        <v>215</v>
      </c>
      <c r="G785" s="63" t="s">
        <v>3846</v>
      </c>
      <c r="H785" s="63" t="s">
        <v>152</v>
      </c>
      <c r="I785" s="63" t="s">
        <v>241</v>
      </c>
      <c r="J785" s="63" t="s">
        <v>112</v>
      </c>
      <c r="K785" s="63" t="s">
        <v>2465</v>
      </c>
      <c r="L785" s="63" t="s">
        <v>218</v>
      </c>
      <c r="M785" s="69">
        <v>340.21</v>
      </c>
      <c r="N785" s="63" t="s">
        <v>159</v>
      </c>
      <c r="O785" s="73">
        <f>_xlfn.XLOOKUP(Supplier_Perf_Table[[#This Row],[Currency]],'Comments 2'!$C$4:$C$16,'Comments 2'!$D$4:$D$16)</f>
        <v>7.2999999999999996E-4</v>
      </c>
      <c r="P785" s="69">
        <f>IFERROR(Supplier_Perf_Table[[#This Row],[Unit_Cost]]*Supplier_Perf_Table[[#This Row],[Dollar Equivalent]],"")</f>
        <v>0.24835329999999997</v>
      </c>
      <c r="Q785" s="75">
        <v>100</v>
      </c>
      <c r="R785" s="1">
        <v>34021</v>
      </c>
      <c r="S785" s="75">
        <f>Supplier_Perf_Table[[#This Row],[Unit_Cost]]*Supplier_Perf_Table[[#This Row],[Order_Quantity]]</f>
        <v>34021</v>
      </c>
      <c r="T785" s="75">
        <f>IFERROR(Supplier_Perf_Table[[#This Row],[Dollar Equivalent]]*Supplier_Perf_Table[[#This Row],[Ordered_Value]],"")</f>
        <v>24.835329999999999</v>
      </c>
      <c r="U785" s="75">
        <v>5</v>
      </c>
      <c r="V785" s="7">
        <v>0.05</v>
      </c>
      <c r="W785" s="75">
        <v>8</v>
      </c>
      <c r="X785" s="55">
        <f>IFERROR(Supplier_Perf_Table[[#This Row],[Actual_Delivery_Date]]-Supplier_Perf_Table[[#This Row],[Order Date]],"")</f>
        <v>8</v>
      </c>
      <c r="Y785" s="75">
        <v>7</v>
      </c>
      <c r="Z785" s="56">
        <f>IFERROR(Supplier_Perf_Table[[#This Row],[Expected Delivery_Date]]-Supplier_Perf_Table[[#This Row],[Order Date]],"")</f>
        <v>7</v>
      </c>
      <c r="AA785" s="56">
        <f>Supplier_Perf_Table[[#This Row],[Calculated_Lead_Time2]]-Supplier_Perf_Table[[#This Row],[Calculated_Expected_Lead_Time]]</f>
        <v>1</v>
      </c>
      <c r="AB785" s="75">
        <v>1</v>
      </c>
      <c r="AC785" s="63" t="s">
        <v>166</v>
      </c>
      <c r="AD785" s="63" t="s">
        <v>420</v>
      </c>
      <c r="AE785" s="63" t="s">
        <v>146</v>
      </c>
      <c r="AF785" s="63" t="s">
        <v>106</v>
      </c>
      <c r="AG785" s="63" t="s">
        <v>173</v>
      </c>
      <c r="AH785" s="63" t="s">
        <v>129</v>
      </c>
      <c r="AI785" s="63" t="s">
        <v>191</v>
      </c>
      <c r="AJ785" s="63" t="s">
        <v>75</v>
      </c>
      <c r="AK785" s="83">
        <v>1.9</v>
      </c>
      <c r="AL785" s="63" t="s">
        <v>139</v>
      </c>
      <c r="AM785" s="63" t="s">
        <v>185</v>
      </c>
      <c r="AN785"/>
    </row>
    <row r="786" spans="1:40" ht="18" customHeight="1">
      <c r="A786" s="1" t="s">
        <v>2466</v>
      </c>
      <c r="B786" s="1" t="s">
        <v>2467</v>
      </c>
      <c r="C786" s="4">
        <v>46033</v>
      </c>
      <c r="D786" s="4">
        <v>46046</v>
      </c>
      <c r="E786" s="4">
        <v>46047</v>
      </c>
      <c r="F786" s="63" t="s">
        <v>235</v>
      </c>
      <c r="G786" s="63" t="s">
        <v>3848</v>
      </c>
      <c r="H786" s="63" t="s">
        <v>479</v>
      </c>
      <c r="I786" s="63" t="s">
        <v>70</v>
      </c>
      <c r="J786" s="63" t="s">
        <v>50</v>
      </c>
      <c r="K786" s="63" t="s">
        <v>2468</v>
      </c>
      <c r="L786" s="63" t="s">
        <v>145</v>
      </c>
      <c r="M786" s="69">
        <v>406.73</v>
      </c>
      <c r="N786" s="63" t="s">
        <v>65</v>
      </c>
      <c r="O786" s="73">
        <f>_xlfn.XLOOKUP(Supplier_Perf_Table[[#This Row],[Currency]],'Comments 2'!$C$4:$C$16,'Comments 2'!$D$4:$D$16)</f>
        <v>1</v>
      </c>
      <c r="P786" s="69">
        <f>IFERROR(Supplier_Perf_Table[[#This Row],[Unit_Cost]]*Supplier_Perf_Table[[#This Row],[Dollar Equivalent]],"")</f>
        <v>406.73</v>
      </c>
      <c r="Q786" s="75">
        <v>300</v>
      </c>
      <c r="R786" s="1">
        <v>122019</v>
      </c>
      <c r="S786" s="75">
        <f>Supplier_Perf_Table[[#This Row],[Unit_Cost]]*Supplier_Perf_Table[[#This Row],[Order_Quantity]]</f>
        <v>122019</v>
      </c>
      <c r="T786" s="75">
        <f>IFERROR(Supplier_Perf_Table[[#This Row],[Dollar Equivalent]]*Supplier_Perf_Table[[#This Row],[Ordered_Value]],"")</f>
        <v>122019</v>
      </c>
      <c r="U786" s="75">
        <v>16</v>
      </c>
      <c r="V786" s="7">
        <v>5.33E-2</v>
      </c>
      <c r="W786" s="75">
        <v>14</v>
      </c>
      <c r="X786" s="55">
        <f>IFERROR(Supplier_Perf_Table[[#This Row],[Actual_Delivery_Date]]-Supplier_Perf_Table[[#This Row],[Order Date]],"")</f>
        <v>14</v>
      </c>
      <c r="Y786" s="75">
        <v>13</v>
      </c>
      <c r="Z786" s="56">
        <f>IFERROR(Supplier_Perf_Table[[#This Row],[Expected Delivery_Date]]-Supplier_Perf_Table[[#This Row],[Order Date]],"")</f>
        <v>13</v>
      </c>
      <c r="AA786" s="56">
        <f>Supplier_Perf_Table[[#This Row],[Calculated_Lead_Time2]]-Supplier_Perf_Table[[#This Row],[Calculated_Expected_Lead_Time]]</f>
        <v>1</v>
      </c>
      <c r="AB786" s="75">
        <v>1</v>
      </c>
      <c r="AC786" s="63" t="s">
        <v>135</v>
      </c>
      <c r="AD786" s="63" t="s">
        <v>420</v>
      </c>
      <c r="AE786" s="63" t="s">
        <v>3088</v>
      </c>
      <c r="AF786" s="63" t="s">
        <v>42</v>
      </c>
      <c r="AG786" s="63" t="s">
        <v>173</v>
      </c>
      <c r="AH786" s="63" t="s">
        <v>88</v>
      </c>
      <c r="AI786" s="63" t="s">
        <v>95</v>
      </c>
      <c r="AJ786" s="63" t="s">
        <v>283</v>
      </c>
      <c r="AK786" s="83">
        <v>3.2</v>
      </c>
      <c r="AL786" s="63" t="s">
        <v>57</v>
      </c>
      <c r="AM786" s="63" t="s">
        <v>185</v>
      </c>
      <c r="AN786"/>
    </row>
    <row r="787" spans="1:40" ht="18" customHeight="1">
      <c r="A787" s="1" t="s">
        <v>2469</v>
      </c>
      <c r="B787" s="1" t="s">
        <v>2470</v>
      </c>
      <c r="C787" s="4">
        <v>46176</v>
      </c>
      <c r="D787" s="4">
        <v>46188</v>
      </c>
      <c r="E787" s="4">
        <v>46191</v>
      </c>
      <c r="F787" s="63" t="s">
        <v>69</v>
      </c>
      <c r="G787" s="63" t="s">
        <v>3838</v>
      </c>
      <c r="H787" s="63" t="s">
        <v>194</v>
      </c>
      <c r="I787" s="63" t="s">
        <v>34</v>
      </c>
      <c r="J787" s="63" t="s">
        <v>62</v>
      </c>
      <c r="K787" s="63" t="s">
        <v>2471</v>
      </c>
      <c r="L787" s="63" t="s">
        <v>225</v>
      </c>
      <c r="M787" s="69">
        <v>630.98</v>
      </c>
      <c r="N787" s="63" t="s">
        <v>159</v>
      </c>
      <c r="O787" s="73">
        <f>_xlfn.XLOOKUP(Supplier_Perf_Table[[#This Row],[Currency]],'Comments 2'!$C$4:$C$16,'Comments 2'!$D$4:$D$16)</f>
        <v>7.2999999999999996E-4</v>
      </c>
      <c r="P787" s="69">
        <f>IFERROR(Supplier_Perf_Table[[#This Row],[Unit_Cost]]*Supplier_Perf_Table[[#This Row],[Dollar Equivalent]],"")</f>
        <v>0.46061540000000001</v>
      </c>
      <c r="Q787" s="75">
        <v>750</v>
      </c>
      <c r="R787" s="1">
        <v>473235</v>
      </c>
      <c r="S787" s="75">
        <f>Supplier_Perf_Table[[#This Row],[Unit_Cost]]*Supplier_Perf_Table[[#This Row],[Order_Quantity]]</f>
        <v>473235</v>
      </c>
      <c r="T787" s="75">
        <f>IFERROR(Supplier_Perf_Table[[#This Row],[Dollar Equivalent]]*Supplier_Perf_Table[[#This Row],[Ordered_Value]],"")</f>
        <v>345.46154999999999</v>
      </c>
      <c r="U787" s="75">
        <v>22</v>
      </c>
      <c r="V787" s="7">
        <v>2.93E-2</v>
      </c>
      <c r="W787" s="75">
        <v>15</v>
      </c>
      <c r="X787" s="55">
        <f>IFERROR(Supplier_Perf_Table[[#This Row],[Actual_Delivery_Date]]-Supplier_Perf_Table[[#This Row],[Order Date]],"")</f>
        <v>15</v>
      </c>
      <c r="Y787" s="75">
        <v>12</v>
      </c>
      <c r="Z787" s="56">
        <f>IFERROR(Supplier_Perf_Table[[#This Row],[Expected Delivery_Date]]-Supplier_Perf_Table[[#This Row],[Order Date]],"")</f>
        <v>12</v>
      </c>
      <c r="AA787" s="56">
        <f>Supplier_Perf_Table[[#This Row],[Calculated_Lead_Time2]]-Supplier_Perf_Table[[#This Row],[Calculated_Expected_Lead_Time]]</f>
        <v>3</v>
      </c>
      <c r="AB787" s="75">
        <v>3</v>
      </c>
      <c r="AC787" s="63" t="s">
        <v>135</v>
      </c>
      <c r="AD787" s="63" t="s">
        <v>40</v>
      </c>
      <c r="AE787" s="63" t="s">
        <v>127</v>
      </c>
      <c r="AF787" s="63" t="s">
        <v>42</v>
      </c>
      <c r="AG787" s="63" t="s">
        <v>43</v>
      </c>
      <c r="AH787" s="63" t="s">
        <v>3112</v>
      </c>
      <c r="AI787" s="63" t="s">
        <v>147</v>
      </c>
      <c r="AJ787" s="63" t="s">
        <v>138</v>
      </c>
      <c r="AK787" s="83">
        <v>2.6</v>
      </c>
      <c r="AL787" s="63" t="s">
        <v>57</v>
      </c>
      <c r="AM787" s="63" t="s">
        <v>148</v>
      </c>
      <c r="AN787"/>
    </row>
    <row r="788" spans="1:40" ht="18" customHeight="1">
      <c r="A788" s="1" t="s">
        <v>2472</v>
      </c>
      <c r="B788" s="1" t="s">
        <v>2473</v>
      </c>
      <c r="C788" s="4">
        <v>46146</v>
      </c>
      <c r="D788" s="4">
        <v>46160</v>
      </c>
      <c r="E788" s="4">
        <v>46164</v>
      </c>
      <c r="F788" s="63" t="s">
        <v>235</v>
      </c>
      <c r="G788" s="63" t="s">
        <v>3848</v>
      </c>
      <c r="H788" s="63" t="s">
        <v>479</v>
      </c>
      <c r="I788" s="63" t="s">
        <v>70</v>
      </c>
      <c r="J788" s="63" t="s">
        <v>71</v>
      </c>
      <c r="K788" s="63" t="s">
        <v>2474</v>
      </c>
      <c r="L788" s="63" t="s">
        <v>238</v>
      </c>
      <c r="M788" s="69">
        <v>176.23</v>
      </c>
      <c r="N788" s="63" t="s">
        <v>159</v>
      </c>
      <c r="O788" s="73">
        <f>_xlfn.XLOOKUP(Supplier_Perf_Table[[#This Row],[Currency]],'Comments 2'!$C$4:$C$16,'Comments 2'!$D$4:$D$16)</f>
        <v>7.2999999999999996E-4</v>
      </c>
      <c r="P788" s="69">
        <f>IFERROR(Supplier_Perf_Table[[#This Row],[Unit_Cost]]*Supplier_Perf_Table[[#This Row],[Dollar Equivalent]],"")</f>
        <v>0.12864789999999998</v>
      </c>
      <c r="Q788" s="75">
        <v>1000</v>
      </c>
      <c r="R788" s="1">
        <v>176230</v>
      </c>
      <c r="S788" s="75">
        <f>Supplier_Perf_Table[[#This Row],[Unit_Cost]]*Supplier_Perf_Table[[#This Row],[Order_Quantity]]</f>
        <v>176230</v>
      </c>
      <c r="T788" s="75">
        <f>IFERROR(Supplier_Perf_Table[[#This Row],[Dollar Equivalent]]*Supplier_Perf_Table[[#This Row],[Ordered_Value]],"")</f>
        <v>128.64789999999999</v>
      </c>
      <c r="U788" s="75">
        <v>12</v>
      </c>
      <c r="V788" s="7">
        <v>1.2E-2</v>
      </c>
      <c r="W788" s="75">
        <v>18</v>
      </c>
      <c r="X788" s="55">
        <f>IFERROR(Supplier_Perf_Table[[#This Row],[Actual_Delivery_Date]]-Supplier_Perf_Table[[#This Row],[Order Date]],"")</f>
        <v>18</v>
      </c>
      <c r="Y788" s="75" t="s">
        <v>3080</v>
      </c>
      <c r="Z788" s="56">
        <f>IFERROR(Supplier_Perf_Table[[#This Row],[Expected Delivery_Date]]-Supplier_Perf_Table[[#This Row],[Order Date]],"")</f>
        <v>14</v>
      </c>
      <c r="AA788" s="56">
        <f>Supplier_Perf_Table[[#This Row],[Calculated_Lead_Time2]]-Supplier_Perf_Table[[#This Row],[Calculated_Expected_Lead_Time]]</f>
        <v>4</v>
      </c>
      <c r="AB788" s="75">
        <v>4</v>
      </c>
      <c r="AC788" s="63" t="s">
        <v>205</v>
      </c>
      <c r="AD788" s="63" t="s">
        <v>40</v>
      </c>
      <c r="AE788" s="63" t="s">
        <v>127</v>
      </c>
      <c r="AF788" s="63" t="s">
        <v>106</v>
      </c>
      <c r="AG788" s="63" t="s">
        <v>43</v>
      </c>
      <c r="AH788" s="63" t="s">
        <v>206</v>
      </c>
      <c r="AI788" s="63" t="s">
        <v>147</v>
      </c>
      <c r="AJ788" s="63" t="s">
        <v>138</v>
      </c>
      <c r="AK788" s="83">
        <v>2.1</v>
      </c>
      <c r="AL788" s="63" t="s">
        <v>76</v>
      </c>
      <c r="AM788" s="63" t="s">
        <v>148</v>
      </c>
      <c r="AN788"/>
    </row>
    <row r="789" spans="1:40" ht="18" customHeight="1">
      <c r="A789" s="1" t="s">
        <v>2475</v>
      </c>
      <c r="B789" s="1" t="s">
        <v>2476</v>
      </c>
      <c r="C789" s="4">
        <v>46052</v>
      </c>
      <c r="D789" s="4">
        <v>46069</v>
      </c>
      <c r="E789" s="4">
        <v>46070</v>
      </c>
      <c r="F789" s="63" t="s">
        <v>142</v>
      </c>
      <c r="G789" s="63" t="s">
        <v>3843</v>
      </c>
      <c r="H789" s="63" t="s">
        <v>169</v>
      </c>
      <c r="I789" s="63" t="s">
        <v>34</v>
      </c>
      <c r="J789" s="63" t="s">
        <v>50</v>
      </c>
      <c r="K789" s="63" t="s">
        <v>2477</v>
      </c>
      <c r="L789" s="63" t="s">
        <v>52</v>
      </c>
      <c r="M789" s="69" t="s">
        <v>3080</v>
      </c>
      <c r="N789" s="63" t="s">
        <v>104</v>
      </c>
      <c r="O789" s="73">
        <f>_xlfn.XLOOKUP(Supplier_Perf_Table[[#This Row],[Currency]],'Comments 2'!$C$4:$C$16,'Comments 2'!$D$4:$D$16)</f>
        <v>1.9E-2</v>
      </c>
      <c r="P789" s="69" t="str">
        <f>IFERROR(Supplier_Perf_Table[[#This Row],[Unit_Cost]]*Supplier_Perf_Table[[#This Row],[Dollar Equivalent]],"")</f>
        <v/>
      </c>
      <c r="Q789" s="75">
        <v>500</v>
      </c>
      <c r="R789" s="1">
        <v>362020</v>
      </c>
      <c r="S789" s="75" t="e">
        <f>Supplier_Perf_Table[[#This Row],[Unit_Cost]]*Supplier_Perf_Table[[#This Row],[Order_Quantity]]</f>
        <v>#VALUE!</v>
      </c>
      <c r="T789" s="75">
        <f>IFERROR(Supplier_Perf_Table[[#This Row],[Dollar Equivalent]]*Supplier_Perf_Table[[#This Row],[Ordered_Value]],"")</f>
        <v>6878.38</v>
      </c>
      <c r="U789" s="75">
        <v>12</v>
      </c>
      <c r="V789" s="7">
        <v>2.4E-2</v>
      </c>
      <c r="W789" s="75">
        <v>18</v>
      </c>
      <c r="X789" s="55">
        <f>IFERROR(Supplier_Perf_Table[[#This Row],[Actual_Delivery_Date]]-Supplier_Perf_Table[[#This Row],[Order Date]],"")</f>
        <v>18</v>
      </c>
      <c r="Y789" s="75">
        <v>17</v>
      </c>
      <c r="Z789" s="56">
        <f>IFERROR(Supplier_Perf_Table[[#This Row],[Expected Delivery_Date]]-Supplier_Perf_Table[[#This Row],[Order Date]],"")</f>
        <v>17</v>
      </c>
      <c r="AA789" s="56">
        <f>Supplier_Perf_Table[[#This Row],[Calculated_Lead_Time2]]-Supplier_Perf_Table[[#This Row],[Calculated_Expected_Lead_Time]]</f>
        <v>1</v>
      </c>
      <c r="AB789" s="75">
        <v>1</v>
      </c>
      <c r="AC789" s="63" t="s">
        <v>135</v>
      </c>
      <c r="AD789" s="63" t="s">
        <v>40</v>
      </c>
      <c r="AE789" s="63" t="s">
        <v>41</v>
      </c>
      <c r="AF789" s="63" t="s">
        <v>66</v>
      </c>
      <c r="AG789" s="63" t="s">
        <v>173</v>
      </c>
      <c r="AH789" s="63" t="s">
        <v>206</v>
      </c>
      <c r="AI789" s="63" t="s">
        <v>137</v>
      </c>
      <c r="AJ789" s="63" t="s">
        <v>138</v>
      </c>
      <c r="AK789" s="83">
        <v>2.6</v>
      </c>
      <c r="AL789" s="63" t="s">
        <v>115</v>
      </c>
      <c r="AM789" s="63" t="s">
        <v>46</v>
      </c>
      <c r="AN789"/>
    </row>
    <row r="790" spans="1:40" ht="18" customHeight="1">
      <c r="A790" s="63" t="s">
        <v>2478</v>
      </c>
      <c r="B790" s="63" t="s">
        <v>2479</v>
      </c>
      <c r="C790" s="4">
        <v>46145</v>
      </c>
      <c r="D790" s="4">
        <v>46154</v>
      </c>
      <c r="E790" s="4">
        <v>46159</v>
      </c>
      <c r="F790" s="63" t="s">
        <v>162</v>
      </c>
      <c r="G790" s="63" t="s">
        <v>3847</v>
      </c>
      <c r="H790" s="63" t="s">
        <v>152</v>
      </c>
      <c r="I790" s="63" t="s">
        <v>34</v>
      </c>
      <c r="J790" s="63" t="s">
        <v>163</v>
      </c>
      <c r="K790" s="63" t="s">
        <v>2334</v>
      </c>
      <c r="L790" s="63" t="s">
        <v>269</v>
      </c>
      <c r="M790" s="69">
        <v>706.01</v>
      </c>
      <c r="N790" s="63" t="s">
        <v>86</v>
      </c>
      <c r="O790" s="73">
        <f>_xlfn.XLOOKUP(Supplier_Perf_Table[[#This Row],[Currency]],'Comments 2'!$C$4:$C$16,'Comments 2'!$D$4:$D$16)</f>
        <v>8.8999999999999996E-2</v>
      </c>
      <c r="P790" s="69">
        <f>IFERROR(Supplier_Perf_Table[[#This Row],[Unit_Cost]]*Supplier_Perf_Table[[#This Row],[Dollar Equivalent]],"")</f>
        <v>62.834889999999994</v>
      </c>
      <c r="Q790" s="75" t="s">
        <v>3080</v>
      </c>
      <c r="R790" s="1">
        <v>176502.5</v>
      </c>
      <c r="S790" s="75" t="e">
        <f>Supplier_Perf_Table[[#This Row],[Unit_Cost]]*Supplier_Perf_Table[[#This Row],[Order_Quantity]]</f>
        <v>#VALUE!</v>
      </c>
      <c r="T790" s="75">
        <f>IFERROR(Supplier_Perf_Table[[#This Row],[Dollar Equivalent]]*Supplier_Perf_Table[[#This Row],[Ordered_Value]],"")</f>
        <v>15708.7225</v>
      </c>
      <c r="U790" s="75">
        <v>5</v>
      </c>
      <c r="V790" s="7">
        <v>0.02</v>
      </c>
      <c r="W790" s="75">
        <v>14</v>
      </c>
      <c r="X790" s="55">
        <f>IFERROR(Supplier_Perf_Table[[#This Row],[Actual_Delivery_Date]]-Supplier_Perf_Table[[#This Row],[Order Date]],"")</f>
        <v>14</v>
      </c>
      <c r="Y790" s="75">
        <v>9</v>
      </c>
      <c r="Z790" s="56">
        <f>IFERROR(Supplier_Perf_Table[[#This Row],[Expected Delivery_Date]]-Supplier_Perf_Table[[#This Row],[Order Date]],"")</f>
        <v>9</v>
      </c>
      <c r="AA790" s="56">
        <f>Supplier_Perf_Table[[#This Row],[Calculated_Lead_Time2]]-Supplier_Perf_Table[[#This Row],[Calculated_Expected_Lead_Time]]</f>
        <v>5</v>
      </c>
      <c r="AB790" s="75">
        <v>5</v>
      </c>
      <c r="AC790" s="63" t="s">
        <v>205</v>
      </c>
      <c r="AD790" s="63" t="s">
        <v>40</v>
      </c>
      <c r="AE790" s="63" t="s">
        <v>3088</v>
      </c>
      <c r="AF790" s="63" t="s">
        <v>42</v>
      </c>
      <c r="AG790" s="63" t="s">
        <v>173</v>
      </c>
      <c r="AH790" s="63" t="s">
        <v>129</v>
      </c>
      <c r="AI790" s="63" t="s">
        <v>191</v>
      </c>
      <c r="AJ790" s="63" t="s">
        <v>138</v>
      </c>
      <c r="AK790" s="83">
        <v>3</v>
      </c>
      <c r="AL790" s="63" t="s">
        <v>57</v>
      </c>
      <c r="AM790" s="63" t="s">
        <v>148</v>
      </c>
      <c r="AN790"/>
    </row>
    <row r="791" spans="1:40" ht="18" customHeight="1">
      <c r="A791" s="1" t="s">
        <v>2480</v>
      </c>
      <c r="B791" s="1" t="s">
        <v>2481</v>
      </c>
      <c r="C791" s="4">
        <v>46153</v>
      </c>
      <c r="D791" s="4">
        <v>46161</v>
      </c>
      <c r="E791" s="4">
        <v>46158</v>
      </c>
      <c r="F791" s="63" t="s">
        <v>69</v>
      </c>
      <c r="G791" s="63" t="s">
        <v>3838</v>
      </c>
      <c r="H791" s="63" t="s">
        <v>194</v>
      </c>
      <c r="I791" s="63" t="s">
        <v>83</v>
      </c>
      <c r="J791" s="63" t="s">
        <v>112</v>
      </c>
      <c r="K791" s="63" t="s">
        <v>2482</v>
      </c>
      <c r="L791" s="63" t="s">
        <v>246</v>
      </c>
      <c r="M791" s="69">
        <v>336.85</v>
      </c>
      <c r="N791" s="63" t="s">
        <v>159</v>
      </c>
      <c r="O791" s="73">
        <f>_xlfn.XLOOKUP(Supplier_Perf_Table[[#This Row],[Currency]],'Comments 2'!$C$4:$C$16,'Comments 2'!$D$4:$D$16)</f>
        <v>7.2999999999999996E-4</v>
      </c>
      <c r="P791" s="69">
        <f>IFERROR(Supplier_Perf_Table[[#This Row],[Unit_Cost]]*Supplier_Perf_Table[[#This Row],[Dollar Equivalent]],"")</f>
        <v>0.24590049999999999</v>
      </c>
      <c r="Q791" s="75">
        <v>150</v>
      </c>
      <c r="R791" s="1">
        <v>50527.5</v>
      </c>
      <c r="S791" s="75">
        <f>Supplier_Perf_Table[[#This Row],[Unit_Cost]]*Supplier_Perf_Table[[#This Row],[Order_Quantity]]</f>
        <v>50527.5</v>
      </c>
      <c r="T791" s="75">
        <f>IFERROR(Supplier_Perf_Table[[#This Row],[Dollar Equivalent]]*Supplier_Perf_Table[[#This Row],[Ordered_Value]],"")</f>
        <v>36.885075000000001</v>
      </c>
      <c r="U791" s="75">
        <v>5</v>
      </c>
      <c r="V791" s="7">
        <v>3.3300000000000003E-2</v>
      </c>
      <c r="W791" s="75">
        <v>5</v>
      </c>
      <c r="X791" s="55">
        <f>IFERROR(Supplier_Perf_Table[[#This Row],[Actual_Delivery_Date]]-Supplier_Perf_Table[[#This Row],[Order Date]],"")</f>
        <v>5</v>
      </c>
      <c r="Y791" s="75">
        <v>8</v>
      </c>
      <c r="Z791" s="56">
        <f>IFERROR(Supplier_Perf_Table[[#This Row],[Expected Delivery_Date]]-Supplier_Perf_Table[[#This Row],[Order Date]],"")</f>
        <v>8</v>
      </c>
      <c r="AA791" s="56">
        <f>Supplier_Perf_Table[[#This Row],[Calculated_Lead_Time2]]-Supplier_Perf_Table[[#This Row],[Calculated_Expected_Lead_Time]]</f>
        <v>-3</v>
      </c>
      <c r="AB791" s="75">
        <v>-3</v>
      </c>
      <c r="AC791" s="63" t="s">
        <v>87</v>
      </c>
      <c r="AD791" s="63" t="s">
        <v>40</v>
      </c>
      <c r="AE791" s="63" t="s">
        <v>3088</v>
      </c>
      <c r="AF791" s="63" t="s">
        <v>106</v>
      </c>
      <c r="AG791" s="63" t="s">
        <v>173</v>
      </c>
      <c r="AH791" s="63" t="s">
        <v>88</v>
      </c>
      <c r="AI791" s="63" t="s">
        <v>95</v>
      </c>
      <c r="AJ791" s="63" t="s">
        <v>138</v>
      </c>
      <c r="AK791" s="83">
        <v>4</v>
      </c>
      <c r="AL791" s="63" t="s">
        <v>184</v>
      </c>
      <c r="AM791" s="63" t="s">
        <v>130</v>
      </c>
      <c r="AN791"/>
    </row>
    <row r="792" spans="1:40" ht="18" customHeight="1">
      <c r="A792" s="1" t="s">
        <v>2483</v>
      </c>
      <c r="B792" s="1" t="s">
        <v>2484</v>
      </c>
      <c r="C792" s="4">
        <v>46172</v>
      </c>
      <c r="D792" s="4">
        <v>46191</v>
      </c>
      <c r="E792" s="4">
        <v>46197</v>
      </c>
      <c r="F792" s="63" t="s">
        <v>235</v>
      </c>
      <c r="G792" s="63" t="s">
        <v>3848</v>
      </c>
      <c r="H792" s="63" t="s">
        <v>479</v>
      </c>
      <c r="I792" s="63" t="s">
        <v>92</v>
      </c>
      <c r="J792" s="63" t="s">
        <v>71</v>
      </c>
      <c r="K792" s="63" t="s">
        <v>2485</v>
      </c>
      <c r="L792" s="63" t="s">
        <v>553</v>
      </c>
      <c r="M792" s="69">
        <v>484.24</v>
      </c>
      <c r="N792" s="63" t="s">
        <v>104</v>
      </c>
      <c r="O792" s="73">
        <f>_xlfn.XLOOKUP(Supplier_Perf_Table[[#This Row],[Currency]],'Comments 2'!$C$4:$C$16,'Comments 2'!$D$4:$D$16)</f>
        <v>1.9E-2</v>
      </c>
      <c r="P792" s="69">
        <f>IFERROR(Supplier_Perf_Table[[#This Row],[Unit_Cost]]*Supplier_Perf_Table[[#This Row],[Dollar Equivalent]],"")</f>
        <v>9.2005599999999994</v>
      </c>
      <c r="Q792" s="75">
        <v>75</v>
      </c>
      <c r="R792" s="1">
        <v>36318</v>
      </c>
      <c r="S792" s="75">
        <f>Supplier_Perf_Table[[#This Row],[Unit_Cost]]*Supplier_Perf_Table[[#This Row],[Order_Quantity]]</f>
        <v>36318</v>
      </c>
      <c r="T792" s="75">
        <f>IFERROR(Supplier_Perf_Table[[#This Row],[Dollar Equivalent]]*Supplier_Perf_Table[[#This Row],[Ordered_Value]],"")</f>
        <v>690.04200000000003</v>
      </c>
      <c r="U792" s="75">
        <v>1</v>
      </c>
      <c r="V792" s="7">
        <v>1.3299999999999999E-2</v>
      </c>
      <c r="W792" s="75">
        <v>25</v>
      </c>
      <c r="X792" s="55">
        <f>IFERROR(Supplier_Perf_Table[[#This Row],[Actual_Delivery_Date]]-Supplier_Perf_Table[[#This Row],[Order Date]],"")</f>
        <v>25</v>
      </c>
      <c r="Y792" s="75">
        <v>19</v>
      </c>
      <c r="Z792" s="56">
        <f>IFERROR(Supplier_Perf_Table[[#This Row],[Expected Delivery_Date]]-Supplier_Perf_Table[[#This Row],[Order Date]],"")</f>
        <v>19</v>
      </c>
      <c r="AA792" s="56">
        <f>Supplier_Perf_Table[[#This Row],[Calculated_Lead_Time2]]-Supplier_Perf_Table[[#This Row],[Calculated_Expected_Lead_Time]]</f>
        <v>6</v>
      </c>
      <c r="AB792" s="75">
        <v>6</v>
      </c>
      <c r="AC792" s="63" t="s">
        <v>39</v>
      </c>
      <c r="AD792" s="63" t="s">
        <v>40</v>
      </c>
      <c r="AE792" s="63" t="s">
        <v>41</v>
      </c>
      <c r="AF792" s="63" t="s">
        <v>212</v>
      </c>
      <c r="AG792" s="63" t="s">
        <v>107</v>
      </c>
      <c r="AH792" s="63" t="s">
        <v>3112</v>
      </c>
      <c r="AI792" s="63" t="s">
        <v>56</v>
      </c>
      <c r="AJ792" s="63" t="s">
        <v>138</v>
      </c>
      <c r="AK792" s="83">
        <v>1.8</v>
      </c>
      <c r="AL792" s="63" t="s">
        <v>76</v>
      </c>
      <c r="AM792" s="63" t="s">
        <v>46</v>
      </c>
      <c r="AN792"/>
    </row>
    <row r="793" spans="1:40" ht="18" customHeight="1">
      <c r="A793" s="1" t="s">
        <v>2486</v>
      </c>
      <c r="B793" s="1" t="s">
        <v>2487</v>
      </c>
      <c r="C793" s="4">
        <v>46186</v>
      </c>
      <c r="D793" s="4">
        <v>46204</v>
      </c>
      <c r="E793" s="4">
        <v>46208</v>
      </c>
      <c r="F793" s="63" t="s">
        <v>32</v>
      </c>
      <c r="G793" s="63" t="s">
        <v>3835</v>
      </c>
      <c r="H793" s="63" t="s">
        <v>177</v>
      </c>
      <c r="I793" s="63" t="s">
        <v>83</v>
      </c>
      <c r="J793" s="63" t="s">
        <v>35</v>
      </c>
      <c r="K793" s="63" t="s">
        <v>2488</v>
      </c>
      <c r="L793" s="63" t="s">
        <v>200</v>
      </c>
      <c r="M793" s="69">
        <v>1162.55</v>
      </c>
      <c r="N793" s="63" t="s">
        <v>38</v>
      </c>
      <c r="O793" s="73">
        <f>_xlfn.XLOOKUP(Supplier_Perf_Table[[#This Row],[Currency]],'Comments 2'!$C$4:$C$16,'Comments 2'!$D$4:$D$16)</f>
        <v>7.7000000000000002E-3</v>
      </c>
      <c r="P793" s="69">
        <f>IFERROR(Supplier_Perf_Table[[#This Row],[Unit_Cost]]*Supplier_Perf_Table[[#This Row],[Dollar Equivalent]],"")</f>
        <v>8.9516349999999996</v>
      </c>
      <c r="Q793" s="75">
        <v>500</v>
      </c>
      <c r="R793" s="1">
        <v>581275</v>
      </c>
      <c r="S793" s="75">
        <f>Supplier_Perf_Table[[#This Row],[Unit_Cost]]*Supplier_Perf_Table[[#This Row],[Order_Quantity]]</f>
        <v>581275</v>
      </c>
      <c r="T793" s="75">
        <f>IFERROR(Supplier_Perf_Table[[#This Row],[Dollar Equivalent]]*Supplier_Perf_Table[[#This Row],[Ordered_Value]],"")</f>
        <v>4475.8175000000001</v>
      </c>
      <c r="U793" s="75">
        <v>46</v>
      </c>
      <c r="V793" s="7">
        <v>9.1999999999999998E-2</v>
      </c>
      <c r="W793" s="75">
        <v>22</v>
      </c>
      <c r="X793" s="55">
        <f>IFERROR(Supplier_Perf_Table[[#This Row],[Actual_Delivery_Date]]-Supplier_Perf_Table[[#This Row],[Order Date]],"")</f>
        <v>22</v>
      </c>
      <c r="Y793" s="75">
        <v>18</v>
      </c>
      <c r="Z793" s="56">
        <f>IFERROR(Supplier_Perf_Table[[#This Row],[Expected Delivery_Date]]-Supplier_Perf_Table[[#This Row],[Order Date]],"")</f>
        <v>18</v>
      </c>
      <c r="AA793" s="56">
        <f>Supplier_Perf_Table[[#This Row],[Calculated_Lead_Time2]]-Supplier_Perf_Table[[#This Row],[Calculated_Expected_Lead_Time]]</f>
        <v>4</v>
      </c>
      <c r="AB793" s="75">
        <v>4</v>
      </c>
      <c r="AC793" s="63" t="s">
        <v>39</v>
      </c>
      <c r="AD793" s="63" t="s">
        <v>74</v>
      </c>
      <c r="AE793" s="63" t="s">
        <v>3088</v>
      </c>
      <c r="AF793" s="63" t="s">
        <v>190</v>
      </c>
      <c r="AG793" s="63" t="s">
        <v>54</v>
      </c>
      <c r="AH793" s="63" t="s">
        <v>88</v>
      </c>
      <c r="AI793" s="63" t="s">
        <v>138</v>
      </c>
      <c r="AJ793" s="63" t="s">
        <v>183</v>
      </c>
      <c r="AK793" s="83">
        <v>1.5</v>
      </c>
      <c r="AL793" s="63" t="s">
        <v>115</v>
      </c>
      <c r="AM793" s="63" t="s">
        <v>185</v>
      </c>
      <c r="AN793"/>
    </row>
    <row r="794" spans="1:40" ht="18" customHeight="1">
      <c r="A794" s="1" t="s">
        <v>2489</v>
      </c>
      <c r="B794" s="1" t="s">
        <v>2490</v>
      </c>
      <c r="C794" s="4">
        <v>46080</v>
      </c>
      <c r="D794" s="4">
        <v>46094</v>
      </c>
      <c r="E794" s="4">
        <v>46091</v>
      </c>
      <c r="F794" s="63" t="s">
        <v>215</v>
      </c>
      <c r="G794" s="63" t="s">
        <v>3846</v>
      </c>
      <c r="H794" s="63" t="s">
        <v>152</v>
      </c>
      <c r="I794" s="63" t="s">
        <v>92</v>
      </c>
      <c r="J794" s="63" t="s">
        <v>112</v>
      </c>
      <c r="K794" s="63" t="s">
        <v>2491</v>
      </c>
      <c r="L794" s="63" t="s">
        <v>114</v>
      </c>
      <c r="M794" s="69">
        <v>366.87</v>
      </c>
      <c r="N794" s="63" t="s">
        <v>38</v>
      </c>
      <c r="O794" s="73">
        <f>_xlfn.XLOOKUP(Supplier_Perf_Table[[#This Row],[Currency]],'Comments 2'!$C$4:$C$16,'Comments 2'!$D$4:$D$16)</f>
        <v>7.7000000000000002E-3</v>
      </c>
      <c r="P794" s="69">
        <f>IFERROR(Supplier_Perf_Table[[#This Row],[Unit_Cost]]*Supplier_Perf_Table[[#This Row],[Dollar Equivalent]],"")</f>
        <v>2.8248990000000003</v>
      </c>
      <c r="Q794" s="75">
        <v>200</v>
      </c>
      <c r="R794" s="1">
        <v>73374</v>
      </c>
      <c r="S794" s="75">
        <f>Supplier_Perf_Table[[#This Row],[Unit_Cost]]*Supplier_Perf_Table[[#This Row],[Order_Quantity]]</f>
        <v>73374</v>
      </c>
      <c r="T794" s="75">
        <f>IFERROR(Supplier_Perf_Table[[#This Row],[Dollar Equivalent]]*Supplier_Perf_Table[[#This Row],[Ordered_Value]],"")</f>
        <v>564.97980000000007</v>
      </c>
      <c r="U794" s="75">
        <v>0</v>
      </c>
      <c r="V794" s="7">
        <v>0</v>
      </c>
      <c r="W794" s="75">
        <v>11</v>
      </c>
      <c r="X794" s="55">
        <f>IFERROR(Supplier_Perf_Table[[#This Row],[Actual_Delivery_Date]]-Supplier_Perf_Table[[#This Row],[Order Date]],"")</f>
        <v>11</v>
      </c>
      <c r="Y794" s="75">
        <v>14</v>
      </c>
      <c r="Z794" s="56">
        <f>IFERROR(Supplier_Perf_Table[[#This Row],[Expected Delivery_Date]]-Supplier_Perf_Table[[#This Row],[Order Date]],"")</f>
        <v>14</v>
      </c>
      <c r="AA794" s="56">
        <f>Supplier_Perf_Table[[#This Row],[Calculated_Lead_Time2]]-Supplier_Perf_Table[[#This Row],[Calculated_Expected_Lead_Time]]</f>
        <v>-3</v>
      </c>
      <c r="AB794" s="75">
        <v>-3</v>
      </c>
      <c r="AC794" s="63" t="s">
        <v>270</v>
      </c>
      <c r="AD794" s="63" t="s">
        <v>40</v>
      </c>
      <c r="AE794" s="63" t="s">
        <v>105</v>
      </c>
      <c r="AF794" s="63" t="s">
        <v>190</v>
      </c>
      <c r="AG794" s="63" t="s">
        <v>107</v>
      </c>
      <c r="AH794" s="63" t="s">
        <v>3112</v>
      </c>
      <c r="AI794" s="63" t="s">
        <v>138</v>
      </c>
      <c r="AJ794" s="63" t="s">
        <v>138</v>
      </c>
      <c r="AK794" s="83">
        <v>4.8</v>
      </c>
      <c r="AL794" s="63" t="s">
        <v>108</v>
      </c>
      <c r="AM794" s="63" t="s">
        <v>138</v>
      </c>
      <c r="AN794"/>
    </row>
    <row r="795" spans="1:40" ht="18" customHeight="1">
      <c r="A795" s="1" t="s">
        <v>2492</v>
      </c>
      <c r="B795" s="1" t="s">
        <v>2493</v>
      </c>
      <c r="C795" s="4">
        <v>46024</v>
      </c>
      <c r="D795" s="4">
        <v>46036</v>
      </c>
      <c r="E795" s="4">
        <v>46035</v>
      </c>
      <c r="F795" s="63" t="s">
        <v>100</v>
      </c>
      <c r="G795" s="63" t="s">
        <v>3841</v>
      </c>
      <c r="H795" s="63" t="s">
        <v>102</v>
      </c>
      <c r="I795" s="63" t="s">
        <v>34</v>
      </c>
      <c r="J795" s="63" t="s">
        <v>112</v>
      </c>
      <c r="K795" s="63" t="s">
        <v>2494</v>
      </c>
      <c r="L795" s="63" t="s">
        <v>114</v>
      </c>
      <c r="M795" s="69">
        <v>589.38</v>
      </c>
      <c r="N795" s="63" t="s">
        <v>38</v>
      </c>
      <c r="O795" s="73">
        <f>_xlfn.XLOOKUP(Supplier_Perf_Table[[#This Row],[Currency]],'Comments 2'!$C$4:$C$16,'Comments 2'!$D$4:$D$16)</f>
        <v>7.7000000000000002E-3</v>
      </c>
      <c r="P795" s="69">
        <f>IFERROR(Supplier_Perf_Table[[#This Row],[Unit_Cost]]*Supplier_Perf_Table[[#This Row],[Dollar Equivalent]],"")</f>
        <v>4.5382259999999999</v>
      </c>
      <c r="Q795" s="75">
        <v>1500</v>
      </c>
      <c r="R795" s="1">
        <v>884070</v>
      </c>
      <c r="S795" s="75">
        <f>Supplier_Perf_Table[[#This Row],[Unit_Cost]]*Supplier_Perf_Table[[#This Row],[Order_Quantity]]</f>
        <v>884070</v>
      </c>
      <c r="T795" s="75">
        <f>IFERROR(Supplier_Perf_Table[[#This Row],[Dollar Equivalent]]*Supplier_Perf_Table[[#This Row],[Ordered_Value]],"")</f>
        <v>6807.3389999999999</v>
      </c>
      <c r="U795" s="75">
        <v>47</v>
      </c>
      <c r="V795" s="7">
        <v>3.1300000000000001E-2</v>
      </c>
      <c r="W795" s="75">
        <v>11</v>
      </c>
      <c r="X795" s="55">
        <f>IFERROR(Supplier_Perf_Table[[#This Row],[Actual_Delivery_Date]]-Supplier_Perf_Table[[#This Row],[Order Date]],"")</f>
        <v>11</v>
      </c>
      <c r="Y795" s="75">
        <v>12</v>
      </c>
      <c r="Z795" s="56">
        <f>IFERROR(Supplier_Perf_Table[[#This Row],[Expected Delivery_Date]]-Supplier_Perf_Table[[#This Row],[Order Date]],"")</f>
        <v>12</v>
      </c>
      <c r="AA795" s="56">
        <f>Supplier_Perf_Table[[#This Row],[Calculated_Lead_Time2]]-Supplier_Perf_Table[[#This Row],[Calculated_Expected_Lead_Time]]</f>
        <v>-1</v>
      </c>
      <c r="AB795" s="75">
        <v>-1</v>
      </c>
      <c r="AC795" s="63" t="s">
        <v>87</v>
      </c>
      <c r="AD795" s="63" t="s">
        <v>40</v>
      </c>
      <c r="AE795" s="63" t="s">
        <v>105</v>
      </c>
      <c r="AF795" s="63" t="s">
        <v>3088</v>
      </c>
      <c r="AG795" s="63" t="s">
        <v>107</v>
      </c>
      <c r="AH795" s="63" t="s">
        <v>129</v>
      </c>
      <c r="AI795" s="63" t="s">
        <v>44</v>
      </c>
      <c r="AJ795" s="63" t="s">
        <v>138</v>
      </c>
      <c r="AK795" s="83">
        <v>3</v>
      </c>
      <c r="AL795" s="63" t="s">
        <v>76</v>
      </c>
      <c r="AM795" s="63" t="s">
        <v>138</v>
      </c>
      <c r="AN795"/>
    </row>
    <row r="796" spans="1:40" ht="18" customHeight="1">
      <c r="A796" s="1" t="s">
        <v>2495</v>
      </c>
      <c r="B796" s="1" t="s">
        <v>2496</v>
      </c>
      <c r="C796" s="4">
        <v>46073</v>
      </c>
      <c r="D796" s="4">
        <v>46086</v>
      </c>
      <c r="E796" s="4">
        <v>46087</v>
      </c>
      <c r="F796" s="63" t="s">
        <v>235</v>
      </c>
      <c r="G796" s="63" t="s">
        <v>3848</v>
      </c>
      <c r="H796" s="63" t="s">
        <v>479</v>
      </c>
      <c r="I796" s="63" t="s">
        <v>70</v>
      </c>
      <c r="J796" s="63" t="s">
        <v>71</v>
      </c>
      <c r="K796" s="63" t="s">
        <v>2497</v>
      </c>
      <c r="L796" s="63" t="s">
        <v>553</v>
      </c>
      <c r="M796" s="69">
        <v>597.85</v>
      </c>
      <c r="N796" s="63" t="s">
        <v>38</v>
      </c>
      <c r="O796" s="73">
        <f>_xlfn.XLOOKUP(Supplier_Perf_Table[[#This Row],[Currency]],'Comments 2'!$C$4:$C$16,'Comments 2'!$D$4:$D$16)</f>
        <v>7.7000000000000002E-3</v>
      </c>
      <c r="P796" s="69">
        <f>IFERROR(Supplier_Perf_Table[[#This Row],[Unit_Cost]]*Supplier_Perf_Table[[#This Row],[Dollar Equivalent]],"")</f>
        <v>4.6034450000000007</v>
      </c>
      <c r="Q796" s="75">
        <v>1000</v>
      </c>
      <c r="R796" s="1">
        <v>597850</v>
      </c>
      <c r="S796" s="75">
        <f>Supplier_Perf_Table[[#This Row],[Unit_Cost]]*Supplier_Perf_Table[[#This Row],[Order_Quantity]]</f>
        <v>597850</v>
      </c>
      <c r="T796" s="75">
        <f>IFERROR(Supplier_Perf_Table[[#This Row],[Dollar Equivalent]]*Supplier_Perf_Table[[#This Row],[Ordered_Value]],"")</f>
        <v>4603.4449999999997</v>
      </c>
      <c r="U796" s="75">
        <v>44</v>
      </c>
      <c r="V796" s="7">
        <v>4.3999999999999997E-2</v>
      </c>
      <c r="W796" s="75">
        <v>14</v>
      </c>
      <c r="X796" s="55">
        <f>IFERROR(Supplier_Perf_Table[[#This Row],[Actual_Delivery_Date]]-Supplier_Perf_Table[[#This Row],[Order Date]],"")</f>
        <v>14</v>
      </c>
      <c r="Y796" s="75">
        <v>13</v>
      </c>
      <c r="Z796" s="56">
        <f>IFERROR(Supplier_Perf_Table[[#This Row],[Expected Delivery_Date]]-Supplier_Perf_Table[[#This Row],[Order Date]],"")</f>
        <v>13</v>
      </c>
      <c r="AA796" s="56">
        <f>Supplier_Perf_Table[[#This Row],[Calculated_Lead_Time2]]-Supplier_Perf_Table[[#This Row],[Calculated_Expected_Lead_Time]]</f>
        <v>1</v>
      </c>
      <c r="AB796" s="75">
        <v>1</v>
      </c>
      <c r="AC796" s="63" t="s">
        <v>166</v>
      </c>
      <c r="AD796" s="63" t="s">
        <v>74</v>
      </c>
      <c r="AE796" s="63" t="s">
        <v>41</v>
      </c>
      <c r="AF796" s="63" t="s">
        <v>106</v>
      </c>
      <c r="AG796" s="63" t="s">
        <v>43</v>
      </c>
      <c r="AH796" s="63" t="s">
        <v>3112</v>
      </c>
      <c r="AI796" s="63" t="s">
        <v>191</v>
      </c>
      <c r="AJ796" s="63" t="s">
        <v>96</v>
      </c>
      <c r="AK796" s="83">
        <v>3.1</v>
      </c>
      <c r="AL796" s="63" t="s">
        <v>45</v>
      </c>
      <c r="AM796" s="63" t="s">
        <v>77</v>
      </c>
      <c r="AN796"/>
    </row>
    <row r="797" spans="1:40" ht="18" customHeight="1">
      <c r="A797" s="1" t="s">
        <v>2498</v>
      </c>
      <c r="B797" s="1" t="s">
        <v>2499</v>
      </c>
      <c r="C797" s="4">
        <v>46106</v>
      </c>
      <c r="D797" s="4">
        <v>46115</v>
      </c>
      <c r="E797" s="4">
        <v>46121</v>
      </c>
      <c r="F797" s="63" t="s">
        <v>69</v>
      </c>
      <c r="G797" s="63" t="s">
        <v>3838</v>
      </c>
      <c r="H797" s="63" t="s">
        <v>194</v>
      </c>
      <c r="I797" s="63" t="s">
        <v>83</v>
      </c>
      <c r="J797" s="63" t="s">
        <v>112</v>
      </c>
      <c r="K797" s="63" t="s">
        <v>2500</v>
      </c>
      <c r="L797" s="63" t="s">
        <v>246</v>
      </c>
      <c r="M797" s="69">
        <v>558.46</v>
      </c>
      <c r="N797" s="63" t="s">
        <v>38</v>
      </c>
      <c r="O797" s="73">
        <f>_xlfn.XLOOKUP(Supplier_Perf_Table[[#This Row],[Currency]],'Comments 2'!$C$4:$C$16,'Comments 2'!$D$4:$D$16)</f>
        <v>7.7000000000000002E-3</v>
      </c>
      <c r="P797" s="69">
        <f>IFERROR(Supplier_Perf_Table[[#This Row],[Unit_Cost]]*Supplier_Perf_Table[[#This Row],[Dollar Equivalent]],"")</f>
        <v>4.3001420000000001</v>
      </c>
      <c r="Q797" s="75">
        <v>1500</v>
      </c>
      <c r="R797" s="1">
        <v>837690</v>
      </c>
      <c r="S797" s="75">
        <f>Supplier_Perf_Table[[#This Row],[Unit_Cost]]*Supplier_Perf_Table[[#This Row],[Order_Quantity]]</f>
        <v>837690</v>
      </c>
      <c r="T797" s="75">
        <f>IFERROR(Supplier_Perf_Table[[#This Row],[Dollar Equivalent]]*Supplier_Perf_Table[[#This Row],[Ordered_Value]],"")</f>
        <v>6450.2130000000006</v>
      </c>
      <c r="U797" s="75">
        <v>0</v>
      </c>
      <c r="V797" s="7">
        <v>0</v>
      </c>
      <c r="W797" s="75">
        <v>15</v>
      </c>
      <c r="X797" s="55">
        <f>IFERROR(Supplier_Perf_Table[[#This Row],[Actual_Delivery_Date]]-Supplier_Perf_Table[[#This Row],[Order Date]],"")</f>
        <v>15</v>
      </c>
      <c r="Y797" s="75">
        <v>9</v>
      </c>
      <c r="Z797" s="56">
        <f>IFERROR(Supplier_Perf_Table[[#This Row],[Expected Delivery_Date]]-Supplier_Perf_Table[[#This Row],[Order Date]],"")</f>
        <v>9</v>
      </c>
      <c r="AA797" s="56">
        <f>Supplier_Perf_Table[[#This Row],[Calculated_Lead_Time2]]-Supplier_Perf_Table[[#This Row],[Calculated_Expected_Lead_Time]]</f>
        <v>6</v>
      </c>
      <c r="AB797" s="75">
        <v>6</v>
      </c>
      <c r="AC797" s="63" t="s">
        <v>205</v>
      </c>
      <c r="AD797" s="63" t="s">
        <v>40</v>
      </c>
      <c r="AE797" s="63" t="s">
        <v>105</v>
      </c>
      <c r="AF797" s="63" t="s">
        <v>106</v>
      </c>
      <c r="AG797" s="63" t="s">
        <v>128</v>
      </c>
      <c r="AH797" s="63" t="s">
        <v>3112</v>
      </c>
      <c r="AI797" s="63" t="s">
        <v>137</v>
      </c>
      <c r="AJ797" s="63" t="s">
        <v>138</v>
      </c>
      <c r="AK797" s="83">
        <v>1.8</v>
      </c>
      <c r="AL797" s="63" t="s">
        <v>115</v>
      </c>
      <c r="AM797" s="63" t="s">
        <v>46</v>
      </c>
      <c r="AN797"/>
    </row>
    <row r="798" spans="1:40" ht="18" customHeight="1">
      <c r="A798" s="1" t="s">
        <v>2501</v>
      </c>
      <c r="B798" s="1" t="s">
        <v>2502</v>
      </c>
      <c r="C798" s="4">
        <v>46099</v>
      </c>
      <c r="D798" s="4">
        <v>46114</v>
      </c>
      <c r="E798" s="4">
        <v>46119</v>
      </c>
      <c r="F798" s="63" t="s">
        <v>256</v>
      </c>
      <c r="G798" s="63" t="s">
        <v>3849</v>
      </c>
      <c r="H798" s="63" t="s">
        <v>258</v>
      </c>
      <c r="I798" s="63" t="s">
        <v>83</v>
      </c>
      <c r="J798" s="63" t="s">
        <v>163</v>
      </c>
      <c r="K798" s="63" t="s">
        <v>2503</v>
      </c>
      <c r="L798" s="63" t="s">
        <v>269</v>
      </c>
      <c r="M798" s="69">
        <v>1701.23</v>
      </c>
      <c r="N798" s="63" t="s">
        <v>159</v>
      </c>
      <c r="O798" s="73">
        <f>_xlfn.XLOOKUP(Supplier_Perf_Table[[#This Row],[Currency]],'Comments 2'!$C$4:$C$16,'Comments 2'!$D$4:$D$16)</f>
        <v>7.2999999999999996E-4</v>
      </c>
      <c r="P798" s="69">
        <f>IFERROR(Supplier_Perf_Table[[#This Row],[Unit_Cost]]*Supplier_Perf_Table[[#This Row],[Dollar Equivalent]],"")</f>
        <v>1.2418978999999999</v>
      </c>
      <c r="Q798" s="75">
        <v>1500</v>
      </c>
      <c r="R798" s="1">
        <v>2551845</v>
      </c>
      <c r="S798" s="75">
        <f>Supplier_Perf_Table[[#This Row],[Unit_Cost]]*Supplier_Perf_Table[[#This Row],[Order_Quantity]]</f>
        <v>2551845</v>
      </c>
      <c r="T798" s="75">
        <f>IFERROR(Supplier_Perf_Table[[#This Row],[Dollar Equivalent]]*Supplier_Perf_Table[[#This Row],[Ordered_Value]],"")</f>
        <v>1862.8468499999999</v>
      </c>
      <c r="U798" s="75">
        <v>122</v>
      </c>
      <c r="V798" s="7">
        <v>8.1299999999999997E-2</v>
      </c>
      <c r="W798" s="75">
        <v>20</v>
      </c>
      <c r="X798" s="55">
        <f>IFERROR(Supplier_Perf_Table[[#This Row],[Actual_Delivery_Date]]-Supplier_Perf_Table[[#This Row],[Order Date]],"")</f>
        <v>20</v>
      </c>
      <c r="Y798" s="75">
        <v>15</v>
      </c>
      <c r="Z798" s="56">
        <f>IFERROR(Supplier_Perf_Table[[#This Row],[Expected Delivery_Date]]-Supplier_Perf_Table[[#This Row],[Order Date]],"")</f>
        <v>15</v>
      </c>
      <c r="AA798" s="56">
        <f>Supplier_Perf_Table[[#This Row],[Calculated_Lead_Time2]]-Supplier_Perf_Table[[#This Row],[Calculated_Expected_Lead_Time]]</f>
        <v>5</v>
      </c>
      <c r="AB798" s="75">
        <v>5</v>
      </c>
      <c r="AC798" s="63" t="s">
        <v>205</v>
      </c>
      <c r="AD798" s="63" t="s">
        <v>366</v>
      </c>
      <c r="AE798" s="63" t="s">
        <v>3088</v>
      </c>
      <c r="AF798" s="63" t="s">
        <v>3088</v>
      </c>
      <c r="AG798" s="63" t="s">
        <v>107</v>
      </c>
      <c r="AH798" s="63" t="s">
        <v>136</v>
      </c>
      <c r="AI798" s="63" t="s">
        <v>44</v>
      </c>
      <c r="AJ798" s="63" t="s">
        <v>373</v>
      </c>
      <c r="AK798" s="83">
        <v>1</v>
      </c>
      <c r="AL798" s="63" t="s">
        <v>184</v>
      </c>
      <c r="AM798" s="63" t="s">
        <v>185</v>
      </c>
      <c r="AN798"/>
    </row>
    <row r="799" spans="1:40" ht="18" customHeight="1">
      <c r="A799" s="1" t="s">
        <v>2504</v>
      </c>
      <c r="B799" s="1" t="s">
        <v>2505</v>
      </c>
      <c r="C799" s="4">
        <v>46133</v>
      </c>
      <c r="D799" s="4">
        <v>46155</v>
      </c>
      <c r="E799" s="4">
        <v>46157</v>
      </c>
      <c r="F799" s="63" t="s">
        <v>142</v>
      </c>
      <c r="G799" s="63" t="s">
        <v>3843</v>
      </c>
      <c r="H799" s="63" t="s">
        <v>169</v>
      </c>
      <c r="I799" s="63" t="s">
        <v>70</v>
      </c>
      <c r="J799" s="63" t="s">
        <v>50</v>
      </c>
      <c r="K799" s="63" t="s">
        <v>2506</v>
      </c>
      <c r="L799" s="63" t="s">
        <v>52</v>
      </c>
      <c r="M799" s="69">
        <v>3683.27</v>
      </c>
      <c r="N799" s="63" t="s">
        <v>65</v>
      </c>
      <c r="O799" s="73">
        <f>_xlfn.XLOOKUP(Supplier_Perf_Table[[#This Row],[Currency]],'Comments 2'!$C$4:$C$16,'Comments 2'!$D$4:$D$16)</f>
        <v>1</v>
      </c>
      <c r="P799" s="69">
        <f>IFERROR(Supplier_Perf_Table[[#This Row],[Unit_Cost]]*Supplier_Perf_Table[[#This Row],[Dollar Equivalent]],"")</f>
        <v>3683.27</v>
      </c>
      <c r="Q799" s="75">
        <v>1500</v>
      </c>
      <c r="R799" s="1">
        <v>5524905</v>
      </c>
      <c r="S799" s="75">
        <f>Supplier_Perf_Table[[#This Row],[Unit_Cost]]*Supplier_Perf_Table[[#This Row],[Order_Quantity]]</f>
        <v>5524905</v>
      </c>
      <c r="T799" s="75">
        <f>IFERROR(Supplier_Perf_Table[[#This Row],[Dollar Equivalent]]*Supplier_Perf_Table[[#This Row],[Ordered_Value]],"")</f>
        <v>5524905</v>
      </c>
      <c r="U799" s="75">
        <v>42</v>
      </c>
      <c r="V799" s="7">
        <v>2.8000000000000001E-2</v>
      </c>
      <c r="W799" s="75">
        <v>24</v>
      </c>
      <c r="X799" s="55">
        <f>IFERROR(Supplier_Perf_Table[[#This Row],[Actual_Delivery_Date]]-Supplier_Perf_Table[[#This Row],[Order Date]],"")</f>
        <v>24</v>
      </c>
      <c r="Y799" s="75">
        <v>22</v>
      </c>
      <c r="Z799" s="56">
        <f>IFERROR(Supplier_Perf_Table[[#This Row],[Expected Delivery_Date]]-Supplier_Perf_Table[[#This Row],[Order Date]],"")</f>
        <v>22</v>
      </c>
      <c r="AA799" s="56">
        <f>Supplier_Perf_Table[[#This Row],[Calculated_Lead_Time2]]-Supplier_Perf_Table[[#This Row],[Calculated_Expected_Lead_Time]]</f>
        <v>2</v>
      </c>
      <c r="AB799" s="75">
        <v>2</v>
      </c>
      <c r="AC799" s="63" t="s">
        <v>166</v>
      </c>
      <c r="AD799" s="63" t="s">
        <v>40</v>
      </c>
      <c r="AE799" s="63" t="s">
        <v>127</v>
      </c>
      <c r="AF799" s="63" t="s">
        <v>42</v>
      </c>
      <c r="AG799" s="63" t="s">
        <v>43</v>
      </c>
      <c r="AH799" s="63" t="s">
        <v>88</v>
      </c>
      <c r="AI799" s="63" t="s">
        <v>56</v>
      </c>
      <c r="AJ799" s="63" t="s">
        <v>138</v>
      </c>
      <c r="AK799" s="83">
        <v>2.8</v>
      </c>
      <c r="AL799" s="63" t="s">
        <v>45</v>
      </c>
      <c r="AM799" s="63" t="s">
        <v>148</v>
      </c>
      <c r="AN799"/>
    </row>
    <row r="800" spans="1:40" ht="18" customHeight="1">
      <c r="A800" s="1" t="s">
        <v>359</v>
      </c>
      <c r="B800" s="1" t="s">
        <v>2507</v>
      </c>
      <c r="C800" s="4">
        <v>46201</v>
      </c>
      <c r="D800" s="4">
        <v>46210</v>
      </c>
      <c r="E800" s="4">
        <v>46204</v>
      </c>
      <c r="F800" s="63" t="s">
        <v>60</v>
      </c>
      <c r="G800" s="63" t="s">
        <v>3837</v>
      </c>
      <c r="H800" s="63" t="s">
        <v>152</v>
      </c>
      <c r="I800" s="63" t="s">
        <v>241</v>
      </c>
      <c r="J800" s="63" t="s">
        <v>153</v>
      </c>
      <c r="K800" s="63" t="s">
        <v>2508</v>
      </c>
      <c r="L800" s="63" t="s">
        <v>155</v>
      </c>
      <c r="M800" s="69">
        <v>778.93</v>
      </c>
      <c r="N800" s="63" t="s">
        <v>159</v>
      </c>
      <c r="O800" s="73">
        <f>_xlfn.XLOOKUP(Supplier_Perf_Table[[#This Row],[Currency]],'Comments 2'!$C$4:$C$16,'Comments 2'!$D$4:$D$16)</f>
        <v>7.2999999999999996E-4</v>
      </c>
      <c r="P800" s="69">
        <f>IFERROR(Supplier_Perf_Table[[#This Row],[Unit_Cost]]*Supplier_Perf_Table[[#This Row],[Dollar Equivalent]],"")</f>
        <v>0.56861889999999993</v>
      </c>
      <c r="Q800" s="75">
        <v>750</v>
      </c>
      <c r="R800" s="1">
        <v>584197.5</v>
      </c>
      <c r="S800" s="75">
        <f>Supplier_Perf_Table[[#This Row],[Unit_Cost]]*Supplier_Perf_Table[[#This Row],[Order_Quantity]]</f>
        <v>584197.5</v>
      </c>
      <c r="T800" s="75">
        <f>IFERROR(Supplier_Perf_Table[[#This Row],[Dollar Equivalent]]*Supplier_Perf_Table[[#This Row],[Ordered_Value]],"")</f>
        <v>426.46417499999995</v>
      </c>
      <c r="U800" s="75">
        <v>29</v>
      </c>
      <c r="V800" s="7">
        <v>3.8699999999999998E-2</v>
      </c>
      <c r="W800" s="75">
        <v>3</v>
      </c>
      <c r="X800" s="55">
        <f>IFERROR(Supplier_Perf_Table[[#This Row],[Actual_Delivery_Date]]-Supplier_Perf_Table[[#This Row],[Order Date]],"")</f>
        <v>3</v>
      </c>
      <c r="Y800" s="75">
        <v>9</v>
      </c>
      <c r="Z800" s="56">
        <f>IFERROR(Supplier_Perf_Table[[#This Row],[Expected Delivery_Date]]-Supplier_Perf_Table[[#This Row],[Order Date]],"")</f>
        <v>9</v>
      </c>
      <c r="AA800" s="56">
        <f>Supplier_Perf_Table[[#This Row],[Calculated_Lead_Time2]]-Supplier_Perf_Table[[#This Row],[Calculated_Expected_Lead_Time]]</f>
        <v>-6</v>
      </c>
      <c r="AB800" s="75">
        <v>-6</v>
      </c>
      <c r="AC800" s="63" t="s">
        <v>87</v>
      </c>
      <c r="AD800" s="63" t="s">
        <v>40</v>
      </c>
      <c r="AE800" s="63" t="s">
        <v>146</v>
      </c>
      <c r="AF800" s="63" t="s">
        <v>212</v>
      </c>
      <c r="AG800" s="63" t="s">
        <v>54</v>
      </c>
      <c r="AH800" s="63" t="s">
        <v>88</v>
      </c>
      <c r="AI800" s="63" t="s">
        <v>147</v>
      </c>
      <c r="AJ800" s="63" t="s">
        <v>138</v>
      </c>
      <c r="AK800" s="83">
        <v>4</v>
      </c>
      <c r="AL800" s="63" t="s">
        <v>184</v>
      </c>
      <c r="AM800" s="63" t="s">
        <v>130</v>
      </c>
      <c r="AN800"/>
    </row>
    <row r="801" spans="1:40" ht="18" customHeight="1">
      <c r="A801" s="1" t="s">
        <v>2509</v>
      </c>
      <c r="B801" s="1" t="s">
        <v>2510</v>
      </c>
      <c r="C801" s="4">
        <v>46191</v>
      </c>
      <c r="D801" s="4">
        <v>46217</v>
      </c>
      <c r="E801" s="4">
        <v>46207</v>
      </c>
      <c r="F801" s="63" t="s">
        <v>32</v>
      </c>
      <c r="G801" s="63" t="s">
        <v>3835</v>
      </c>
      <c r="H801" s="63" t="s">
        <v>177</v>
      </c>
      <c r="I801" s="63" t="s">
        <v>83</v>
      </c>
      <c r="J801" s="63" t="s">
        <v>35</v>
      </c>
      <c r="K801" s="63" t="s">
        <v>2511</v>
      </c>
      <c r="L801" s="63" t="s">
        <v>85</v>
      </c>
      <c r="M801" s="69">
        <v>78.61</v>
      </c>
      <c r="N801" s="63" t="s">
        <v>53</v>
      </c>
      <c r="O801" s="73">
        <f>_xlfn.XLOOKUP(Supplier_Perf_Table[[#This Row],[Currency]],'Comments 2'!$C$4:$C$16,'Comments 2'!$D$4:$D$16)</f>
        <v>6.0999999999999999E-2</v>
      </c>
      <c r="P801" s="69">
        <f>IFERROR(Supplier_Perf_Table[[#This Row],[Unit_Cost]]*Supplier_Perf_Table[[#This Row],[Dollar Equivalent]],"")</f>
        <v>4.79521</v>
      </c>
      <c r="Q801" s="75">
        <v>300</v>
      </c>
      <c r="R801" s="1">
        <v>23583</v>
      </c>
      <c r="S801" s="75">
        <f>Supplier_Perf_Table[[#This Row],[Unit_Cost]]*Supplier_Perf_Table[[#This Row],[Order_Quantity]]</f>
        <v>23583</v>
      </c>
      <c r="T801" s="75">
        <f>IFERROR(Supplier_Perf_Table[[#This Row],[Dollar Equivalent]]*Supplier_Perf_Table[[#This Row],[Ordered_Value]],"")</f>
        <v>1438.5629999999999</v>
      </c>
      <c r="U801" s="75">
        <v>23</v>
      </c>
      <c r="V801" s="7">
        <v>7.6700000000000004E-2</v>
      </c>
      <c r="W801" s="75">
        <v>16</v>
      </c>
      <c r="X801" s="55">
        <f>IFERROR(Supplier_Perf_Table[[#This Row],[Actual_Delivery_Date]]-Supplier_Perf_Table[[#This Row],[Order Date]],"")</f>
        <v>16</v>
      </c>
      <c r="Y801" s="75">
        <v>26</v>
      </c>
      <c r="Z801" s="56">
        <f>IFERROR(Supplier_Perf_Table[[#This Row],[Expected Delivery_Date]]-Supplier_Perf_Table[[#This Row],[Order Date]],"")</f>
        <v>26</v>
      </c>
      <c r="AA801" s="56">
        <f>Supplier_Perf_Table[[#This Row],[Calculated_Lead_Time2]]-Supplier_Perf_Table[[#This Row],[Calculated_Expected_Lead_Time]]</f>
        <v>-10</v>
      </c>
      <c r="AB801" s="75">
        <v>-10</v>
      </c>
      <c r="AC801" s="63" t="s">
        <v>87</v>
      </c>
      <c r="AD801" s="63" t="s">
        <v>420</v>
      </c>
      <c r="AE801" s="63" t="s">
        <v>105</v>
      </c>
      <c r="AF801" s="63" t="s">
        <v>212</v>
      </c>
      <c r="AG801" s="63" t="s">
        <v>54</v>
      </c>
      <c r="AH801" s="63" t="s">
        <v>206</v>
      </c>
      <c r="AI801" s="63" t="s">
        <v>191</v>
      </c>
      <c r="AJ801" s="63" t="s">
        <v>283</v>
      </c>
      <c r="AK801" s="83">
        <v>2.7</v>
      </c>
      <c r="AL801" s="63" t="s">
        <v>115</v>
      </c>
      <c r="AM801" s="63" t="s">
        <v>97</v>
      </c>
      <c r="AN801"/>
    </row>
    <row r="802" spans="1:40" ht="18" customHeight="1">
      <c r="A802" s="1" t="s">
        <v>2512</v>
      </c>
      <c r="B802" s="1" t="s">
        <v>2513</v>
      </c>
      <c r="C802" s="4">
        <v>46051</v>
      </c>
      <c r="D802" s="4">
        <v>46066</v>
      </c>
      <c r="E802" s="4">
        <v>46082</v>
      </c>
      <c r="F802" s="63" t="s">
        <v>90</v>
      </c>
      <c r="G802" s="63" t="s">
        <v>3840</v>
      </c>
      <c r="H802" s="63" t="s">
        <v>133</v>
      </c>
      <c r="I802" s="63" t="s">
        <v>92</v>
      </c>
      <c r="J802" s="63" t="s">
        <v>71</v>
      </c>
      <c r="K802" s="63" t="s">
        <v>2514</v>
      </c>
      <c r="L802" s="63" t="s">
        <v>73</v>
      </c>
      <c r="M802" s="69">
        <v>673.71</v>
      </c>
      <c r="N802" s="63" t="s">
        <v>86</v>
      </c>
      <c r="O802" s="73">
        <f>_xlfn.XLOOKUP(Supplier_Perf_Table[[#This Row],[Currency]],'Comments 2'!$C$4:$C$16,'Comments 2'!$D$4:$D$16)</f>
        <v>8.8999999999999996E-2</v>
      </c>
      <c r="P802" s="69">
        <f>IFERROR(Supplier_Perf_Table[[#This Row],[Unit_Cost]]*Supplier_Perf_Table[[#This Row],[Dollar Equivalent]],"")</f>
        <v>59.960189999999997</v>
      </c>
      <c r="Q802" s="75">
        <v>2000</v>
      </c>
      <c r="R802" s="1">
        <v>1347420</v>
      </c>
      <c r="S802" s="75">
        <f>Supplier_Perf_Table[[#This Row],[Unit_Cost]]*Supplier_Perf_Table[[#This Row],[Order_Quantity]]</f>
        <v>1347420</v>
      </c>
      <c r="T802" s="75">
        <f>IFERROR(Supplier_Perf_Table[[#This Row],[Dollar Equivalent]]*Supplier_Perf_Table[[#This Row],[Ordered_Value]],"")</f>
        <v>119920.37999999999</v>
      </c>
      <c r="U802" s="75">
        <v>0</v>
      </c>
      <c r="V802" s="7">
        <v>0</v>
      </c>
      <c r="W802" s="75">
        <v>31</v>
      </c>
      <c r="X802" s="55">
        <f>IFERROR(Supplier_Perf_Table[[#This Row],[Actual_Delivery_Date]]-Supplier_Perf_Table[[#This Row],[Order Date]],"")</f>
        <v>31</v>
      </c>
      <c r="Y802" s="75">
        <v>15</v>
      </c>
      <c r="Z802" s="56">
        <f>IFERROR(Supplier_Perf_Table[[#This Row],[Expected Delivery_Date]]-Supplier_Perf_Table[[#This Row],[Order Date]],"")</f>
        <v>15</v>
      </c>
      <c r="AA802" s="56">
        <f>Supplier_Perf_Table[[#This Row],[Calculated_Lead_Time2]]-Supplier_Perf_Table[[#This Row],[Calculated_Expected_Lead_Time]]</f>
        <v>16</v>
      </c>
      <c r="AB802" s="75">
        <v>16</v>
      </c>
      <c r="AC802" s="63" t="s">
        <v>135</v>
      </c>
      <c r="AD802" s="63" t="s">
        <v>40</v>
      </c>
      <c r="AE802" s="63" t="s">
        <v>41</v>
      </c>
      <c r="AF802" s="63" t="s">
        <v>3088</v>
      </c>
      <c r="AG802" s="63" t="s">
        <v>173</v>
      </c>
      <c r="AH802" s="63" t="s">
        <v>3112</v>
      </c>
      <c r="AI802" s="63" t="s">
        <v>95</v>
      </c>
      <c r="AJ802" s="63" t="s">
        <v>138</v>
      </c>
      <c r="AK802" s="83">
        <v>1.5</v>
      </c>
      <c r="AL802" s="63" t="s">
        <v>76</v>
      </c>
      <c r="AM802" s="63" t="s">
        <v>46</v>
      </c>
      <c r="AN802"/>
    </row>
    <row r="803" spans="1:40" ht="18" customHeight="1">
      <c r="A803" s="1" t="s">
        <v>2515</v>
      </c>
      <c r="B803" s="1" t="s">
        <v>2516</v>
      </c>
      <c r="C803" s="4">
        <v>46167</v>
      </c>
      <c r="D803" s="4">
        <v>46182</v>
      </c>
      <c r="E803" s="4">
        <v>46182</v>
      </c>
      <c r="F803" s="63" t="s">
        <v>90</v>
      </c>
      <c r="G803" s="63" t="s">
        <v>3840</v>
      </c>
      <c r="H803" s="63" t="s">
        <v>133</v>
      </c>
      <c r="I803" s="63" t="s">
        <v>178</v>
      </c>
      <c r="J803" s="63" t="s">
        <v>71</v>
      </c>
      <c r="K803" s="63" t="s">
        <v>2517</v>
      </c>
      <c r="L803" s="63" t="s">
        <v>553</v>
      </c>
      <c r="M803" s="69">
        <v>762.83</v>
      </c>
      <c r="N803" s="63" t="s">
        <v>159</v>
      </c>
      <c r="O803" s="73">
        <f>_xlfn.XLOOKUP(Supplier_Perf_Table[[#This Row],[Currency]],'Comments 2'!$C$4:$C$16,'Comments 2'!$D$4:$D$16)</f>
        <v>7.2999999999999996E-4</v>
      </c>
      <c r="P803" s="69">
        <f>IFERROR(Supplier_Perf_Table[[#This Row],[Unit_Cost]]*Supplier_Perf_Table[[#This Row],[Dollar Equivalent]],"")</f>
        <v>0.55686590000000002</v>
      </c>
      <c r="Q803" s="75">
        <v>750</v>
      </c>
      <c r="R803" s="1">
        <v>572122.5</v>
      </c>
      <c r="S803" s="75">
        <f>Supplier_Perf_Table[[#This Row],[Unit_Cost]]*Supplier_Perf_Table[[#This Row],[Order_Quantity]]</f>
        <v>572122.5</v>
      </c>
      <c r="T803" s="75">
        <f>IFERROR(Supplier_Perf_Table[[#This Row],[Dollar Equivalent]]*Supplier_Perf_Table[[#This Row],[Ordered_Value]],"")</f>
        <v>417.64942499999995</v>
      </c>
      <c r="U803" s="75">
        <v>55</v>
      </c>
      <c r="V803" s="7">
        <v>7.3300000000000004E-2</v>
      </c>
      <c r="W803" s="75">
        <v>15</v>
      </c>
      <c r="X803" s="55">
        <f>IFERROR(Supplier_Perf_Table[[#This Row],[Actual_Delivery_Date]]-Supplier_Perf_Table[[#This Row],[Order Date]],"")</f>
        <v>15</v>
      </c>
      <c r="Y803" s="75">
        <v>15</v>
      </c>
      <c r="Z803" s="56">
        <f>IFERROR(Supplier_Perf_Table[[#This Row],[Expected Delivery_Date]]-Supplier_Perf_Table[[#This Row],[Order Date]],"")</f>
        <v>15</v>
      </c>
      <c r="AA803" s="56">
        <f>Supplier_Perf_Table[[#This Row],[Calculated_Lead_Time2]]-Supplier_Perf_Table[[#This Row],[Calculated_Expected_Lead_Time]]</f>
        <v>0</v>
      </c>
      <c r="AB803" s="75">
        <v>0</v>
      </c>
      <c r="AC803" s="63" t="s">
        <v>87</v>
      </c>
      <c r="AD803" s="63" t="s">
        <v>74</v>
      </c>
      <c r="AE803" s="63" t="s">
        <v>3088</v>
      </c>
      <c r="AF803" s="63" t="s">
        <v>212</v>
      </c>
      <c r="AG803" s="63" t="s">
        <v>173</v>
      </c>
      <c r="AH803" s="63" t="s">
        <v>136</v>
      </c>
      <c r="AI803" s="63" t="s">
        <v>147</v>
      </c>
      <c r="AJ803" s="63" t="s">
        <v>183</v>
      </c>
      <c r="AK803" s="83">
        <v>3.1</v>
      </c>
      <c r="AL803" s="63" t="s">
        <v>139</v>
      </c>
      <c r="AM803" s="63" t="s">
        <v>284</v>
      </c>
      <c r="AN803"/>
    </row>
    <row r="804" spans="1:40" ht="18" customHeight="1">
      <c r="A804" s="1" t="s">
        <v>2518</v>
      </c>
      <c r="B804" s="1" t="s">
        <v>2519</v>
      </c>
      <c r="C804" s="4">
        <v>46031</v>
      </c>
      <c r="D804" s="4">
        <v>46038</v>
      </c>
      <c r="E804" s="4">
        <v>46041</v>
      </c>
      <c r="F804" s="63" t="s">
        <v>60</v>
      </c>
      <c r="G804" s="63" t="s">
        <v>3837</v>
      </c>
      <c r="H804" s="63" t="s">
        <v>152</v>
      </c>
      <c r="I804" s="63" t="s">
        <v>70</v>
      </c>
      <c r="J804" s="63" t="s">
        <v>62</v>
      </c>
      <c r="K804" s="63" t="s">
        <v>2520</v>
      </c>
      <c r="L804" s="63" t="s">
        <v>94</v>
      </c>
      <c r="M804" s="69">
        <v>41.19</v>
      </c>
      <c r="N804" s="63" t="s">
        <v>159</v>
      </c>
      <c r="O804" s="73">
        <f>_xlfn.XLOOKUP(Supplier_Perf_Table[[#This Row],[Currency]],'Comments 2'!$C$4:$C$16,'Comments 2'!$D$4:$D$16)</f>
        <v>7.2999999999999996E-4</v>
      </c>
      <c r="P804" s="69">
        <f>IFERROR(Supplier_Perf_Table[[#This Row],[Unit_Cost]]*Supplier_Perf_Table[[#This Row],[Dollar Equivalent]],"")</f>
        <v>3.0068699999999997E-2</v>
      </c>
      <c r="Q804" s="75">
        <v>200</v>
      </c>
      <c r="R804" s="1">
        <v>8238</v>
      </c>
      <c r="S804" s="75">
        <f>Supplier_Perf_Table[[#This Row],[Unit_Cost]]*Supplier_Perf_Table[[#This Row],[Order_Quantity]]</f>
        <v>8238</v>
      </c>
      <c r="T804" s="75">
        <f>IFERROR(Supplier_Perf_Table[[#This Row],[Dollar Equivalent]]*Supplier_Perf_Table[[#This Row],[Ordered_Value]],"")</f>
        <v>6.0137399999999994</v>
      </c>
      <c r="U804" s="75">
        <v>2</v>
      </c>
      <c r="V804" s="7">
        <v>0.01</v>
      </c>
      <c r="W804" s="75">
        <v>10</v>
      </c>
      <c r="X804" s="55">
        <f>IFERROR(Supplier_Perf_Table[[#This Row],[Actual_Delivery_Date]]-Supplier_Perf_Table[[#This Row],[Order Date]],"")</f>
        <v>10</v>
      </c>
      <c r="Y804" s="75">
        <v>7</v>
      </c>
      <c r="Z804" s="56">
        <f>IFERROR(Supplier_Perf_Table[[#This Row],[Expected Delivery_Date]]-Supplier_Perf_Table[[#This Row],[Order Date]],"")</f>
        <v>7</v>
      </c>
      <c r="AA804" s="56">
        <f>Supplier_Perf_Table[[#This Row],[Calculated_Lead_Time2]]-Supplier_Perf_Table[[#This Row],[Calculated_Expected_Lead_Time]]</f>
        <v>3</v>
      </c>
      <c r="AB804" s="75">
        <v>3</v>
      </c>
      <c r="AC804" s="63" t="s">
        <v>135</v>
      </c>
      <c r="AD804" s="63" t="s">
        <v>40</v>
      </c>
      <c r="AE804" s="63" t="s">
        <v>105</v>
      </c>
      <c r="AF804" s="63" t="s">
        <v>66</v>
      </c>
      <c r="AG804" s="63" t="s">
        <v>128</v>
      </c>
      <c r="AH804" s="63" t="s">
        <v>88</v>
      </c>
      <c r="AI804" s="63" t="s">
        <v>147</v>
      </c>
      <c r="AJ804" s="63" t="s">
        <v>138</v>
      </c>
      <c r="AK804" s="83">
        <v>3.3</v>
      </c>
      <c r="AL804" s="63" t="s">
        <v>108</v>
      </c>
      <c r="AM804" s="63" t="s">
        <v>46</v>
      </c>
      <c r="AN804"/>
    </row>
    <row r="805" spans="1:40" ht="18" customHeight="1">
      <c r="A805" s="1" t="s">
        <v>2521</v>
      </c>
      <c r="B805" s="1" t="s">
        <v>2522</v>
      </c>
      <c r="C805" s="4">
        <v>46102</v>
      </c>
      <c r="D805" s="4">
        <v>46113</v>
      </c>
      <c r="E805" s="4">
        <v>46115</v>
      </c>
      <c r="F805" s="63" t="s">
        <v>151</v>
      </c>
      <c r="G805" s="63" t="s">
        <v>3844</v>
      </c>
      <c r="H805" s="63" t="s">
        <v>152</v>
      </c>
      <c r="I805" s="63" t="s">
        <v>49</v>
      </c>
      <c r="J805" s="63" t="s">
        <v>112</v>
      </c>
      <c r="K805" s="63" t="s">
        <v>2523</v>
      </c>
      <c r="L805" s="63" t="s">
        <v>246</v>
      </c>
      <c r="M805" s="69">
        <v>539.29999999999995</v>
      </c>
      <c r="N805" s="63" t="s">
        <v>53</v>
      </c>
      <c r="O805" s="73">
        <f>_xlfn.XLOOKUP(Supplier_Perf_Table[[#This Row],[Currency]],'Comments 2'!$C$4:$C$16,'Comments 2'!$D$4:$D$16)</f>
        <v>6.0999999999999999E-2</v>
      </c>
      <c r="P805" s="69">
        <f>IFERROR(Supplier_Perf_Table[[#This Row],[Unit_Cost]]*Supplier_Perf_Table[[#This Row],[Dollar Equivalent]],"")</f>
        <v>32.897299999999994</v>
      </c>
      <c r="Q805" s="75">
        <v>2000</v>
      </c>
      <c r="R805" s="1">
        <v>1078600</v>
      </c>
      <c r="S805" s="75">
        <f>Supplier_Perf_Table[[#This Row],[Unit_Cost]]*Supplier_Perf_Table[[#This Row],[Order_Quantity]]</f>
        <v>1078600</v>
      </c>
      <c r="T805" s="75">
        <f>IFERROR(Supplier_Perf_Table[[#This Row],[Dollar Equivalent]]*Supplier_Perf_Table[[#This Row],[Ordered_Value]],"")</f>
        <v>65794.600000000006</v>
      </c>
      <c r="U805" s="75">
        <v>30</v>
      </c>
      <c r="V805" s="7">
        <v>1.4999999999999999E-2</v>
      </c>
      <c r="W805" s="75">
        <v>13</v>
      </c>
      <c r="X805" s="55">
        <f>IFERROR(Supplier_Perf_Table[[#This Row],[Actual_Delivery_Date]]-Supplier_Perf_Table[[#This Row],[Order Date]],"")</f>
        <v>13</v>
      </c>
      <c r="Y805" s="75">
        <v>11</v>
      </c>
      <c r="Z805" s="56">
        <f>IFERROR(Supplier_Perf_Table[[#This Row],[Expected Delivery_Date]]-Supplier_Perf_Table[[#This Row],[Order Date]],"")</f>
        <v>11</v>
      </c>
      <c r="AA805" s="56">
        <f>Supplier_Perf_Table[[#This Row],[Calculated_Lead_Time2]]-Supplier_Perf_Table[[#This Row],[Calculated_Expected_Lead_Time]]</f>
        <v>2</v>
      </c>
      <c r="AB805" s="75">
        <v>2</v>
      </c>
      <c r="AC805" s="63" t="s">
        <v>135</v>
      </c>
      <c r="AD805" s="63" t="s">
        <v>40</v>
      </c>
      <c r="AE805" s="63" t="s">
        <v>127</v>
      </c>
      <c r="AF805" s="63" t="s">
        <v>212</v>
      </c>
      <c r="AG805" s="63" t="s">
        <v>54</v>
      </c>
      <c r="AH805" s="63" t="s">
        <v>136</v>
      </c>
      <c r="AI805" s="63" t="s">
        <v>147</v>
      </c>
      <c r="AJ805" s="63" t="s">
        <v>138</v>
      </c>
      <c r="AK805" s="83">
        <v>2.7</v>
      </c>
      <c r="AL805" s="63" t="s">
        <v>57</v>
      </c>
      <c r="AM805" s="63" t="s">
        <v>148</v>
      </c>
      <c r="AN805"/>
    </row>
    <row r="806" spans="1:40" ht="18" customHeight="1">
      <c r="A806" s="1" t="s">
        <v>2524</v>
      </c>
      <c r="B806" s="1" t="s">
        <v>2525</v>
      </c>
      <c r="C806" s="4">
        <v>46162</v>
      </c>
      <c r="D806" s="4">
        <v>46168</v>
      </c>
      <c r="E806" s="4">
        <v>46167</v>
      </c>
      <c r="F806" s="63" t="s">
        <v>162</v>
      </c>
      <c r="G806" s="63" t="s">
        <v>3847</v>
      </c>
      <c r="H806" s="63" t="s">
        <v>152</v>
      </c>
      <c r="I806" s="63" t="s">
        <v>34</v>
      </c>
      <c r="J806" s="63" t="s">
        <v>163</v>
      </c>
      <c r="K806" s="63" t="s">
        <v>2526</v>
      </c>
      <c r="L806" s="63" t="s">
        <v>253</v>
      </c>
      <c r="M806" s="69">
        <v>2721.18</v>
      </c>
      <c r="N806" s="63" t="s">
        <v>38</v>
      </c>
      <c r="O806" s="73">
        <f>_xlfn.XLOOKUP(Supplier_Perf_Table[[#This Row],[Currency]],'Comments 2'!$C$4:$C$16,'Comments 2'!$D$4:$D$16)</f>
        <v>7.7000000000000002E-3</v>
      </c>
      <c r="P806" s="69">
        <f>IFERROR(Supplier_Perf_Table[[#This Row],[Unit_Cost]]*Supplier_Perf_Table[[#This Row],[Dollar Equivalent]],"")</f>
        <v>20.953085999999999</v>
      </c>
      <c r="Q806" s="75">
        <v>1000</v>
      </c>
      <c r="R806" s="1">
        <v>2721180</v>
      </c>
      <c r="S806" s="75">
        <f>Supplier_Perf_Table[[#This Row],[Unit_Cost]]*Supplier_Perf_Table[[#This Row],[Order_Quantity]]</f>
        <v>2721180</v>
      </c>
      <c r="T806" s="75">
        <f>IFERROR(Supplier_Perf_Table[[#This Row],[Dollar Equivalent]]*Supplier_Perf_Table[[#This Row],[Ordered_Value]],"")</f>
        <v>20953.085999999999</v>
      </c>
      <c r="U806" s="75">
        <v>28</v>
      </c>
      <c r="V806" s="7">
        <v>2.8000000000000001E-2</v>
      </c>
      <c r="W806" s="75">
        <v>5</v>
      </c>
      <c r="X806" s="55">
        <f>IFERROR(Supplier_Perf_Table[[#This Row],[Actual_Delivery_Date]]-Supplier_Perf_Table[[#This Row],[Order Date]],"")</f>
        <v>5</v>
      </c>
      <c r="Y806" s="75">
        <v>6</v>
      </c>
      <c r="Z806" s="56">
        <f>IFERROR(Supplier_Perf_Table[[#This Row],[Expected Delivery_Date]]-Supplier_Perf_Table[[#This Row],[Order Date]],"")</f>
        <v>6</v>
      </c>
      <c r="AA806" s="56">
        <f>Supplier_Perf_Table[[#This Row],[Calculated_Lead_Time2]]-Supplier_Perf_Table[[#This Row],[Calculated_Expected_Lead_Time]]</f>
        <v>-1</v>
      </c>
      <c r="AB806" s="75">
        <v>-1</v>
      </c>
      <c r="AC806" s="63" t="s">
        <v>270</v>
      </c>
      <c r="AD806" s="63" t="s">
        <v>40</v>
      </c>
      <c r="AE806" s="63" t="s">
        <v>41</v>
      </c>
      <c r="AF806" s="63" t="s">
        <v>106</v>
      </c>
      <c r="AG806" s="63" t="s">
        <v>173</v>
      </c>
      <c r="AH806" s="63" t="s">
        <v>174</v>
      </c>
      <c r="AI806" s="63" t="s">
        <v>191</v>
      </c>
      <c r="AJ806" s="63" t="s">
        <v>138</v>
      </c>
      <c r="AK806" s="83">
        <v>2.4</v>
      </c>
      <c r="AL806" s="63" t="s">
        <v>108</v>
      </c>
      <c r="AM806" s="63" t="s">
        <v>138</v>
      </c>
      <c r="AN806"/>
    </row>
    <row r="807" spans="1:40" ht="18" customHeight="1">
      <c r="A807" s="1" t="s">
        <v>2527</v>
      </c>
      <c r="B807" s="1" t="s">
        <v>2528</v>
      </c>
      <c r="C807" s="4">
        <v>46190</v>
      </c>
      <c r="D807" s="4">
        <v>46196</v>
      </c>
      <c r="E807" s="4">
        <v>46198</v>
      </c>
      <c r="F807" s="63" t="s">
        <v>151</v>
      </c>
      <c r="G807" s="63" t="s">
        <v>3844</v>
      </c>
      <c r="H807" s="63" t="s">
        <v>152</v>
      </c>
      <c r="I807" s="63" t="s">
        <v>34</v>
      </c>
      <c r="J807" s="63" t="s">
        <v>112</v>
      </c>
      <c r="K807" s="63" t="s">
        <v>2529</v>
      </c>
      <c r="L807" s="63" t="s">
        <v>218</v>
      </c>
      <c r="M807" s="69">
        <v>752.47</v>
      </c>
      <c r="N807" s="63" t="s">
        <v>104</v>
      </c>
      <c r="O807" s="73">
        <f>_xlfn.XLOOKUP(Supplier_Perf_Table[[#This Row],[Currency]],'Comments 2'!$C$4:$C$16,'Comments 2'!$D$4:$D$16)</f>
        <v>1.9E-2</v>
      </c>
      <c r="P807" s="69">
        <f>IFERROR(Supplier_Perf_Table[[#This Row],[Unit_Cost]]*Supplier_Perf_Table[[#This Row],[Dollar Equivalent]],"")</f>
        <v>14.29693</v>
      </c>
      <c r="Q807" s="75">
        <v>500</v>
      </c>
      <c r="R807" s="1">
        <v>376235</v>
      </c>
      <c r="S807" s="75">
        <f>Supplier_Perf_Table[[#This Row],[Unit_Cost]]*Supplier_Perf_Table[[#This Row],[Order_Quantity]]</f>
        <v>376235</v>
      </c>
      <c r="T807" s="75">
        <f>IFERROR(Supplier_Perf_Table[[#This Row],[Dollar Equivalent]]*Supplier_Perf_Table[[#This Row],[Ordered_Value]],"")</f>
        <v>7148.4650000000001</v>
      </c>
      <c r="U807" s="75">
        <v>0</v>
      </c>
      <c r="V807" s="7">
        <v>0</v>
      </c>
      <c r="W807" s="75">
        <v>8</v>
      </c>
      <c r="X807" s="55">
        <f>IFERROR(Supplier_Perf_Table[[#This Row],[Actual_Delivery_Date]]-Supplier_Perf_Table[[#This Row],[Order Date]],"")</f>
        <v>8</v>
      </c>
      <c r="Y807" s="75">
        <v>6</v>
      </c>
      <c r="Z807" s="56">
        <f>IFERROR(Supplier_Perf_Table[[#This Row],[Expected Delivery_Date]]-Supplier_Perf_Table[[#This Row],[Order Date]],"")</f>
        <v>6</v>
      </c>
      <c r="AA807" s="56">
        <f>Supplier_Perf_Table[[#This Row],[Calculated_Lead_Time2]]-Supplier_Perf_Table[[#This Row],[Calculated_Expected_Lead_Time]]</f>
        <v>2</v>
      </c>
      <c r="AB807" s="75">
        <v>2</v>
      </c>
      <c r="AC807" s="63" t="s">
        <v>135</v>
      </c>
      <c r="AD807" s="63" t="s">
        <v>40</v>
      </c>
      <c r="AE807" s="63" t="s">
        <v>41</v>
      </c>
      <c r="AF807" s="63" t="s">
        <v>190</v>
      </c>
      <c r="AG807" s="63" t="s">
        <v>54</v>
      </c>
      <c r="AH807" s="63" t="s">
        <v>174</v>
      </c>
      <c r="AI807" s="63" t="s">
        <v>147</v>
      </c>
      <c r="AJ807" s="63" t="s">
        <v>138</v>
      </c>
      <c r="AK807" s="83">
        <v>2.5</v>
      </c>
      <c r="AL807" s="63" t="s">
        <v>76</v>
      </c>
      <c r="AM807" s="63" t="s">
        <v>46</v>
      </c>
      <c r="AN807"/>
    </row>
    <row r="808" spans="1:40" ht="18" customHeight="1">
      <c r="A808" s="1" t="s">
        <v>2530</v>
      </c>
      <c r="B808" s="1" t="s">
        <v>2531</v>
      </c>
      <c r="C808" s="4">
        <v>46162</v>
      </c>
      <c r="D808" s="4">
        <v>46181</v>
      </c>
      <c r="E808" s="4">
        <v>46185</v>
      </c>
      <c r="F808" s="63" t="s">
        <v>235</v>
      </c>
      <c r="G808" s="63" t="s">
        <v>3848</v>
      </c>
      <c r="H808" s="63" t="s">
        <v>479</v>
      </c>
      <c r="I808" s="63" t="s">
        <v>49</v>
      </c>
      <c r="J808" s="63" t="s">
        <v>71</v>
      </c>
      <c r="K808" s="63" t="s">
        <v>2532</v>
      </c>
      <c r="L808" s="63" t="s">
        <v>73</v>
      </c>
      <c r="M808" s="69">
        <v>418.3</v>
      </c>
      <c r="N808" s="63" t="s">
        <v>38</v>
      </c>
      <c r="O808" s="73">
        <f>_xlfn.XLOOKUP(Supplier_Perf_Table[[#This Row],[Currency]],'Comments 2'!$C$4:$C$16,'Comments 2'!$D$4:$D$16)</f>
        <v>7.7000000000000002E-3</v>
      </c>
      <c r="P808" s="69">
        <f>IFERROR(Supplier_Perf_Table[[#This Row],[Unit_Cost]]*Supplier_Perf_Table[[#This Row],[Dollar Equivalent]],"")</f>
        <v>3.2209100000000004</v>
      </c>
      <c r="Q808" s="75">
        <v>200</v>
      </c>
      <c r="R808" s="1">
        <v>83660</v>
      </c>
      <c r="S808" s="75">
        <f>Supplier_Perf_Table[[#This Row],[Unit_Cost]]*Supplier_Perf_Table[[#This Row],[Order_Quantity]]</f>
        <v>83660</v>
      </c>
      <c r="T808" s="75">
        <f>IFERROR(Supplier_Perf_Table[[#This Row],[Dollar Equivalent]]*Supplier_Perf_Table[[#This Row],[Ordered_Value]],"")</f>
        <v>644.18200000000002</v>
      </c>
      <c r="U808" s="75">
        <v>3</v>
      </c>
      <c r="V808" s="7">
        <v>1.4999999999999999E-2</v>
      </c>
      <c r="W808" s="75">
        <v>23</v>
      </c>
      <c r="X808" s="55">
        <f>IFERROR(Supplier_Perf_Table[[#This Row],[Actual_Delivery_Date]]-Supplier_Perf_Table[[#This Row],[Order Date]],"")</f>
        <v>23</v>
      </c>
      <c r="Y808" s="75">
        <v>19</v>
      </c>
      <c r="Z808" s="56">
        <f>IFERROR(Supplier_Perf_Table[[#This Row],[Expected Delivery_Date]]-Supplier_Perf_Table[[#This Row],[Order Date]],"")</f>
        <v>19</v>
      </c>
      <c r="AA808" s="56">
        <f>Supplier_Perf_Table[[#This Row],[Calculated_Lead_Time2]]-Supplier_Perf_Table[[#This Row],[Calculated_Expected_Lead_Time]]</f>
        <v>4</v>
      </c>
      <c r="AB808" s="75">
        <v>4</v>
      </c>
      <c r="AC808" s="63" t="s">
        <v>39</v>
      </c>
      <c r="AD808" s="63" t="s">
        <v>40</v>
      </c>
      <c r="AE808" s="63" t="s">
        <v>3088</v>
      </c>
      <c r="AF808" s="63" t="s">
        <v>3088</v>
      </c>
      <c r="AG808" s="63" t="s">
        <v>43</v>
      </c>
      <c r="AH808" s="63" t="s">
        <v>55</v>
      </c>
      <c r="AI808" s="63" t="s">
        <v>44</v>
      </c>
      <c r="AJ808" s="63" t="s">
        <v>138</v>
      </c>
      <c r="AK808" s="83">
        <v>3.5</v>
      </c>
      <c r="AL808" s="63" t="s">
        <v>139</v>
      </c>
      <c r="AM808" s="63" t="s">
        <v>148</v>
      </c>
      <c r="AN808"/>
    </row>
    <row r="809" spans="1:40" ht="18" customHeight="1">
      <c r="A809" s="1" t="s">
        <v>2533</v>
      </c>
      <c r="B809" s="1" t="s">
        <v>2534</v>
      </c>
      <c r="C809" s="4">
        <v>46083</v>
      </c>
      <c r="D809" s="4">
        <v>46096</v>
      </c>
      <c r="E809" s="4">
        <v>46092</v>
      </c>
      <c r="F809" s="63" t="s">
        <v>215</v>
      </c>
      <c r="G809" s="63" t="s">
        <v>3846</v>
      </c>
      <c r="H809" s="63" t="s">
        <v>152</v>
      </c>
      <c r="I809" s="63" t="s">
        <v>34</v>
      </c>
      <c r="J809" s="63" t="s">
        <v>112</v>
      </c>
      <c r="K809" s="63" t="s">
        <v>1034</v>
      </c>
      <c r="L809" s="63" t="s">
        <v>114</v>
      </c>
      <c r="M809" s="69">
        <v>279.39999999999998</v>
      </c>
      <c r="N809" s="63" t="s">
        <v>38</v>
      </c>
      <c r="O809" s="73">
        <f>_xlfn.XLOOKUP(Supplier_Perf_Table[[#This Row],[Currency]],'Comments 2'!$C$4:$C$16,'Comments 2'!$D$4:$D$16)</f>
        <v>7.7000000000000002E-3</v>
      </c>
      <c r="P809" s="69">
        <f>IFERROR(Supplier_Perf_Table[[#This Row],[Unit_Cost]]*Supplier_Perf_Table[[#This Row],[Dollar Equivalent]],"")</f>
        <v>2.1513800000000001</v>
      </c>
      <c r="Q809" s="75">
        <v>1000</v>
      </c>
      <c r="R809" s="1">
        <v>279400</v>
      </c>
      <c r="S809" s="75">
        <f>Supplier_Perf_Table[[#This Row],[Unit_Cost]]*Supplier_Perf_Table[[#This Row],[Order_Quantity]]</f>
        <v>279400</v>
      </c>
      <c r="T809" s="75">
        <f>IFERROR(Supplier_Perf_Table[[#This Row],[Dollar Equivalent]]*Supplier_Perf_Table[[#This Row],[Ordered_Value]],"")</f>
        <v>2151.38</v>
      </c>
      <c r="U809" s="75">
        <v>45</v>
      </c>
      <c r="V809" s="7">
        <v>4.4999999999999998E-2</v>
      </c>
      <c r="W809" s="75">
        <v>9</v>
      </c>
      <c r="X809" s="55">
        <f>IFERROR(Supplier_Perf_Table[[#This Row],[Actual_Delivery_Date]]-Supplier_Perf_Table[[#This Row],[Order Date]],"")</f>
        <v>9</v>
      </c>
      <c r="Y809" s="75">
        <v>13</v>
      </c>
      <c r="Z809" s="56">
        <f>IFERROR(Supplier_Perf_Table[[#This Row],[Expected Delivery_Date]]-Supplier_Perf_Table[[#This Row],[Order Date]],"")</f>
        <v>13</v>
      </c>
      <c r="AA809" s="56">
        <f>Supplier_Perf_Table[[#This Row],[Calculated_Lead_Time2]]-Supplier_Perf_Table[[#This Row],[Calculated_Expected_Lead_Time]]</f>
        <v>-4</v>
      </c>
      <c r="AB809" s="75">
        <v>-4</v>
      </c>
      <c r="AC809" s="63" t="s">
        <v>270</v>
      </c>
      <c r="AD809" s="63" t="s">
        <v>366</v>
      </c>
      <c r="AE809" s="63" t="s">
        <v>3088</v>
      </c>
      <c r="AF809" s="63" t="s">
        <v>212</v>
      </c>
      <c r="AG809" s="63" t="s">
        <v>128</v>
      </c>
      <c r="AH809" s="63" t="s">
        <v>88</v>
      </c>
      <c r="AI809" s="63" t="s">
        <v>95</v>
      </c>
      <c r="AJ809" s="63" t="s">
        <v>96</v>
      </c>
      <c r="AK809" s="83">
        <v>1</v>
      </c>
      <c r="AL809" s="63" t="s">
        <v>76</v>
      </c>
      <c r="AM809" s="63" t="s">
        <v>284</v>
      </c>
      <c r="AN809"/>
    </row>
    <row r="810" spans="1:40" ht="18" customHeight="1">
      <c r="A810" s="1" t="s">
        <v>2535</v>
      </c>
      <c r="B810" s="1" t="s">
        <v>2536</v>
      </c>
      <c r="C810" s="4">
        <v>46039</v>
      </c>
      <c r="D810" s="4">
        <v>46048</v>
      </c>
      <c r="E810" s="4">
        <v>46053</v>
      </c>
      <c r="F810" s="63" t="s">
        <v>209</v>
      </c>
      <c r="G810" s="63" t="s">
        <v>3845</v>
      </c>
      <c r="H810" s="63" t="s">
        <v>316</v>
      </c>
      <c r="I810" s="63" t="s">
        <v>178</v>
      </c>
      <c r="J810" s="63" t="s">
        <v>153</v>
      </c>
      <c r="K810" s="63" t="s">
        <v>2537</v>
      </c>
      <c r="L810" s="63" t="s">
        <v>295</v>
      </c>
      <c r="M810" s="69">
        <v>50.65</v>
      </c>
      <c r="N810" s="63" t="s">
        <v>65</v>
      </c>
      <c r="O810" s="73">
        <f>_xlfn.XLOOKUP(Supplier_Perf_Table[[#This Row],[Currency]],'Comments 2'!$C$4:$C$16,'Comments 2'!$D$4:$D$16)</f>
        <v>1</v>
      </c>
      <c r="P810" s="69">
        <f>IFERROR(Supplier_Perf_Table[[#This Row],[Unit_Cost]]*Supplier_Perf_Table[[#This Row],[Dollar Equivalent]],"")</f>
        <v>50.65</v>
      </c>
      <c r="Q810" s="75">
        <v>150</v>
      </c>
      <c r="R810" s="1">
        <v>7597.5</v>
      </c>
      <c r="S810" s="75">
        <f>Supplier_Perf_Table[[#This Row],[Unit_Cost]]*Supplier_Perf_Table[[#This Row],[Order_Quantity]]</f>
        <v>7597.5</v>
      </c>
      <c r="T810" s="75">
        <f>IFERROR(Supplier_Perf_Table[[#This Row],[Dollar Equivalent]]*Supplier_Perf_Table[[#This Row],[Ordered_Value]],"")</f>
        <v>7597.5</v>
      </c>
      <c r="U810" s="75">
        <v>1</v>
      </c>
      <c r="V810" s="7">
        <v>6.7000000000000002E-3</v>
      </c>
      <c r="W810" s="75">
        <v>14</v>
      </c>
      <c r="X810" s="55">
        <f>IFERROR(Supplier_Perf_Table[[#This Row],[Actual_Delivery_Date]]-Supplier_Perf_Table[[#This Row],[Order Date]],"")</f>
        <v>14</v>
      </c>
      <c r="Y810" s="75">
        <v>9</v>
      </c>
      <c r="Z810" s="56">
        <f>IFERROR(Supplier_Perf_Table[[#This Row],[Expected Delivery_Date]]-Supplier_Perf_Table[[#This Row],[Order Date]],"")</f>
        <v>9</v>
      </c>
      <c r="AA810" s="56">
        <f>Supplier_Perf_Table[[#This Row],[Calculated_Lead_Time2]]-Supplier_Perf_Table[[#This Row],[Calculated_Expected_Lead_Time]]</f>
        <v>5</v>
      </c>
      <c r="AB810" s="75">
        <v>5</v>
      </c>
      <c r="AC810" s="63" t="s">
        <v>39</v>
      </c>
      <c r="AD810" s="63" t="s">
        <v>40</v>
      </c>
      <c r="AE810" s="63" t="s">
        <v>127</v>
      </c>
      <c r="AF810" s="63" t="s">
        <v>106</v>
      </c>
      <c r="AG810" s="63" t="s">
        <v>54</v>
      </c>
      <c r="AH810" s="63" t="s">
        <v>88</v>
      </c>
      <c r="AI810" s="63" t="s">
        <v>191</v>
      </c>
      <c r="AJ810" s="63" t="s">
        <v>138</v>
      </c>
      <c r="AK810" s="83">
        <v>3</v>
      </c>
      <c r="AL810" s="63" t="s">
        <v>139</v>
      </c>
      <c r="AM810" s="63" t="s">
        <v>148</v>
      </c>
      <c r="AN810"/>
    </row>
    <row r="811" spans="1:40" ht="18" customHeight="1">
      <c r="A811" s="1" t="s">
        <v>2538</v>
      </c>
      <c r="B811" s="1" t="s">
        <v>2539</v>
      </c>
      <c r="C811" s="4">
        <v>46029</v>
      </c>
      <c r="D811" s="4">
        <v>46043</v>
      </c>
      <c r="E811" s="4">
        <v>46046</v>
      </c>
      <c r="F811" s="63" t="s">
        <v>256</v>
      </c>
      <c r="G811" s="63" t="s">
        <v>3849</v>
      </c>
      <c r="H811" s="63" t="s">
        <v>258</v>
      </c>
      <c r="I811" s="63" t="s">
        <v>241</v>
      </c>
      <c r="J811" s="63" t="s">
        <v>153</v>
      </c>
      <c r="K811" s="63" t="s">
        <v>2540</v>
      </c>
      <c r="L811" s="63" t="s">
        <v>204</v>
      </c>
      <c r="M811" s="69">
        <v>721.3</v>
      </c>
      <c r="N811" s="63" t="s">
        <v>65</v>
      </c>
      <c r="O811" s="73">
        <f>_xlfn.XLOOKUP(Supplier_Perf_Table[[#This Row],[Currency]],'Comments 2'!$C$4:$C$16,'Comments 2'!$D$4:$D$16)</f>
        <v>1</v>
      </c>
      <c r="P811" s="69">
        <f>IFERROR(Supplier_Perf_Table[[#This Row],[Unit_Cost]]*Supplier_Perf_Table[[#This Row],[Dollar Equivalent]],"")</f>
        <v>721.3</v>
      </c>
      <c r="Q811" s="75">
        <v>300</v>
      </c>
      <c r="R811" s="1">
        <v>216390</v>
      </c>
      <c r="S811" s="75">
        <f>Supplier_Perf_Table[[#This Row],[Unit_Cost]]*Supplier_Perf_Table[[#This Row],[Order_Quantity]]</f>
        <v>216390</v>
      </c>
      <c r="T811" s="75">
        <f>IFERROR(Supplier_Perf_Table[[#This Row],[Dollar Equivalent]]*Supplier_Perf_Table[[#This Row],[Ordered_Value]],"")</f>
        <v>216390</v>
      </c>
      <c r="U811" s="75">
        <v>13</v>
      </c>
      <c r="V811" s="7">
        <v>4.3299999999999998E-2</v>
      </c>
      <c r="W811" s="75">
        <v>17</v>
      </c>
      <c r="X811" s="55">
        <f>IFERROR(Supplier_Perf_Table[[#This Row],[Actual_Delivery_Date]]-Supplier_Perf_Table[[#This Row],[Order Date]],"")</f>
        <v>17</v>
      </c>
      <c r="Y811" s="75">
        <v>14</v>
      </c>
      <c r="Z811" s="56">
        <f>IFERROR(Supplier_Perf_Table[[#This Row],[Expected Delivery_Date]]-Supplier_Perf_Table[[#This Row],[Order Date]],"")</f>
        <v>14</v>
      </c>
      <c r="AA811" s="56">
        <f>Supplier_Perf_Table[[#This Row],[Calculated_Lead_Time2]]-Supplier_Perf_Table[[#This Row],[Calculated_Expected_Lead_Time]]</f>
        <v>3</v>
      </c>
      <c r="AB811" s="75">
        <v>3</v>
      </c>
      <c r="AC811" s="63" t="s">
        <v>166</v>
      </c>
      <c r="AD811" s="63" t="s">
        <v>366</v>
      </c>
      <c r="AE811" s="63" t="s">
        <v>105</v>
      </c>
      <c r="AF811" s="63" t="s">
        <v>106</v>
      </c>
      <c r="AG811" s="63" t="s">
        <v>43</v>
      </c>
      <c r="AH811" s="63" t="s">
        <v>136</v>
      </c>
      <c r="AI811" s="63" t="s">
        <v>44</v>
      </c>
      <c r="AJ811" s="63" t="s">
        <v>75</v>
      </c>
      <c r="AK811" s="83">
        <v>2.1</v>
      </c>
      <c r="AL811" s="63" t="s">
        <v>115</v>
      </c>
      <c r="AM811" s="63" t="s">
        <v>77</v>
      </c>
      <c r="AN811"/>
    </row>
    <row r="812" spans="1:40" ht="18" customHeight="1">
      <c r="A812" s="1" t="s">
        <v>2541</v>
      </c>
      <c r="B812" s="1" t="s">
        <v>2542</v>
      </c>
      <c r="C812" s="4">
        <v>46153</v>
      </c>
      <c r="D812" s="4">
        <v>46161</v>
      </c>
      <c r="E812" s="4">
        <v>46157</v>
      </c>
      <c r="F812" s="63" t="s">
        <v>151</v>
      </c>
      <c r="G812" s="63" t="s">
        <v>3844</v>
      </c>
      <c r="H812" s="63" t="s">
        <v>152</v>
      </c>
      <c r="I812" s="63" t="s">
        <v>83</v>
      </c>
      <c r="J812" s="63" t="s">
        <v>112</v>
      </c>
      <c r="K812" s="63" t="s">
        <v>2543</v>
      </c>
      <c r="L812" s="63" t="s">
        <v>229</v>
      </c>
      <c r="M812" s="69">
        <v>588.61</v>
      </c>
      <c r="N812" s="63" t="s">
        <v>38</v>
      </c>
      <c r="O812" s="73">
        <f>_xlfn.XLOOKUP(Supplier_Perf_Table[[#This Row],[Currency]],'Comments 2'!$C$4:$C$16,'Comments 2'!$D$4:$D$16)</f>
        <v>7.7000000000000002E-3</v>
      </c>
      <c r="P812" s="69">
        <f>IFERROR(Supplier_Perf_Table[[#This Row],[Unit_Cost]]*Supplier_Perf_Table[[#This Row],[Dollar Equivalent]],"")</f>
        <v>4.5322970000000007</v>
      </c>
      <c r="Q812" s="75">
        <v>500</v>
      </c>
      <c r="R812" s="1">
        <v>294305</v>
      </c>
      <c r="S812" s="75">
        <f>Supplier_Perf_Table[[#This Row],[Unit_Cost]]*Supplier_Perf_Table[[#This Row],[Order_Quantity]]</f>
        <v>294305</v>
      </c>
      <c r="T812" s="75">
        <f>IFERROR(Supplier_Perf_Table[[#This Row],[Dollar Equivalent]]*Supplier_Perf_Table[[#This Row],[Ordered_Value]],"")</f>
        <v>2266.1485000000002</v>
      </c>
      <c r="U812" s="75">
        <v>10</v>
      </c>
      <c r="V812" s="7">
        <v>0.02</v>
      </c>
      <c r="W812" s="75">
        <v>4</v>
      </c>
      <c r="X812" s="55">
        <f>IFERROR(Supplier_Perf_Table[[#This Row],[Actual_Delivery_Date]]-Supplier_Perf_Table[[#This Row],[Order Date]],"")</f>
        <v>4</v>
      </c>
      <c r="Y812" s="75">
        <v>8</v>
      </c>
      <c r="Z812" s="56">
        <f>IFERROR(Supplier_Perf_Table[[#This Row],[Expected Delivery_Date]]-Supplier_Perf_Table[[#This Row],[Order Date]],"")</f>
        <v>8</v>
      </c>
      <c r="AA812" s="56">
        <f>Supplier_Perf_Table[[#This Row],[Calculated_Lead_Time2]]-Supplier_Perf_Table[[#This Row],[Calculated_Expected_Lead_Time]]</f>
        <v>-4</v>
      </c>
      <c r="AB812" s="75">
        <v>-4</v>
      </c>
      <c r="AC812" s="63" t="s">
        <v>87</v>
      </c>
      <c r="AD812" s="63" t="s">
        <v>40</v>
      </c>
      <c r="AE812" s="63" t="s">
        <v>146</v>
      </c>
      <c r="AF812" s="63" t="s">
        <v>42</v>
      </c>
      <c r="AG812" s="63" t="s">
        <v>3088</v>
      </c>
      <c r="AH812" s="63" t="s">
        <v>55</v>
      </c>
      <c r="AI812" s="63" t="s">
        <v>191</v>
      </c>
      <c r="AJ812" s="63" t="s">
        <v>138</v>
      </c>
      <c r="AK812" s="83">
        <v>4.0999999999999996</v>
      </c>
      <c r="AL812" s="63" t="s">
        <v>108</v>
      </c>
      <c r="AM812" s="63" t="s">
        <v>130</v>
      </c>
      <c r="AN812"/>
    </row>
    <row r="813" spans="1:40" ht="18" customHeight="1">
      <c r="A813" s="1" t="s">
        <v>2544</v>
      </c>
      <c r="B813" s="1" t="s">
        <v>2545</v>
      </c>
      <c r="C813" s="4">
        <v>46089</v>
      </c>
      <c r="D813" s="4">
        <v>46105</v>
      </c>
      <c r="E813" s="4">
        <v>46107</v>
      </c>
      <c r="F813" s="63" t="s">
        <v>256</v>
      </c>
      <c r="G813" s="63" t="s">
        <v>3849</v>
      </c>
      <c r="H813" s="63" t="s">
        <v>258</v>
      </c>
      <c r="I813" s="63" t="s">
        <v>34</v>
      </c>
      <c r="J813" s="63" t="s">
        <v>153</v>
      </c>
      <c r="K813" s="63" t="s">
        <v>2546</v>
      </c>
      <c r="L813" s="63" t="s">
        <v>295</v>
      </c>
      <c r="M813" s="69">
        <v>317.68</v>
      </c>
      <c r="N813" s="63" t="s">
        <v>65</v>
      </c>
      <c r="O813" s="73">
        <f>_xlfn.XLOOKUP(Supplier_Perf_Table[[#This Row],[Currency]],'Comments 2'!$C$4:$C$16,'Comments 2'!$D$4:$D$16)</f>
        <v>1</v>
      </c>
      <c r="P813" s="69">
        <f>IFERROR(Supplier_Perf_Table[[#This Row],[Unit_Cost]]*Supplier_Perf_Table[[#This Row],[Dollar Equivalent]],"")</f>
        <v>317.68</v>
      </c>
      <c r="Q813" s="75">
        <v>2000</v>
      </c>
      <c r="R813" s="1">
        <v>635360</v>
      </c>
      <c r="S813" s="75">
        <f>Supplier_Perf_Table[[#This Row],[Unit_Cost]]*Supplier_Perf_Table[[#This Row],[Order_Quantity]]</f>
        <v>635360</v>
      </c>
      <c r="T813" s="75">
        <f>IFERROR(Supplier_Perf_Table[[#This Row],[Dollar Equivalent]]*Supplier_Perf_Table[[#This Row],[Ordered_Value]],"")</f>
        <v>635360</v>
      </c>
      <c r="U813" s="75">
        <v>119</v>
      </c>
      <c r="V813" s="7">
        <v>5.9499999999999997E-2</v>
      </c>
      <c r="W813" s="75">
        <v>18</v>
      </c>
      <c r="X813" s="55">
        <f>IFERROR(Supplier_Perf_Table[[#This Row],[Actual_Delivery_Date]]-Supplier_Perf_Table[[#This Row],[Order Date]],"")</f>
        <v>18</v>
      </c>
      <c r="Y813" s="75">
        <v>16</v>
      </c>
      <c r="Z813" s="56">
        <f>IFERROR(Supplier_Perf_Table[[#This Row],[Expected Delivery_Date]]-Supplier_Perf_Table[[#This Row],[Order Date]],"")</f>
        <v>16</v>
      </c>
      <c r="AA813" s="56">
        <f>Supplier_Perf_Table[[#This Row],[Calculated_Lead_Time2]]-Supplier_Perf_Table[[#This Row],[Calculated_Expected_Lead_Time]]</f>
        <v>2</v>
      </c>
      <c r="AB813" s="75">
        <v>2</v>
      </c>
      <c r="AC813" s="63" t="s">
        <v>166</v>
      </c>
      <c r="AD813" s="63" t="s">
        <v>366</v>
      </c>
      <c r="AE813" s="63" t="s">
        <v>41</v>
      </c>
      <c r="AF813" s="63" t="s">
        <v>106</v>
      </c>
      <c r="AG813" s="63" t="s">
        <v>173</v>
      </c>
      <c r="AH813" s="63" t="s">
        <v>88</v>
      </c>
      <c r="AI813" s="63" t="s">
        <v>95</v>
      </c>
      <c r="AJ813" s="63" t="s">
        <v>183</v>
      </c>
      <c r="AK813" s="83">
        <v>2.8</v>
      </c>
      <c r="AL813" s="63" t="s">
        <v>184</v>
      </c>
      <c r="AM813" s="63" t="s">
        <v>77</v>
      </c>
      <c r="AN813"/>
    </row>
    <row r="814" spans="1:40" ht="18" customHeight="1">
      <c r="A814" s="1" t="s">
        <v>2547</v>
      </c>
      <c r="B814" s="1" t="s">
        <v>2548</v>
      </c>
      <c r="C814" s="4">
        <v>46053</v>
      </c>
      <c r="D814" s="4">
        <v>46072</v>
      </c>
      <c r="E814" s="4">
        <v>46065</v>
      </c>
      <c r="F814" s="63" t="s">
        <v>90</v>
      </c>
      <c r="G814" s="63" t="s">
        <v>3840</v>
      </c>
      <c r="H814" s="63" t="s">
        <v>133</v>
      </c>
      <c r="I814" s="63" t="s">
        <v>241</v>
      </c>
      <c r="J814" s="63" t="s">
        <v>71</v>
      </c>
      <c r="K814" s="63" t="s">
        <v>2094</v>
      </c>
      <c r="L814" s="63" t="s">
        <v>73</v>
      </c>
      <c r="M814" s="69">
        <v>488.72</v>
      </c>
      <c r="N814" s="63" t="s">
        <v>53</v>
      </c>
      <c r="O814" s="73">
        <f>_xlfn.XLOOKUP(Supplier_Perf_Table[[#This Row],[Currency]],'Comments 2'!$C$4:$C$16,'Comments 2'!$D$4:$D$16)</f>
        <v>6.0999999999999999E-2</v>
      </c>
      <c r="P814" s="69">
        <f>IFERROR(Supplier_Perf_Table[[#This Row],[Unit_Cost]]*Supplier_Perf_Table[[#This Row],[Dollar Equivalent]],"")</f>
        <v>29.811920000000001</v>
      </c>
      <c r="Q814" s="75">
        <v>50</v>
      </c>
      <c r="R814" s="1">
        <v>24436</v>
      </c>
      <c r="S814" s="75">
        <f>Supplier_Perf_Table[[#This Row],[Unit_Cost]]*Supplier_Perf_Table[[#This Row],[Order_Quantity]]</f>
        <v>24436</v>
      </c>
      <c r="T814" s="75">
        <f>IFERROR(Supplier_Perf_Table[[#This Row],[Dollar Equivalent]]*Supplier_Perf_Table[[#This Row],[Ordered_Value]],"")</f>
        <v>1490.596</v>
      </c>
      <c r="U814" s="75">
        <v>2</v>
      </c>
      <c r="V814" s="7">
        <v>0.04</v>
      </c>
      <c r="W814" s="75">
        <v>12</v>
      </c>
      <c r="X814" s="55">
        <f>IFERROR(Supplier_Perf_Table[[#This Row],[Actual_Delivery_Date]]-Supplier_Perf_Table[[#This Row],[Order Date]],"")</f>
        <v>12</v>
      </c>
      <c r="Y814" s="75">
        <v>19</v>
      </c>
      <c r="Z814" s="56">
        <f>IFERROR(Supplier_Perf_Table[[#This Row],[Expected Delivery_Date]]-Supplier_Perf_Table[[#This Row],[Order Date]],"")</f>
        <v>19</v>
      </c>
      <c r="AA814" s="56">
        <f>Supplier_Perf_Table[[#This Row],[Calculated_Lead_Time2]]-Supplier_Perf_Table[[#This Row],[Calculated_Expected_Lead_Time]]</f>
        <v>-7</v>
      </c>
      <c r="AB814" s="75">
        <v>-7</v>
      </c>
      <c r="AC814" s="63" t="s">
        <v>87</v>
      </c>
      <c r="AD814" s="63" t="s">
        <v>40</v>
      </c>
      <c r="AE814" s="63" t="s">
        <v>146</v>
      </c>
      <c r="AF814" s="63" t="s">
        <v>106</v>
      </c>
      <c r="AG814" s="63" t="s">
        <v>173</v>
      </c>
      <c r="AH814" s="63" t="s">
        <v>136</v>
      </c>
      <c r="AI814" s="63" t="s">
        <v>137</v>
      </c>
      <c r="AJ814" s="63" t="s">
        <v>138</v>
      </c>
      <c r="AK814" s="83">
        <v>2.4</v>
      </c>
      <c r="AL814" s="63" t="s">
        <v>76</v>
      </c>
      <c r="AM814" s="63" t="s">
        <v>130</v>
      </c>
      <c r="AN814"/>
    </row>
    <row r="815" spans="1:40" ht="18" customHeight="1">
      <c r="A815" s="1" t="s">
        <v>2549</v>
      </c>
      <c r="B815" s="1" t="s">
        <v>2550</v>
      </c>
      <c r="C815" s="4">
        <v>46049</v>
      </c>
      <c r="D815" s="4">
        <v>46051</v>
      </c>
      <c r="E815" s="4">
        <v>46061</v>
      </c>
      <c r="F815" s="63" t="s">
        <v>151</v>
      </c>
      <c r="G815" s="63" t="s">
        <v>3844</v>
      </c>
      <c r="H815" s="63" t="s">
        <v>152</v>
      </c>
      <c r="I815" s="63" t="s">
        <v>34</v>
      </c>
      <c r="J815" s="63" t="s">
        <v>112</v>
      </c>
      <c r="K815" s="63" t="s">
        <v>2551</v>
      </c>
      <c r="L815" s="63" t="s">
        <v>229</v>
      </c>
      <c r="M815" s="69">
        <v>720.56</v>
      </c>
      <c r="N815" s="63" t="s">
        <v>53</v>
      </c>
      <c r="O815" s="73">
        <f>_xlfn.XLOOKUP(Supplier_Perf_Table[[#This Row],[Currency]],'Comments 2'!$C$4:$C$16,'Comments 2'!$D$4:$D$16)</f>
        <v>6.0999999999999999E-2</v>
      </c>
      <c r="P815" s="69">
        <f>IFERROR(Supplier_Perf_Table[[#This Row],[Unit_Cost]]*Supplier_Perf_Table[[#This Row],[Dollar Equivalent]],"")</f>
        <v>43.954159999999995</v>
      </c>
      <c r="Q815" s="75">
        <v>150</v>
      </c>
      <c r="R815" s="1">
        <v>108084</v>
      </c>
      <c r="S815" s="75">
        <f>Supplier_Perf_Table[[#This Row],[Unit_Cost]]*Supplier_Perf_Table[[#This Row],[Order_Quantity]]</f>
        <v>108083.99999999999</v>
      </c>
      <c r="T815" s="75">
        <f>IFERROR(Supplier_Perf_Table[[#This Row],[Dollar Equivalent]]*Supplier_Perf_Table[[#This Row],[Ordered_Value]],"")</f>
        <v>6593.1239999999998</v>
      </c>
      <c r="U815" s="75">
        <v>1</v>
      </c>
      <c r="V815" s="7">
        <v>6.7000000000000002E-3</v>
      </c>
      <c r="W815" s="75">
        <v>12</v>
      </c>
      <c r="X815" s="55">
        <f>IFERROR(Supplier_Perf_Table[[#This Row],[Actual_Delivery_Date]]-Supplier_Perf_Table[[#This Row],[Order Date]],"")</f>
        <v>12</v>
      </c>
      <c r="Y815" s="75">
        <v>2</v>
      </c>
      <c r="Z815" s="56">
        <f>IFERROR(Supplier_Perf_Table[[#This Row],[Expected Delivery_Date]]-Supplier_Perf_Table[[#This Row],[Order Date]],"")</f>
        <v>2</v>
      </c>
      <c r="AA815" s="56">
        <f>Supplier_Perf_Table[[#This Row],[Calculated_Lead_Time2]]-Supplier_Perf_Table[[#This Row],[Calculated_Expected_Lead_Time]]</f>
        <v>10</v>
      </c>
      <c r="AB815" s="75">
        <v>10</v>
      </c>
      <c r="AC815" s="63" t="s">
        <v>135</v>
      </c>
      <c r="AD815" s="63" t="s">
        <v>40</v>
      </c>
      <c r="AE815" s="63" t="s">
        <v>105</v>
      </c>
      <c r="AF815" s="63" t="s">
        <v>212</v>
      </c>
      <c r="AG815" s="63" t="s">
        <v>43</v>
      </c>
      <c r="AH815" s="63" t="s">
        <v>129</v>
      </c>
      <c r="AI815" s="63" t="s">
        <v>137</v>
      </c>
      <c r="AJ815" s="63" t="s">
        <v>138</v>
      </c>
      <c r="AK815" s="83">
        <v>1.9</v>
      </c>
      <c r="AL815" s="63" t="s">
        <v>45</v>
      </c>
      <c r="AM815" s="63" t="s">
        <v>46</v>
      </c>
      <c r="AN815"/>
    </row>
    <row r="816" spans="1:40" ht="18" customHeight="1">
      <c r="A816" s="1" t="s">
        <v>2552</v>
      </c>
      <c r="B816" s="1" t="s">
        <v>2553</v>
      </c>
      <c r="C816" s="4">
        <v>46123</v>
      </c>
      <c r="D816" s="4">
        <v>46130</v>
      </c>
      <c r="E816" s="4">
        <v>46138</v>
      </c>
      <c r="F816" s="63" t="s">
        <v>162</v>
      </c>
      <c r="G816" s="63" t="s">
        <v>3847</v>
      </c>
      <c r="H816" s="63" t="s">
        <v>152</v>
      </c>
      <c r="I816" s="63" t="s">
        <v>61</v>
      </c>
      <c r="J816" s="63" t="s">
        <v>163</v>
      </c>
      <c r="K816" s="63" t="s">
        <v>2554</v>
      </c>
      <c r="L816" s="63" t="s">
        <v>165</v>
      </c>
      <c r="M816" s="69">
        <v>1497.29</v>
      </c>
      <c r="N816" s="63" t="s">
        <v>86</v>
      </c>
      <c r="O816" s="73">
        <f>_xlfn.XLOOKUP(Supplier_Perf_Table[[#This Row],[Currency]],'Comments 2'!$C$4:$C$16,'Comments 2'!$D$4:$D$16)</f>
        <v>8.8999999999999996E-2</v>
      </c>
      <c r="P816" s="69">
        <f>IFERROR(Supplier_Perf_Table[[#This Row],[Unit_Cost]]*Supplier_Perf_Table[[#This Row],[Dollar Equivalent]],"")</f>
        <v>133.25880999999998</v>
      </c>
      <c r="Q816" s="75">
        <v>75</v>
      </c>
      <c r="R816" s="1">
        <v>112296.75</v>
      </c>
      <c r="S816" s="75">
        <f>Supplier_Perf_Table[[#This Row],[Unit_Cost]]*Supplier_Perf_Table[[#This Row],[Order_Quantity]]</f>
        <v>112296.75</v>
      </c>
      <c r="T816" s="75">
        <f>IFERROR(Supplier_Perf_Table[[#This Row],[Dollar Equivalent]]*Supplier_Perf_Table[[#This Row],[Ordered_Value]],"")</f>
        <v>9994.4107499999991</v>
      </c>
      <c r="U816" s="75">
        <v>2</v>
      </c>
      <c r="V816" s="7">
        <v>2.6700000000000002E-2</v>
      </c>
      <c r="W816" s="75">
        <v>15</v>
      </c>
      <c r="X816" s="55">
        <f>IFERROR(Supplier_Perf_Table[[#This Row],[Actual_Delivery_Date]]-Supplier_Perf_Table[[#This Row],[Order Date]],"")</f>
        <v>15</v>
      </c>
      <c r="Y816" s="75">
        <v>7</v>
      </c>
      <c r="Z816" s="56">
        <f>IFERROR(Supplier_Perf_Table[[#This Row],[Expected Delivery_Date]]-Supplier_Perf_Table[[#This Row],[Order Date]],"")</f>
        <v>7</v>
      </c>
      <c r="AA816" s="56">
        <f>Supplier_Perf_Table[[#This Row],[Calculated_Lead_Time2]]-Supplier_Perf_Table[[#This Row],[Calculated_Expected_Lead_Time]]</f>
        <v>8</v>
      </c>
      <c r="AB816" s="75">
        <v>8</v>
      </c>
      <c r="AC816" s="63" t="s">
        <v>39</v>
      </c>
      <c r="AD816" s="63" t="s">
        <v>40</v>
      </c>
      <c r="AE816" s="63" t="s">
        <v>3088</v>
      </c>
      <c r="AF816" s="63" t="s">
        <v>3088</v>
      </c>
      <c r="AG816" s="63" t="s">
        <v>3088</v>
      </c>
      <c r="AH816" s="63" t="s">
        <v>136</v>
      </c>
      <c r="AI816" s="63" t="s">
        <v>56</v>
      </c>
      <c r="AJ816" s="63" t="s">
        <v>138</v>
      </c>
      <c r="AK816" s="83">
        <v>1.5</v>
      </c>
      <c r="AL816" s="63" t="s">
        <v>139</v>
      </c>
      <c r="AM816" s="63" t="s">
        <v>148</v>
      </c>
      <c r="AN816"/>
    </row>
    <row r="817" spans="1:40" ht="18" customHeight="1">
      <c r="A817" s="1" t="s">
        <v>2555</v>
      </c>
      <c r="B817" s="1" t="s">
        <v>2556</v>
      </c>
      <c r="C817" s="4">
        <v>46147</v>
      </c>
      <c r="D817" s="4">
        <v>46157</v>
      </c>
      <c r="E817" s="4">
        <v>46160</v>
      </c>
      <c r="F817" s="63" t="s">
        <v>162</v>
      </c>
      <c r="G817" s="63" t="s">
        <v>3847</v>
      </c>
      <c r="H817" s="63" t="s">
        <v>152</v>
      </c>
      <c r="I817" s="63" t="s">
        <v>178</v>
      </c>
      <c r="J817" s="63" t="s">
        <v>163</v>
      </c>
      <c r="K817" s="63" t="s">
        <v>2557</v>
      </c>
      <c r="L817" s="63" t="s">
        <v>171</v>
      </c>
      <c r="M817" s="69">
        <v>407.99</v>
      </c>
      <c r="N817" s="63" t="s">
        <v>104</v>
      </c>
      <c r="O817" s="73">
        <f>_xlfn.XLOOKUP(Supplier_Perf_Table[[#This Row],[Currency]],'Comments 2'!$C$4:$C$16,'Comments 2'!$D$4:$D$16)</f>
        <v>1.9E-2</v>
      </c>
      <c r="P817" s="69">
        <f>IFERROR(Supplier_Perf_Table[[#This Row],[Unit_Cost]]*Supplier_Perf_Table[[#This Row],[Dollar Equivalent]],"")</f>
        <v>7.7518099999999999</v>
      </c>
      <c r="Q817" s="75">
        <v>1500</v>
      </c>
      <c r="R817" s="1">
        <v>611985</v>
      </c>
      <c r="S817" s="75">
        <f>Supplier_Perf_Table[[#This Row],[Unit_Cost]]*Supplier_Perf_Table[[#This Row],[Order_Quantity]]</f>
        <v>611985</v>
      </c>
      <c r="T817" s="75">
        <f>IFERROR(Supplier_Perf_Table[[#This Row],[Dollar Equivalent]]*Supplier_Perf_Table[[#This Row],[Ordered_Value]],"")</f>
        <v>11627.715</v>
      </c>
      <c r="U817" s="75">
        <v>32</v>
      </c>
      <c r="V817" s="7">
        <v>2.1299999999999999E-2</v>
      </c>
      <c r="W817" s="75">
        <v>13</v>
      </c>
      <c r="X817" s="55">
        <f>IFERROR(Supplier_Perf_Table[[#This Row],[Actual_Delivery_Date]]-Supplier_Perf_Table[[#This Row],[Order Date]],"")</f>
        <v>13</v>
      </c>
      <c r="Y817" s="75">
        <v>10</v>
      </c>
      <c r="Z817" s="56">
        <f>IFERROR(Supplier_Perf_Table[[#This Row],[Expected Delivery_Date]]-Supplier_Perf_Table[[#This Row],[Order Date]],"")</f>
        <v>10</v>
      </c>
      <c r="AA817" s="56">
        <f>Supplier_Perf_Table[[#This Row],[Calculated_Lead_Time2]]-Supplier_Perf_Table[[#This Row],[Calculated_Expected_Lead_Time]]</f>
        <v>3</v>
      </c>
      <c r="AB817" s="75">
        <v>3</v>
      </c>
      <c r="AC817" s="63" t="s">
        <v>135</v>
      </c>
      <c r="AD817" s="63" t="s">
        <v>40</v>
      </c>
      <c r="AE817" s="63" t="s">
        <v>105</v>
      </c>
      <c r="AF817" s="63" t="s">
        <v>66</v>
      </c>
      <c r="AG817" s="63" t="s">
        <v>54</v>
      </c>
      <c r="AH817" s="63" t="s">
        <v>129</v>
      </c>
      <c r="AI817" s="63" t="s">
        <v>95</v>
      </c>
      <c r="AJ817" s="63" t="s">
        <v>138</v>
      </c>
      <c r="AK817" s="83">
        <v>4</v>
      </c>
      <c r="AL817" s="63" t="s">
        <v>184</v>
      </c>
      <c r="AM817" s="63" t="s">
        <v>46</v>
      </c>
      <c r="AN817"/>
    </row>
    <row r="818" spans="1:40" ht="18" customHeight="1">
      <c r="A818" s="1" t="s">
        <v>748</v>
      </c>
      <c r="B818" s="1" t="s">
        <v>2558</v>
      </c>
      <c r="C818" s="4">
        <v>46091</v>
      </c>
      <c r="D818" s="4">
        <v>46109</v>
      </c>
      <c r="E818" s="4">
        <v>46115</v>
      </c>
      <c r="F818" s="63" t="s">
        <v>142</v>
      </c>
      <c r="G818" s="63" t="s">
        <v>3843</v>
      </c>
      <c r="H818" s="63" t="s">
        <v>169</v>
      </c>
      <c r="I818" s="63" t="s">
        <v>61</v>
      </c>
      <c r="J818" s="63" t="s">
        <v>50</v>
      </c>
      <c r="K818" s="63" t="s">
        <v>2559</v>
      </c>
      <c r="L818" s="63" t="s">
        <v>189</v>
      </c>
      <c r="M818" s="69">
        <v>3216.21</v>
      </c>
      <c r="N818" s="63" t="s">
        <v>104</v>
      </c>
      <c r="O818" s="73">
        <f>_xlfn.XLOOKUP(Supplier_Perf_Table[[#This Row],[Currency]],'Comments 2'!$C$4:$C$16,'Comments 2'!$D$4:$D$16)</f>
        <v>1.9E-2</v>
      </c>
      <c r="P818" s="69">
        <f>IFERROR(Supplier_Perf_Table[[#This Row],[Unit_Cost]]*Supplier_Perf_Table[[#This Row],[Dollar Equivalent]],"")</f>
        <v>61.107990000000001</v>
      </c>
      <c r="Q818" s="75">
        <v>250</v>
      </c>
      <c r="R818" s="1">
        <v>804052.5</v>
      </c>
      <c r="S818" s="75">
        <f>Supplier_Perf_Table[[#This Row],[Unit_Cost]]*Supplier_Perf_Table[[#This Row],[Order_Quantity]]</f>
        <v>804052.5</v>
      </c>
      <c r="T818" s="75">
        <f>IFERROR(Supplier_Perf_Table[[#This Row],[Dollar Equivalent]]*Supplier_Perf_Table[[#This Row],[Ordered_Value]],"")</f>
        <v>15276.997499999999</v>
      </c>
      <c r="U818" s="75">
        <v>11</v>
      </c>
      <c r="V818" s="7">
        <v>4.3999999999999997E-2</v>
      </c>
      <c r="W818" s="75">
        <v>24</v>
      </c>
      <c r="X818" s="55">
        <f>IFERROR(Supplier_Perf_Table[[#This Row],[Actual_Delivery_Date]]-Supplier_Perf_Table[[#This Row],[Order Date]],"")</f>
        <v>24</v>
      </c>
      <c r="Y818" s="75">
        <v>18</v>
      </c>
      <c r="Z818" s="56">
        <f>IFERROR(Supplier_Perf_Table[[#This Row],[Expected Delivery_Date]]-Supplier_Perf_Table[[#This Row],[Order Date]],"")</f>
        <v>18</v>
      </c>
      <c r="AA818" s="56">
        <f>Supplier_Perf_Table[[#This Row],[Calculated_Lead_Time2]]-Supplier_Perf_Table[[#This Row],[Calculated_Expected_Lead_Time]]</f>
        <v>6</v>
      </c>
      <c r="AB818" s="75">
        <v>6</v>
      </c>
      <c r="AC818" s="63" t="s">
        <v>135</v>
      </c>
      <c r="AD818" s="63" t="s">
        <v>74</v>
      </c>
      <c r="AE818" s="63" t="s">
        <v>127</v>
      </c>
      <c r="AF818" s="63" t="s">
        <v>190</v>
      </c>
      <c r="AG818" s="63" t="s">
        <v>43</v>
      </c>
      <c r="AH818" s="63" t="s">
        <v>3112</v>
      </c>
      <c r="AI818" s="63" t="s">
        <v>147</v>
      </c>
      <c r="AJ818" s="63" t="s">
        <v>183</v>
      </c>
      <c r="AK818" s="83">
        <v>2.6</v>
      </c>
      <c r="AL818" s="63" t="s">
        <v>115</v>
      </c>
      <c r="AM818" s="63" t="s">
        <v>185</v>
      </c>
      <c r="AN818"/>
    </row>
    <row r="819" spans="1:40" ht="18" customHeight="1">
      <c r="A819" s="1" t="s">
        <v>2560</v>
      </c>
      <c r="B819" s="1" t="s">
        <v>2561</v>
      </c>
      <c r="C819" s="4">
        <v>46180</v>
      </c>
      <c r="D819" s="4">
        <v>46185</v>
      </c>
      <c r="E819" s="4">
        <v>46185</v>
      </c>
      <c r="F819" s="63" t="s">
        <v>151</v>
      </c>
      <c r="G819" s="63" t="s">
        <v>3844</v>
      </c>
      <c r="H819" s="63" t="s">
        <v>152</v>
      </c>
      <c r="I819" s="63" t="s">
        <v>70</v>
      </c>
      <c r="J819" s="63" t="s">
        <v>112</v>
      </c>
      <c r="K819" s="63" t="s">
        <v>2562</v>
      </c>
      <c r="L819" s="63" t="s">
        <v>229</v>
      </c>
      <c r="M819" s="69">
        <v>684.1</v>
      </c>
      <c r="N819" s="63" t="s">
        <v>38</v>
      </c>
      <c r="O819" s="73">
        <f>_xlfn.XLOOKUP(Supplier_Perf_Table[[#This Row],[Currency]],'Comments 2'!$C$4:$C$16,'Comments 2'!$D$4:$D$16)</f>
        <v>7.7000000000000002E-3</v>
      </c>
      <c r="P819" s="69">
        <f>IFERROR(Supplier_Perf_Table[[#This Row],[Unit_Cost]]*Supplier_Perf_Table[[#This Row],[Dollar Equivalent]],"")</f>
        <v>5.2675700000000001</v>
      </c>
      <c r="Q819" s="75" t="s">
        <v>3080</v>
      </c>
      <c r="R819" s="1">
        <v>205230</v>
      </c>
      <c r="S819" s="75" t="e">
        <f>Supplier_Perf_Table[[#This Row],[Unit_Cost]]*Supplier_Perf_Table[[#This Row],[Order_Quantity]]</f>
        <v>#VALUE!</v>
      </c>
      <c r="T819" s="75">
        <f>IFERROR(Supplier_Perf_Table[[#This Row],[Dollar Equivalent]]*Supplier_Perf_Table[[#This Row],[Ordered_Value]],"")</f>
        <v>1580.271</v>
      </c>
      <c r="U819" s="75">
        <v>8</v>
      </c>
      <c r="V819" s="7">
        <v>2.6700000000000002E-2</v>
      </c>
      <c r="W819" s="75">
        <v>1</v>
      </c>
      <c r="X819" s="55">
        <f>IFERROR(Supplier_Perf_Table[[#This Row],[Actual_Delivery_Date]]-Supplier_Perf_Table[[#This Row],[Order Date]],"")</f>
        <v>5</v>
      </c>
      <c r="Y819" s="75">
        <v>5</v>
      </c>
      <c r="Z819" s="56">
        <f>IFERROR(Supplier_Perf_Table[[#This Row],[Expected Delivery_Date]]-Supplier_Perf_Table[[#This Row],[Order Date]],"")</f>
        <v>5</v>
      </c>
      <c r="AA819" s="56">
        <f>Supplier_Perf_Table[[#This Row],[Calculated_Lead_Time2]]-Supplier_Perf_Table[[#This Row],[Calculated_Expected_Lead_Time]]</f>
        <v>0</v>
      </c>
      <c r="AB819" s="75"/>
      <c r="AC819" s="63" t="s">
        <v>87</v>
      </c>
      <c r="AD819" s="63" t="s">
        <v>40</v>
      </c>
      <c r="AE819" s="63" t="s">
        <v>105</v>
      </c>
      <c r="AF819" s="63" t="s">
        <v>190</v>
      </c>
      <c r="AG819" s="63" t="s">
        <v>107</v>
      </c>
      <c r="AH819" s="63" t="s">
        <v>129</v>
      </c>
      <c r="AI819" s="63" t="s">
        <v>56</v>
      </c>
      <c r="AJ819" s="63" t="s">
        <v>138</v>
      </c>
      <c r="AK819" s="83">
        <v>4.9000000000000004</v>
      </c>
      <c r="AL819" s="63" t="s">
        <v>115</v>
      </c>
      <c r="AM819" s="63" t="s">
        <v>138</v>
      </c>
      <c r="AN819"/>
    </row>
    <row r="820" spans="1:40" ht="18" customHeight="1">
      <c r="A820" s="1" t="s">
        <v>2563</v>
      </c>
      <c r="B820" s="1" t="s">
        <v>2564</v>
      </c>
      <c r="C820" s="4">
        <v>46158</v>
      </c>
      <c r="D820" s="4">
        <v>46167</v>
      </c>
      <c r="E820" s="4">
        <v>46158</v>
      </c>
      <c r="F820" s="63" t="s">
        <v>60</v>
      </c>
      <c r="G820" s="63" t="s">
        <v>3837</v>
      </c>
      <c r="H820" s="63" t="s">
        <v>152</v>
      </c>
      <c r="I820" s="63" t="s">
        <v>70</v>
      </c>
      <c r="J820" s="63" t="s">
        <v>62</v>
      </c>
      <c r="K820" s="63" t="s">
        <v>952</v>
      </c>
      <c r="L820" s="63" t="s">
        <v>64</v>
      </c>
      <c r="M820" s="69">
        <v>340.67</v>
      </c>
      <c r="N820" s="63" t="s">
        <v>159</v>
      </c>
      <c r="O820" s="73">
        <f>_xlfn.XLOOKUP(Supplier_Perf_Table[[#This Row],[Currency]],'Comments 2'!$C$4:$C$16,'Comments 2'!$D$4:$D$16)</f>
        <v>7.2999999999999996E-4</v>
      </c>
      <c r="P820" s="69">
        <f>IFERROR(Supplier_Perf_Table[[#This Row],[Unit_Cost]]*Supplier_Perf_Table[[#This Row],[Dollar Equivalent]],"")</f>
        <v>0.2486891</v>
      </c>
      <c r="Q820" s="75" t="s">
        <v>3080</v>
      </c>
      <c r="R820" s="1">
        <v>51100.5</v>
      </c>
      <c r="S820" s="75">
        <v>51100.5</v>
      </c>
      <c r="T820" s="75">
        <f>IFERROR(Supplier_Perf_Table[[#This Row],[Dollar Equivalent]]*Supplier_Perf_Table[[#This Row],[Ordered_Value]],"")</f>
        <v>37.303364999999999</v>
      </c>
      <c r="U820" s="75">
        <v>6</v>
      </c>
      <c r="V820" s="7">
        <v>0.04</v>
      </c>
      <c r="W820" s="75" t="s">
        <v>3080</v>
      </c>
      <c r="X820" s="55">
        <f>IFERROR(Supplier_Perf_Table[[#This Row],[Actual_Delivery_Date]]-Supplier_Perf_Table[[#This Row],[Order Date]],"")</f>
        <v>0</v>
      </c>
      <c r="Y820" s="75" t="s">
        <v>3080</v>
      </c>
      <c r="Z820" s="56">
        <f>IFERROR(Supplier_Perf_Table[[#This Row],[Expected Delivery_Date]]-Supplier_Perf_Table[[#This Row],[Order Date]],"")</f>
        <v>9</v>
      </c>
      <c r="AA820" s="56">
        <f>Supplier_Perf_Table[[#This Row],[Calculated_Lead_Time2]]-Supplier_Perf_Table[[#This Row],[Calculated_Expected_Lead_Time]]</f>
        <v>-9</v>
      </c>
      <c r="AB820" s="75">
        <v>-9</v>
      </c>
      <c r="AC820" s="63" t="s">
        <v>87</v>
      </c>
      <c r="AD820" s="63" t="s">
        <v>40</v>
      </c>
      <c r="AE820" s="63" t="s">
        <v>105</v>
      </c>
      <c r="AF820" s="63" t="s">
        <v>190</v>
      </c>
      <c r="AG820" s="63" t="s">
        <v>128</v>
      </c>
      <c r="AH820" s="63" t="s">
        <v>136</v>
      </c>
      <c r="AI820" s="63" t="s">
        <v>137</v>
      </c>
      <c r="AJ820" s="63" t="s">
        <v>138</v>
      </c>
      <c r="AK820" s="83">
        <v>3.5</v>
      </c>
      <c r="AL820" s="63" t="s">
        <v>76</v>
      </c>
      <c r="AM820" s="63" t="s">
        <v>138</v>
      </c>
      <c r="AN820"/>
    </row>
    <row r="821" spans="1:40" ht="18" customHeight="1">
      <c r="A821" s="1" t="s">
        <v>2565</v>
      </c>
      <c r="B821" s="1" t="s">
        <v>2566</v>
      </c>
      <c r="C821" s="4">
        <v>46042</v>
      </c>
      <c r="D821" s="4">
        <v>46060</v>
      </c>
      <c r="E821" s="4">
        <v>46056</v>
      </c>
      <c r="F821" s="63" t="s">
        <v>32</v>
      </c>
      <c r="G821" s="63" t="s">
        <v>3835</v>
      </c>
      <c r="H821" s="63" t="s">
        <v>177</v>
      </c>
      <c r="I821" s="63" t="s">
        <v>241</v>
      </c>
      <c r="J821" s="63" t="s">
        <v>35</v>
      </c>
      <c r="K821" s="63" t="s">
        <v>2567</v>
      </c>
      <c r="L821" s="63" t="s">
        <v>85</v>
      </c>
      <c r="M821" s="69">
        <v>1481.95</v>
      </c>
      <c r="N821" s="63" t="s">
        <v>86</v>
      </c>
      <c r="O821" s="73">
        <f>_xlfn.XLOOKUP(Supplier_Perf_Table[[#This Row],[Currency]],'Comments 2'!$C$4:$C$16,'Comments 2'!$D$4:$D$16)</f>
        <v>8.8999999999999996E-2</v>
      </c>
      <c r="P821" s="69">
        <f>IFERROR(Supplier_Perf_Table[[#This Row],[Unit_Cost]]*Supplier_Perf_Table[[#This Row],[Dollar Equivalent]],"")</f>
        <v>131.89355</v>
      </c>
      <c r="Q821" s="75">
        <v>150</v>
      </c>
      <c r="R821" s="1">
        <v>222292.5</v>
      </c>
      <c r="S821" s="75">
        <f>Supplier_Perf_Table[[#This Row],[Unit_Cost]]*Supplier_Perf_Table[[#This Row],[Order_Quantity]]</f>
        <v>222292.5</v>
      </c>
      <c r="T821" s="75">
        <f>IFERROR(Supplier_Perf_Table[[#This Row],[Dollar Equivalent]]*Supplier_Perf_Table[[#This Row],[Ordered_Value]],"")</f>
        <v>19784.032499999998</v>
      </c>
      <c r="U821" s="75">
        <v>0</v>
      </c>
      <c r="V821" s="7">
        <v>0</v>
      </c>
      <c r="W821" s="75">
        <v>14</v>
      </c>
      <c r="X821" s="55">
        <f>IFERROR(Supplier_Perf_Table[[#This Row],[Actual_Delivery_Date]]-Supplier_Perf_Table[[#This Row],[Order Date]],"")</f>
        <v>14</v>
      </c>
      <c r="Y821" s="75">
        <v>18</v>
      </c>
      <c r="Z821" s="56">
        <f>IFERROR(Supplier_Perf_Table[[#This Row],[Expected Delivery_Date]]-Supplier_Perf_Table[[#This Row],[Order Date]],"")</f>
        <v>18</v>
      </c>
      <c r="AA821" s="56">
        <f>Supplier_Perf_Table[[#This Row],[Calculated_Lead_Time2]]-Supplier_Perf_Table[[#This Row],[Calculated_Expected_Lead_Time]]</f>
        <v>-4</v>
      </c>
      <c r="AB821" s="75">
        <v>-4</v>
      </c>
      <c r="AC821" s="63" t="s">
        <v>87</v>
      </c>
      <c r="AD821" s="63" t="s">
        <v>40</v>
      </c>
      <c r="AE821" s="63" t="s">
        <v>41</v>
      </c>
      <c r="AF821" s="63" t="s">
        <v>106</v>
      </c>
      <c r="AG821" s="63" t="s">
        <v>173</v>
      </c>
      <c r="AH821" s="63" t="s">
        <v>136</v>
      </c>
      <c r="AI821" s="63" t="s">
        <v>137</v>
      </c>
      <c r="AJ821" s="63" t="s">
        <v>138</v>
      </c>
      <c r="AK821" s="83">
        <v>3.8</v>
      </c>
      <c r="AL821" s="63" t="s">
        <v>108</v>
      </c>
      <c r="AM821" s="63" t="s">
        <v>138</v>
      </c>
      <c r="AN821"/>
    </row>
    <row r="822" spans="1:40" ht="18" customHeight="1">
      <c r="A822" s="1" t="s">
        <v>2568</v>
      </c>
      <c r="B822" s="1" t="s">
        <v>2569</v>
      </c>
      <c r="C822" s="4">
        <v>46056</v>
      </c>
      <c r="D822" s="4">
        <v>46070</v>
      </c>
      <c r="E822" s="4">
        <v>46077</v>
      </c>
      <c r="F822" s="63" t="s">
        <v>256</v>
      </c>
      <c r="G822" s="63" t="s">
        <v>3849</v>
      </c>
      <c r="H822" s="63" t="s">
        <v>258</v>
      </c>
      <c r="I822" s="63" t="s">
        <v>178</v>
      </c>
      <c r="J822" s="63" t="s">
        <v>153</v>
      </c>
      <c r="K822" s="63" t="s">
        <v>2570</v>
      </c>
      <c r="L822" s="63" t="s">
        <v>204</v>
      </c>
      <c r="M822" s="69">
        <v>486.77</v>
      </c>
      <c r="N822" s="63" t="s">
        <v>3074</v>
      </c>
      <c r="O822" s="73">
        <f>_xlfn.XLOOKUP(Supplier_Perf_Table[[#This Row],[Currency]],'Comments 2'!$C$4:$C$16,'Comments 2'!$D$4:$D$16)</f>
        <v>1.8E-3</v>
      </c>
      <c r="P822" s="69">
        <f>IFERROR(Supplier_Perf_Table[[#This Row],[Unit_Cost]]*Supplier_Perf_Table[[#This Row],[Dollar Equivalent]],"")</f>
        <v>0.87618599999999991</v>
      </c>
      <c r="Q822" s="75">
        <v>75</v>
      </c>
      <c r="R822" s="1">
        <v>36507.75</v>
      </c>
      <c r="S822" s="75">
        <f>Supplier_Perf_Table[[#This Row],[Unit_Cost]]*Supplier_Perf_Table[[#This Row],[Order_Quantity]]</f>
        <v>36507.75</v>
      </c>
      <c r="T822" s="75">
        <f>IFERROR(Supplier_Perf_Table[[#This Row],[Dollar Equivalent]]*Supplier_Perf_Table[[#This Row],[Ordered_Value]],"")</f>
        <v>65.713949999999997</v>
      </c>
      <c r="U822" s="75">
        <v>9</v>
      </c>
      <c r="V822" s="7">
        <v>0.12</v>
      </c>
      <c r="W822" s="75">
        <v>21</v>
      </c>
      <c r="X822" s="55">
        <f>IFERROR(Supplier_Perf_Table[[#This Row],[Actual_Delivery_Date]]-Supplier_Perf_Table[[#This Row],[Order Date]],"")</f>
        <v>21</v>
      </c>
      <c r="Y822" s="75">
        <v>14</v>
      </c>
      <c r="Z822" s="56">
        <f>IFERROR(Supplier_Perf_Table[[#This Row],[Expected Delivery_Date]]-Supplier_Perf_Table[[#This Row],[Order Date]],"")</f>
        <v>14</v>
      </c>
      <c r="AA822" s="56">
        <f>Supplier_Perf_Table[[#This Row],[Calculated_Lead_Time2]]-Supplier_Perf_Table[[#This Row],[Calculated_Expected_Lead_Time]]</f>
        <v>7</v>
      </c>
      <c r="AB822" s="75">
        <v>7</v>
      </c>
      <c r="AC822" s="63" t="s">
        <v>39</v>
      </c>
      <c r="AD822" s="63" t="s">
        <v>74</v>
      </c>
      <c r="AE822" s="63" t="s">
        <v>146</v>
      </c>
      <c r="AF822" s="63" t="s">
        <v>106</v>
      </c>
      <c r="AG822" s="63" t="s">
        <v>173</v>
      </c>
      <c r="AH822" s="63" t="s">
        <v>3112</v>
      </c>
      <c r="AI822" s="63" t="s">
        <v>191</v>
      </c>
      <c r="AJ822" s="63" t="s">
        <v>373</v>
      </c>
      <c r="AK822" s="83">
        <v>1.8</v>
      </c>
      <c r="AL822" s="63" t="s">
        <v>184</v>
      </c>
      <c r="AM822" s="63" t="s">
        <v>185</v>
      </c>
      <c r="AN822"/>
    </row>
    <row r="823" spans="1:40" ht="18" customHeight="1">
      <c r="A823" s="1" t="s">
        <v>2571</v>
      </c>
      <c r="B823" s="1" t="s">
        <v>2572</v>
      </c>
      <c r="C823" s="4">
        <v>46190</v>
      </c>
      <c r="D823" s="4">
        <v>46207</v>
      </c>
      <c r="E823" s="4">
        <v>46208</v>
      </c>
      <c r="F823" s="63" t="s">
        <v>90</v>
      </c>
      <c r="G823" s="63" t="s">
        <v>3840</v>
      </c>
      <c r="H823" s="63" t="s">
        <v>133</v>
      </c>
      <c r="I823" s="63" t="s">
        <v>83</v>
      </c>
      <c r="J823" s="63" t="s">
        <v>71</v>
      </c>
      <c r="K823" s="63" t="s">
        <v>2573</v>
      </c>
      <c r="L823" s="63" t="s">
        <v>238</v>
      </c>
      <c r="M823" s="69">
        <v>572.97</v>
      </c>
      <c r="N823" s="63" t="s">
        <v>86</v>
      </c>
      <c r="O823" s="73">
        <f>_xlfn.XLOOKUP(Supplier_Perf_Table[[#This Row],[Currency]],'Comments 2'!$C$4:$C$16,'Comments 2'!$D$4:$D$16)</f>
        <v>8.8999999999999996E-2</v>
      </c>
      <c r="P823" s="69">
        <f>IFERROR(Supplier_Perf_Table[[#This Row],[Unit_Cost]]*Supplier_Perf_Table[[#This Row],[Dollar Equivalent]],"")</f>
        <v>50.994329999999998</v>
      </c>
      <c r="Q823" s="75">
        <v>500</v>
      </c>
      <c r="R823" s="1">
        <v>286485</v>
      </c>
      <c r="S823" s="75">
        <f>Supplier_Perf_Table[[#This Row],[Unit_Cost]]*Supplier_Perf_Table[[#This Row],[Order_Quantity]]</f>
        <v>286485</v>
      </c>
      <c r="T823" s="75">
        <f>IFERROR(Supplier_Perf_Table[[#This Row],[Dollar Equivalent]]*Supplier_Perf_Table[[#This Row],[Ordered_Value]],"")</f>
        <v>25497.164999999997</v>
      </c>
      <c r="U823" s="75">
        <v>26</v>
      </c>
      <c r="V823" s="7">
        <v>5.1999999999999998E-2</v>
      </c>
      <c r="W823" s="75">
        <v>18</v>
      </c>
      <c r="X823" s="55">
        <f>IFERROR(Supplier_Perf_Table[[#This Row],[Actual_Delivery_Date]]-Supplier_Perf_Table[[#This Row],[Order Date]],"")</f>
        <v>18</v>
      </c>
      <c r="Y823" s="75">
        <v>17</v>
      </c>
      <c r="Z823" s="56">
        <f>IFERROR(Supplier_Perf_Table[[#This Row],[Expected Delivery_Date]]-Supplier_Perf_Table[[#This Row],[Order Date]],"")</f>
        <v>17</v>
      </c>
      <c r="AA823" s="56">
        <f>Supplier_Perf_Table[[#This Row],[Calculated_Lead_Time2]]-Supplier_Perf_Table[[#This Row],[Calculated_Expected_Lead_Time]]</f>
        <v>1</v>
      </c>
      <c r="AB823" s="75">
        <v>1</v>
      </c>
      <c r="AC823" s="63" t="s">
        <v>135</v>
      </c>
      <c r="AD823" s="63" t="s">
        <v>74</v>
      </c>
      <c r="AE823" s="63" t="s">
        <v>41</v>
      </c>
      <c r="AF823" s="63" t="s">
        <v>190</v>
      </c>
      <c r="AG823" s="63" t="s">
        <v>3088</v>
      </c>
      <c r="AH823" s="63" t="s">
        <v>88</v>
      </c>
      <c r="AI823" s="63" t="s">
        <v>137</v>
      </c>
      <c r="AJ823" s="63" t="s">
        <v>373</v>
      </c>
      <c r="AK823" s="83">
        <v>2.7</v>
      </c>
      <c r="AL823" s="63" t="s">
        <v>108</v>
      </c>
      <c r="AM823" s="63" t="s">
        <v>77</v>
      </c>
      <c r="AN823"/>
    </row>
    <row r="824" spans="1:40" ht="18" customHeight="1">
      <c r="A824" s="1" t="s">
        <v>2574</v>
      </c>
      <c r="B824" s="1" t="s">
        <v>2575</v>
      </c>
      <c r="C824" s="4">
        <v>46152</v>
      </c>
      <c r="D824" s="4">
        <v>46166</v>
      </c>
      <c r="E824" s="4">
        <v>46166</v>
      </c>
      <c r="F824" s="63" t="s">
        <v>69</v>
      </c>
      <c r="G824" s="63" t="s">
        <v>3838</v>
      </c>
      <c r="H824" s="63" t="s">
        <v>194</v>
      </c>
      <c r="I824" s="63" t="s">
        <v>92</v>
      </c>
      <c r="J824" s="63" t="s">
        <v>62</v>
      </c>
      <c r="K824" s="63" t="s">
        <v>2576</v>
      </c>
      <c r="L824" s="63" t="s">
        <v>225</v>
      </c>
      <c r="M824" s="69">
        <v>309.91000000000003</v>
      </c>
      <c r="N824" s="63" t="s">
        <v>65</v>
      </c>
      <c r="O824" s="73">
        <f>_xlfn.XLOOKUP(Supplier_Perf_Table[[#This Row],[Currency]],'Comments 2'!$C$4:$C$16,'Comments 2'!$D$4:$D$16)</f>
        <v>1</v>
      </c>
      <c r="P824" s="69">
        <f>IFERROR(Supplier_Perf_Table[[#This Row],[Unit_Cost]]*Supplier_Perf_Table[[#This Row],[Dollar Equivalent]],"")</f>
        <v>309.91000000000003</v>
      </c>
      <c r="Q824" s="75">
        <v>200</v>
      </c>
      <c r="R824" s="1">
        <v>61982</v>
      </c>
      <c r="S824" s="75">
        <f>Supplier_Perf_Table[[#This Row],[Unit_Cost]]*Supplier_Perf_Table[[#This Row],[Order_Quantity]]</f>
        <v>61982.000000000007</v>
      </c>
      <c r="T824" s="75">
        <f>IFERROR(Supplier_Perf_Table[[#This Row],[Dollar Equivalent]]*Supplier_Perf_Table[[#This Row],[Ordered_Value]],"")</f>
        <v>61982</v>
      </c>
      <c r="U824" s="75">
        <v>10</v>
      </c>
      <c r="V824" s="7">
        <v>0.05</v>
      </c>
      <c r="W824" s="75">
        <v>14</v>
      </c>
      <c r="X824" s="55">
        <f>IFERROR(Supplier_Perf_Table[[#This Row],[Actual_Delivery_Date]]-Supplier_Perf_Table[[#This Row],[Order Date]],"")</f>
        <v>14</v>
      </c>
      <c r="Y824" s="75">
        <v>14</v>
      </c>
      <c r="Z824" s="56">
        <f>IFERROR(Supplier_Perf_Table[[#This Row],[Expected Delivery_Date]]-Supplier_Perf_Table[[#This Row],[Order Date]],"")</f>
        <v>14</v>
      </c>
      <c r="AA824" s="56">
        <f>Supplier_Perf_Table[[#This Row],[Calculated_Lead_Time2]]-Supplier_Perf_Table[[#This Row],[Calculated_Expected_Lead_Time]]</f>
        <v>0</v>
      </c>
      <c r="AB824" s="75">
        <v>0</v>
      </c>
      <c r="AC824" s="63" t="s">
        <v>87</v>
      </c>
      <c r="AD824" s="63" t="s">
        <v>74</v>
      </c>
      <c r="AE824" s="63" t="s">
        <v>105</v>
      </c>
      <c r="AF824" s="63" t="s">
        <v>106</v>
      </c>
      <c r="AG824" s="63" t="s">
        <v>173</v>
      </c>
      <c r="AH824" s="63" t="s">
        <v>3112</v>
      </c>
      <c r="AI824" s="63" t="s">
        <v>147</v>
      </c>
      <c r="AJ824" s="63" t="s">
        <v>96</v>
      </c>
      <c r="AK824" s="83">
        <v>1.8</v>
      </c>
      <c r="AL824" s="63" t="s">
        <v>45</v>
      </c>
      <c r="AM824" s="63" t="s">
        <v>97</v>
      </c>
      <c r="AN824"/>
    </row>
    <row r="825" spans="1:40" ht="18" customHeight="1">
      <c r="A825" s="1" t="s">
        <v>2577</v>
      </c>
      <c r="B825" s="1" t="s">
        <v>2578</v>
      </c>
      <c r="C825" s="4">
        <v>46143</v>
      </c>
      <c r="D825" s="4">
        <v>46164</v>
      </c>
      <c r="E825" s="4">
        <v>46173</v>
      </c>
      <c r="F825" s="63" t="s">
        <v>32</v>
      </c>
      <c r="G825" s="63" t="s">
        <v>3835</v>
      </c>
      <c r="H825" s="63" t="s">
        <v>177</v>
      </c>
      <c r="I825" s="63" t="s">
        <v>70</v>
      </c>
      <c r="J825" s="63" t="s">
        <v>35</v>
      </c>
      <c r="K825" s="63" t="s">
        <v>2579</v>
      </c>
      <c r="L825" s="63" t="s">
        <v>37</v>
      </c>
      <c r="M825" s="69">
        <v>553.61</v>
      </c>
      <c r="N825" s="63" t="s">
        <v>86</v>
      </c>
      <c r="O825" s="73">
        <f>_xlfn.XLOOKUP(Supplier_Perf_Table[[#This Row],[Currency]],'Comments 2'!$C$4:$C$16,'Comments 2'!$D$4:$D$16)</f>
        <v>8.8999999999999996E-2</v>
      </c>
      <c r="P825" s="69">
        <f>IFERROR(Supplier_Perf_Table[[#This Row],[Unit_Cost]]*Supplier_Perf_Table[[#This Row],[Dollar Equivalent]],"")</f>
        <v>49.27129</v>
      </c>
      <c r="Q825" s="75">
        <v>1000</v>
      </c>
      <c r="R825" s="1">
        <v>553610</v>
      </c>
      <c r="S825" s="75">
        <f>Supplier_Perf_Table[[#This Row],[Unit_Cost]]*Supplier_Perf_Table[[#This Row],[Order_Quantity]]</f>
        <v>553610</v>
      </c>
      <c r="T825" s="75">
        <f>IFERROR(Supplier_Perf_Table[[#This Row],[Dollar Equivalent]]*Supplier_Perf_Table[[#This Row],[Ordered_Value]],"")</f>
        <v>49271.29</v>
      </c>
      <c r="U825" s="75">
        <v>77</v>
      </c>
      <c r="V825" s="7">
        <v>7.6999999999999999E-2</v>
      </c>
      <c r="W825" s="75">
        <v>30</v>
      </c>
      <c r="X825" s="55">
        <f>IFERROR(Supplier_Perf_Table[[#This Row],[Actual_Delivery_Date]]-Supplier_Perf_Table[[#This Row],[Order Date]],"")</f>
        <v>30</v>
      </c>
      <c r="Y825" s="75">
        <v>21</v>
      </c>
      <c r="Z825" s="56">
        <f>IFERROR(Supplier_Perf_Table[[#This Row],[Expected Delivery_Date]]-Supplier_Perf_Table[[#This Row],[Order Date]],"")</f>
        <v>21</v>
      </c>
      <c r="AA825" s="56">
        <f>Supplier_Perf_Table[[#This Row],[Calculated_Lead_Time2]]-Supplier_Perf_Table[[#This Row],[Calculated_Expected_Lead_Time]]</f>
        <v>9</v>
      </c>
      <c r="AB825" s="75">
        <v>9</v>
      </c>
      <c r="AC825" s="63" t="s">
        <v>205</v>
      </c>
      <c r="AD825" s="63" t="s">
        <v>74</v>
      </c>
      <c r="AE825" s="63" t="s">
        <v>105</v>
      </c>
      <c r="AF825" s="63" t="s">
        <v>190</v>
      </c>
      <c r="AG825" s="63" t="s">
        <v>107</v>
      </c>
      <c r="AH825" s="63" t="s">
        <v>129</v>
      </c>
      <c r="AI825" s="63" t="s">
        <v>95</v>
      </c>
      <c r="AJ825" s="63" t="s">
        <v>96</v>
      </c>
      <c r="AK825" s="83">
        <v>1.1000000000000001</v>
      </c>
      <c r="AL825" s="63" t="s">
        <v>115</v>
      </c>
      <c r="AM825" s="63" t="s">
        <v>77</v>
      </c>
      <c r="AN825"/>
    </row>
    <row r="826" spans="1:40" ht="18" customHeight="1">
      <c r="A826" s="1" t="s">
        <v>2580</v>
      </c>
      <c r="B826" s="1" t="s">
        <v>2581</v>
      </c>
      <c r="C826" s="4">
        <v>46090</v>
      </c>
      <c r="D826" s="4">
        <v>46105</v>
      </c>
      <c r="E826" s="4">
        <v>46102</v>
      </c>
      <c r="F826" s="63" t="s">
        <v>90</v>
      </c>
      <c r="G826" s="63" t="s">
        <v>3840</v>
      </c>
      <c r="H826" s="63" t="s">
        <v>133</v>
      </c>
      <c r="I826" s="63" t="s">
        <v>178</v>
      </c>
      <c r="J826" s="63" t="s">
        <v>71</v>
      </c>
      <c r="K826" s="63" t="s">
        <v>2582</v>
      </c>
      <c r="L826" s="63" t="s">
        <v>553</v>
      </c>
      <c r="M826" s="69">
        <v>837.59</v>
      </c>
      <c r="N826" s="63" t="s">
        <v>65</v>
      </c>
      <c r="O826" s="73">
        <f>_xlfn.XLOOKUP(Supplier_Perf_Table[[#This Row],[Currency]],'Comments 2'!$C$4:$C$16,'Comments 2'!$D$4:$D$16)</f>
        <v>1</v>
      </c>
      <c r="P826" s="69">
        <f>IFERROR(Supplier_Perf_Table[[#This Row],[Unit_Cost]]*Supplier_Perf_Table[[#This Row],[Dollar Equivalent]],"")</f>
        <v>837.59</v>
      </c>
      <c r="Q826" s="75">
        <v>300</v>
      </c>
      <c r="R826" s="1">
        <v>251277</v>
      </c>
      <c r="S826" s="75">
        <f>Supplier_Perf_Table[[#This Row],[Unit_Cost]]*Supplier_Perf_Table[[#This Row],[Order_Quantity]]</f>
        <v>251277</v>
      </c>
      <c r="T826" s="75">
        <f>IFERROR(Supplier_Perf_Table[[#This Row],[Dollar Equivalent]]*Supplier_Perf_Table[[#This Row],[Ordered_Value]],"")</f>
        <v>251277</v>
      </c>
      <c r="U826" s="75">
        <v>19</v>
      </c>
      <c r="V826" s="7">
        <v>6.3299999999999995E-2</v>
      </c>
      <c r="W826" s="75">
        <v>12</v>
      </c>
      <c r="X826" s="55">
        <f>IFERROR(Supplier_Perf_Table[[#This Row],[Actual_Delivery_Date]]-Supplier_Perf_Table[[#This Row],[Order Date]],"")</f>
        <v>12</v>
      </c>
      <c r="Y826" s="75">
        <v>15</v>
      </c>
      <c r="Z826" s="56">
        <f>IFERROR(Supplier_Perf_Table[[#This Row],[Expected Delivery_Date]]-Supplier_Perf_Table[[#This Row],[Order Date]],"")</f>
        <v>15</v>
      </c>
      <c r="AA826" s="56">
        <f>Supplier_Perf_Table[[#This Row],[Calculated_Lead_Time2]]-Supplier_Perf_Table[[#This Row],[Calculated_Expected_Lead_Time]]</f>
        <v>-3</v>
      </c>
      <c r="AB826" s="75">
        <v>-3</v>
      </c>
      <c r="AC826" s="63" t="s">
        <v>87</v>
      </c>
      <c r="AD826" s="63" t="s">
        <v>74</v>
      </c>
      <c r="AE826" s="63" t="s">
        <v>146</v>
      </c>
      <c r="AF826" s="63" t="s">
        <v>66</v>
      </c>
      <c r="AG826" s="63" t="s">
        <v>107</v>
      </c>
      <c r="AH826" s="63" t="s">
        <v>88</v>
      </c>
      <c r="AI826" s="63" t="s">
        <v>191</v>
      </c>
      <c r="AJ826" s="63" t="s">
        <v>183</v>
      </c>
      <c r="AK826" s="83">
        <v>2</v>
      </c>
      <c r="AL826" s="63" t="s">
        <v>108</v>
      </c>
      <c r="AM826" s="63" t="s">
        <v>284</v>
      </c>
      <c r="AN826"/>
    </row>
    <row r="827" spans="1:40" ht="18" customHeight="1">
      <c r="A827" s="1" t="s">
        <v>2583</v>
      </c>
      <c r="B827" s="1" t="s">
        <v>2584</v>
      </c>
      <c r="C827" s="4">
        <v>46191</v>
      </c>
      <c r="D827" s="4">
        <v>46206</v>
      </c>
      <c r="E827" s="4">
        <v>46214</v>
      </c>
      <c r="F827" s="63" t="s">
        <v>90</v>
      </c>
      <c r="G827" s="63" t="s">
        <v>3840</v>
      </c>
      <c r="H827" s="63" t="s">
        <v>133</v>
      </c>
      <c r="I827" s="63" t="s">
        <v>49</v>
      </c>
      <c r="J827" s="63" t="s">
        <v>153</v>
      </c>
      <c r="K827" s="63" t="s">
        <v>2585</v>
      </c>
      <c r="L827" s="63" t="s">
        <v>318</v>
      </c>
      <c r="M827" s="69">
        <v>22.76</v>
      </c>
      <c r="N827" s="63" t="s">
        <v>53</v>
      </c>
      <c r="O827" s="73">
        <f>_xlfn.XLOOKUP(Supplier_Perf_Table[[#This Row],[Currency]],'Comments 2'!$C$4:$C$16,'Comments 2'!$D$4:$D$16)</f>
        <v>6.0999999999999999E-2</v>
      </c>
      <c r="P827" s="69">
        <f>IFERROR(Supplier_Perf_Table[[#This Row],[Unit_Cost]]*Supplier_Perf_Table[[#This Row],[Dollar Equivalent]],"")</f>
        <v>1.38836</v>
      </c>
      <c r="Q827" s="75">
        <v>200</v>
      </c>
      <c r="R827" s="1">
        <v>4552</v>
      </c>
      <c r="S827" s="75">
        <f>Supplier_Perf_Table[[#This Row],[Unit_Cost]]*Supplier_Perf_Table[[#This Row],[Order_Quantity]]</f>
        <v>4552</v>
      </c>
      <c r="T827" s="75">
        <f>IFERROR(Supplier_Perf_Table[[#This Row],[Dollar Equivalent]]*Supplier_Perf_Table[[#This Row],[Ordered_Value]],"")</f>
        <v>277.67199999999997</v>
      </c>
      <c r="U827" s="75">
        <v>0</v>
      </c>
      <c r="V827" s="7">
        <v>0</v>
      </c>
      <c r="W827" s="75" t="s">
        <v>3080</v>
      </c>
      <c r="X827" s="55">
        <f>IFERROR(Supplier_Perf_Table[[#This Row],[Actual_Delivery_Date]]-Supplier_Perf_Table[[#This Row],[Order Date]],"")</f>
        <v>23</v>
      </c>
      <c r="Y827" s="75">
        <v>15</v>
      </c>
      <c r="Z827" s="56">
        <f>IFERROR(Supplier_Perf_Table[[#This Row],[Expected Delivery_Date]]-Supplier_Perf_Table[[#This Row],[Order Date]],"")</f>
        <v>15</v>
      </c>
      <c r="AA827" s="56">
        <f>Supplier_Perf_Table[[#This Row],[Calculated_Lead_Time2]]-Supplier_Perf_Table[[#This Row],[Calculated_Expected_Lead_Time]]</f>
        <v>8</v>
      </c>
      <c r="AB827" s="75">
        <v>8</v>
      </c>
      <c r="AC827" s="63" t="s">
        <v>205</v>
      </c>
      <c r="AD827" s="63" t="s">
        <v>40</v>
      </c>
      <c r="AE827" s="63" t="s">
        <v>146</v>
      </c>
      <c r="AF827" s="63" t="s">
        <v>190</v>
      </c>
      <c r="AG827" s="63" t="s">
        <v>3088</v>
      </c>
      <c r="AH827" s="63" t="s">
        <v>55</v>
      </c>
      <c r="AI827" s="63" t="s">
        <v>138</v>
      </c>
      <c r="AJ827" s="63" t="s">
        <v>138</v>
      </c>
      <c r="AK827" s="83">
        <v>1.9</v>
      </c>
      <c r="AL827" s="63" t="s">
        <v>57</v>
      </c>
      <c r="AM827" s="63" t="s">
        <v>148</v>
      </c>
      <c r="AN827"/>
    </row>
    <row r="828" spans="1:40" ht="18" customHeight="1">
      <c r="A828" s="1" t="s">
        <v>2586</v>
      </c>
      <c r="B828" s="1" t="s">
        <v>2587</v>
      </c>
      <c r="C828" s="4">
        <v>46163</v>
      </c>
      <c r="D828" s="4">
        <v>46183</v>
      </c>
      <c r="E828" s="4">
        <v>46185</v>
      </c>
      <c r="F828" s="63" t="s">
        <v>118</v>
      </c>
      <c r="G828" s="63" t="s">
        <v>3842</v>
      </c>
      <c r="H828" s="63" t="s">
        <v>301</v>
      </c>
      <c r="I828" s="63" t="s">
        <v>241</v>
      </c>
      <c r="J828" s="63" t="s">
        <v>62</v>
      </c>
      <c r="K828" s="63" t="s">
        <v>2588</v>
      </c>
      <c r="L828" s="63" t="s">
        <v>225</v>
      </c>
      <c r="M828" s="69">
        <v>576.57000000000005</v>
      </c>
      <c r="N828" s="63" t="s">
        <v>53</v>
      </c>
      <c r="O828" s="73">
        <f>_xlfn.XLOOKUP(Supplier_Perf_Table[[#This Row],[Currency]],'Comments 2'!$C$4:$C$16,'Comments 2'!$D$4:$D$16)</f>
        <v>6.0999999999999999E-2</v>
      </c>
      <c r="P828" s="69">
        <f>IFERROR(Supplier_Perf_Table[[#This Row],[Unit_Cost]]*Supplier_Perf_Table[[#This Row],[Dollar Equivalent]],"")</f>
        <v>35.170770000000005</v>
      </c>
      <c r="Q828" s="75">
        <v>1500</v>
      </c>
      <c r="R828" s="1">
        <v>0</v>
      </c>
      <c r="S828" s="75">
        <f>Supplier_Perf_Table[[#This Row],[Unit_Cost]]*Supplier_Perf_Table[[#This Row],[Order_Quantity]]</f>
        <v>864855.00000000012</v>
      </c>
      <c r="T828" s="75">
        <f>IFERROR(Supplier_Perf_Table[[#This Row],[Dollar Equivalent]]*Supplier_Perf_Table[[#This Row],[Ordered_Value]],"")</f>
        <v>0</v>
      </c>
      <c r="U828" s="75">
        <v>31</v>
      </c>
      <c r="V828" s="7">
        <v>2.07E-2</v>
      </c>
      <c r="W828" s="75">
        <v>22</v>
      </c>
      <c r="X828" s="55">
        <f>IFERROR(Supplier_Perf_Table[[#This Row],[Actual_Delivery_Date]]-Supplier_Perf_Table[[#This Row],[Order Date]],"")</f>
        <v>22</v>
      </c>
      <c r="Y828" s="75">
        <v>20</v>
      </c>
      <c r="Z828" s="56">
        <f>IFERROR(Supplier_Perf_Table[[#This Row],[Expected Delivery_Date]]-Supplier_Perf_Table[[#This Row],[Order Date]],"")</f>
        <v>20</v>
      </c>
      <c r="AA828" s="56">
        <f>Supplier_Perf_Table[[#This Row],[Calculated_Lead_Time2]]-Supplier_Perf_Table[[#This Row],[Calculated_Expected_Lead_Time]]</f>
        <v>2</v>
      </c>
      <c r="AB828" s="75">
        <v>2</v>
      </c>
      <c r="AC828" s="63" t="s">
        <v>135</v>
      </c>
      <c r="AD828" s="63" t="s">
        <v>40</v>
      </c>
      <c r="AE828" s="63" t="s">
        <v>105</v>
      </c>
      <c r="AF828" s="63" t="s">
        <v>106</v>
      </c>
      <c r="AG828" s="63" t="s">
        <v>173</v>
      </c>
      <c r="AH828" s="63" t="s">
        <v>206</v>
      </c>
      <c r="AI828" s="63" t="s">
        <v>137</v>
      </c>
      <c r="AJ828" s="63" t="s">
        <v>138</v>
      </c>
      <c r="AK828" s="83">
        <v>4.2</v>
      </c>
      <c r="AL828" s="63" t="s">
        <v>115</v>
      </c>
      <c r="AM828" s="63" t="s">
        <v>46</v>
      </c>
      <c r="AN828"/>
    </row>
    <row r="829" spans="1:40" ht="18" customHeight="1">
      <c r="A829" s="1" t="s">
        <v>2589</v>
      </c>
      <c r="B829" s="1" t="s">
        <v>2590</v>
      </c>
      <c r="C829" s="4">
        <v>46161</v>
      </c>
      <c r="D829" s="4">
        <v>46181</v>
      </c>
      <c r="E829" s="4">
        <v>46186</v>
      </c>
      <c r="F829" s="63" t="s">
        <v>118</v>
      </c>
      <c r="G829" s="63" t="s">
        <v>3842</v>
      </c>
      <c r="H829" s="63" t="s">
        <v>301</v>
      </c>
      <c r="I829" s="63" t="s">
        <v>70</v>
      </c>
      <c r="J829" s="63" t="s">
        <v>62</v>
      </c>
      <c r="K829" s="63" t="s">
        <v>2591</v>
      </c>
      <c r="L829" s="63" t="s">
        <v>94</v>
      </c>
      <c r="M829" s="69">
        <v>512.17999999999995</v>
      </c>
      <c r="N829" s="63" t="s">
        <v>65</v>
      </c>
      <c r="O829" s="73">
        <f>_xlfn.XLOOKUP(Supplier_Perf_Table[[#This Row],[Currency]],'Comments 2'!$C$4:$C$16,'Comments 2'!$D$4:$D$16)</f>
        <v>1</v>
      </c>
      <c r="P829" s="69">
        <f>IFERROR(Supplier_Perf_Table[[#This Row],[Unit_Cost]]*Supplier_Perf_Table[[#This Row],[Dollar Equivalent]],"")</f>
        <v>512.17999999999995</v>
      </c>
      <c r="Q829" s="75">
        <v>200</v>
      </c>
      <c r="R829" s="1">
        <v>102436</v>
      </c>
      <c r="S829" s="75">
        <f>Supplier_Perf_Table[[#This Row],[Unit_Cost]]*Supplier_Perf_Table[[#This Row],[Order_Quantity]]</f>
        <v>102435.99999999999</v>
      </c>
      <c r="T829" s="75">
        <f>IFERROR(Supplier_Perf_Table[[#This Row],[Dollar Equivalent]]*Supplier_Perf_Table[[#This Row],[Ordered_Value]],"")</f>
        <v>102436</v>
      </c>
      <c r="U829" s="75">
        <v>0</v>
      </c>
      <c r="V829" s="7">
        <v>0</v>
      </c>
      <c r="W829" s="75">
        <v>25</v>
      </c>
      <c r="X829" s="55">
        <f>IFERROR(Supplier_Perf_Table[[#This Row],[Actual_Delivery_Date]]-Supplier_Perf_Table[[#This Row],[Order Date]],"")</f>
        <v>25</v>
      </c>
      <c r="Y829" s="75">
        <v>20</v>
      </c>
      <c r="Z829" s="56">
        <f>IFERROR(Supplier_Perf_Table[[#This Row],[Expected Delivery_Date]]-Supplier_Perf_Table[[#This Row],[Order Date]],"")</f>
        <v>20</v>
      </c>
      <c r="AA829" s="56">
        <f>Supplier_Perf_Table[[#This Row],[Calculated_Lead_Time2]]-Supplier_Perf_Table[[#This Row],[Calculated_Expected_Lead_Time]]</f>
        <v>5</v>
      </c>
      <c r="AB829" s="75">
        <v>5</v>
      </c>
      <c r="AC829" s="63" t="s">
        <v>205</v>
      </c>
      <c r="AD829" s="63" t="s">
        <v>40</v>
      </c>
      <c r="AE829" s="63" t="s">
        <v>41</v>
      </c>
      <c r="AF829" s="63" t="s">
        <v>66</v>
      </c>
      <c r="AG829" s="63" t="s">
        <v>173</v>
      </c>
      <c r="AH829" s="63" t="s">
        <v>129</v>
      </c>
      <c r="AI829" s="63" t="s">
        <v>137</v>
      </c>
      <c r="AJ829" s="63" t="s">
        <v>138</v>
      </c>
      <c r="AK829" s="83">
        <v>4.3</v>
      </c>
      <c r="AL829" s="63" t="s">
        <v>139</v>
      </c>
      <c r="AM829" s="63" t="s">
        <v>46</v>
      </c>
      <c r="AN829"/>
    </row>
    <row r="830" spans="1:40" ht="18" customHeight="1">
      <c r="A830" s="1" t="s">
        <v>2592</v>
      </c>
      <c r="B830" s="1" t="s">
        <v>2593</v>
      </c>
      <c r="C830" s="4">
        <v>46159</v>
      </c>
      <c r="D830" s="4">
        <v>46177</v>
      </c>
      <c r="E830" s="4">
        <v>46171</v>
      </c>
      <c r="F830" s="63" t="s">
        <v>32</v>
      </c>
      <c r="G830" s="63" t="s">
        <v>3835</v>
      </c>
      <c r="H830" s="63" t="s">
        <v>177</v>
      </c>
      <c r="I830" s="63" t="s">
        <v>241</v>
      </c>
      <c r="J830" s="63" t="s">
        <v>62</v>
      </c>
      <c r="K830" s="63" t="s">
        <v>2594</v>
      </c>
      <c r="L830" s="63" t="s">
        <v>64</v>
      </c>
      <c r="M830" s="69" t="s">
        <v>3080</v>
      </c>
      <c r="N830" s="63" t="s">
        <v>86</v>
      </c>
      <c r="O830" s="73">
        <f>_xlfn.XLOOKUP(Supplier_Perf_Table[[#This Row],[Currency]],'Comments 2'!$C$4:$C$16,'Comments 2'!$D$4:$D$16)</f>
        <v>8.8999999999999996E-2</v>
      </c>
      <c r="P830" s="69" t="str">
        <f>IFERROR(Supplier_Perf_Table[[#This Row],[Unit_Cost]]*Supplier_Perf_Table[[#This Row],[Dollar Equivalent]],"")</f>
        <v/>
      </c>
      <c r="Q830" s="75">
        <v>300</v>
      </c>
      <c r="R830" s="1">
        <v>208389</v>
      </c>
      <c r="S830" s="75" t="e">
        <f>Supplier_Perf_Table[[#This Row],[Unit_Cost]]*Supplier_Perf_Table[[#This Row],[Order_Quantity]]</f>
        <v>#VALUE!</v>
      </c>
      <c r="T830" s="75">
        <f>IFERROR(Supplier_Perf_Table[[#This Row],[Dollar Equivalent]]*Supplier_Perf_Table[[#This Row],[Ordered_Value]],"")</f>
        <v>18546.620999999999</v>
      </c>
      <c r="U830" s="75">
        <v>7</v>
      </c>
      <c r="V830" s="7">
        <v>2.3300000000000001E-2</v>
      </c>
      <c r="W830" s="75">
        <v>12</v>
      </c>
      <c r="X830" s="55">
        <f>IFERROR(Supplier_Perf_Table[[#This Row],[Actual_Delivery_Date]]-Supplier_Perf_Table[[#This Row],[Order Date]],"")</f>
        <v>12</v>
      </c>
      <c r="Y830" s="75">
        <v>18</v>
      </c>
      <c r="Z830" s="56">
        <f>IFERROR(Supplier_Perf_Table[[#This Row],[Expected Delivery_Date]]-Supplier_Perf_Table[[#This Row],[Order Date]],"")</f>
        <v>18</v>
      </c>
      <c r="AA830" s="56">
        <f>Supplier_Perf_Table[[#This Row],[Calculated_Lead_Time2]]-Supplier_Perf_Table[[#This Row],[Calculated_Expected_Lead_Time]]</f>
        <v>-6</v>
      </c>
      <c r="AB830" s="75">
        <v>-6</v>
      </c>
      <c r="AC830" s="63" t="s">
        <v>87</v>
      </c>
      <c r="AD830" s="63" t="s">
        <v>40</v>
      </c>
      <c r="AE830" s="63" t="s">
        <v>105</v>
      </c>
      <c r="AF830" s="63" t="s">
        <v>106</v>
      </c>
      <c r="AG830" s="63" t="s">
        <v>3088</v>
      </c>
      <c r="AH830" s="63" t="s">
        <v>3112</v>
      </c>
      <c r="AI830" s="63" t="s">
        <v>138</v>
      </c>
      <c r="AJ830" s="63" t="s">
        <v>138</v>
      </c>
      <c r="AK830" s="83">
        <v>3.5</v>
      </c>
      <c r="AL830" s="63" t="s">
        <v>57</v>
      </c>
      <c r="AM830" s="63" t="s">
        <v>138</v>
      </c>
      <c r="AN830"/>
    </row>
    <row r="831" spans="1:40" ht="18" customHeight="1">
      <c r="A831" s="1" t="s">
        <v>2595</v>
      </c>
      <c r="B831" s="1" t="s">
        <v>2596</v>
      </c>
      <c r="C831" s="4">
        <v>46038</v>
      </c>
      <c r="D831" s="4">
        <v>46048</v>
      </c>
      <c r="E831" s="4">
        <v>46066</v>
      </c>
      <c r="F831" s="63" t="s">
        <v>256</v>
      </c>
      <c r="G831" s="63" t="s">
        <v>3849</v>
      </c>
      <c r="H831" s="63" t="s">
        <v>258</v>
      </c>
      <c r="I831" s="63" t="s">
        <v>120</v>
      </c>
      <c r="J831" s="63" t="s">
        <v>153</v>
      </c>
      <c r="K831" s="63" t="s">
        <v>2597</v>
      </c>
      <c r="L831" s="63" t="s">
        <v>295</v>
      </c>
      <c r="M831" s="69">
        <v>233.12</v>
      </c>
      <c r="N831" s="63" t="s">
        <v>53</v>
      </c>
      <c r="O831" s="73">
        <f>_xlfn.XLOOKUP(Supplier_Perf_Table[[#This Row],[Currency]],'Comments 2'!$C$4:$C$16,'Comments 2'!$D$4:$D$16)</f>
        <v>6.0999999999999999E-2</v>
      </c>
      <c r="P831" s="69">
        <f>IFERROR(Supplier_Perf_Table[[#This Row],[Unit_Cost]]*Supplier_Perf_Table[[#This Row],[Dollar Equivalent]],"")</f>
        <v>14.220319999999999</v>
      </c>
      <c r="Q831" s="75">
        <v>1500</v>
      </c>
      <c r="R831" s="1">
        <v>349680</v>
      </c>
      <c r="S831" s="75">
        <f>Supplier_Perf_Table[[#This Row],[Unit_Cost]]*Supplier_Perf_Table[[#This Row],[Order_Quantity]]</f>
        <v>349680</v>
      </c>
      <c r="T831" s="75">
        <f>IFERROR(Supplier_Perf_Table[[#This Row],[Dollar Equivalent]]*Supplier_Perf_Table[[#This Row],[Ordered_Value]],"")</f>
        <v>21330.48</v>
      </c>
      <c r="U831" s="75">
        <v>31</v>
      </c>
      <c r="V831" s="7">
        <v>2.07E-2</v>
      </c>
      <c r="W831" s="75">
        <v>28</v>
      </c>
      <c r="X831" s="55">
        <f>IFERROR(Supplier_Perf_Table[[#This Row],[Actual_Delivery_Date]]-Supplier_Perf_Table[[#This Row],[Order Date]],"")</f>
        <v>28</v>
      </c>
      <c r="Y831" s="75" t="s">
        <v>3080</v>
      </c>
      <c r="Z831" s="56">
        <f>IFERROR(Supplier_Perf_Table[[#This Row],[Expected Delivery_Date]]-Supplier_Perf_Table[[#This Row],[Order Date]],"")</f>
        <v>10</v>
      </c>
      <c r="AA831" s="56">
        <f>Supplier_Perf_Table[[#This Row],[Calculated_Lead_Time2]]-Supplier_Perf_Table[[#This Row],[Calculated_Expected_Lead_Time]]</f>
        <v>18</v>
      </c>
      <c r="AB831" s="75">
        <v>18</v>
      </c>
      <c r="AC831" s="63" t="s">
        <v>39</v>
      </c>
      <c r="AD831" s="63" t="s">
        <v>40</v>
      </c>
      <c r="AE831" s="63" t="s">
        <v>146</v>
      </c>
      <c r="AF831" s="63" t="s">
        <v>3088</v>
      </c>
      <c r="AG831" s="63" t="s">
        <v>173</v>
      </c>
      <c r="AH831" s="63" t="s">
        <v>55</v>
      </c>
      <c r="AI831" s="63" t="s">
        <v>147</v>
      </c>
      <c r="AJ831" s="63" t="s">
        <v>138</v>
      </c>
      <c r="AK831" s="83">
        <v>2.4</v>
      </c>
      <c r="AL831" s="63" t="s">
        <v>115</v>
      </c>
      <c r="AM831" s="63" t="s">
        <v>148</v>
      </c>
      <c r="AN831"/>
    </row>
    <row r="832" spans="1:40" ht="18" customHeight="1">
      <c r="A832" s="1" t="s">
        <v>2598</v>
      </c>
      <c r="B832" s="1" t="s">
        <v>2599</v>
      </c>
      <c r="C832" s="4">
        <v>46075</v>
      </c>
      <c r="D832" s="4">
        <v>46080</v>
      </c>
      <c r="E832" s="4">
        <v>46090</v>
      </c>
      <c r="F832" s="63" t="s">
        <v>162</v>
      </c>
      <c r="G832" s="63" t="s">
        <v>3847</v>
      </c>
      <c r="H832" s="63" t="s">
        <v>152</v>
      </c>
      <c r="I832" s="63" t="s">
        <v>34</v>
      </c>
      <c r="J832" s="63" t="s">
        <v>35</v>
      </c>
      <c r="K832" s="63" t="s">
        <v>2600</v>
      </c>
      <c r="L832" s="63" t="s">
        <v>85</v>
      </c>
      <c r="M832" s="69">
        <v>879.92</v>
      </c>
      <c r="N832" s="63" t="s">
        <v>86</v>
      </c>
      <c r="O832" s="73">
        <f>_xlfn.XLOOKUP(Supplier_Perf_Table[[#This Row],[Currency]],'Comments 2'!$C$4:$C$16,'Comments 2'!$D$4:$D$16)</f>
        <v>8.8999999999999996E-2</v>
      </c>
      <c r="P832" s="69">
        <f>IFERROR(Supplier_Perf_Table[[#This Row],[Unit_Cost]]*Supplier_Perf_Table[[#This Row],[Dollar Equivalent]],"")</f>
        <v>78.312879999999993</v>
      </c>
      <c r="Q832" s="75">
        <v>250</v>
      </c>
      <c r="R832" s="1">
        <v>219980</v>
      </c>
      <c r="S832" s="75">
        <f>Supplier_Perf_Table[[#This Row],[Unit_Cost]]*Supplier_Perf_Table[[#This Row],[Order_Quantity]]</f>
        <v>219980</v>
      </c>
      <c r="T832" s="75">
        <f>IFERROR(Supplier_Perf_Table[[#This Row],[Dollar Equivalent]]*Supplier_Perf_Table[[#This Row],[Ordered_Value]],"")</f>
        <v>19578.219999999998</v>
      </c>
      <c r="U832" s="75">
        <v>4</v>
      </c>
      <c r="V832" s="7">
        <v>1.6E-2</v>
      </c>
      <c r="W832" s="75">
        <v>15</v>
      </c>
      <c r="X832" s="55">
        <f>IFERROR(Supplier_Perf_Table[[#This Row],[Actual_Delivery_Date]]-Supplier_Perf_Table[[#This Row],[Order Date]],"")</f>
        <v>15</v>
      </c>
      <c r="Y832" s="75">
        <v>5</v>
      </c>
      <c r="Z832" s="56">
        <f>IFERROR(Supplier_Perf_Table[[#This Row],[Expected Delivery_Date]]-Supplier_Perf_Table[[#This Row],[Order Date]],"")</f>
        <v>5</v>
      </c>
      <c r="AA832" s="56">
        <f>Supplier_Perf_Table[[#This Row],[Calculated_Lead_Time2]]-Supplier_Perf_Table[[#This Row],[Calculated_Expected_Lead_Time]]</f>
        <v>10</v>
      </c>
      <c r="AB832" s="75">
        <v>10</v>
      </c>
      <c r="AC832" s="63" t="s">
        <v>39</v>
      </c>
      <c r="AD832" s="63" t="s">
        <v>40</v>
      </c>
      <c r="AE832" s="63" t="s">
        <v>105</v>
      </c>
      <c r="AF832" s="63" t="s">
        <v>3088</v>
      </c>
      <c r="AG832" s="63" t="s">
        <v>43</v>
      </c>
      <c r="AH832" s="63" t="s">
        <v>174</v>
      </c>
      <c r="AI832" s="63" t="s">
        <v>95</v>
      </c>
      <c r="AJ832" s="63" t="s">
        <v>138</v>
      </c>
      <c r="AK832" s="83">
        <v>2.4</v>
      </c>
      <c r="AL832" s="63" t="s">
        <v>57</v>
      </c>
      <c r="AM832" s="63" t="s">
        <v>46</v>
      </c>
      <c r="AN832"/>
    </row>
    <row r="833" spans="1:40" ht="18" customHeight="1">
      <c r="A833" s="1" t="s">
        <v>2601</v>
      </c>
      <c r="B833" s="1" t="s">
        <v>2602</v>
      </c>
      <c r="C833" s="4">
        <v>46116</v>
      </c>
      <c r="D833" s="4">
        <v>46132</v>
      </c>
      <c r="E833" s="4">
        <v>46128</v>
      </c>
      <c r="F833" s="63" t="s">
        <v>142</v>
      </c>
      <c r="G833" s="63" t="s">
        <v>3843</v>
      </c>
      <c r="H833" s="63" t="s">
        <v>169</v>
      </c>
      <c r="I833" s="63" t="s">
        <v>92</v>
      </c>
      <c r="J833" s="63" t="s">
        <v>50</v>
      </c>
      <c r="K833" s="63" t="s">
        <v>2603</v>
      </c>
      <c r="L833" s="63" t="s">
        <v>126</v>
      </c>
      <c r="M833" s="69">
        <v>1580.75</v>
      </c>
      <c r="N833" s="63" t="s">
        <v>86</v>
      </c>
      <c r="O833" s="73">
        <f>_xlfn.XLOOKUP(Supplier_Perf_Table[[#This Row],[Currency]],'Comments 2'!$C$4:$C$16,'Comments 2'!$D$4:$D$16)</f>
        <v>8.8999999999999996E-2</v>
      </c>
      <c r="P833" s="69">
        <f>IFERROR(Supplier_Perf_Table[[#This Row],[Unit_Cost]]*Supplier_Perf_Table[[#This Row],[Dollar Equivalent]],"")</f>
        <v>140.68674999999999</v>
      </c>
      <c r="Q833" s="75">
        <v>1500</v>
      </c>
      <c r="R833" s="1">
        <v>2371125</v>
      </c>
      <c r="S833" s="75">
        <f>Supplier_Perf_Table[[#This Row],[Unit_Cost]]*Supplier_Perf_Table[[#This Row],[Order_Quantity]]</f>
        <v>2371125</v>
      </c>
      <c r="T833" s="75">
        <f>IFERROR(Supplier_Perf_Table[[#This Row],[Dollar Equivalent]]*Supplier_Perf_Table[[#This Row],[Ordered_Value]],"")</f>
        <v>211030.125</v>
      </c>
      <c r="U833" s="75">
        <v>4</v>
      </c>
      <c r="V833" s="7">
        <v>2.7000000000000001E-3</v>
      </c>
      <c r="W833" s="75">
        <v>12</v>
      </c>
      <c r="X833" s="55">
        <f>IFERROR(Supplier_Perf_Table[[#This Row],[Actual_Delivery_Date]]-Supplier_Perf_Table[[#This Row],[Order Date]],"")</f>
        <v>12</v>
      </c>
      <c r="Y833" s="75">
        <v>16</v>
      </c>
      <c r="Z833" s="56">
        <f>IFERROR(Supplier_Perf_Table[[#This Row],[Expected Delivery_Date]]-Supplier_Perf_Table[[#This Row],[Order Date]],"")</f>
        <v>16</v>
      </c>
      <c r="AA833" s="56">
        <f>Supplier_Perf_Table[[#This Row],[Calculated_Lead_Time2]]-Supplier_Perf_Table[[#This Row],[Calculated_Expected_Lead_Time]]</f>
        <v>-4</v>
      </c>
      <c r="AB833" s="75">
        <v>-4</v>
      </c>
      <c r="AC833" s="63" t="s">
        <v>270</v>
      </c>
      <c r="AD833" s="63" t="s">
        <v>40</v>
      </c>
      <c r="AE833" s="63" t="s">
        <v>146</v>
      </c>
      <c r="AF833" s="63" t="s">
        <v>3088</v>
      </c>
      <c r="AG833" s="63" t="s">
        <v>3088</v>
      </c>
      <c r="AH833" s="63" t="s">
        <v>3112</v>
      </c>
      <c r="AI833" s="63" t="s">
        <v>56</v>
      </c>
      <c r="AJ833" s="63" t="s">
        <v>138</v>
      </c>
      <c r="AK833" s="83">
        <v>4.5</v>
      </c>
      <c r="AL833" s="63" t="s">
        <v>76</v>
      </c>
      <c r="AM833" s="63" t="s">
        <v>130</v>
      </c>
      <c r="AN833"/>
    </row>
    <row r="834" spans="1:40" ht="18" customHeight="1">
      <c r="A834" s="1" t="s">
        <v>2604</v>
      </c>
      <c r="B834" s="1" t="s">
        <v>2605</v>
      </c>
      <c r="C834" s="4">
        <v>46184</v>
      </c>
      <c r="D834" s="4">
        <v>46194</v>
      </c>
      <c r="E834" s="4">
        <v>46190</v>
      </c>
      <c r="F834" s="63" t="s">
        <v>60</v>
      </c>
      <c r="G834" s="63" t="s">
        <v>3837</v>
      </c>
      <c r="H834" s="63" t="s">
        <v>152</v>
      </c>
      <c r="I834" s="63" t="s">
        <v>70</v>
      </c>
      <c r="J834" s="63" t="s">
        <v>62</v>
      </c>
      <c r="K834" s="63" t="s">
        <v>2606</v>
      </c>
      <c r="L834" s="63" t="s">
        <v>64</v>
      </c>
      <c r="M834" s="69">
        <v>638.88</v>
      </c>
      <c r="N834" s="63" t="s">
        <v>53</v>
      </c>
      <c r="O834" s="73">
        <f>_xlfn.XLOOKUP(Supplier_Perf_Table[[#This Row],[Currency]],'Comments 2'!$C$4:$C$16,'Comments 2'!$D$4:$D$16)</f>
        <v>6.0999999999999999E-2</v>
      </c>
      <c r="P834" s="69">
        <f>IFERROR(Supplier_Perf_Table[[#This Row],[Unit_Cost]]*Supplier_Perf_Table[[#This Row],[Dollar Equivalent]],"")</f>
        <v>38.971679999999999</v>
      </c>
      <c r="Q834" s="75">
        <v>150</v>
      </c>
      <c r="R834" s="1" t="s">
        <v>3080</v>
      </c>
      <c r="S834" s="75">
        <f>Supplier_Perf_Table[[#This Row],[Unit_Cost]]*Supplier_Perf_Table[[#This Row],[Order_Quantity]]</f>
        <v>95832</v>
      </c>
      <c r="T834" s="75" t="str">
        <f>IFERROR(Supplier_Perf_Table[[#This Row],[Dollar Equivalent]]*Supplier_Perf_Table[[#This Row],[Ordered_Value]],"")</f>
        <v/>
      </c>
      <c r="U834" s="75">
        <v>0</v>
      </c>
      <c r="V834" s="7">
        <v>0</v>
      </c>
      <c r="W834" s="75">
        <v>6</v>
      </c>
      <c r="X834" s="55">
        <f>IFERROR(Supplier_Perf_Table[[#This Row],[Actual_Delivery_Date]]-Supplier_Perf_Table[[#This Row],[Order Date]],"")</f>
        <v>6</v>
      </c>
      <c r="Y834" s="75" t="s">
        <v>3080</v>
      </c>
      <c r="Z834" s="56">
        <f>IFERROR(Supplier_Perf_Table[[#This Row],[Expected Delivery_Date]]-Supplier_Perf_Table[[#This Row],[Order Date]],"")</f>
        <v>10</v>
      </c>
      <c r="AA834" s="56">
        <f>Supplier_Perf_Table[[#This Row],[Calculated_Lead_Time2]]-Supplier_Perf_Table[[#This Row],[Calculated_Expected_Lead_Time]]</f>
        <v>-4</v>
      </c>
      <c r="AB834" s="75">
        <v>-4</v>
      </c>
      <c r="AC834" s="63" t="s">
        <v>87</v>
      </c>
      <c r="AD834" s="63" t="s">
        <v>40</v>
      </c>
      <c r="AE834" s="63" t="s">
        <v>105</v>
      </c>
      <c r="AF834" s="63" t="s">
        <v>3088</v>
      </c>
      <c r="AG834" s="63" t="s">
        <v>3088</v>
      </c>
      <c r="AH834" s="63" t="s">
        <v>174</v>
      </c>
      <c r="AI834" s="63" t="s">
        <v>147</v>
      </c>
      <c r="AJ834" s="63" t="s">
        <v>138</v>
      </c>
      <c r="AK834" s="83">
        <v>2.7</v>
      </c>
      <c r="AL834" s="63" t="s">
        <v>139</v>
      </c>
      <c r="AM834" s="63" t="s">
        <v>138</v>
      </c>
      <c r="AN834"/>
    </row>
    <row r="835" spans="1:40" ht="18" customHeight="1">
      <c r="A835" s="1" t="s">
        <v>2607</v>
      </c>
      <c r="B835" s="1" t="s">
        <v>2608</v>
      </c>
      <c r="C835" s="4">
        <v>46047</v>
      </c>
      <c r="D835" s="4">
        <v>46062</v>
      </c>
      <c r="E835" s="4">
        <v>46077</v>
      </c>
      <c r="F835" s="63" t="s">
        <v>235</v>
      </c>
      <c r="G835" s="63" t="s">
        <v>3848</v>
      </c>
      <c r="H835" s="63" t="s">
        <v>479</v>
      </c>
      <c r="I835" s="63" t="s">
        <v>120</v>
      </c>
      <c r="J835" s="63" t="s">
        <v>71</v>
      </c>
      <c r="K835" s="63" t="s">
        <v>2609</v>
      </c>
      <c r="L835" s="63" t="s">
        <v>73</v>
      </c>
      <c r="M835" s="69">
        <v>240.42</v>
      </c>
      <c r="N835" s="63" t="s">
        <v>159</v>
      </c>
      <c r="O835" s="73">
        <f>_xlfn.XLOOKUP(Supplier_Perf_Table[[#This Row],[Currency]],'Comments 2'!$C$4:$C$16,'Comments 2'!$D$4:$D$16)</f>
        <v>7.2999999999999996E-4</v>
      </c>
      <c r="P835" s="69">
        <f>IFERROR(Supplier_Perf_Table[[#This Row],[Unit_Cost]]*Supplier_Perf_Table[[#This Row],[Dollar Equivalent]],"")</f>
        <v>0.17550659999999998</v>
      </c>
      <c r="Q835" s="75">
        <v>250</v>
      </c>
      <c r="R835" s="1">
        <v>60105</v>
      </c>
      <c r="S835" s="75">
        <f>Supplier_Perf_Table[[#This Row],[Unit_Cost]]*Supplier_Perf_Table[[#This Row],[Order_Quantity]]</f>
        <v>60105</v>
      </c>
      <c r="T835" s="75">
        <f>IFERROR(Supplier_Perf_Table[[#This Row],[Dollar Equivalent]]*Supplier_Perf_Table[[#This Row],[Ordered_Value]],"")</f>
        <v>43.876649999999998</v>
      </c>
      <c r="U835" s="75">
        <v>7</v>
      </c>
      <c r="V835" s="7">
        <v>2.8000000000000001E-2</v>
      </c>
      <c r="W835" s="75">
        <v>30</v>
      </c>
      <c r="X835" s="55">
        <f>IFERROR(Supplier_Perf_Table[[#This Row],[Actual_Delivery_Date]]-Supplier_Perf_Table[[#This Row],[Order Date]],"")</f>
        <v>30</v>
      </c>
      <c r="Y835" s="75" t="s">
        <v>3080</v>
      </c>
      <c r="Z835" s="56">
        <f>IFERROR(Supplier_Perf_Table[[#This Row],[Expected Delivery_Date]]-Supplier_Perf_Table[[#This Row],[Order Date]],"")</f>
        <v>15</v>
      </c>
      <c r="AA835" s="56">
        <f>Supplier_Perf_Table[[#This Row],[Calculated_Lead_Time2]]-Supplier_Perf_Table[[#This Row],[Calculated_Expected_Lead_Time]]</f>
        <v>15</v>
      </c>
      <c r="AB835" s="75">
        <v>15</v>
      </c>
      <c r="AC835" s="63" t="s">
        <v>205</v>
      </c>
      <c r="AD835" s="63" t="s">
        <v>40</v>
      </c>
      <c r="AE835" s="63" t="s">
        <v>41</v>
      </c>
      <c r="AF835" s="63" t="s">
        <v>212</v>
      </c>
      <c r="AG835" s="63" t="s">
        <v>128</v>
      </c>
      <c r="AH835" s="63" t="s">
        <v>3112</v>
      </c>
      <c r="AI835" s="63" t="s">
        <v>147</v>
      </c>
      <c r="AJ835" s="63" t="s">
        <v>138</v>
      </c>
      <c r="AK835" s="83">
        <v>2</v>
      </c>
      <c r="AL835" s="63" t="s">
        <v>57</v>
      </c>
      <c r="AM835" s="63" t="s">
        <v>46</v>
      </c>
      <c r="AN835"/>
    </row>
    <row r="836" spans="1:40" ht="18" customHeight="1">
      <c r="A836" s="1" t="s">
        <v>2610</v>
      </c>
      <c r="B836" s="1" t="s">
        <v>2611</v>
      </c>
      <c r="C836" s="4">
        <v>46195</v>
      </c>
      <c r="D836" s="4">
        <v>46207</v>
      </c>
      <c r="E836" s="4">
        <v>46213</v>
      </c>
      <c r="F836" s="63" t="s">
        <v>48</v>
      </c>
      <c r="G836" s="63" t="s">
        <v>3836</v>
      </c>
      <c r="H836" s="63" t="s">
        <v>102</v>
      </c>
      <c r="I836" s="63" t="s">
        <v>83</v>
      </c>
      <c r="J836" s="63" t="s">
        <v>50</v>
      </c>
      <c r="K836" s="63" t="s">
        <v>2612</v>
      </c>
      <c r="L836" s="63" t="s">
        <v>189</v>
      </c>
      <c r="M836" s="69">
        <v>798.68</v>
      </c>
      <c r="N836" s="63" t="s">
        <v>65</v>
      </c>
      <c r="O836" s="73">
        <f>_xlfn.XLOOKUP(Supplier_Perf_Table[[#This Row],[Currency]],'Comments 2'!$C$4:$C$16,'Comments 2'!$D$4:$D$16)</f>
        <v>1</v>
      </c>
      <c r="P836" s="69">
        <f>IFERROR(Supplier_Perf_Table[[#This Row],[Unit_Cost]]*Supplier_Perf_Table[[#This Row],[Dollar Equivalent]],"")</f>
        <v>798.68</v>
      </c>
      <c r="Q836" s="75">
        <v>1000</v>
      </c>
      <c r="R836" s="1">
        <v>798680</v>
      </c>
      <c r="S836" s="75">
        <f>Supplier_Perf_Table[[#This Row],[Unit_Cost]]*Supplier_Perf_Table[[#This Row],[Order_Quantity]]</f>
        <v>798680</v>
      </c>
      <c r="T836" s="75">
        <f>IFERROR(Supplier_Perf_Table[[#This Row],[Dollar Equivalent]]*Supplier_Perf_Table[[#This Row],[Ordered_Value]],"")</f>
        <v>798680</v>
      </c>
      <c r="U836" s="75">
        <v>26</v>
      </c>
      <c r="V836" s="7">
        <v>2.5999999999999999E-2</v>
      </c>
      <c r="W836" s="75">
        <v>18</v>
      </c>
      <c r="X836" s="55">
        <f>IFERROR(Supplier_Perf_Table[[#This Row],[Actual_Delivery_Date]]-Supplier_Perf_Table[[#This Row],[Order Date]],"")</f>
        <v>18</v>
      </c>
      <c r="Y836" s="75">
        <v>12</v>
      </c>
      <c r="Z836" s="56">
        <f>IFERROR(Supplier_Perf_Table[[#This Row],[Expected Delivery_Date]]-Supplier_Perf_Table[[#This Row],[Order Date]],"")</f>
        <v>12</v>
      </c>
      <c r="AA836" s="56">
        <f>Supplier_Perf_Table[[#This Row],[Calculated_Lead_Time2]]-Supplier_Perf_Table[[#This Row],[Calculated_Expected_Lead_Time]]</f>
        <v>6</v>
      </c>
      <c r="AB836" s="75">
        <v>6</v>
      </c>
      <c r="AC836" s="63" t="s">
        <v>205</v>
      </c>
      <c r="AD836" s="63" t="s">
        <v>40</v>
      </c>
      <c r="AE836" s="63" t="s">
        <v>127</v>
      </c>
      <c r="AF836" s="63" t="s">
        <v>3088</v>
      </c>
      <c r="AG836" s="63" t="s">
        <v>54</v>
      </c>
      <c r="AH836" s="63" t="s">
        <v>55</v>
      </c>
      <c r="AI836" s="63" t="s">
        <v>137</v>
      </c>
      <c r="AJ836" s="63" t="s">
        <v>138</v>
      </c>
      <c r="AK836" s="83">
        <v>2.1</v>
      </c>
      <c r="AL836" s="63" t="s">
        <v>76</v>
      </c>
      <c r="AM836" s="63" t="s">
        <v>148</v>
      </c>
      <c r="AN836"/>
    </row>
    <row r="837" spans="1:40" ht="18" customHeight="1">
      <c r="A837" s="1" t="s">
        <v>2613</v>
      </c>
      <c r="B837" s="1" t="s">
        <v>2614</v>
      </c>
      <c r="C837" s="4">
        <v>46158</v>
      </c>
      <c r="D837" s="4">
        <v>46167</v>
      </c>
      <c r="E837" s="4">
        <v>46173</v>
      </c>
      <c r="F837" s="63" t="s">
        <v>69</v>
      </c>
      <c r="G837" s="63" t="s">
        <v>3838</v>
      </c>
      <c r="H837" s="63" t="s">
        <v>194</v>
      </c>
      <c r="I837" s="63" t="s">
        <v>241</v>
      </c>
      <c r="J837" s="63" t="s">
        <v>112</v>
      </c>
      <c r="K837" s="63" t="s">
        <v>2615</v>
      </c>
      <c r="L837" s="63" t="s">
        <v>229</v>
      </c>
      <c r="M837" s="69">
        <v>74.28</v>
      </c>
      <c r="N837" s="63" t="s">
        <v>159</v>
      </c>
      <c r="O837" s="73">
        <f>_xlfn.XLOOKUP(Supplier_Perf_Table[[#This Row],[Currency]],'Comments 2'!$C$4:$C$16,'Comments 2'!$D$4:$D$16)</f>
        <v>7.2999999999999996E-4</v>
      </c>
      <c r="P837" s="69">
        <f>IFERROR(Supplier_Perf_Table[[#This Row],[Unit_Cost]]*Supplier_Perf_Table[[#This Row],[Dollar Equivalent]],"")</f>
        <v>5.4224399999999999E-2</v>
      </c>
      <c r="Q837" s="75">
        <v>1000</v>
      </c>
      <c r="R837" s="1">
        <v>74280</v>
      </c>
      <c r="S837" s="75">
        <f>Supplier_Perf_Table[[#This Row],[Unit_Cost]]*Supplier_Perf_Table[[#This Row],[Order_Quantity]]</f>
        <v>74280</v>
      </c>
      <c r="T837" s="75">
        <f>IFERROR(Supplier_Perf_Table[[#This Row],[Dollar Equivalent]]*Supplier_Perf_Table[[#This Row],[Ordered_Value]],"")</f>
        <v>54.224399999999996</v>
      </c>
      <c r="U837" s="75">
        <v>37</v>
      </c>
      <c r="V837" s="7">
        <v>3.6999999999999998E-2</v>
      </c>
      <c r="W837" s="75">
        <v>15</v>
      </c>
      <c r="X837" s="55">
        <f>IFERROR(Supplier_Perf_Table[[#This Row],[Actual_Delivery_Date]]-Supplier_Perf_Table[[#This Row],[Order Date]],"")</f>
        <v>15</v>
      </c>
      <c r="Y837" s="75">
        <v>9</v>
      </c>
      <c r="Z837" s="56">
        <f>IFERROR(Supplier_Perf_Table[[#This Row],[Expected Delivery_Date]]-Supplier_Perf_Table[[#This Row],[Order Date]],"")</f>
        <v>9</v>
      </c>
      <c r="AA837" s="56">
        <f>Supplier_Perf_Table[[#This Row],[Calculated_Lead_Time2]]-Supplier_Perf_Table[[#This Row],[Calculated_Expected_Lead_Time]]</f>
        <v>6</v>
      </c>
      <c r="AB837" s="75">
        <v>6</v>
      </c>
      <c r="AC837" s="63" t="s">
        <v>135</v>
      </c>
      <c r="AD837" s="63" t="s">
        <v>40</v>
      </c>
      <c r="AE837" s="63" t="s">
        <v>105</v>
      </c>
      <c r="AF837" s="63" t="s">
        <v>66</v>
      </c>
      <c r="AG837" s="63" t="s">
        <v>128</v>
      </c>
      <c r="AH837" s="63" t="s">
        <v>129</v>
      </c>
      <c r="AI837" s="63" t="s">
        <v>147</v>
      </c>
      <c r="AJ837" s="63" t="s">
        <v>138</v>
      </c>
      <c r="AK837" s="83">
        <v>1.8</v>
      </c>
      <c r="AL837" s="63" t="s">
        <v>76</v>
      </c>
      <c r="AM837" s="63" t="s">
        <v>46</v>
      </c>
      <c r="AN837"/>
    </row>
    <row r="838" spans="1:40" ht="18" customHeight="1">
      <c r="A838" s="1" t="s">
        <v>2616</v>
      </c>
      <c r="B838" s="1" t="s">
        <v>2617</v>
      </c>
      <c r="C838" s="4">
        <v>46104</v>
      </c>
      <c r="D838" s="4">
        <v>46123</v>
      </c>
      <c r="E838" s="4">
        <v>46117</v>
      </c>
      <c r="F838" s="63" t="s">
        <v>235</v>
      </c>
      <c r="G838" s="63" t="s">
        <v>3848</v>
      </c>
      <c r="H838" s="63" t="s">
        <v>479</v>
      </c>
      <c r="I838" s="63" t="s">
        <v>34</v>
      </c>
      <c r="J838" s="63" t="s">
        <v>71</v>
      </c>
      <c r="K838" s="63" t="s">
        <v>2618</v>
      </c>
      <c r="L838" s="63" t="s">
        <v>73</v>
      </c>
      <c r="M838" s="69">
        <v>765.16</v>
      </c>
      <c r="N838" s="63" t="s">
        <v>86</v>
      </c>
      <c r="O838" s="73">
        <f>_xlfn.XLOOKUP(Supplier_Perf_Table[[#This Row],[Currency]],'Comments 2'!$C$4:$C$16,'Comments 2'!$D$4:$D$16)</f>
        <v>8.8999999999999996E-2</v>
      </c>
      <c r="P838" s="69">
        <f>IFERROR(Supplier_Perf_Table[[#This Row],[Unit_Cost]]*Supplier_Perf_Table[[#This Row],[Dollar Equivalent]],"")</f>
        <v>68.099239999999995</v>
      </c>
      <c r="Q838" s="75">
        <v>1000</v>
      </c>
      <c r="R838" s="1">
        <v>765160</v>
      </c>
      <c r="S838" s="75">
        <f>Supplier_Perf_Table[[#This Row],[Unit_Cost]]*Supplier_Perf_Table[[#This Row],[Order_Quantity]]</f>
        <v>765160</v>
      </c>
      <c r="T838" s="75">
        <f>IFERROR(Supplier_Perf_Table[[#This Row],[Dollar Equivalent]]*Supplier_Perf_Table[[#This Row],[Ordered_Value]],"")</f>
        <v>68099.239999999991</v>
      </c>
      <c r="U838" s="75">
        <v>20</v>
      </c>
      <c r="V838" s="7">
        <v>0.02</v>
      </c>
      <c r="W838" s="75">
        <v>13</v>
      </c>
      <c r="X838" s="55">
        <f>IFERROR(Supplier_Perf_Table[[#This Row],[Actual_Delivery_Date]]-Supplier_Perf_Table[[#This Row],[Order Date]],"")</f>
        <v>13</v>
      </c>
      <c r="Y838" s="75">
        <v>19</v>
      </c>
      <c r="Z838" s="56">
        <f>IFERROR(Supplier_Perf_Table[[#This Row],[Expected Delivery_Date]]-Supplier_Perf_Table[[#This Row],[Order Date]],"")</f>
        <v>19</v>
      </c>
      <c r="AA838" s="56">
        <f>Supplier_Perf_Table[[#This Row],[Calculated_Lead_Time2]]-Supplier_Perf_Table[[#This Row],[Calculated_Expected_Lead_Time]]</f>
        <v>-6</v>
      </c>
      <c r="AB838" s="75">
        <v>-6</v>
      </c>
      <c r="AC838" s="63" t="s">
        <v>87</v>
      </c>
      <c r="AD838" s="63" t="s">
        <v>40</v>
      </c>
      <c r="AE838" s="63" t="s">
        <v>146</v>
      </c>
      <c r="AF838" s="63" t="s">
        <v>190</v>
      </c>
      <c r="AG838" s="63" t="s">
        <v>173</v>
      </c>
      <c r="AH838" s="63" t="s">
        <v>3112</v>
      </c>
      <c r="AI838" s="63" t="s">
        <v>44</v>
      </c>
      <c r="AJ838" s="63" t="s">
        <v>138</v>
      </c>
      <c r="AK838" s="83">
        <v>4.4000000000000004</v>
      </c>
      <c r="AL838" s="63" t="s">
        <v>57</v>
      </c>
      <c r="AM838" s="63" t="s">
        <v>130</v>
      </c>
      <c r="AN838"/>
    </row>
    <row r="839" spans="1:40" ht="18" customHeight="1">
      <c r="A839" s="1" t="s">
        <v>2619</v>
      </c>
      <c r="B839" s="1" t="s">
        <v>2620</v>
      </c>
      <c r="C839" s="4">
        <v>46199</v>
      </c>
      <c r="D839" s="4">
        <v>46211</v>
      </c>
      <c r="E839" s="4">
        <v>46224</v>
      </c>
      <c r="F839" s="63" t="s">
        <v>48</v>
      </c>
      <c r="G839" s="63" t="s">
        <v>3836</v>
      </c>
      <c r="H839" s="63" t="s">
        <v>301</v>
      </c>
      <c r="I839" s="63" t="s">
        <v>61</v>
      </c>
      <c r="J839" s="63" t="s">
        <v>50</v>
      </c>
      <c r="K839" s="63" t="s">
        <v>2621</v>
      </c>
      <c r="L839" s="63" t="s">
        <v>52</v>
      </c>
      <c r="M839" s="69">
        <v>3281.62</v>
      </c>
      <c r="N839" s="63" t="s">
        <v>53</v>
      </c>
      <c r="O839" s="73">
        <f>_xlfn.XLOOKUP(Supplier_Perf_Table[[#This Row],[Currency]],'Comments 2'!$C$4:$C$16,'Comments 2'!$D$4:$D$16)</f>
        <v>6.0999999999999999E-2</v>
      </c>
      <c r="P839" s="69">
        <f>IFERROR(Supplier_Perf_Table[[#This Row],[Unit_Cost]]*Supplier_Perf_Table[[#This Row],[Dollar Equivalent]],"")</f>
        <v>200.17882</v>
      </c>
      <c r="Q839" s="75">
        <v>250</v>
      </c>
      <c r="R839" s="1">
        <v>820405</v>
      </c>
      <c r="S839" s="75">
        <f>Supplier_Perf_Table[[#This Row],[Unit_Cost]]*Supplier_Perf_Table[[#This Row],[Order_Quantity]]</f>
        <v>820405</v>
      </c>
      <c r="T839" s="75">
        <f>IFERROR(Supplier_Perf_Table[[#This Row],[Dollar Equivalent]]*Supplier_Perf_Table[[#This Row],[Ordered_Value]],"")</f>
        <v>50044.705000000002</v>
      </c>
      <c r="U839" s="75">
        <v>13</v>
      </c>
      <c r="V839" s="7">
        <v>5.1999999999999998E-2</v>
      </c>
      <c r="W839" s="75">
        <v>25</v>
      </c>
      <c r="X839" s="55">
        <f>IFERROR(Supplier_Perf_Table[[#This Row],[Actual_Delivery_Date]]-Supplier_Perf_Table[[#This Row],[Order Date]],"")</f>
        <v>25</v>
      </c>
      <c r="Y839" s="75">
        <v>12</v>
      </c>
      <c r="Z839" s="56">
        <f>IFERROR(Supplier_Perf_Table[[#This Row],[Expected Delivery_Date]]-Supplier_Perf_Table[[#This Row],[Order Date]],"")</f>
        <v>12</v>
      </c>
      <c r="AA839" s="56">
        <f>Supplier_Perf_Table[[#This Row],[Calculated_Lead_Time2]]-Supplier_Perf_Table[[#This Row],[Calculated_Expected_Lead_Time]]</f>
        <v>13</v>
      </c>
      <c r="AB839" s="75">
        <v>13</v>
      </c>
      <c r="AC839" s="63" t="s">
        <v>39</v>
      </c>
      <c r="AD839" s="63" t="s">
        <v>420</v>
      </c>
      <c r="AE839" s="63" t="s">
        <v>105</v>
      </c>
      <c r="AF839" s="63" t="s">
        <v>106</v>
      </c>
      <c r="AG839" s="63" t="s">
        <v>54</v>
      </c>
      <c r="AH839" s="63" t="s">
        <v>129</v>
      </c>
      <c r="AI839" s="63" t="s">
        <v>138</v>
      </c>
      <c r="AJ839" s="63" t="s">
        <v>183</v>
      </c>
      <c r="AK839" s="83">
        <v>1.7</v>
      </c>
      <c r="AL839" s="63" t="s">
        <v>139</v>
      </c>
      <c r="AM839" s="63" t="s">
        <v>77</v>
      </c>
      <c r="AN839"/>
    </row>
    <row r="840" spans="1:40" ht="18" customHeight="1">
      <c r="A840" s="1" t="s">
        <v>2622</v>
      </c>
      <c r="B840" s="1" t="s">
        <v>2623</v>
      </c>
      <c r="C840" s="4">
        <v>46129</v>
      </c>
      <c r="D840" s="4">
        <v>46147</v>
      </c>
      <c r="E840" s="4">
        <v>46145</v>
      </c>
      <c r="F840" s="63" t="s">
        <v>235</v>
      </c>
      <c r="G840" s="63" t="s">
        <v>3848</v>
      </c>
      <c r="H840" s="63" t="s">
        <v>479</v>
      </c>
      <c r="I840" s="63" t="s">
        <v>70</v>
      </c>
      <c r="J840" s="63" t="s">
        <v>153</v>
      </c>
      <c r="K840" s="63" t="s">
        <v>2624</v>
      </c>
      <c r="L840" s="63" t="s">
        <v>204</v>
      </c>
      <c r="M840" s="69">
        <v>236.19</v>
      </c>
      <c r="N840" s="63" t="s">
        <v>86</v>
      </c>
      <c r="O840" s="73">
        <f>_xlfn.XLOOKUP(Supplier_Perf_Table[[#This Row],[Currency]],'Comments 2'!$C$4:$C$16,'Comments 2'!$D$4:$D$16)</f>
        <v>8.8999999999999996E-2</v>
      </c>
      <c r="P840" s="69">
        <f>IFERROR(Supplier_Perf_Table[[#This Row],[Unit_Cost]]*Supplier_Perf_Table[[#This Row],[Dollar Equivalent]],"")</f>
        <v>21.020909999999997</v>
      </c>
      <c r="Q840" s="75">
        <v>1000</v>
      </c>
      <c r="R840" s="1">
        <v>236190</v>
      </c>
      <c r="S840" s="75">
        <f>Supplier_Perf_Table[[#This Row],[Unit_Cost]]*Supplier_Perf_Table[[#This Row],[Order_Quantity]]</f>
        <v>236190</v>
      </c>
      <c r="T840" s="75">
        <f>IFERROR(Supplier_Perf_Table[[#This Row],[Dollar Equivalent]]*Supplier_Perf_Table[[#This Row],[Ordered_Value]],"")</f>
        <v>21020.91</v>
      </c>
      <c r="U840" s="75">
        <v>0</v>
      </c>
      <c r="V840" s="7">
        <v>0</v>
      </c>
      <c r="W840" s="75">
        <v>16</v>
      </c>
      <c r="X840" s="55">
        <f>IFERROR(Supplier_Perf_Table[[#This Row],[Actual_Delivery_Date]]-Supplier_Perf_Table[[#This Row],[Order Date]],"")</f>
        <v>16</v>
      </c>
      <c r="Y840" s="75">
        <v>18</v>
      </c>
      <c r="Z840" s="56">
        <f>IFERROR(Supplier_Perf_Table[[#This Row],[Expected Delivery_Date]]-Supplier_Perf_Table[[#This Row],[Order Date]],"")</f>
        <v>18</v>
      </c>
      <c r="AA840" s="56">
        <f>Supplier_Perf_Table[[#This Row],[Calculated_Lead_Time2]]-Supplier_Perf_Table[[#This Row],[Calculated_Expected_Lead_Time]]</f>
        <v>-2</v>
      </c>
      <c r="AB840" s="75">
        <v>-2</v>
      </c>
      <c r="AC840" s="63" t="s">
        <v>87</v>
      </c>
      <c r="AD840" s="63" t="s">
        <v>40</v>
      </c>
      <c r="AE840" s="63" t="s">
        <v>146</v>
      </c>
      <c r="AF840" s="63" t="s">
        <v>42</v>
      </c>
      <c r="AG840" s="63" t="s">
        <v>173</v>
      </c>
      <c r="AH840" s="63" t="s">
        <v>3112</v>
      </c>
      <c r="AI840" s="63" t="s">
        <v>191</v>
      </c>
      <c r="AJ840" s="63" t="s">
        <v>138</v>
      </c>
      <c r="AK840" s="83">
        <v>4.9000000000000004</v>
      </c>
      <c r="AL840" s="63" t="s">
        <v>115</v>
      </c>
      <c r="AM840" s="63" t="s">
        <v>130</v>
      </c>
      <c r="AN840"/>
    </row>
    <row r="841" spans="1:40" ht="18" customHeight="1">
      <c r="A841" s="1" t="s">
        <v>2625</v>
      </c>
      <c r="B841" s="1" t="s">
        <v>2626</v>
      </c>
      <c r="C841" s="4">
        <v>46054</v>
      </c>
      <c r="D841" s="4">
        <v>46064</v>
      </c>
      <c r="E841" s="4">
        <v>46065</v>
      </c>
      <c r="F841" s="63" t="s">
        <v>162</v>
      </c>
      <c r="G841" s="63" t="s">
        <v>3847</v>
      </c>
      <c r="H841" s="63" t="s">
        <v>152</v>
      </c>
      <c r="I841" s="63" t="s">
        <v>70</v>
      </c>
      <c r="J841" s="63" t="s">
        <v>71</v>
      </c>
      <c r="K841" s="63" t="s">
        <v>2627</v>
      </c>
      <c r="L841" s="63" t="s">
        <v>238</v>
      </c>
      <c r="M841" s="69">
        <v>424.22</v>
      </c>
      <c r="N841" s="63" t="s">
        <v>38</v>
      </c>
      <c r="O841" s="73">
        <f>_xlfn.XLOOKUP(Supplier_Perf_Table[[#This Row],[Currency]],'Comments 2'!$C$4:$C$16,'Comments 2'!$D$4:$D$16)</f>
        <v>7.7000000000000002E-3</v>
      </c>
      <c r="P841" s="69">
        <f>IFERROR(Supplier_Perf_Table[[#This Row],[Unit_Cost]]*Supplier_Perf_Table[[#This Row],[Dollar Equivalent]],"")</f>
        <v>3.2664940000000002</v>
      </c>
      <c r="Q841" s="75">
        <v>1500</v>
      </c>
      <c r="R841" s="1">
        <v>636330</v>
      </c>
      <c r="S841" s="75">
        <f>Supplier_Perf_Table[[#This Row],[Unit_Cost]]*Supplier_Perf_Table[[#This Row],[Order_Quantity]]</f>
        <v>636330</v>
      </c>
      <c r="T841" s="75">
        <f>IFERROR(Supplier_Perf_Table[[#This Row],[Dollar Equivalent]]*Supplier_Perf_Table[[#This Row],[Ordered_Value]],"")</f>
        <v>4899.741</v>
      </c>
      <c r="U841" s="75"/>
      <c r="V841" s="7">
        <v>2.6700000000000002E-2</v>
      </c>
      <c r="W841" s="75">
        <v>11</v>
      </c>
      <c r="X841" s="55">
        <f>IFERROR(Supplier_Perf_Table[[#This Row],[Actual_Delivery_Date]]-Supplier_Perf_Table[[#This Row],[Order Date]],"")</f>
        <v>11</v>
      </c>
      <c r="Y841" s="75">
        <v>10</v>
      </c>
      <c r="Z841" s="56">
        <f>IFERROR(Supplier_Perf_Table[[#This Row],[Expected Delivery_Date]]-Supplier_Perf_Table[[#This Row],[Order Date]],"")</f>
        <v>10</v>
      </c>
      <c r="AA841" s="56">
        <f>Supplier_Perf_Table[[#This Row],[Calculated_Lead_Time2]]-Supplier_Perf_Table[[#This Row],[Calculated_Expected_Lead_Time]]</f>
        <v>1</v>
      </c>
      <c r="AB841" s="75">
        <v>1</v>
      </c>
      <c r="AC841" s="63" t="s">
        <v>166</v>
      </c>
      <c r="AD841" s="63" t="s">
        <v>40</v>
      </c>
      <c r="AE841" s="63" t="s">
        <v>105</v>
      </c>
      <c r="AF841" s="63" t="s">
        <v>106</v>
      </c>
      <c r="AG841" s="63" t="s">
        <v>173</v>
      </c>
      <c r="AH841" s="63" t="s">
        <v>174</v>
      </c>
      <c r="AI841" s="63" t="s">
        <v>147</v>
      </c>
      <c r="AJ841" s="63" t="s">
        <v>138</v>
      </c>
      <c r="AK841" s="83">
        <v>3.2</v>
      </c>
      <c r="AL841" s="63" t="s">
        <v>115</v>
      </c>
      <c r="AM841" s="63" t="s">
        <v>46</v>
      </c>
      <c r="AN841"/>
    </row>
    <row r="842" spans="1:40" ht="18" customHeight="1">
      <c r="A842" s="1" t="s">
        <v>2628</v>
      </c>
      <c r="B842" s="1" t="s">
        <v>2629</v>
      </c>
      <c r="C842" s="4">
        <v>46165</v>
      </c>
      <c r="D842" s="4">
        <v>46171</v>
      </c>
      <c r="E842" s="4">
        <v>46172</v>
      </c>
      <c r="F842" s="63" t="s">
        <v>151</v>
      </c>
      <c r="G842" s="63" t="s">
        <v>3844</v>
      </c>
      <c r="H842" s="63" t="s">
        <v>152</v>
      </c>
      <c r="I842" s="63" t="s">
        <v>49</v>
      </c>
      <c r="J842" s="63" t="s">
        <v>112</v>
      </c>
      <c r="K842" s="63" t="s">
        <v>2630</v>
      </c>
      <c r="L842" s="63" t="s">
        <v>114</v>
      </c>
      <c r="M842" s="69">
        <v>19.34</v>
      </c>
      <c r="N842" s="63" t="s">
        <v>159</v>
      </c>
      <c r="O842" s="73">
        <f>_xlfn.XLOOKUP(Supplier_Perf_Table[[#This Row],[Currency]],'Comments 2'!$C$4:$C$16,'Comments 2'!$D$4:$D$16)</f>
        <v>7.2999999999999996E-4</v>
      </c>
      <c r="P842" s="69">
        <f>IFERROR(Supplier_Perf_Table[[#This Row],[Unit_Cost]]*Supplier_Perf_Table[[#This Row],[Dollar Equivalent]],"")</f>
        <v>1.4118199999999999E-2</v>
      </c>
      <c r="Q842" s="75">
        <v>2000</v>
      </c>
      <c r="R842" s="1" t="s">
        <v>3080</v>
      </c>
      <c r="S842" s="75">
        <f>Supplier_Perf_Table[[#This Row],[Unit_Cost]]*Supplier_Perf_Table[[#This Row],[Order_Quantity]]</f>
        <v>38680</v>
      </c>
      <c r="T842" s="75" t="str">
        <f>IFERROR(Supplier_Perf_Table[[#This Row],[Dollar Equivalent]]*Supplier_Perf_Table[[#This Row],[Ordered_Value]],"")</f>
        <v/>
      </c>
      <c r="U842" s="75">
        <v>3</v>
      </c>
      <c r="V842" s="7">
        <v>1.5E-3</v>
      </c>
      <c r="W842" s="75">
        <v>7</v>
      </c>
      <c r="X842" s="55">
        <f>IFERROR(Supplier_Perf_Table[[#This Row],[Actual_Delivery_Date]]-Supplier_Perf_Table[[#This Row],[Order Date]],"")</f>
        <v>7</v>
      </c>
      <c r="Y842" s="75">
        <v>6</v>
      </c>
      <c r="Z842" s="56">
        <f>IFERROR(Supplier_Perf_Table[[#This Row],[Expected Delivery_Date]]-Supplier_Perf_Table[[#This Row],[Order Date]],"")</f>
        <v>6</v>
      </c>
      <c r="AA842" s="56">
        <f>Supplier_Perf_Table[[#This Row],[Calculated_Lead_Time2]]-Supplier_Perf_Table[[#This Row],[Calculated_Expected_Lead_Time]]</f>
        <v>1</v>
      </c>
      <c r="AB842" s="75">
        <v>1</v>
      </c>
      <c r="AC842" s="63" t="s">
        <v>135</v>
      </c>
      <c r="AD842" s="63" t="s">
        <v>40</v>
      </c>
      <c r="AE842" s="63" t="s">
        <v>105</v>
      </c>
      <c r="AF842" s="63" t="s">
        <v>3088</v>
      </c>
      <c r="AG842" s="63" t="s">
        <v>128</v>
      </c>
      <c r="AH842" s="63" t="s">
        <v>3112</v>
      </c>
      <c r="AI842" s="63" t="s">
        <v>138</v>
      </c>
      <c r="AJ842" s="63" t="s">
        <v>138</v>
      </c>
      <c r="AK842" s="83">
        <v>3.3</v>
      </c>
      <c r="AL842" s="63" t="s">
        <v>139</v>
      </c>
      <c r="AM842" s="63" t="s">
        <v>46</v>
      </c>
      <c r="AN842"/>
    </row>
    <row r="843" spans="1:40" ht="18" customHeight="1">
      <c r="A843" s="1" t="s">
        <v>2631</v>
      </c>
      <c r="B843" s="1" t="s">
        <v>2632</v>
      </c>
      <c r="C843" s="4">
        <v>46184</v>
      </c>
      <c r="D843" s="4">
        <v>46203</v>
      </c>
      <c r="E843" s="4">
        <v>46213</v>
      </c>
      <c r="F843" s="63" t="s">
        <v>32</v>
      </c>
      <c r="G843" s="63" t="s">
        <v>3835</v>
      </c>
      <c r="H843" s="63" t="s">
        <v>177</v>
      </c>
      <c r="I843" s="63" t="s">
        <v>241</v>
      </c>
      <c r="J843" s="63" t="s">
        <v>35</v>
      </c>
      <c r="K843" s="63" t="s">
        <v>2633</v>
      </c>
      <c r="L843" s="63" t="s">
        <v>200</v>
      </c>
      <c r="M843" s="69">
        <v>1198.44</v>
      </c>
      <c r="N843" s="63" t="s">
        <v>159</v>
      </c>
      <c r="O843" s="73">
        <f>_xlfn.XLOOKUP(Supplier_Perf_Table[[#This Row],[Currency]],'Comments 2'!$C$4:$C$16,'Comments 2'!$D$4:$D$16)</f>
        <v>7.2999999999999996E-4</v>
      </c>
      <c r="P843" s="69">
        <f>IFERROR(Supplier_Perf_Table[[#This Row],[Unit_Cost]]*Supplier_Perf_Table[[#This Row],[Dollar Equivalent]],"")</f>
        <v>0.87486120000000001</v>
      </c>
      <c r="Q843" s="75">
        <v>100</v>
      </c>
      <c r="R843" s="1">
        <v>119844</v>
      </c>
      <c r="S843" s="75">
        <f>Supplier_Perf_Table[[#This Row],[Unit_Cost]]*Supplier_Perf_Table[[#This Row],[Order_Quantity]]</f>
        <v>119844</v>
      </c>
      <c r="T843" s="75">
        <f>IFERROR(Supplier_Perf_Table[[#This Row],[Dollar Equivalent]]*Supplier_Perf_Table[[#This Row],[Ordered_Value]],"")</f>
        <v>87.48612</v>
      </c>
      <c r="U843" s="75">
        <v>5</v>
      </c>
      <c r="V843" s="7">
        <v>0.05</v>
      </c>
      <c r="W843" s="75">
        <v>29</v>
      </c>
      <c r="X843" s="55">
        <f>IFERROR(Supplier_Perf_Table[[#This Row],[Actual_Delivery_Date]]-Supplier_Perf_Table[[#This Row],[Order Date]],"")</f>
        <v>29</v>
      </c>
      <c r="Y843" s="75">
        <v>19</v>
      </c>
      <c r="Z843" s="56">
        <f>IFERROR(Supplier_Perf_Table[[#This Row],[Expected Delivery_Date]]-Supplier_Perf_Table[[#This Row],[Order Date]],"")</f>
        <v>19</v>
      </c>
      <c r="AA843" s="56">
        <f>Supplier_Perf_Table[[#This Row],[Calculated_Lead_Time2]]-Supplier_Perf_Table[[#This Row],[Calculated_Expected_Lead_Time]]</f>
        <v>10</v>
      </c>
      <c r="AB843" s="75">
        <v>10</v>
      </c>
      <c r="AC843" s="63" t="s">
        <v>135</v>
      </c>
      <c r="AD843" s="63" t="s">
        <v>420</v>
      </c>
      <c r="AE843" s="63" t="s">
        <v>127</v>
      </c>
      <c r="AF843" s="63" t="s">
        <v>190</v>
      </c>
      <c r="AG843" s="63" t="s">
        <v>173</v>
      </c>
      <c r="AH843" s="63" t="s">
        <v>129</v>
      </c>
      <c r="AI843" s="63" t="s">
        <v>191</v>
      </c>
      <c r="AJ843" s="63" t="s">
        <v>75</v>
      </c>
      <c r="AK843" s="83">
        <v>2.2999999999999998</v>
      </c>
      <c r="AL843" s="63" t="s">
        <v>57</v>
      </c>
      <c r="AM843" s="63" t="s">
        <v>1416</v>
      </c>
      <c r="AN843"/>
    </row>
    <row r="844" spans="1:40" ht="18" customHeight="1">
      <c r="A844" s="63" t="s">
        <v>2634</v>
      </c>
      <c r="B844" s="63" t="s">
        <v>2635</v>
      </c>
      <c r="C844" s="4">
        <v>46094</v>
      </c>
      <c r="D844" s="4">
        <v>46104</v>
      </c>
      <c r="E844" s="4">
        <v>46109</v>
      </c>
      <c r="F844" s="63" t="s">
        <v>209</v>
      </c>
      <c r="G844" s="63" t="s">
        <v>3845</v>
      </c>
      <c r="H844" s="63" t="s">
        <v>316</v>
      </c>
      <c r="I844" s="63" t="s">
        <v>120</v>
      </c>
      <c r="J844" s="63" t="s">
        <v>153</v>
      </c>
      <c r="K844" s="63" t="s">
        <v>2636</v>
      </c>
      <c r="L844" s="63" t="s">
        <v>155</v>
      </c>
      <c r="M844" s="69">
        <v>60.48</v>
      </c>
      <c r="N844" s="63" t="s">
        <v>159</v>
      </c>
      <c r="O844" s="73">
        <f>_xlfn.XLOOKUP(Supplier_Perf_Table[[#This Row],[Currency]],'Comments 2'!$C$4:$C$16,'Comments 2'!$D$4:$D$16)</f>
        <v>7.2999999999999996E-4</v>
      </c>
      <c r="P844" s="69">
        <f>IFERROR(Supplier_Perf_Table[[#This Row],[Unit_Cost]]*Supplier_Perf_Table[[#This Row],[Dollar Equivalent]],"")</f>
        <v>4.4150399999999992E-2</v>
      </c>
      <c r="Q844" s="75">
        <v>1000</v>
      </c>
      <c r="R844" s="1">
        <v>60480</v>
      </c>
      <c r="S844" s="75">
        <f>Supplier_Perf_Table[[#This Row],[Unit_Cost]]*Supplier_Perf_Table[[#This Row],[Order_Quantity]]</f>
        <v>60480</v>
      </c>
      <c r="T844" s="75">
        <f>IFERROR(Supplier_Perf_Table[[#This Row],[Dollar Equivalent]]*Supplier_Perf_Table[[#This Row],[Ordered_Value]],"")</f>
        <v>44.150399999999998</v>
      </c>
      <c r="U844" s="75">
        <v>30</v>
      </c>
      <c r="V844" s="7">
        <v>0.03</v>
      </c>
      <c r="W844" s="75">
        <v>15</v>
      </c>
      <c r="X844" s="55">
        <f>IFERROR(Supplier_Perf_Table[[#This Row],[Actual_Delivery_Date]]-Supplier_Perf_Table[[#This Row],[Order Date]],"")</f>
        <v>15</v>
      </c>
      <c r="Y844" s="75">
        <v>10</v>
      </c>
      <c r="Z844" s="56">
        <f>IFERROR(Supplier_Perf_Table[[#This Row],[Expected Delivery_Date]]-Supplier_Perf_Table[[#This Row],[Order Date]],"")</f>
        <v>10</v>
      </c>
      <c r="AA844" s="56">
        <f>Supplier_Perf_Table[[#This Row],[Calculated_Lead_Time2]]-Supplier_Perf_Table[[#This Row],[Calculated_Expected_Lead_Time]]</f>
        <v>5</v>
      </c>
      <c r="AB844" s="75">
        <v>5</v>
      </c>
      <c r="AC844" s="63" t="s">
        <v>39</v>
      </c>
      <c r="AD844" s="63" t="s">
        <v>40</v>
      </c>
      <c r="AE844" s="63" t="s">
        <v>41</v>
      </c>
      <c r="AF844" s="63" t="s">
        <v>212</v>
      </c>
      <c r="AG844" s="63" t="s">
        <v>173</v>
      </c>
      <c r="AH844" s="63" t="s">
        <v>88</v>
      </c>
      <c r="AI844" s="63" t="s">
        <v>138</v>
      </c>
      <c r="AJ844" s="63" t="s">
        <v>138</v>
      </c>
      <c r="AK844" s="83">
        <v>2.6</v>
      </c>
      <c r="AL844" s="63" t="s">
        <v>57</v>
      </c>
      <c r="AM844" s="63" t="s">
        <v>46</v>
      </c>
      <c r="AN844"/>
    </row>
    <row r="845" spans="1:40" ht="18" customHeight="1">
      <c r="A845" s="1" t="s">
        <v>2637</v>
      </c>
      <c r="B845" s="1" t="s">
        <v>2638</v>
      </c>
      <c r="C845" s="4">
        <v>46177</v>
      </c>
      <c r="D845" s="4">
        <v>46193</v>
      </c>
      <c r="E845" s="4">
        <v>46192</v>
      </c>
      <c r="F845" s="63" t="s">
        <v>90</v>
      </c>
      <c r="G845" s="63" t="s">
        <v>3840</v>
      </c>
      <c r="H845" s="63" t="s">
        <v>133</v>
      </c>
      <c r="I845" s="63" t="s">
        <v>178</v>
      </c>
      <c r="J845" s="63" t="s">
        <v>71</v>
      </c>
      <c r="K845" s="63" t="s">
        <v>2639</v>
      </c>
      <c r="L845" s="63" t="s">
        <v>238</v>
      </c>
      <c r="M845" s="69">
        <v>349.21</v>
      </c>
      <c r="N845" s="63" t="s">
        <v>159</v>
      </c>
      <c r="O845" s="73">
        <f>_xlfn.XLOOKUP(Supplier_Perf_Table[[#This Row],[Currency]],'Comments 2'!$C$4:$C$16,'Comments 2'!$D$4:$D$16)</f>
        <v>7.2999999999999996E-4</v>
      </c>
      <c r="P845" s="69">
        <f>IFERROR(Supplier_Perf_Table[[#This Row],[Unit_Cost]]*Supplier_Perf_Table[[#This Row],[Dollar Equivalent]],"")</f>
        <v>0.25492329999999996</v>
      </c>
      <c r="Q845" s="75">
        <v>750</v>
      </c>
      <c r="R845" s="1">
        <v>261907.5</v>
      </c>
      <c r="S845" s="75">
        <f>Supplier_Perf_Table[[#This Row],[Unit_Cost]]*Supplier_Perf_Table[[#This Row],[Order_Quantity]]</f>
        <v>261907.49999999997</v>
      </c>
      <c r="T845" s="75">
        <f>IFERROR(Supplier_Perf_Table[[#This Row],[Dollar Equivalent]]*Supplier_Perf_Table[[#This Row],[Ordered_Value]],"")</f>
        <v>191.192475</v>
      </c>
      <c r="U845" s="75">
        <v>29</v>
      </c>
      <c r="V845" s="7">
        <v>3.8699999999999998E-2</v>
      </c>
      <c r="W845" s="75">
        <v>15</v>
      </c>
      <c r="X845" s="55">
        <f>IFERROR(Supplier_Perf_Table[[#This Row],[Actual_Delivery_Date]]-Supplier_Perf_Table[[#This Row],[Order Date]],"")</f>
        <v>15</v>
      </c>
      <c r="Y845" s="75">
        <v>16</v>
      </c>
      <c r="Z845" s="56">
        <f>IFERROR(Supplier_Perf_Table[[#This Row],[Expected Delivery_Date]]-Supplier_Perf_Table[[#This Row],[Order Date]],"")</f>
        <v>16</v>
      </c>
      <c r="AA845" s="56">
        <f>Supplier_Perf_Table[[#This Row],[Calculated_Lead_Time2]]-Supplier_Perf_Table[[#This Row],[Calculated_Expected_Lead_Time]]</f>
        <v>-1</v>
      </c>
      <c r="AB845" s="75">
        <v>-1</v>
      </c>
      <c r="AC845" s="63" t="s">
        <v>87</v>
      </c>
      <c r="AD845" s="63" t="s">
        <v>40</v>
      </c>
      <c r="AE845" s="63" t="s">
        <v>105</v>
      </c>
      <c r="AF845" s="63" t="s">
        <v>66</v>
      </c>
      <c r="AG845" s="63" t="s">
        <v>54</v>
      </c>
      <c r="AH845" s="63" t="s">
        <v>206</v>
      </c>
      <c r="AI845" s="63" t="s">
        <v>138</v>
      </c>
      <c r="AJ845" s="63" t="s">
        <v>138</v>
      </c>
      <c r="AK845" s="83">
        <v>4.7</v>
      </c>
      <c r="AL845" s="63" t="s">
        <v>57</v>
      </c>
      <c r="AM845" s="63" t="s">
        <v>138</v>
      </c>
      <c r="AN845"/>
    </row>
    <row r="846" spans="1:40" ht="18" customHeight="1">
      <c r="A846" s="1" t="s">
        <v>2640</v>
      </c>
      <c r="B846" s="1" t="s">
        <v>2641</v>
      </c>
      <c r="C846" s="4">
        <v>46195</v>
      </c>
      <c r="D846" s="4">
        <v>46212</v>
      </c>
      <c r="E846" s="4">
        <v>46207</v>
      </c>
      <c r="F846" s="63" t="s">
        <v>100</v>
      </c>
      <c r="G846" s="63" t="s">
        <v>3841</v>
      </c>
      <c r="H846" s="63" t="s">
        <v>102</v>
      </c>
      <c r="I846" s="63" t="s">
        <v>34</v>
      </c>
      <c r="J846" s="63" t="s">
        <v>50</v>
      </c>
      <c r="K846" s="63" t="s">
        <v>510</v>
      </c>
      <c r="L846" s="63" t="s">
        <v>145</v>
      </c>
      <c r="M846" s="69">
        <v>665</v>
      </c>
      <c r="N846" s="63" t="s">
        <v>104</v>
      </c>
      <c r="O846" s="73">
        <f>_xlfn.XLOOKUP(Supplier_Perf_Table[[#This Row],[Currency]],'Comments 2'!$C$4:$C$16,'Comments 2'!$D$4:$D$16)</f>
        <v>1.9E-2</v>
      </c>
      <c r="P846" s="69">
        <f>IFERROR(Supplier_Perf_Table[[#This Row],[Unit_Cost]]*Supplier_Perf_Table[[#This Row],[Dollar Equivalent]],"")</f>
        <v>12.635</v>
      </c>
      <c r="Q846" s="75">
        <v>300</v>
      </c>
      <c r="R846" s="1">
        <v>199500</v>
      </c>
      <c r="S846" s="75">
        <f>Supplier_Perf_Table[[#This Row],[Unit_Cost]]*Supplier_Perf_Table[[#This Row],[Order_Quantity]]</f>
        <v>199500</v>
      </c>
      <c r="T846" s="75">
        <f>IFERROR(Supplier_Perf_Table[[#This Row],[Dollar Equivalent]]*Supplier_Perf_Table[[#This Row],[Ordered_Value]],"")</f>
        <v>3790.5</v>
      </c>
      <c r="U846" s="75">
        <v>14</v>
      </c>
      <c r="V846" s="7">
        <v>4.6699999999999998E-2</v>
      </c>
      <c r="W846" s="75">
        <v>12</v>
      </c>
      <c r="X846" s="55">
        <f>IFERROR(Supplier_Perf_Table[[#This Row],[Actual_Delivery_Date]]-Supplier_Perf_Table[[#This Row],[Order Date]],"")</f>
        <v>12</v>
      </c>
      <c r="Y846" s="75">
        <v>17</v>
      </c>
      <c r="Z846" s="56">
        <f>IFERROR(Supplier_Perf_Table[[#This Row],[Expected Delivery_Date]]-Supplier_Perf_Table[[#This Row],[Order Date]],"")</f>
        <v>17</v>
      </c>
      <c r="AA846" s="56">
        <f>Supplier_Perf_Table[[#This Row],[Calculated_Lead_Time2]]-Supplier_Perf_Table[[#This Row],[Calculated_Expected_Lead_Time]]</f>
        <v>-5</v>
      </c>
      <c r="AB846" s="75">
        <v>-5</v>
      </c>
      <c r="AC846" s="63" t="s">
        <v>270</v>
      </c>
      <c r="AD846" s="63" t="s">
        <v>420</v>
      </c>
      <c r="AE846" s="63" t="s">
        <v>105</v>
      </c>
      <c r="AF846" s="63" t="s">
        <v>190</v>
      </c>
      <c r="AG846" s="63" t="s">
        <v>43</v>
      </c>
      <c r="AH846" s="63" t="s">
        <v>206</v>
      </c>
      <c r="AI846" s="63" t="s">
        <v>56</v>
      </c>
      <c r="AJ846" s="63" t="s">
        <v>183</v>
      </c>
      <c r="AK846" s="83">
        <v>1.5</v>
      </c>
      <c r="AL846" s="63" t="s">
        <v>184</v>
      </c>
      <c r="AM846" s="63" t="s">
        <v>97</v>
      </c>
      <c r="AN846"/>
    </row>
    <row r="847" spans="1:40" ht="18" customHeight="1">
      <c r="A847" s="1" t="s">
        <v>2642</v>
      </c>
      <c r="B847" s="1" t="s">
        <v>2643</v>
      </c>
      <c r="C847" s="4">
        <v>46176</v>
      </c>
      <c r="D847" s="4">
        <v>46183</v>
      </c>
      <c r="E847" s="4">
        <v>46184</v>
      </c>
      <c r="F847" s="63" t="s">
        <v>162</v>
      </c>
      <c r="G847" s="63" t="s">
        <v>3847</v>
      </c>
      <c r="H847" s="63" t="s">
        <v>152</v>
      </c>
      <c r="I847" s="63" t="s">
        <v>34</v>
      </c>
      <c r="J847" s="63" t="s">
        <v>163</v>
      </c>
      <c r="K847" s="63" t="s">
        <v>2644</v>
      </c>
      <c r="L847" s="63" t="s">
        <v>171</v>
      </c>
      <c r="M847" s="69">
        <v>524.82000000000005</v>
      </c>
      <c r="N847" s="63" t="s">
        <v>65</v>
      </c>
      <c r="O847" s="73">
        <f>_xlfn.XLOOKUP(Supplier_Perf_Table[[#This Row],[Currency]],'Comments 2'!$C$4:$C$16,'Comments 2'!$D$4:$D$16)</f>
        <v>1</v>
      </c>
      <c r="P847" s="69">
        <f>IFERROR(Supplier_Perf_Table[[#This Row],[Unit_Cost]]*Supplier_Perf_Table[[#This Row],[Dollar Equivalent]],"")</f>
        <v>524.82000000000005</v>
      </c>
      <c r="Q847" s="75">
        <v>750</v>
      </c>
      <c r="R847" s="1">
        <v>393615</v>
      </c>
      <c r="S847" s="75">
        <f>Supplier_Perf_Table[[#This Row],[Unit_Cost]]*Supplier_Perf_Table[[#This Row],[Order_Quantity]]</f>
        <v>393615.00000000006</v>
      </c>
      <c r="T847" s="75">
        <f>IFERROR(Supplier_Perf_Table[[#This Row],[Dollar Equivalent]]*Supplier_Perf_Table[[#This Row],[Ordered_Value]],"")</f>
        <v>393615</v>
      </c>
      <c r="U847" s="75">
        <v>761</v>
      </c>
      <c r="V847" s="7">
        <v>9.2999999999999992E-3</v>
      </c>
      <c r="W847" s="75">
        <v>8</v>
      </c>
      <c r="X847" s="55">
        <f>IFERROR(Supplier_Perf_Table[[#This Row],[Actual_Delivery_Date]]-Supplier_Perf_Table[[#This Row],[Order Date]],"")</f>
        <v>8</v>
      </c>
      <c r="Y847" s="75">
        <v>7</v>
      </c>
      <c r="Z847" s="56">
        <f>IFERROR(Supplier_Perf_Table[[#This Row],[Expected Delivery_Date]]-Supplier_Perf_Table[[#This Row],[Order Date]],"")</f>
        <v>7</v>
      </c>
      <c r="AA847" s="56">
        <f>Supplier_Perf_Table[[#This Row],[Calculated_Lead_Time2]]-Supplier_Perf_Table[[#This Row],[Calculated_Expected_Lead_Time]]</f>
        <v>1</v>
      </c>
      <c r="AB847" s="75">
        <v>1</v>
      </c>
      <c r="AC847" s="63" t="s">
        <v>135</v>
      </c>
      <c r="AD847" s="63" t="s">
        <v>40</v>
      </c>
      <c r="AE847" s="63" t="s">
        <v>3088</v>
      </c>
      <c r="AF847" s="63" t="s">
        <v>106</v>
      </c>
      <c r="AG847" s="63" t="s">
        <v>54</v>
      </c>
      <c r="AH847" s="63" t="s">
        <v>129</v>
      </c>
      <c r="AI847" s="63" t="s">
        <v>191</v>
      </c>
      <c r="AJ847" s="63" t="s">
        <v>138</v>
      </c>
      <c r="AK847" s="83">
        <v>2.5</v>
      </c>
      <c r="AL847" s="63" t="s">
        <v>45</v>
      </c>
      <c r="AM847" s="63" t="s">
        <v>148</v>
      </c>
      <c r="AN847"/>
    </row>
    <row r="848" spans="1:40" ht="18" customHeight="1">
      <c r="A848" s="1" t="s">
        <v>2645</v>
      </c>
      <c r="B848" s="1" t="s">
        <v>2646</v>
      </c>
      <c r="C848" s="4">
        <v>46073</v>
      </c>
      <c r="D848" s="4">
        <v>46086</v>
      </c>
      <c r="E848" s="4">
        <v>46086</v>
      </c>
      <c r="F848" s="63" t="s">
        <v>48</v>
      </c>
      <c r="G848" s="63" t="s">
        <v>3836</v>
      </c>
      <c r="H848" s="63" t="s">
        <v>102</v>
      </c>
      <c r="I848" s="63" t="s">
        <v>92</v>
      </c>
      <c r="J848" s="63" t="s">
        <v>50</v>
      </c>
      <c r="K848" s="63" t="s">
        <v>2647</v>
      </c>
      <c r="L848" s="63" t="s">
        <v>126</v>
      </c>
      <c r="M848" s="69">
        <v>1188.55</v>
      </c>
      <c r="N848" s="63" t="s">
        <v>104</v>
      </c>
      <c r="O848" s="73">
        <f>_xlfn.XLOOKUP(Supplier_Perf_Table[[#This Row],[Currency]],'Comments 2'!$C$4:$C$16,'Comments 2'!$D$4:$D$16)</f>
        <v>1.9E-2</v>
      </c>
      <c r="P848" s="69">
        <f>IFERROR(Supplier_Perf_Table[[#This Row],[Unit_Cost]]*Supplier_Perf_Table[[#This Row],[Dollar Equivalent]],"")</f>
        <v>22.582449999999998</v>
      </c>
      <c r="Q848" s="75">
        <v>1500</v>
      </c>
      <c r="R848" s="1">
        <v>1782825</v>
      </c>
      <c r="S848" s="75">
        <f>Supplier_Perf_Table[[#This Row],[Unit_Cost]]*Supplier_Perf_Table[[#This Row],[Order_Quantity]]</f>
        <v>1782825</v>
      </c>
      <c r="T848" s="75">
        <f>IFERROR(Supplier_Perf_Table[[#This Row],[Dollar Equivalent]]*Supplier_Perf_Table[[#This Row],[Ordered_Value]],"")</f>
        <v>33873.674999999996</v>
      </c>
      <c r="U848" s="75">
        <v>29</v>
      </c>
      <c r="V848" s="7">
        <v>1.9300000000000001E-2</v>
      </c>
      <c r="W848" s="75">
        <v>13</v>
      </c>
      <c r="X848" s="55">
        <f>IFERROR(Supplier_Perf_Table[[#This Row],[Actual_Delivery_Date]]-Supplier_Perf_Table[[#This Row],[Order Date]],"")</f>
        <v>13</v>
      </c>
      <c r="Y848" s="75">
        <v>13</v>
      </c>
      <c r="Z848" s="56">
        <f>IFERROR(Supplier_Perf_Table[[#This Row],[Expected Delivery_Date]]-Supplier_Perf_Table[[#This Row],[Order Date]],"")</f>
        <v>13</v>
      </c>
      <c r="AA848" s="56">
        <f>Supplier_Perf_Table[[#This Row],[Calculated_Lead_Time2]]-Supplier_Perf_Table[[#This Row],[Calculated_Expected_Lead_Time]]</f>
        <v>0</v>
      </c>
      <c r="AB848" s="75">
        <v>0</v>
      </c>
      <c r="AC848" s="63" t="s">
        <v>87</v>
      </c>
      <c r="AD848" s="63" t="s">
        <v>40</v>
      </c>
      <c r="AE848" s="63" t="s">
        <v>3088</v>
      </c>
      <c r="AF848" s="63" t="s">
        <v>3088</v>
      </c>
      <c r="AG848" s="63" t="s">
        <v>173</v>
      </c>
      <c r="AH848" s="63" t="s">
        <v>129</v>
      </c>
      <c r="AI848" s="63" t="s">
        <v>95</v>
      </c>
      <c r="AJ848" s="63" t="s">
        <v>138</v>
      </c>
      <c r="AK848" s="83">
        <v>4</v>
      </c>
      <c r="AL848" s="63" t="s">
        <v>108</v>
      </c>
      <c r="AM848" s="63" t="s">
        <v>130</v>
      </c>
      <c r="AN848"/>
    </row>
    <row r="849" spans="1:40" ht="18" customHeight="1">
      <c r="A849" s="1" t="s">
        <v>2648</v>
      </c>
      <c r="B849" s="1" t="s">
        <v>2649</v>
      </c>
      <c r="C849" s="4">
        <v>46079</v>
      </c>
      <c r="D849" s="4">
        <v>46087</v>
      </c>
      <c r="E849" s="4">
        <v>46106</v>
      </c>
      <c r="F849" s="63" t="s">
        <v>235</v>
      </c>
      <c r="G849" s="63" t="s">
        <v>3848</v>
      </c>
      <c r="H849" s="63" t="s">
        <v>479</v>
      </c>
      <c r="I849" s="63" t="s">
        <v>92</v>
      </c>
      <c r="J849" s="63" t="s">
        <v>71</v>
      </c>
      <c r="K849" s="63" t="s">
        <v>2650</v>
      </c>
      <c r="L849" s="63" t="s">
        <v>238</v>
      </c>
      <c r="M849" s="69">
        <v>838.36</v>
      </c>
      <c r="N849" s="63" t="s">
        <v>104</v>
      </c>
      <c r="O849" s="73">
        <f>_xlfn.XLOOKUP(Supplier_Perf_Table[[#This Row],[Currency]],'Comments 2'!$C$4:$C$16,'Comments 2'!$D$4:$D$16)</f>
        <v>1.9E-2</v>
      </c>
      <c r="P849" s="69">
        <f>IFERROR(Supplier_Perf_Table[[#This Row],[Unit_Cost]]*Supplier_Perf_Table[[#This Row],[Dollar Equivalent]],"")</f>
        <v>15.928839999999999</v>
      </c>
      <c r="Q849" s="75">
        <v>1500</v>
      </c>
      <c r="R849" s="1">
        <v>1257540</v>
      </c>
      <c r="S849" s="75">
        <f>Supplier_Perf_Table[[#This Row],[Unit_Cost]]*Supplier_Perf_Table[[#This Row],[Order_Quantity]]</f>
        <v>1257540</v>
      </c>
      <c r="T849" s="75">
        <f>IFERROR(Supplier_Perf_Table[[#This Row],[Dollar Equivalent]]*Supplier_Perf_Table[[#This Row],[Ordered_Value]],"")</f>
        <v>23893.26</v>
      </c>
      <c r="U849" s="75">
        <v>55</v>
      </c>
      <c r="V849" s="7">
        <v>3.6700000000000003E-2</v>
      </c>
      <c r="W849" s="75">
        <v>-5</v>
      </c>
      <c r="X849" s="55">
        <f>IFERROR(Supplier_Perf_Table[[#This Row],[Actual_Delivery_Date]]-Supplier_Perf_Table[[#This Row],[Order Date]],"")</f>
        <v>27</v>
      </c>
      <c r="Y849" s="75" t="s">
        <v>3080</v>
      </c>
      <c r="Z849" s="56">
        <f>IFERROR(Supplier_Perf_Table[[#This Row],[Expected Delivery_Date]]-Supplier_Perf_Table[[#This Row],[Order Date]],"")</f>
        <v>8</v>
      </c>
      <c r="AA849" s="56">
        <f>Supplier_Perf_Table[[#This Row],[Calculated_Lead_Time2]]-Supplier_Perf_Table[[#This Row],[Calculated_Expected_Lead_Time]]</f>
        <v>19</v>
      </c>
      <c r="AB849" s="75">
        <v>19</v>
      </c>
      <c r="AC849" s="63" t="s">
        <v>205</v>
      </c>
      <c r="AD849" s="63" t="s">
        <v>40</v>
      </c>
      <c r="AE849" s="63" t="s">
        <v>127</v>
      </c>
      <c r="AF849" s="63" t="s">
        <v>42</v>
      </c>
      <c r="AG849" s="63" t="s">
        <v>3088</v>
      </c>
      <c r="AH849" s="63" t="s">
        <v>206</v>
      </c>
      <c r="AI849" s="63" t="s">
        <v>44</v>
      </c>
      <c r="AJ849" s="63" t="s">
        <v>138</v>
      </c>
      <c r="AK849" s="83">
        <v>2.7</v>
      </c>
      <c r="AL849" s="63" t="s">
        <v>76</v>
      </c>
      <c r="AM849" s="63" t="s">
        <v>148</v>
      </c>
      <c r="AN849"/>
    </row>
    <row r="850" spans="1:40" ht="18" customHeight="1">
      <c r="A850" s="1" t="s">
        <v>2651</v>
      </c>
      <c r="B850" s="1" t="s">
        <v>2652</v>
      </c>
      <c r="C850" s="4">
        <v>46063</v>
      </c>
      <c r="D850" s="4">
        <v>46065</v>
      </c>
      <c r="E850" s="4">
        <v>46074</v>
      </c>
      <c r="F850" s="63" t="s">
        <v>151</v>
      </c>
      <c r="G850" s="63" t="s">
        <v>3844</v>
      </c>
      <c r="H850" s="63" t="s">
        <v>152</v>
      </c>
      <c r="I850" s="63" t="s">
        <v>120</v>
      </c>
      <c r="J850" s="63" t="s">
        <v>112</v>
      </c>
      <c r="K850" s="63" t="s">
        <v>1953</v>
      </c>
      <c r="L850" s="63" t="s">
        <v>246</v>
      </c>
      <c r="M850" s="69">
        <v>600.89</v>
      </c>
      <c r="N850" s="63" t="s">
        <v>159</v>
      </c>
      <c r="O850" s="73">
        <f>_xlfn.XLOOKUP(Supplier_Perf_Table[[#This Row],[Currency]],'Comments 2'!$C$4:$C$16,'Comments 2'!$D$4:$D$16)</f>
        <v>7.2999999999999996E-4</v>
      </c>
      <c r="P850" s="69">
        <f>IFERROR(Supplier_Perf_Table[[#This Row],[Unit_Cost]]*Supplier_Perf_Table[[#This Row],[Dollar Equivalent]],"")</f>
        <v>0.43864969999999998</v>
      </c>
      <c r="Q850" s="75">
        <v>750</v>
      </c>
      <c r="R850" s="1">
        <v>450667.5</v>
      </c>
      <c r="S850" s="75">
        <f>Supplier_Perf_Table[[#This Row],[Unit_Cost]]*Supplier_Perf_Table[[#This Row],[Order_Quantity]]</f>
        <v>450667.5</v>
      </c>
      <c r="T850" s="75">
        <f>IFERROR(Supplier_Perf_Table[[#This Row],[Dollar Equivalent]]*Supplier_Perf_Table[[#This Row],[Ordered_Value]],"")</f>
        <v>328.98727500000001</v>
      </c>
      <c r="U850" s="75">
        <v>16</v>
      </c>
      <c r="V850" s="7">
        <v>2.1299999999999999E-2</v>
      </c>
      <c r="W850" s="75">
        <v>11</v>
      </c>
      <c r="X850" s="55">
        <f>IFERROR(Supplier_Perf_Table[[#This Row],[Actual_Delivery_Date]]-Supplier_Perf_Table[[#This Row],[Order Date]],"")</f>
        <v>11</v>
      </c>
      <c r="Y850" s="75">
        <v>2</v>
      </c>
      <c r="Z850" s="56">
        <f>IFERROR(Supplier_Perf_Table[[#This Row],[Expected Delivery_Date]]-Supplier_Perf_Table[[#This Row],[Order Date]],"")</f>
        <v>2</v>
      </c>
      <c r="AA850" s="56">
        <f>Supplier_Perf_Table[[#This Row],[Calculated_Lead_Time2]]-Supplier_Perf_Table[[#This Row],[Calculated_Expected_Lead_Time]]</f>
        <v>9</v>
      </c>
      <c r="AB850" s="75">
        <v>9</v>
      </c>
      <c r="AC850" s="63" t="s">
        <v>39</v>
      </c>
      <c r="AD850" s="63" t="s">
        <v>40</v>
      </c>
      <c r="AE850" s="63" t="s">
        <v>127</v>
      </c>
      <c r="AF850" s="63" t="s">
        <v>66</v>
      </c>
      <c r="AG850" s="63" t="s">
        <v>43</v>
      </c>
      <c r="AH850" s="63" t="s">
        <v>136</v>
      </c>
      <c r="AI850" s="63" t="s">
        <v>44</v>
      </c>
      <c r="AJ850" s="63" t="s">
        <v>138</v>
      </c>
      <c r="AK850" s="83">
        <v>3.2</v>
      </c>
      <c r="AL850" s="63" t="s">
        <v>45</v>
      </c>
      <c r="AM850" s="63" t="s">
        <v>148</v>
      </c>
      <c r="AN850"/>
    </row>
    <row r="851" spans="1:40" ht="18" customHeight="1">
      <c r="A851" s="1" t="s">
        <v>2653</v>
      </c>
      <c r="B851" s="1" t="s">
        <v>2654</v>
      </c>
      <c r="C851" s="4">
        <v>46041</v>
      </c>
      <c r="D851" s="4">
        <v>46050</v>
      </c>
      <c r="E851" s="4">
        <v>46050</v>
      </c>
      <c r="F851" s="63" t="s">
        <v>69</v>
      </c>
      <c r="G851" s="63" t="s">
        <v>3838</v>
      </c>
      <c r="H851" s="63" t="s">
        <v>194</v>
      </c>
      <c r="I851" s="63" t="s">
        <v>120</v>
      </c>
      <c r="J851" s="63" t="s">
        <v>112</v>
      </c>
      <c r="K851" s="63" t="s">
        <v>1470</v>
      </c>
      <c r="L851" s="63" t="s">
        <v>246</v>
      </c>
      <c r="M851" s="69">
        <v>228.66</v>
      </c>
      <c r="N851" s="63" t="s">
        <v>159</v>
      </c>
      <c r="O851" s="73">
        <f>_xlfn.XLOOKUP(Supplier_Perf_Table[[#This Row],[Currency]],'Comments 2'!$C$4:$C$16,'Comments 2'!$D$4:$D$16)</f>
        <v>7.2999999999999996E-4</v>
      </c>
      <c r="P851" s="69">
        <f>IFERROR(Supplier_Perf_Table[[#This Row],[Unit_Cost]]*Supplier_Perf_Table[[#This Row],[Dollar Equivalent]],"")</f>
        <v>0.16692179999999998</v>
      </c>
      <c r="Q851" s="75">
        <v>300</v>
      </c>
      <c r="R851" s="1">
        <v>68598</v>
      </c>
      <c r="S851" s="75">
        <f>Supplier_Perf_Table[[#This Row],[Unit_Cost]]*Supplier_Perf_Table[[#This Row],[Order_Quantity]]</f>
        <v>68598</v>
      </c>
      <c r="T851" s="75">
        <f>IFERROR(Supplier_Perf_Table[[#This Row],[Dollar Equivalent]]*Supplier_Perf_Table[[#This Row],[Ordered_Value]],"")</f>
        <v>50.076539999999994</v>
      </c>
      <c r="U851" s="75">
        <v>1</v>
      </c>
      <c r="V851" s="7">
        <v>3.3E-3</v>
      </c>
      <c r="W851" s="75">
        <v>9</v>
      </c>
      <c r="X851" s="55">
        <f>IFERROR(Supplier_Perf_Table[[#This Row],[Actual_Delivery_Date]]-Supplier_Perf_Table[[#This Row],[Order Date]],"")</f>
        <v>9</v>
      </c>
      <c r="Y851" s="75">
        <v>9</v>
      </c>
      <c r="Z851" s="56">
        <f>IFERROR(Supplier_Perf_Table[[#This Row],[Expected Delivery_Date]]-Supplier_Perf_Table[[#This Row],[Order Date]],"")</f>
        <v>9</v>
      </c>
      <c r="AA851" s="56">
        <f>Supplier_Perf_Table[[#This Row],[Calculated_Lead_Time2]]-Supplier_Perf_Table[[#This Row],[Calculated_Expected_Lead_Time]]</f>
        <v>0</v>
      </c>
      <c r="AB851" s="75">
        <v>0</v>
      </c>
      <c r="AC851" s="63" t="s">
        <v>87</v>
      </c>
      <c r="AD851" s="63" t="s">
        <v>40</v>
      </c>
      <c r="AE851" s="63" t="s">
        <v>3088</v>
      </c>
      <c r="AF851" s="63" t="s">
        <v>212</v>
      </c>
      <c r="AG851" s="63" t="s">
        <v>173</v>
      </c>
      <c r="AH851" s="63" t="s">
        <v>88</v>
      </c>
      <c r="AI851" s="63" t="s">
        <v>137</v>
      </c>
      <c r="AJ851" s="63" t="s">
        <v>138</v>
      </c>
      <c r="AK851" s="83">
        <v>3.6</v>
      </c>
      <c r="AL851" s="63" t="s">
        <v>45</v>
      </c>
      <c r="AM851" s="63" t="s">
        <v>130</v>
      </c>
      <c r="AN851"/>
    </row>
    <row r="852" spans="1:40" ht="18" customHeight="1">
      <c r="A852" s="1" t="s">
        <v>2655</v>
      </c>
      <c r="B852" s="1" t="s">
        <v>2656</v>
      </c>
      <c r="C852" s="4">
        <v>46094</v>
      </c>
      <c r="D852" s="4">
        <v>46109</v>
      </c>
      <c r="E852" s="4">
        <v>46100</v>
      </c>
      <c r="F852" s="63" t="s">
        <v>100</v>
      </c>
      <c r="G852" s="63" t="s">
        <v>3841</v>
      </c>
      <c r="H852" s="63" t="s">
        <v>102</v>
      </c>
      <c r="I852" s="63" t="s">
        <v>70</v>
      </c>
      <c r="J852" s="63" t="s">
        <v>50</v>
      </c>
      <c r="K852" s="63" t="s">
        <v>2657</v>
      </c>
      <c r="L852" s="63" t="s">
        <v>145</v>
      </c>
      <c r="M852" s="69">
        <v>564.78</v>
      </c>
      <c r="N852" s="63" t="s">
        <v>86</v>
      </c>
      <c r="O852" s="73">
        <f>_xlfn.XLOOKUP(Supplier_Perf_Table[[#This Row],[Currency]],'Comments 2'!$C$4:$C$16,'Comments 2'!$D$4:$D$16)</f>
        <v>8.8999999999999996E-2</v>
      </c>
      <c r="P852" s="69">
        <f>IFERROR(Supplier_Perf_Table[[#This Row],[Unit_Cost]]*Supplier_Perf_Table[[#This Row],[Dollar Equivalent]],"")</f>
        <v>50.265419999999992</v>
      </c>
      <c r="Q852" s="75">
        <v>500</v>
      </c>
      <c r="R852" s="1">
        <v>282390</v>
      </c>
      <c r="S852" s="75">
        <f>Supplier_Perf_Table[[#This Row],[Unit_Cost]]*Supplier_Perf_Table[[#This Row],[Order_Quantity]]</f>
        <v>282390</v>
      </c>
      <c r="T852" s="75">
        <f>IFERROR(Supplier_Perf_Table[[#This Row],[Dollar Equivalent]]*Supplier_Perf_Table[[#This Row],[Ordered_Value]],"")</f>
        <v>25132.71</v>
      </c>
      <c r="U852" s="75">
        <v>6</v>
      </c>
      <c r="V852" s="7">
        <v>1.2E-2</v>
      </c>
      <c r="W852" s="75">
        <v>6</v>
      </c>
      <c r="X852" s="55">
        <f>IFERROR(Supplier_Perf_Table[[#This Row],[Actual_Delivery_Date]]-Supplier_Perf_Table[[#This Row],[Order Date]],"")</f>
        <v>6</v>
      </c>
      <c r="Y852" s="75">
        <v>15</v>
      </c>
      <c r="Z852" s="56">
        <f>IFERROR(Supplier_Perf_Table[[#This Row],[Expected Delivery_Date]]-Supplier_Perf_Table[[#This Row],[Order Date]],"")</f>
        <v>15</v>
      </c>
      <c r="AA852" s="56">
        <f>Supplier_Perf_Table[[#This Row],[Calculated_Lead_Time2]]-Supplier_Perf_Table[[#This Row],[Calculated_Expected_Lead_Time]]</f>
        <v>-9</v>
      </c>
      <c r="AB852" s="75">
        <v>-9</v>
      </c>
      <c r="AC852" s="63" t="s">
        <v>87</v>
      </c>
      <c r="AD852" s="63" t="s">
        <v>404</v>
      </c>
      <c r="AE852" s="63" t="s">
        <v>127</v>
      </c>
      <c r="AF852" s="63" t="s">
        <v>3088</v>
      </c>
      <c r="AG852" s="63" t="s">
        <v>43</v>
      </c>
      <c r="AH852" s="63" t="s">
        <v>206</v>
      </c>
      <c r="AI852" s="63" t="s">
        <v>138</v>
      </c>
      <c r="AJ852" s="63" t="s">
        <v>138</v>
      </c>
      <c r="AK852" s="83">
        <v>4.0999999999999996</v>
      </c>
      <c r="AL852" s="63" t="s">
        <v>76</v>
      </c>
      <c r="AM852" s="63" t="s">
        <v>130</v>
      </c>
      <c r="AN852"/>
    </row>
    <row r="853" spans="1:40" ht="18" customHeight="1">
      <c r="A853" s="1" t="s">
        <v>2658</v>
      </c>
      <c r="B853" s="1" t="s">
        <v>2659</v>
      </c>
      <c r="C853" s="4">
        <v>46070</v>
      </c>
      <c r="D853" s="4">
        <v>46082</v>
      </c>
      <c r="E853" s="4">
        <v>46092</v>
      </c>
      <c r="F853" s="63" t="s">
        <v>48</v>
      </c>
      <c r="G853" s="63" t="s">
        <v>3836</v>
      </c>
      <c r="H853" s="63" t="s">
        <v>102</v>
      </c>
      <c r="I853" s="63" t="s">
        <v>61</v>
      </c>
      <c r="J853" s="63" t="s">
        <v>163</v>
      </c>
      <c r="K853" s="63" t="s">
        <v>2660</v>
      </c>
      <c r="L853" s="63" t="s">
        <v>253</v>
      </c>
      <c r="M853" s="69">
        <v>2056.5300000000002</v>
      </c>
      <c r="N853" s="63" t="s">
        <v>104</v>
      </c>
      <c r="O853" s="73">
        <f>_xlfn.XLOOKUP(Supplier_Perf_Table[[#This Row],[Currency]],'Comments 2'!$C$4:$C$16,'Comments 2'!$D$4:$D$16)</f>
        <v>1.9E-2</v>
      </c>
      <c r="P853" s="69">
        <f>IFERROR(Supplier_Perf_Table[[#This Row],[Unit_Cost]]*Supplier_Perf_Table[[#This Row],[Dollar Equivalent]],"")</f>
        <v>39.074070000000006</v>
      </c>
      <c r="Q853" s="75">
        <v>100</v>
      </c>
      <c r="R853" s="1">
        <v>205653</v>
      </c>
      <c r="S853" s="75">
        <f>Supplier_Perf_Table[[#This Row],[Unit_Cost]]*Supplier_Perf_Table[[#This Row],[Order_Quantity]]</f>
        <v>205653.00000000003</v>
      </c>
      <c r="T853" s="75">
        <f>IFERROR(Supplier_Perf_Table[[#This Row],[Dollar Equivalent]]*Supplier_Perf_Table[[#This Row],[Ordered_Value]],"")</f>
        <v>3907.4069999999997</v>
      </c>
      <c r="U853" s="75">
        <v>1</v>
      </c>
      <c r="V853" s="7">
        <v>0.01</v>
      </c>
      <c r="W853" s="75">
        <v>22</v>
      </c>
      <c r="X853" s="55">
        <f>IFERROR(Supplier_Perf_Table[[#This Row],[Actual_Delivery_Date]]-Supplier_Perf_Table[[#This Row],[Order Date]],"")</f>
        <v>22</v>
      </c>
      <c r="Y853" s="75" t="s">
        <v>3080</v>
      </c>
      <c r="Z853" s="56">
        <f>IFERROR(Supplier_Perf_Table[[#This Row],[Expected Delivery_Date]]-Supplier_Perf_Table[[#This Row],[Order Date]],"")</f>
        <v>12</v>
      </c>
      <c r="AA853" s="56">
        <f>Supplier_Perf_Table[[#This Row],[Calculated_Lead_Time2]]-Supplier_Perf_Table[[#This Row],[Calculated_Expected_Lead_Time]]</f>
        <v>10</v>
      </c>
      <c r="AB853" s="75">
        <v>10</v>
      </c>
      <c r="AC853" s="63" t="s">
        <v>39</v>
      </c>
      <c r="AD853" s="63" t="s">
        <v>40</v>
      </c>
      <c r="AE853" s="63" t="s">
        <v>105</v>
      </c>
      <c r="AF853" s="63" t="s">
        <v>66</v>
      </c>
      <c r="AG853" s="63" t="s">
        <v>107</v>
      </c>
      <c r="AH853" s="63" t="s">
        <v>136</v>
      </c>
      <c r="AI853" s="63" t="s">
        <v>191</v>
      </c>
      <c r="AJ853" s="63" t="s">
        <v>138</v>
      </c>
      <c r="AK853" s="83">
        <v>1.8</v>
      </c>
      <c r="AL853" s="63" t="s">
        <v>115</v>
      </c>
      <c r="AM853" s="63" t="s">
        <v>46</v>
      </c>
      <c r="AN853"/>
    </row>
    <row r="854" spans="1:40" ht="18" customHeight="1">
      <c r="A854" s="1" t="s">
        <v>2661</v>
      </c>
      <c r="B854" s="1" t="s">
        <v>2662</v>
      </c>
      <c r="C854" s="4">
        <v>46140</v>
      </c>
      <c r="D854" s="4">
        <v>46151</v>
      </c>
      <c r="E854" s="4">
        <v>46156</v>
      </c>
      <c r="F854" s="63" t="s">
        <v>80</v>
      </c>
      <c r="G854" s="63" t="s">
        <v>3839</v>
      </c>
      <c r="H854" s="63" t="s">
        <v>82</v>
      </c>
      <c r="I854" s="63" t="s">
        <v>120</v>
      </c>
      <c r="J854" s="63" t="s">
        <v>35</v>
      </c>
      <c r="K854" s="63" t="s">
        <v>2663</v>
      </c>
      <c r="L854" s="63" t="s">
        <v>180</v>
      </c>
      <c r="M854" s="69">
        <v>929.36</v>
      </c>
      <c r="N854" s="63" t="s">
        <v>53</v>
      </c>
      <c r="O854" s="73">
        <f>_xlfn.XLOOKUP(Supplier_Perf_Table[[#This Row],[Currency]],'Comments 2'!$C$4:$C$16,'Comments 2'!$D$4:$D$16)</f>
        <v>6.0999999999999999E-2</v>
      </c>
      <c r="P854" s="69">
        <f>IFERROR(Supplier_Perf_Table[[#This Row],[Unit_Cost]]*Supplier_Perf_Table[[#This Row],[Dollar Equivalent]],"")</f>
        <v>56.690959999999997</v>
      </c>
      <c r="Q854" s="75">
        <v>250</v>
      </c>
      <c r="R854" s="1">
        <v>232340</v>
      </c>
      <c r="S854" s="75">
        <f>Supplier_Perf_Table[[#This Row],[Unit_Cost]]*Supplier_Perf_Table[[#This Row],[Order_Quantity]]</f>
        <v>232340</v>
      </c>
      <c r="T854" s="75">
        <f>IFERROR(Supplier_Perf_Table[[#This Row],[Dollar Equivalent]]*Supplier_Perf_Table[[#This Row],[Ordered_Value]],"")</f>
        <v>14172.74</v>
      </c>
      <c r="U854" s="75">
        <v>3</v>
      </c>
      <c r="V854" s="7">
        <v>1.2E-2</v>
      </c>
      <c r="W854" s="75">
        <v>16</v>
      </c>
      <c r="X854" s="55">
        <f>IFERROR(Supplier_Perf_Table[[#This Row],[Actual_Delivery_Date]]-Supplier_Perf_Table[[#This Row],[Order Date]],"")</f>
        <v>16</v>
      </c>
      <c r="Y854" s="75">
        <v>11</v>
      </c>
      <c r="Z854" s="56">
        <f>IFERROR(Supplier_Perf_Table[[#This Row],[Expected Delivery_Date]]-Supplier_Perf_Table[[#This Row],[Order Date]],"")</f>
        <v>11</v>
      </c>
      <c r="AA854" s="56">
        <f>Supplier_Perf_Table[[#This Row],[Calculated_Lead_Time2]]-Supplier_Perf_Table[[#This Row],[Calculated_Expected_Lead_Time]]</f>
        <v>5</v>
      </c>
      <c r="AB854" s="75"/>
      <c r="AC854" s="63" t="s">
        <v>205</v>
      </c>
      <c r="AD854" s="63" t="s">
        <v>40</v>
      </c>
      <c r="AE854" s="63" t="s">
        <v>41</v>
      </c>
      <c r="AF854" s="63" t="s">
        <v>212</v>
      </c>
      <c r="AG854" s="63" t="s">
        <v>43</v>
      </c>
      <c r="AH854" s="63" t="s">
        <v>136</v>
      </c>
      <c r="AI854" s="63" t="s">
        <v>56</v>
      </c>
      <c r="AJ854" s="63" t="s">
        <v>138</v>
      </c>
      <c r="AK854" s="83">
        <v>4.0999999999999996</v>
      </c>
      <c r="AL854" s="63" t="s">
        <v>139</v>
      </c>
      <c r="AM854" s="63" t="s">
        <v>46</v>
      </c>
      <c r="AN854"/>
    </row>
    <row r="855" spans="1:40" ht="18" customHeight="1">
      <c r="A855" s="1" t="s">
        <v>2664</v>
      </c>
      <c r="B855" s="1" t="s">
        <v>2665</v>
      </c>
      <c r="C855" s="4">
        <v>46066</v>
      </c>
      <c r="D855" s="4">
        <v>46077</v>
      </c>
      <c r="E855" s="4">
        <v>46085</v>
      </c>
      <c r="F855" s="63" t="s">
        <v>209</v>
      </c>
      <c r="G855" s="63" t="s">
        <v>3845</v>
      </c>
      <c r="H855" s="63" t="s">
        <v>316</v>
      </c>
      <c r="I855" s="63" t="s">
        <v>61</v>
      </c>
      <c r="J855" s="63" t="s">
        <v>153</v>
      </c>
      <c r="K855" s="63" t="s">
        <v>2666</v>
      </c>
      <c r="L855" s="63" t="s">
        <v>295</v>
      </c>
      <c r="M855" s="69">
        <v>224.34</v>
      </c>
      <c r="N855" s="63" t="s">
        <v>53</v>
      </c>
      <c r="O855" s="73">
        <f>_xlfn.XLOOKUP(Supplier_Perf_Table[[#This Row],[Currency]],'Comments 2'!$C$4:$C$16,'Comments 2'!$D$4:$D$16)</f>
        <v>6.0999999999999999E-2</v>
      </c>
      <c r="P855" s="69">
        <f>IFERROR(Supplier_Perf_Table[[#This Row],[Unit_Cost]]*Supplier_Perf_Table[[#This Row],[Dollar Equivalent]],"")</f>
        <v>13.68474</v>
      </c>
      <c r="Q855" s="75">
        <v>1500</v>
      </c>
      <c r="R855" s="1">
        <v>336510</v>
      </c>
      <c r="S855" s="75">
        <f>Supplier_Perf_Table[[#This Row],[Unit_Cost]]*Supplier_Perf_Table[[#This Row],[Order_Quantity]]</f>
        <v>336510</v>
      </c>
      <c r="T855" s="75">
        <f>IFERROR(Supplier_Perf_Table[[#This Row],[Dollar Equivalent]]*Supplier_Perf_Table[[#This Row],[Ordered_Value]],"")</f>
        <v>20527.11</v>
      </c>
      <c r="U855" s="75">
        <v>32</v>
      </c>
      <c r="V855" s="7">
        <v>2.1299999999999999E-2</v>
      </c>
      <c r="W855" s="75">
        <v>19</v>
      </c>
      <c r="X855" s="55">
        <f>IFERROR(Supplier_Perf_Table[[#This Row],[Actual_Delivery_Date]]-Supplier_Perf_Table[[#This Row],[Order Date]],"")</f>
        <v>19</v>
      </c>
      <c r="Y855" s="75">
        <v>11</v>
      </c>
      <c r="Z855" s="56">
        <f>IFERROR(Supplier_Perf_Table[[#This Row],[Expected Delivery_Date]]-Supplier_Perf_Table[[#This Row],[Order Date]],"")</f>
        <v>11</v>
      </c>
      <c r="AA855" s="56">
        <f>Supplier_Perf_Table[[#This Row],[Calculated_Lead_Time2]]-Supplier_Perf_Table[[#This Row],[Calculated_Expected_Lead_Time]]</f>
        <v>8</v>
      </c>
      <c r="AB855" s="75">
        <v>8</v>
      </c>
      <c r="AC855" s="63" t="s">
        <v>205</v>
      </c>
      <c r="AD855" s="63" t="s">
        <v>40</v>
      </c>
      <c r="AE855" s="63" t="s">
        <v>3088</v>
      </c>
      <c r="AF855" s="63" t="s">
        <v>190</v>
      </c>
      <c r="AG855" s="63" t="s">
        <v>173</v>
      </c>
      <c r="AH855" s="63" t="s">
        <v>174</v>
      </c>
      <c r="AI855" s="63" t="s">
        <v>147</v>
      </c>
      <c r="AJ855" s="63" t="s">
        <v>138</v>
      </c>
      <c r="AK855" s="83">
        <v>3.2</v>
      </c>
      <c r="AL855" s="63" t="s">
        <v>184</v>
      </c>
      <c r="AM855" s="63" t="s">
        <v>148</v>
      </c>
      <c r="AN855"/>
    </row>
    <row r="856" spans="1:40" ht="18" customHeight="1">
      <c r="A856" s="1" t="s">
        <v>2667</v>
      </c>
      <c r="B856" s="1" t="s">
        <v>2668</v>
      </c>
      <c r="C856" s="4">
        <v>46202</v>
      </c>
      <c r="D856" s="4">
        <v>46213</v>
      </c>
      <c r="E856" s="4">
        <v>46214</v>
      </c>
      <c r="F856" s="63" t="s">
        <v>209</v>
      </c>
      <c r="G856" s="63" t="s">
        <v>3845</v>
      </c>
      <c r="H856" s="63" t="s">
        <v>316</v>
      </c>
      <c r="I856" s="63" t="s">
        <v>92</v>
      </c>
      <c r="J856" s="63" t="s">
        <v>153</v>
      </c>
      <c r="K856" s="63" t="s">
        <v>2669</v>
      </c>
      <c r="L856" s="63" t="s">
        <v>318</v>
      </c>
      <c r="M856" s="69">
        <v>346.62</v>
      </c>
      <c r="N856" s="63" t="s">
        <v>159</v>
      </c>
      <c r="O856" s="73">
        <f>_xlfn.XLOOKUP(Supplier_Perf_Table[[#This Row],[Currency]],'Comments 2'!$C$4:$C$16,'Comments 2'!$D$4:$D$16)</f>
        <v>7.2999999999999996E-4</v>
      </c>
      <c r="P856" s="69">
        <f>IFERROR(Supplier_Perf_Table[[#This Row],[Unit_Cost]]*Supplier_Perf_Table[[#This Row],[Dollar Equivalent]],"")</f>
        <v>0.2530326</v>
      </c>
      <c r="Q856" s="75">
        <v>500</v>
      </c>
      <c r="R856" s="1">
        <v>173310</v>
      </c>
      <c r="S856" s="75">
        <f>Supplier_Perf_Table[[#This Row],[Unit_Cost]]*Supplier_Perf_Table[[#This Row],[Order_Quantity]]</f>
        <v>173310</v>
      </c>
      <c r="T856" s="75">
        <f>IFERROR(Supplier_Perf_Table[[#This Row],[Dollar Equivalent]]*Supplier_Perf_Table[[#This Row],[Ordered_Value]],"")</f>
        <v>126.51629999999999</v>
      </c>
      <c r="U856" s="75">
        <v>21</v>
      </c>
      <c r="V856" s="7">
        <v>4.2000000000000003E-2</v>
      </c>
      <c r="W856" s="75">
        <v>12</v>
      </c>
      <c r="X856" s="55">
        <f>IFERROR(Supplier_Perf_Table[[#This Row],[Actual_Delivery_Date]]-Supplier_Perf_Table[[#This Row],[Order Date]],"")</f>
        <v>12</v>
      </c>
      <c r="Y856" s="75">
        <v>11</v>
      </c>
      <c r="Z856" s="56">
        <f>IFERROR(Supplier_Perf_Table[[#This Row],[Expected Delivery_Date]]-Supplier_Perf_Table[[#This Row],[Order Date]],"")</f>
        <v>11</v>
      </c>
      <c r="AA856" s="56">
        <f>Supplier_Perf_Table[[#This Row],[Calculated_Lead_Time2]]-Supplier_Perf_Table[[#This Row],[Calculated_Expected_Lead_Time]]</f>
        <v>1</v>
      </c>
      <c r="AB856" s="75">
        <v>1</v>
      </c>
      <c r="AC856" s="63" t="s">
        <v>135</v>
      </c>
      <c r="AD856" s="63" t="s">
        <v>366</v>
      </c>
      <c r="AE856" s="63" t="s">
        <v>41</v>
      </c>
      <c r="AF856" s="63" t="s">
        <v>106</v>
      </c>
      <c r="AG856" s="63" t="s">
        <v>54</v>
      </c>
      <c r="AH856" s="63" t="s">
        <v>174</v>
      </c>
      <c r="AI856" s="63" t="s">
        <v>95</v>
      </c>
      <c r="AJ856" s="63" t="s">
        <v>283</v>
      </c>
      <c r="AK856" s="83">
        <v>2.2000000000000002</v>
      </c>
      <c r="AL856" s="63" t="s">
        <v>45</v>
      </c>
      <c r="AM856" s="63" t="s">
        <v>77</v>
      </c>
      <c r="AN856"/>
    </row>
    <row r="857" spans="1:40" ht="18" customHeight="1">
      <c r="A857" s="1" t="s">
        <v>2670</v>
      </c>
      <c r="B857" s="1" t="s">
        <v>2671</v>
      </c>
      <c r="C857" s="4">
        <v>46152</v>
      </c>
      <c r="D857" s="4">
        <v>46158</v>
      </c>
      <c r="E857" s="4">
        <v>46164</v>
      </c>
      <c r="F857" s="63" t="s">
        <v>151</v>
      </c>
      <c r="G857" s="63" t="s">
        <v>3844</v>
      </c>
      <c r="H857" s="63" t="s">
        <v>152</v>
      </c>
      <c r="I857" s="63" t="s">
        <v>70</v>
      </c>
      <c r="J857" s="63" t="s">
        <v>112</v>
      </c>
      <c r="K857" s="63" t="s">
        <v>579</v>
      </c>
      <c r="L857" s="63" t="s">
        <v>218</v>
      </c>
      <c r="M857" s="69">
        <v>715.65</v>
      </c>
      <c r="N857" s="63" t="s">
        <v>38</v>
      </c>
      <c r="O857" s="73">
        <f>_xlfn.XLOOKUP(Supplier_Perf_Table[[#This Row],[Currency]],'Comments 2'!$C$4:$C$16,'Comments 2'!$D$4:$D$16)</f>
        <v>7.7000000000000002E-3</v>
      </c>
      <c r="P857" s="69">
        <f>IFERROR(Supplier_Perf_Table[[#This Row],[Unit_Cost]]*Supplier_Perf_Table[[#This Row],[Dollar Equivalent]],"")</f>
        <v>5.5105050000000002</v>
      </c>
      <c r="Q857" s="75">
        <v>2000</v>
      </c>
      <c r="R857" s="1">
        <v>1431300</v>
      </c>
      <c r="S857" s="75">
        <f>Supplier_Perf_Table[[#This Row],[Unit_Cost]]*Supplier_Perf_Table[[#This Row],[Order_Quantity]]</f>
        <v>1431300</v>
      </c>
      <c r="T857" s="75">
        <f>IFERROR(Supplier_Perf_Table[[#This Row],[Dollar Equivalent]]*Supplier_Perf_Table[[#This Row],[Ordered_Value]],"")</f>
        <v>11021.01</v>
      </c>
      <c r="U857" s="75">
        <v>41</v>
      </c>
      <c r="V857" s="7">
        <v>2.0500000000000001E-2</v>
      </c>
      <c r="W857" s="75">
        <v>12</v>
      </c>
      <c r="X857" s="55">
        <f>IFERROR(Supplier_Perf_Table[[#This Row],[Actual_Delivery_Date]]-Supplier_Perf_Table[[#This Row],[Order Date]],"")</f>
        <v>12</v>
      </c>
      <c r="Y857" s="75">
        <v>6</v>
      </c>
      <c r="Z857" s="56">
        <f>IFERROR(Supplier_Perf_Table[[#This Row],[Expected Delivery_Date]]-Supplier_Perf_Table[[#This Row],[Order Date]],"")</f>
        <v>6</v>
      </c>
      <c r="AA857" s="56">
        <f>Supplier_Perf_Table[[#This Row],[Calculated_Lead_Time2]]-Supplier_Perf_Table[[#This Row],[Calculated_Expected_Lead_Time]]</f>
        <v>6</v>
      </c>
      <c r="AB857" s="75">
        <v>6</v>
      </c>
      <c r="AC857" s="63" t="s">
        <v>39</v>
      </c>
      <c r="AD857" s="63" t="s">
        <v>40</v>
      </c>
      <c r="AE857" s="63" t="s">
        <v>105</v>
      </c>
      <c r="AF857" s="63" t="s">
        <v>42</v>
      </c>
      <c r="AG857" s="63" t="s">
        <v>54</v>
      </c>
      <c r="AH857" s="63" t="s">
        <v>55</v>
      </c>
      <c r="AI857" s="63" t="s">
        <v>137</v>
      </c>
      <c r="AJ857" s="63" t="s">
        <v>138</v>
      </c>
      <c r="AK857" s="83">
        <v>1.6</v>
      </c>
      <c r="AL857" s="63" t="s">
        <v>45</v>
      </c>
      <c r="AM857" s="63" t="s">
        <v>46</v>
      </c>
      <c r="AN857"/>
    </row>
    <row r="858" spans="1:40" ht="18" customHeight="1">
      <c r="A858" s="1" t="s">
        <v>2672</v>
      </c>
      <c r="B858" s="1" t="s">
        <v>2673</v>
      </c>
      <c r="C858" s="4">
        <v>46036</v>
      </c>
      <c r="D858" s="4">
        <v>46042</v>
      </c>
      <c r="E858" s="4">
        <v>46049</v>
      </c>
      <c r="F858" s="63" t="s">
        <v>209</v>
      </c>
      <c r="G858" s="63" t="s">
        <v>3845</v>
      </c>
      <c r="H858" s="63" t="s">
        <v>316</v>
      </c>
      <c r="I858" s="63" t="s">
        <v>178</v>
      </c>
      <c r="J858" s="63" t="s">
        <v>153</v>
      </c>
      <c r="K858" s="63" t="s">
        <v>2674</v>
      </c>
      <c r="L858" s="63" t="s">
        <v>318</v>
      </c>
      <c r="M858" s="69">
        <v>804.62</v>
      </c>
      <c r="N858" s="63" t="s">
        <v>38</v>
      </c>
      <c r="O858" s="73">
        <f>_xlfn.XLOOKUP(Supplier_Perf_Table[[#This Row],[Currency]],'Comments 2'!$C$4:$C$16,'Comments 2'!$D$4:$D$16)</f>
        <v>7.7000000000000002E-3</v>
      </c>
      <c r="P858" s="69">
        <f>IFERROR(Supplier_Perf_Table[[#This Row],[Unit_Cost]]*Supplier_Perf_Table[[#This Row],[Dollar Equivalent]],"")</f>
        <v>6.1955740000000006</v>
      </c>
      <c r="Q858" s="75">
        <v>750</v>
      </c>
      <c r="R858" s="1">
        <v>603465</v>
      </c>
      <c r="S858" s="75">
        <f>Supplier_Perf_Table[[#This Row],[Unit_Cost]]*Supplier_Perf_Table[[#This Row],[Order_Quantity]]</f>
        <v>603465</v>
      </c>
      <c r="T858" s="75">
        <f>IFERROR(Supplier_Perf_Table[[#This Row],[Dollar Equivalent]]*Supplier_Perf_Table[[#This Row],[Ordered_Value]],"")</f>
        <v>4646.6805000000004</v>
      </c>
      <c r="U858" s="75">
        <v>15</v>
      </c>
      <c r="V858" s="7">
        <v>0.02</v>
      </c>
      <c r="W858" s="75">
        <v>13</v>
      </c>
      <c r="X858" s="55">
        <f>IFERROR(Supplier_Perf_Table[[#This Row],[Actual_Delivery_Date]]-Supplier_Perf_Table[[#This Row],[Order Date]],"")</f>
        <v>13</v>
      </c>
      <c r="Y858" s="75">
        <v>6</v>
      </c>
      <c r="Z858" s="56">
        <f>IFERROR(Supplier_Perf_Table[[#This Row],[Expected Delivery_Date]]-Supplier_Perf_Table[[#This Row],[Order Date]],"")</f>
        <v>6</v>
      </c>
      <c r="AA858" s="56">
        <f>Supplier_Perf_Table[[#This Row],[Calculated_Lead_Time2]]-Supplier_Perf_Table[[#This Row],[Calculated_Expected_Lead_Time]]</f>
        <v>7</v>
      </c>
      <c r="AB858" s="75">
        <v>7</v>
      </c>
      <c r="AC858" s="63" t="s">
        <v>39</v>
      </c>
      <c r="AD858" s="63" t="s">
        <v>40</v>
      </c>
      <c r="AE858" s="63" t="s">
        <v>41</v>
      </c>
      <c r="AF858" s="63" t="s">
        <v>190</v>
      </c>
      <c r="AG858" s="63" t="s">
        <v>3088</v>
      </c>
      <c r="AH858" s="63" t="s">
        <v>88</v>
      </c>
      <c r="AI858" s="63" t="s">
        <v>138</v>
      </c>
      <c r="AJ858" s="63" t="s">
        <v>138</v>
      </c>
      <c r="AK858" s="83">
        <v>2.4</v>
      </c>
      <c r="AL858" s="63" t="s">
        <v>115</v>
      </c>
      <c r="AM858" s="63" t="s">
        <v>46</v>
      </c>
      <c r="AN858"/>
    </row>
    <row r="859" spans="1:40" ht="18" customHeight="1">
      <c r="A859" s="1" t="s">
        <v>2675</v>
      </c>
      <c r="B859" s="1" t="s">
        <v>2676</v>
      </c>
      <c r="C859" s="4">
        <v>46055</v>
      </c>
      <c r="D859" s="4">
        <v>46070</v>
      </c>
      <c r="E859" s="4">
        <v>46072</v>
      </c>
      <c r="F859" s="63" t="s">
        <v>100</v>
      </c>
      <c r="G859" s="63" t="s">
        <v>3841</v>
      </c>
      <c r="H859" s="63" t="s">
        <v>102</v>
      </c>
      <c r="I859" s="63" t="s">
        <v>34</v>
      </c>
      <c r="J859" s="63" t="s">
        <v>50</v>
      </c>
      <c r="K859" s="63" t="s">
        <v>2677</v>
      </c>
      <c r="L859" s="63" t="s">
        <v>189</v>
      </c>
      <c r="M859" s="69">
        <v>2204.71</v>
      </c>
      <c r="N859" s="63" t="s">
        <v>159</v>
      </c>
      <c r="O859" s="73">
        <f>_xlfn.XLOOKUP(Supplier_Perf_Table[[#This Row],[Currency]],'Comments 2'!$C$4:$C$16,'Comments 2'!$D$4:$D$16)</f>
        <v>7.2999999999999996E-4</v>
      </c>
      <c r="P859" s="69">
        <f>IFERROR(Supplier_Perf_Table[[#This Row],[Unit_Cost]]*Supplier_Perf_Table[[#This Row],[Dollar Equivalent]],"")</f>
        <v>1.6094382999999999</v>
      </c>
      <c r="Q859" s="75">
        <v>1000</v>
      </c>
      <c r="R859" s="1">
        <v>2204710</v>
      </c>
      <c r="S859" s="75">
        <f>Supplier_Perf_Table[[#This Row],[Unit_Cost]]*Supplier_Perf_Table[[#This Row],[Order_Quantity]]</f>
        <v>2204710</v>
      </c>
      <c r="T859" s="75">
        <f>IFERROR(Supplier_Perf_Table[[#This Row],[Dollar Equivalent]]*Supplier_Perf_Table[[#This Row],[Ordered_Value]],"")</f>
        <v>1609.4383</v>
      </c>
      <c r="U859" s="75">
        <v>22</v>
      </c>
      <c r="V859" s="7">
        <v>2.1999999999999999E-2</v>
      </c>
      <c r="W859" s="75">
        <v>17</v>
      </c>
      <c r="X859" s="55">
        <f>IFERROR(Supplier_Perf_Table[[#This Row],[Actual_Delivery_Date]]-Supplier_Perf_Table[[#This Row],[Order Date]],"")</f>
        <v>17</v>
      </c>
      <c r="Y859" s="75">
        <v>15</v>
      </c>
      <c r="Z859" s="56">
        <f>IFERROR(Supplier_Perf_Table[[#This Row],[Expected Delivery_Date]]-Supplier_Perf_Table[[#This Row],[Order Date]],"")</f>
        <v>15</v>
      </c>
      <c r="AA859" s="56">
        <f>Supplier_Perf_Table[[#This Row],[Calculated_Lead_Time2]]-Supplier_Perf_Table[[#This Row],[Calculated_Expected_Lead_Time]]</f>
        <v>2</v>
      </c>
      <c r="AB859" s="75">
        <v>2</v>
      </c>
      <c r="AC859" s="63" t="s">
        <v>135</v>
      </c>
      <c r="AD859" s="63" t="s">
        <v>40</v>
      </c>
      <c r="AE859" s="63" t="s">
        <v>105</v>
      </c>
      <c r="AF859" s="63" t="s">
        <v>66</v>
      </c>
      <c r="AG859" s="63" t="s">
        <v>3088</v>
      </c>
      <c r="AH859" s="63" t="s">
        <v>88</v>
      </c>
      <c r="AI859" s="63" t="s">
        <v>95</v>
      </c>
      <c r="AJ859" s="63" t="s">
        <v>138</v>
      </c>
      <c r="AK859" s="83">
        <v>2.9</v>
      </c>
      <c r="AL859" s="63" t="s">
        <v>139</v>
      </c>
      <c r="AM859" s="63" t="s">
        <v>46</v>
      </c>
      <c r="AN859"/>
    </row>
    <row r="860" spans="1:40" ht="18" customHeight="1">
      <c r="A860" s="1" t="s">
        <v>2678</v>
      </c>
      <c r="B860" s="1" t="s">
        <v>2679</v>
      </c>
      <c r="C860" s="4">
        <v>46094</v>
      </c>
      <c r="D860" s="4">
        <v>46105</v>
      </c>
      <c r="E860" s="4">
        <v>46107</v>
      </c>
      <c r="F860" s="63" t="s">
        <v>69</v>
      </c>
      <c r="G860" s="63" t="s">
        <v>3838</v>
      </c>
      <c r="H860" s="63" t="s">
        <v>194</v>
      </c>
      <c r="I860" s="63" t="s">
        <v>92</v>
      </c>
      <c r="J860" s="63" t="s">
        <v>112</v>
      </c>
      <c r="K860" s="63" t="s">
        <v>2680</v>
      </c>
      <c r="L860" s="63" t="s">
        <v>114</v>
      </c>
      <c r="M860" s="69">
        <v>255.74</v>
      </c>
      <c r="N860" s="63" t="s">
        <v>86</v>
      </c>
      <c r="O860" s="73">
        <f>_xlfn.XLOOKUP(Supplier_Perf_Table[[#This Row],[Currency]],'Comments 2'!$C$4:$C$16,'Comments 2'!$D$4:$D$16)</f>
        <v>8.8999999999999996E-2</v>
      </c>
      <c r="P860" s="69">
        <f>IFERROR(Supplier_Perf_Table[[#This Row],[Unit_Cost]]*Supplier_Perf_Table[[#This Row],[Dollar Equivalent]],"")</f>
        <v>22.760860000000001</v>
      </c>
      <c r="Q860" s="75">
        <v>150</v>
      </c>
      <c r="R860" s="1">
        <v>38361</v>
      </c>
      <c r="S860" s="75">
        <f>Supplier_Perf_Table[[#This Row],[Unit_Cost]]*Supplier_Perf_Table[[#This Row],[Order_Quantity]]</f>
        <v>38361</v>
      </c>
      <c r="T860" s="75">
        <f>IFERROR(Supplier_Perf_Table[[#This Row],[Dollar Equivalent]]*Supplier_Perf_Table[[#This Row],[Ordered_Value]],"")</f>
        <v>3414.1289999999999</v>
      </c>
      <c r="U860" s="75">
        <v>6</v>
      </c>
      <c r="V860" s="7">
        <v>0.04</v>
      </c>
      <c r="W860" s="75">
        <v>13</v>
      </c>
      <c r="X860" s="55">
        <f>IFERROR(Supplier_Perf_Table[[#This Row],[Actual_Delivery_Date]]-Supplier_Perf_Table[[#This Row],[Order Date]],"")</f>
        <v>13</v>
      </c>
      <c r="Y860" s="75">
        <v>11</v>
      </c>
      <c r="Z860" s="56">
        <f>IFERROR(Supplier_Perf_Table[[#This Row],[Expected Delivery_Date]]-Supplier_Perf_Table[[#This Row],[Order Date]],"")</f>
        <v>11</v>
      </c>
      <c r="AA860" s="56">
        <f>Supplier_Perf_Table[[#This Row],[Calculated_Lead_Time2]]-Supplier_Perf_Table[[#This Row],[Calculated_Expected_Lead_Time]]</f>
        <v>2</v>
      </c>
      <c r="AB860" s="75">
        <v>2</v>
      </c>
      <c r="AC860" s="63" t="s">
        <v>135</v>
      </c>
      <c r="AD860" s="63" t="s">
        <v>40</v>
      </c>
      <c r="AE860" s="63" t="s">
        <v>3088</v>
      </c>
      <c r="AF860" s="63" t="s">
        <v>106</v>
      </c>
      <c r="AG860" s="63" t="s">
        <v>43</v>
      </c>
      <c r="AH860" s="63" t="s">
        <v>174</v>
      </c>
      <c r="AI860" s="63" t="s">
        <v>56</v>
      </c>
      <c r="AJ860" s="63" t="s">
        <v>138</v>
      </c>
      <c r="AK860" s="83">
        <v>2.1</v>
      </c>
      <c r="AL860" s="63" t="s">
        <v>115</v>
      </c>
      <c r="AM860" s="63" t="s">
        <v>148</v>
      </c>
      <c r="AN860"/>
    </row>
    <row r="861" spans="1:40" ht="18" customHeight="1">
      <c r="A861" s="1" t="s">
        <v>2681</v>
      </c>
      <c r="B861" s="1" t="s">
        <v>2682</v>
      </c>
      <c r="C861" s="4">
        <v>46043</v>
      </c>
      <c r="D861" s="4">
        <v>46050</v>
      </c>
      <c r="E861" s="4">
        <v>46059</v>
      </c>
      <c r="F861" s="63" t="s">
        <v>60</v>
      </c>
      <c r="G861" s="63" t="s">
        <v>3837</v>
      </c>
      <c r="H861" s="63" t="s">
        <v>152</v>
      </c>
      <c r="I861" s="63" t="s">
        <v>92</v>
      </c>
      <c r="J861" s="63" t="s">
        <v>62</v>
      </c>
      <c r="K861" s="63" t="s">
        <v>93</v>
      </c>
      <c r="L861" s="63" t="s">
        <v>225</v>
      </c>
      <c r="M861" s="69">
        <v>38.909999999999997</v>
      </c>
      <c r="N861" s="63" t="s">
        <v>159</v>
      </c>
      <c r="O861" s="73">
        <f>_xlfn.XLOOKUP(Supplier_Perf_Table[[#This Row],[Currency]],'Comments 2'!$C$4:$C$16,'Comments 2'!$D$4:$D$16)</f>
        <v>7.2999999999999996E-4</v>
      </c>
      <c r="P861" s="69">
        <f>IFERROR(Supplier_Perf_Table[[#This Row],[Unit_Cost]]*Supplier_Perf_Table[[#This Row],[Dollar Equivalent]],"")</f>
        <v>2.8404299999999997E-2</v>
      </c>
      <c r="Q861" s="75">
        <v>200</v>
      </c>
      <c r="R861" s="1">
        <v>7782</v>
      </c>
      <c r="S861" s="75">
        <f>Supplier_Perf_Table[[#This Row],[Unit_Cost]]*Supplier_Perf_Table[[#This Row],[Order_Quantity]]</f>
        <v>7781.9999999999991</v>
      </c>
      <c r="T861" s="75">
        <f>IFERROR(Supplier_Perf_Table[[#This Row],[Dollar Equivalent]]*Supplier_Perf_Table[[#This Row],[Ordered_Value]],"")</f>
        <v>5.68086</v>
      </c>
      <c r="U861" s="75">
        <v>9</v>
      </c>
      <c r="V861" s="7">
        <v>4.4999999999999998E-2</v>
      </c>
      <c r="W861" s="75" t="s">
        <v>3080</v>
      </c>
      <c r="X861" s="55">
        <f>IFERROR(Supplier_Perf_Table[[#This Row],[Actual_Delivery_Date]]-Supplier_Perf_Table[[#This Row],[Order Date]],"")</f>
        <v>16</v>
      </c>
      <c r="Y861" s="75">
        <v>7</v>
      </c>
      <c r="Z861" s="56">
        <f>IFERROR(Supplier_Perf_Table[[#This Row],[Expected Delivery_Date]]-Supplier_Perf_Table[[#This Row],[Order Date]],"")</f>
        <v>7</v>
      </c>
      <c r="AA861" s="56">
        <f>Supplier_Perf_Table[[#This Row],[Calculated_Lead_Time2]]-Supplier_Perf_Table[[#This Row],[Calculated_Expected_Lead_Time]]</f>
        <v>9</v>
      </c>
      <c r="AB861" s="75">
        <v>9</v>
      </c>
      <c r="AC861" s="63" t="s">
        <v>39</v>
      </c>
      <c r="AD861" s="63" t="s">
        <v>366</v>
      </c>
      <c r="AE861" s="63" t="s">
        <v>41</v>
      </c>
      <c r="AF861" s="63" t="s">
        <v>3088</v>
      </c>
      <c r="AG861" s="63" t="s">
        <v>128</v>
      </c>
      <c r="AH861" s="63" t="s">
        <v>206</v>
      </c>
      <c r="AI861" s="63" t="s">
        <v>137</v>
      </c>
      <c r="AJ861" s="63" t="s">
        <v>283</v>
      </c>
      <c r="AK861" s="83">
        <v>3.1</v>
      </c>
      <c r="AL861" s="63" t="s">
        <v>115</v>
      </c>
      <c r="AM861" s="63" t="s">
        <v>77</v>
      </c>
      <c r="AN861"/>
    </row>
    <row r="862" spans="1:40" ht="18" customHeight="1">
      <c r="A862" s="1" t="s">
        <v>2683</v>
      </c>
      <c r="B862" s="1" t="s">
        <v>2684</v>
      </c>
      <c r="C862" s="4">
        <v>46051</v>
      </c>
      <c r="D862" s="4">
        <v>46066</v>
      </c>
      <c r="E862" s="4">
        <v>46064</v>
      </c>
      <c r="F862" s="63" t="s">
        <v>256</v>
      </c>
      <c r="G862" s="63" t="s">
        <v>3849</v>
      </c>
      <c r="H862" s="63" t="s">
        <v>258</v>
      </c>
      <c r="I862" s="63" t="s">
        <v>83</v>
      </c>
      <c r="J862" s="63" t="s">
        <v>153</v>
      </c>
      <c r="K862" s="63" t="s">
        <v>2685</v>
      </c>
      <c r="L862" s="63" t="s">
        <v>295</v>
      </c>
      <c r="M862" s="69">
        <v>309.77</v>
      </c>
      <c r="N862" s="63" t="s">
        <v>65</v>
      </c>
      <c r="O862" s="73">
        <f>_xlfn.XLOOKUP(Supplier_Perf_Table[[#This Row],[Currency]],'Comments 2'!$C$4:$C$16,'Comments 2'!$D$4:$D$16)</f>
        <v>1</v>
      </c>
      <c r="P862" s="69">
        <f>IFERROR(Supplier_Perf_Table[[#This Row],[Unit_Cost]]*Supplier_Perf_Table[[#This Row],[Dollar Equivalent]],"")</f>
        <v>309.77</v>
      </c>
      <c r="Q862" s="75">
        <v>300</v>
      </c>
      <c r="R862" s="1">
        <v>92931</v>
      </c>
      <c r="S862" s="75">
        <f>Supplier_Perf_Table[[#This Row],[Unit_Cost]]*Supplier_Perf_Table[[#This Row],[Order_Quantity]]</f>
        <v>92931</v>
      </c>
      <c r="T862" s="75">
        <f>IFERROR(Supplier_Perf_Table[[#This Row],[Dollar Equivalent]]*Supplier_Perf_Table[[#This Row],[Ordered_Value]],"")</f>
        <v>92931</v>
      </c>
      <c r="U862" s="75">
        <v>-1</v>
      </c>
      <c r="V862" s="7">
        <v>1.67E-2</v>
      </c>
      <c r="W862" s="75" t="s">
        <v>3080</v>
      </c>
      <c r="X862" s="55">
        <f>IFERROR(Supplier_Perf_Table[[#This Row],[Actual_Delivery_Date]]-Supplier_Perf_Table[[#This Row],[Order Date]],"")</f>
        <v>13</v>
      </c>
      <c r="Y862" s="75">
        <v>15</v>
      </c>
      <c r="Z862" s="56">
        <f>IFERROR(Supplier_Perf_Table[[#This Row],[Expected Delivery_Date]]-Supplier_Perf_Table[[#This Row],[Order Date]],"")</f>
        <v>15</v>
      </c>
      <c r="AA862" s="56">
        <f>Supplier_Perf_Table[[#This Row],[Calculated_Lead_Time2]]-Supplier_Perf_Table[[#This Row],[Calculated_Expected_Lead_Time]]</f>
        <v>-2</v>
      </c>
      <c r="AB862" s="75">
        <v>-2</v>
      </c>
      <c r="AC862" s="63" t="s">
        <v>270</v>
      </c>
      <c r="AD862" s="63" t="s">
        <v>40</v>
      </c>
      <c r="AE862" s="63" t="s">
        <v>146</v>
      </c>
      <c r="AF862" s="63" t="s">
        <v>106</v>
      </c>
      <c r="AG862" s="63" t="s">
        <v>54</v>
      </c>
      <c r="AH862" s="63" t="s">
        <v>174</v>
      </c>
      <c r="AI862" s="63" t="s">
        <v>56</v>
      </c>
      <c r="AJ862" s="63" t="s">
        <v>138</v>
      </c>
      <c r="AK862" s="83">
        <v>4.8</v>
      </c>
      <c r="AL862" s="63" t="s">
        <v>115</v>
      </c>
      <c r="AM862" s="63" t="s">
        <v>130</v>
      </c>
      <c r="AN862"/>
    </row>
    <row r="863" spans="1:40" ht="18" customHeight="1">
      <c r="A863" s="1" t="s">
        <v>2686</v>
      </c>
      <c r="B863" s="1" t="s">
        <v>2687</v>
      </c>
      <c r="C863" s="4">
        <v>46070</v>
      </c>
      <c r="D863" s="4">
        <v>46082</v>
      </c>
      <c r="E863" s="4">
        <v>46087</v>
      </c>
      <c r="F863" s="63" t="s">
        <v>100</v>
      </c>
      <c r="G863" s="63" t="s">
        <v>3841</v>
      </c>
      <c r="H863" s="63" t="s">
        <v>102</v>
      </c>
      <c r="I863" s="63" t="s">
        <v>49</v>
      </c>
      <c r="J863" s="63" t="s">
        <v>50</v>
      </c>
      <c r="K863" s="63" t="s">
        <v>2688</v>
      </c>
      <c r="L863" s="63" t="s">
        <v>145</v>
      </c>
      <c r="M863" s="69">
        <v>2027.74</v>
      </c>
      <c r="N863" s="63" t="s">
        <v>159</v>
      </c>
      <c r="O863" s="73">
        <f>_xlfn.XLOOKUP(Supplier_Perf_Table[[#This Row],[Currency]],'Comments 2'!$C$4:$C$16,'Comments 2'!$D$4:$D$16)</f>
        <v>7.2999999999999996E-4</v>
      </c>
      <c r="P863" s="69">
        <f>IFERROR(Supplier_Perf_Table[[#This Row],[Unit_Cost]]*Supplier_Perf_Table[[#This Row],[Dollar Equivalent]],"")</f>
        <v>1.4802502</v>
      </c>
      <c r="Q863" s="75" t="s">
        <v>3080</v>
      </c>
      <c r="R863" s="1">
        <v>1520805</v>
      </c>
      <c r="S863" s="75" t="e">
        <f>Supplier_Perf_Table[[#This Row],[Unit_Cost]]*Supplier_Perf_Table[[#This Row],[Order_Quantity]]</f>
        <v>#VALUE!</v>
      </c>
      <c r="T863" s="75">
        <f>IFERROR(Supplier_Perf_Table[[#This Row],[Dollar Equivalent]]*Supplier_Perf_Table[[#This Row],[Ordered_Value]],"")</f>
        <v>1110.1876499999998</v>
      </c>
      <c r="U863" s="75">
        <v>19</v>
      </c>
      <c r="V863" s="7">
        <v>2.53E-2</v>
      </c>
      <c r="W863" s="75">
        <v>17</v>
      </c>
      <c r="X863" s="55">
        <f>IFERROR(Supplier_Perf_Table[[#This Row],[Actual_Delivery_Date]]-Supplier_Perf_Table[[#This Row],[Order Date]],"")</f>
        <v>17</v>
      </c>
      <c r="Y863" s="75">
        <v>12</v>
      </c>
      <c r="Z863" s="56">
        <f>IFERROR(Supplier_Perf_Table[[#This Row],[Expected Delivery_Date]]-Supplier_Perf_Table[[#This Row],[Order Date]],"")</f>
        <v>12</v>
      </c>
      <c r="AA863" s="56">
        <f>Supplier_Perf_Table[[#This Row],[Calculated_Lead_Time2]]-Supplier_Perf_Table[[#This Row],[Calculated_Expected_Lead_Time]]</f>
        <v>5</v>
      </c>
      <c r="AB863" s="75">
        <v>5</v>
      </c>
      <c r="AC863" s="63" t="s">
        <v>39</v>
      </c>
      <c r="AD863" s="63" t="s">
        <v>40</v>
      </c>
      <c r="AE863" s="63" t="s">
        <v>105</v>
      </c>
      <c r="AF863" s="63" t="s">
        <v>3088</v>
      </c>
      <c r="AG863" s="63" t="s">
        <v>107</v>
      </c>
      <c r="AH863" s="63" t="s">
        <v>55</v>
      </c>
      <c r="AI863" s="63" t="s">
        <v>191</v>
      </c>
      <c r="AJ863" s="63" t="s">
        <v>138</v>
      </c>
      <c r="AK863" s="83">
        <v>2.2000000000000002</v>
      </c>
      <c r="AL863" s="63" t="s">
        <v>45</v>
      </c>
      <c r="AM863" s="63" t="s">
        <v>46</v>
      </c>
      <c r="AN863"/>
    </row>
    <row r="864" spans="1:40" ht="18" customHeight="1">
      <c r="A864" s="1" t="s">
        <v>2689</v>
      </c>
      <c r="B864" s="1" t="s">
        <v>2690</v>
      </c>
      <c r="C864" s="4">
        <v>46183</v>
      </c>
      <c r="D864" s="4">
        <v>46207</v>
      </c>
      <c r="E864" s="4">
        <v>46199</v>
      </c>
      <c r="F864" s="63" t="s">
        <v>142</v>
      </c>
      <c r="G864" s="63" t="s">
        <v>3843</v>
      </c>
      <c r="H864" s="63" t="s">
        <v>169</v>
      </c>
      <c r="I864" s="63" t="s">
        <v>83</v>
      </c>
      <c r="J864" s="63" t="s">
        <v>50</v>
      </c>
      <c r="K864" s="63" t="s">
        <v>2691</v>
      </c>
      <c r="L864" s="63" t="s">
        <v>189</v>
      </c>
      <c r="M864" s="69">
        <v>1116.9000000000001</v>
      </c>
      <c r="N864" s="63" t="s">
        <v>159</v>
      </c>
      <c r="O864" s="73">
        <f>_xlfn.XLOOKUP(Supplier_Perf_Table[[#This Row],[Currency]],'Comments 2'!$C$4:$C$16,'Comments 2'!$D$4:$D$16)</f>
        <v>7.2999999999999996E-4</v>
      </c>
      <c r="P864" s="69">
        <f>IFERROR(Supplier_Perf_Table[[#This Row],[Unit_Cost]]*Supplier_Perf_Table[[#This Row],[Dollar Equivalent]],"")</f>
        <v>0.81533699999999998</v>
      </c>
      <c r="Q864" s="75">
        <v>50</v>
      </c>
      <c r="R864" s="1">
        <v>55845</v>
      </c>
      <c r="S864" s="75">
        <f>Supplier_Perf_Table[[#This Row],[Unit_Cost]]*Supplier_Perf_Table[[#This Row],[Order_Quantity]]</f>
        <v>55845.000000000007</v>
      </c>
      <c r="T864" s="75">
        <f>IFERROR(Supplier_Perf_Table[[#This Row],[Dollar Equivalent]]*Supplier_Perf_Table[[#This Row],[Ordered_Value]],"")</f>
        <v>40.766849999999998</v>
      </c>
      <c r="U864" s="75">
        <v>2</v>
      </c>
      <c r="V864" s="7">
        <v>0.04</v>
      </c>
      <c r="W864" s="75">
        <v>16</v>
      </c>
      <c r="X864" s="55">
        <f>IFERROR(Supplier_Perf_Table[[#This Row],[Actual_Delivery_Date]]-Supplier_Perf_Table[[#This Row],[Order Date]],"")</f>
        <v>16</v>
      </c>
      <c r="Y864" s="75">
        <v>24</v>
      </c>
      <c r="Z864" s="56">
        <f>IFERROR(Supplier_Perf_Table[[#This Row],[Expected Delivery_Date]]-Supplier_Perf_Table[[#This Row],[Order Date]],"")</f>
        <v>24</v>
      </c>
      <c r="AA864" s="56">
        <f>Supplier_Perf_Table[[#This Row],[Calculated_Lead_Time2]]-Supplier_Perf_Table[[#This Row],[Calculated_Expected_Lead_Time]]</f>
        <v>-8</v>
      </c>
      <c r="AB864" s="75">
        <v>-8</v>
      </c>
      <c r="AC864" s="63" t="s">
        <v>270</v>
      </c>
      <c r="AD864" s="63" t="s">
        <v>40</v>
      </c>
      <c r="AE864" s="63" t="s">
        <v>105</v>
      </c>
      <c r="AF864" s="63" t="s">
        <v>42</v>
      </c>
      <c r="AG864" s="63" t="s">
        <v>128</v>
      </c>
      <c r="AH864" s="63" t="s">
        <v>174</v>
      </c>
      <c r="AI864" s="63" t="s">
        <v>138</v>
      </c>
      <c r="AJ864" s="63" t="s">
        <v>138</v>
      </c>
      <c r="AK864" s="83">
        <v>4.5999999999999996</v>
      </c>
      <c r="AL864" s="63" t="s">
        <v>45</v>
      </c>
      <c r="AM864" s="63" t="s">
        <v>138</v>
      </c>
      <c r="AN864"/>
    </row>
    <row r="865" spans="1:40" ht="18" customHeight="1">
      <c r="A865" s="1" t="s">
        <v>2692</v>
      </c>
      <c r="B865" s="1" t="s">
        <v>2693</v>
      </c>
      <c r="C865" s="4">
        <v>46075</v>
      </c>
      <c r="D865" s="4">
        <v>46087</v>
      </c>
      <c r="E865" s="4">
        <v>46093</v>
      </c>
      <c r="F865" s="63" t="s">
        <v>60</v>
      </c>
      <c r="G865" s="63" t="s">
        <v>3837</v>
      </c>
      <c r="H865" s="63" t="s">
        <v>152</v>
      </c>
      <c r="I865" s="63" t="s">
        <v>61</v>
      </c>
      <c r="J865" s="63" t="s">
        <v>62</v>
      </c>
      <c r="K865" s="63" t="s">
        <v>2694</v>
      </c>
      <c r="L865" s="63" t="s">
        <v>64</v>
      </c>
      <c r="M865" s="69">
        <v>423.94</v>
      </c>
      <c r="N865" s="63" t="s">
        <v>159</v>
      </c>
      <c r="O865" s="73">
        <f>_xlfn.XLOOKUP(Supplier_Perf_Table[[#This Row],[Currency]],'Comments 2'!$C$4:$C$16,'Comments 2'!$D$4:$D$16)</f>
        <v>7.2999999999999996E-4</v>
      </c>
      <c r="P865" s="69">
        <f>IFERROR(Supplier_Perf_Table[[#This Row],[Unit_Cost]]*Supplier_Perf_Table[[#This Row],[Dollar Equivalent]],"")</f>
        <v>0.30947619999999998</v>
      </c>
      <c r="Q865" s="75">
        <v>200</v>
      </c>
      <c r="R865" s="1">
        <v>84788</v>
      </c>
      <c r="S865" s="75">
        <f>Supplier_Perf_Table[[#This Row],[Unit_Cost]]*Supplier_Perf_Table[[#This Row],[Order_Quantity]]</f>
        <v>84788</v>
      </c>
      <c r="T865" s="75">
        <f>IFERROR(Supplier_Perf_Table[[#This Row],[Dollar Equivalent]]*Supplier_Perf_Table[[#This Row],[Ordered_Value]],"")</f>
        <v>61.895239999999994</v>
      </c>
      <c r="U865" s="75">
        <v>0</v>
      </c>
      <c r="V865" s="7">
        <v>0</v>
      </c>
      <c r="W865" s="75">
        <v>18</v>
      </c>
      <c r="X865" s="55">
        <f>IFERROR(Supplier_Perf_Table[[#This Row],[Actual_Delivery_Date]]-Supplier_Perf_Table[[#This Row],[Order Date]],"")</f>
        <v>18</v>
      </c>
      <c r="Y865" s="75">
        <v>12</v>
      </c>
      <c r="Z865" s="56">
        <f>IFERROR(Supplier_Perf_Table[[#This Row],[Expected Delivery_Date]]-Supplier_Perf_Table[[#This Row],[Order Date]],"")</f>
        <v>12</v>
      </c>
      <c r="AA865" s="56">
        <f>Supplier_Perf_Table[[#This Row],[Calculated_Lead_Time2]]-Supplier_Perf_Table[[#This Row],[Calculated_Expected_Lead_Time]]</f>
        <v>6</v>
      </c>
      <c r="AB865" s="75">
        <v>6</v>
      </c>
      <c r="AC865" s="63" t="s">
        <v>39</v>
      </c>
      <c r="AD865" s="63" t="s">
        <v>40</v>
      </c>
      <c r="AE865" s="63" t="s">
        <v>41</v>
      </c>
      <c r="AF865" s="63" t="s">
        <v>106</v>
      </c>
      <c r="AG865" s="63" t="s">
        <v>43</v>
      </c>
      <c r="AH865" s="63" t="s">
        <v>3112</v>
      </c>
      <c r="AI865" s="63" t="s">
        <v>56</v>
      </c>
      <c r="AJ865" s="63" t="s">
        <v>138</v>
      </c>
      <c r="AK865" s="83">
        <v>1.5</v>
      </c>
      <c r="AL865" s="63" t="s">
        <v>115</v>
      </c>
      <c r="AM865" s="63" t="s">
        <v>46</v>
      </c>
      <c r="AN865"/>
    </row>
    <row r="866" spans="1:40" ht="18" customHeight="1">
      <c r="A866" s="1" t="s">
        <v>2695</v>
      </c>
      <c r="B866" s="1" t="s">
        <v>2696</v>
      </c>
      <c r="C866" s="4">
        <v>46065</v>
      </c>
      <c r="D866" s="4">
        <v>46083</v>
      </c>
      <c r="E866" s="4">
        <v>46081</v>
      </c>
      <c r="F866" s="63" t="s">
        <v>142</v>
      </c>
      <c r="G866" s="63" t="s">
        <v>3843</v>
      </c>
      <c r="H866" s="63" t="s">
        <v>169</v>
      </c>
      <c r="I866" s="63" t="s">
        <v>49</v>
      </c>
      <c r="J866" s="63" t="s">
        <v>50</v>
      </c>
      <c r="K866" s="63" t="s">
        <v>2697</v>
      </c>
      <c r="L866" s="63" t="s">
        <v>189</v>
      </c>
      <c r="M866" s="69">
        <v>2687.06</v>
      </c>
      <c r="N866" s="63" t="s">
        <v>159</v>
      </c>
      <c r="O866" s="73">
        <f>_xlfn.XLOOKUP(Supplier_Perf_Table[[#This Row],[Currency]],'Comments 2'!$C$4:$C$16,'Comments 2'!$D$4:$D$16)</f>
        <v>7.2999999999999996E-4</v>
      </c>
      <c r="P866" s="69">
        <f>IFERROR(Supplier_Perf_Table[[#This Row],[Unit_Cost]]*Supplier_Perf_Table[[#This Row],[Dollar Equivalent]],"")</f>
        <v>1.9615537999999999</v>
      </c>
      <c r="Q866" s="75">
        <v>200</v>
      </c>
      <c r="R866" s="1">
        <v>537412</v>
      </c>
      <c r="S866" s="75">
        <f>Supplier_Perf_Table[[#This Row],[Unit_Cost]]*Supplier_Perf_Table[[#This Row],[Order_Quantity]]</f>
        <v>537412</v>
      </c>
      <c r="T866" s="75">
        <f>IFERROR(Supplier_Perf_Table[[#This Row],[Dollar Equivalent]]*Supplier_Perf_Table[[#This Row],[Ordered_Value]],"")</f>
        <v>392.31075999999996</v>
      </c>
      <c r="U866" s="75">
        <v>7</v>
      </c>
      <c r="V866" s="7">
        <v>3.5000000000000003E-2</v>
      </c>
      <c r="W866" s="75">
        <v>16</v>
      </c>
      <c r="X866" s="55">
        <f>IFERROR(Supplier_Perf_Table[[#This Row],[Actual_Delivery_Date]]-Supplier_Perf_Table[[#This Row],[Order Date]],"")</f>
        <v>16</v>
      </c>
      <c r="Y866" s="75">
        <v>18</v>
      </c>
      <c r="Z866" s="56">
        <f>IFERROR(Supplier_Perf_Table[[#This Row],[Expected Delivery_Date]]-Supplier_Perf_Table[[#This Row],[Order Date]],"")</f>
        <v>18</v>
      </c>
      <c r="AA866" s="56">
        <f>Supplier_Perf_Table[[#This Row],[Calculated_Lead_Time2]]-Supplier_Perf_Table[[#This Row],[Calculated_Expected_Lead_Time]]</f>
        <v>-2</v>
      </c>
      <c r="AB866" s="75">
        <v>-2</v>
      </c>
      <c r="AC866" s="63" t="s">
        <v>87</v>
      </c>
      <c r="AD866" s="63" t="s">
        <v>40</v>
      </c>
      <c r="AE866" s="63" t="s">
        <v>105</v>
      </c>
      <c r="AF866" s="63" t="s">
        <v>106</v>
      </c>
      <c r="AG866" s="63" t="s">
        <v>173</v>
      </c>
      <c r="AH866" s="63" t="s">
        <v>206</v>
      </c>
      <c r="AI866" s="63" t="s">
        <v>147</v>
      </c>
      <c r="AJ866" s="63" t="s">
        <v>138</v>
      </c>
      <c r="AK866" s="83">
        <v>3</v>
      </c>
      <c r="AL866" s="63" t="s">
        <v>139</v>
      </c>
      <c r="AM866" s="63" t="s">
        <v>138</v>
      </c>
      <c r="AN866"/>
    </row>
    <row r="867" spans="1:40" ht="18" customHeight="1">
      <c r="A867" s="1" t="s">
        <v>2698</v>
      </c>
      <c r="B867" s="1" t="s">
        <v>2699</v>
      </c>
      <c r="C867" s="4">
        <v>46091</v>
      </c>
      <c r="D867" s="4">
        <v>46102</v>
      </c>
      <c r="E867" s="4">
        <v>46100</v>
      </c>
      <c r="F867" s="63" t="s">
        <v>69</v>
      </c>
      <c r="G867" s="63" t="s">
        <v>3838</v>
      </c>
      <c r="H867" s="63" t="s">
        <v>194</v>
      </c>
      <c r="I867" s="63" t="s">
        <v>49</v>
      </c>
      <c r="J867" s="63" t="s">
        <v>35</v>
      </c>
      <c r="K867" s="63" t="s">
        <v>2700</v>
      </c>
      <c r="L867" s="63" t="s">
        <v>180</v>
      </c>
      <c r="M867" s="69" t="s">
        <v>3080</v>
      </c>
      <c r="N867" s="63" t="s">
        <v>65</v>
      </c>
      <c r="O867" s="73">
        <f>_xlfn.XLOOKUP(Supplier_Perf_Table[[#This Row],[Currency]],'Comments 2'!$C$4:$C$16,'Comments 2'!$D$4:$D$16)</f>
        <v>1</v>
      </c>
      <c r="P867" s="69" t="str">
        <f>IFERROR(Supplier_Perf_Table[[#This Row],[Unit_Cost]]*Supplier_Perf_Table[[#This Row],[Dollar Equivalent]],"")</f>
        <v/>
      </c>
      <c r="Q867" s="75">
        <v>200</v>
      </c>
      <c r="R867" s="1">
        <v>103470</v>
      </c>
      <c r="S867" s="75" t="e">
        <f>Supplier_Perf_Table[[#This Row],[Unit_Cost]]*Supplier_Perf_Table[[#This Row],[Order_Quantity]]</f>
        <v>#VALUE!</v>
      </c>
      <c r="T867" s="75">
        <f>IFERROR(Supplier_Perf_Table[[#This Row],[Dollar Equivalent]]*Supplier_Perf_Table[[#This Row],[Ordered_Value]],"")</f>
        <v>103470</v>
      </c>
      <c r="U867" s="75">
        <v>11</v>
      </c>
      <c r="V867" s="7">
        <v>5.5E-2</v>
      </c>
      <c r="W867" s="75">
        <v>9</v>
      </c>
      <c r="X867" s="55">
        <f>IFERROR(Supplier_Perf_Table[[#This Row],[Actual_Delivery_Date]]-Supplier_Perf_Table[[#This Row],[Order Date]],"")</f>
        <v>9</v>
      </c>
      <c r="Y867" s="75">
        <v>11</v>
      </c>
      <c r="Z867" s="56">
        <f>IFERROR(Supplier_Perf_Table[[#This Row],[Expected Delivery_Date]]-Supplier_Perf_Table[[#This Row],[Order Date]],"")</f>
        <v>11</v>
      </c>
      <c r="AA867" s="56">
        <f>Supplier_Perf_Table[[#This Row],[Calculated_Lead_Time2]]-Supplier_Perf_Table[[#This Row],[Calculated_Expected_Lead_Time]]</f>
        <v>-2</v>
      </c>
      <c r="AB867" s="75">
        <v>-2</v>
      </c>
      <c r="AC867" s="63" t="s">
        <v>87</v>
      </c>
      <c r="AD867" s="63" t="s">
        <v>74</v>
      </c>
      <c r="AE867" s="63" t="s">
        <v>105</v>
      </c>
      <c r="AF867" s="63" t="s">
        <v>66</v>
      </c>
      <c r="AG867" s="63" t="s">
        <v>43</v>
      </c>
      <c r="AH867" s="63" t="s">
        <v>206</v>
      </c>
      <c r="AI867" s="63" t="s">
        <v>95</v>
      </c>
      <c r="AJ867" s="63" t="s">
        <v>183</v>
      </c>
      <c r="AK867" s="83">
        <v>1.3</v>
      </c>
      <c r="AL867" s="63" t="s">
        <v>76</v>
      </c>
      <c r="AM867" s="63" t="s">
        <v>97</v>
      </c>
      <c r="AN867"/>
    </row>
    <row r="868" spans="1:40" ht="18" customHeight="1">
      <c r="A868" s="1" t="s">
        <v>2701</v>
      </c>
      <c r="B868" s="1" t="s">
        <v>2702</v>
      </c>
      <c r="C868" s="4">
        <v>46037</v>
      </c>
      <c r="D868" s="4">
        <v>46053</v>
      </c>
      <c r="E868" s="4">
        <v>46047</v>
      </c>
      <c r="F868" s="63" t="s">
        <v>80</v>
      </c>
      <c r="G868" s="63" t="s">
        <v>3839</v>
      </c>
      <c r="H868" s="63" t="s">
        <v>82</v>
      </c>
      <c r="I868" s="63" t="s">
        <v>178</v>
      </c>
      <c r="J868" s="63" t="s">
        <v>62</v>
      </c>
      <c r="K868" s="63" t="s">
        <v>2703</v>
      </c>
      <c r="L868" s="63" t="s">
        <v>122</v>
      </c>
      <c r="M868" s="69">
        <v>229.75</v>
      </c>
      <c r="N868" s="63" t="s">
        <v>65</v>
      </c>
      <c r="O868" s="73">
        <f>_xlfn.XLOOKUP(Supplier_Perf_Table[[#This Row],[Currency]],'Comments 2'!$C$4:$C$16,'Comments 2'!$D$4:$D$16)</f>
        <v>1</v>
      </c>
      <c r="P868" s="69">
        <f>IFERROR(Supplier_Perf_Table[[#This Row],[Unit_Cost]]*Supplier_Perf_Table[[#This Row],[Dollar Equivalent]],"")</f>
        <v>229.75</v>
      </c>
      <c r="Q868" s="75">
        <v>200</v>
      </c>
      <c r="R868" s="1">
        <v>45950</v>
      </c>
      <c r="S868" s="75">
        <f>Supplier_Perf_Table[[#This Row],[Unit_Cost]]*Supplier_Perf_Table[[#This Row],[Order_Quantity]]</f>
        <v>45950</v>
      </c>
      <c r="T868" s="75">
        <f>IFERROR(Supplier_Perf_Table[[#This Row],[Dollar Equivalent]]*Supplier_Perf_Table[[#This Row],[Ordered_Value]],"")</f>
        <v>45950</v>
      </c>
      <c r="U868" s="75">
        <v>2</v>
      </c>
      <c r="V868" s="7">
        <v>0.01</v>
      </c>
      <c r="W868" s="75">
        <v>10</v>
      </c>
      <c r="X868" s="55">
        <f>IFERROR(Supplier_Perf_Table[[#This Row],[Actual_Delivery_Date]]-Supplier_Perf_Table[[#This Row],[Order Date]],"")</f>
        <v>10</v>
      </c>
      <c r="Y868" s="75">
        <v>16</v>
      </c>
      <c r="Z868" s="56">
        <f>IFERROR(Supplier_Perf_Table[[#This Row],[Expected Delivery_Date]]-Supplier_Perf_Table[[#This Row],[Order Date]],"")</f>
        <v>16</v>
      </c>
      <c r="AA868" s="56">
        <f>Supplier_Perf_Table[[#This Row],[Calculated_Lead_Time2]]-Supplier_Perf_Table[[#This Row],[Calculated_Expected_Lead_Time]]</f>
        <v>-6</v>
      </c>
      <c r="AB868" s="75">
        <v>-6</v>
      </c>
      <c r="AC868" s="63" t="s">
        <v>270</v>
      </c>
      <c r="AD868" s="63" t="s">
        <v>40</v>
      </c>
      <c r="AE868" s="63" t="s">
        <v>105</v>
      </c>
      <c r="AF868" s="63" t="s">
        <v>66</v>
      </c>
      <c r="AG868" s="63" t="s">
        <v>173</v>
      </c>
      <c r="AH868" s="63" t="s">
        <v>55</v>
      </c>
      <c r="AI868" s="63" t="s">
        <v>44</v>
      </c>
      <c r="AJ868" s="63" t="s">
        <v>138</v>
      </c>
      <c r="AK868" s="83">
        <v>2.2999999999999998</v>
      </c>
      <c r="AL868" s="63" t="s">
        <v>76</v>
      </c>
      <c r="AM868" s="63" t="s">
        <v>138</v>
      </c>
      <c r="AN868"/>
    </row>
    <row r="869" spans="1:40" ht="18" customHeight="1">
      <c r="A869" s="1" t="s">
        <v>2704</v>
      </c>
      <c r="B869" s="1" t="s">
        <v>2705</v>
      </c>
      <c r="C869" s="4">
        <v>46145</v>
      </c>
      <c r="D869" s="4">
        <v>46161</v>
      </c>
      <c r="E869" s="4">
        <v>46162</v>
      </c>
      <c r="F869" s="63" t="s">
        <v>100</v>
      </c>
      <c r="G869" s="63" t="s">
        <v>3841</v>
      </c>
      <c r="H869" s="63" t="s">
        <v>102</v>
      </c>
      <c r="I869" s="63" t="s">
        <v>120</v>
      </c>
      <c r="J869" s="63" t="s">
        <v>112</v>
      </c>
      <c r="K869" s="63" t="s">
        <v>2706</v>
      </c>
      <c r="L869" s="63" t="s">
        <v>229</v>
      </c>
      <c r="M869" s="69">
        <v>62.97</v>
      </c>
      <c r="N869" s="63" t="s">
        <v>53</v>
      </c>
      <c r="O869" s="73">
        <f>_xlfn.XLOOKUP(Supplier_Perf_Table[[#This Row],[Currency]],'Comments 2'!$C$4:$C$16,'Comments 2'!$D$4:$D$16)</f>
        <v>6.0999999999999999E-2</v>
      </c>
      <c r="P869" s="69">
        <f>IFERROR(Supplier_Perf_Table[[#This Row],[Unit_Cost]]*Supplier_Perf_Table[[#This Row],[Dollar Equivalent]],"")</f>
        <v>3.84117</v>
      </c>
      <c r="Q869" s="75">
        <v>500</v>
      </c>
      <c r="R869" s="1">
        <v>31485</v>
      </c>
      <c r="S869" s="75">
        <f>Supplier_Perf_Table[[#This Row],[Unit_Cost]]*Supplier_Perf_Table[[#This Row],[Order_Quantity]]</f>
        <v>31485</v>
      </c>
      <c r="T869" s="75">
        <f>IFERROR(Supplier_Perf_Table[[#This Row],[Dollar Equivalent]]*Supplier_Perf_Table[[#This Row],[Ordered_Value]],"")</f>
        <v>1920.585</v>
      </c>
      <c r="U869" s="75">
        <v>10</v>
      </c>
      <c r="V869" s="7">
        <v>0.02</v>
      </c>
      <c r="W869" s="75">
        <v>17</v>
      </c>
      <c r="X869" s="55">
        <f>IFERROR(Supplier_Perf_Table[[#This Row],[Actual_Delivery_Date]]-Supplier_Perf_Table[[#This Row],[Order Date]],"")</f>
        <v>17</v>
      </c>
      <c r="Y869" s="75">
        <v>16</v>
      </c>
      <c r="Z869" s="56">
        <f>IFERROR(Supplier_Perf_Table[[#This Row],[Expected Delivery_Date]]-Supplier_Perf_Table[[#This Row],[Order Date]],"")</f>
        <v>16</v>
      </c>
      <c r="AA869" s="56">
        <f>Supplier_Perf_Table[[#This Row],[Calculated_Lead_Time2]]-Supplier_Perf_Table[[#This Row],[Calculated_Expected_Lead_Time]]</f>
        <v>1</v>
      </c>
      <c r="AB869" s="75">
        <v>1</v>
      </c>
      <c r="AC869" s="63" t="s">
        <v>166</v>
      </c>
      <c r="AD869" s="63" t="s">
        <v>40</v>
      </c>
      <c r="AE869" s="63" t="s">
        <v>3088</v>
      </c>
      <c r="AF869" s="63" t="s">
        <v>66</v>
      </c>
      <c r="AG869" s="63" t="s">
        <v>43</v>
      </c>
      <c r="AH869" s="63" t="s">
        <v>55</v>
      </c>
      <c r="AI869" s="63" t="s">
        <v>44</v>
      </c>
      <c r="AJ869" s="63" t="s">
        <v>138</v>
      </c>
      <c r="AK869" s="83">
        <v>4.5999999999999996</v>
      </c>
      <c r="AL869" s="63" t="s">
        <v>76</v>
      </c>
      <c r="AM869" s="63" t="s">
        <v>148</v>
      </c>
      <c r="AN869"/>
    </row>
    <row r="870" spans="1:40" ht="18" customHeight="1">
      <c r="A870" s="1" t="s">
        <v>2707</v>
      </c>
      <c r="B870" s="1" t="s">
        <v>2708</v>
      </c>
      <c r="C870" s="4">
        <v>46181</v>
      </c>
      <c r="D870" s="4">
        <v>46187</v>
      </c>
      <c r="E870" s="4">
        <v>46197</v>
      </c>
      <c r="F870" s="63" t="s">
        <v>60</v>
      </c>
      <c r="G870" s="63" t="s">
        <v>3837</v>
      </c>
      <c r="H870" s="63" t="s">
        <v>152</v>
      </c>
      <c r="I870" s="63" t="s">
        <v>49</v>
      </c>
      <c r="J870" s="63" t="s">
        <v>62</v>
      </c>
      <c r="K870" s="63" t="s">
        <v>2709</v>
      </c>
      <c r="L870" s="63" t="s">
        <v>225</v>
      </c>
      <c r="M870" s="69">
        <v>308.62</v>
      </c>
      <c r="N870" s="63" t="s">
        <v>65</v>
      </c>
      <c r="O870" s="73">
        <f>_xlfn.XLOOKUP(Supplier_Perf_Table[[#This Row],[Currency]],'Comments 2'!$C$4:$C$16,'Comments 2'!$D$4:$D$16)</f>
        <v>1</v>
      </c>
      <c r="P870" s="69">
        <f>IFERROR(Supplier_Perf_Table[[#This Row],[Unit_Cost]]*Supplier_Perf_Table[[#This Row],[Dollar Equivalent]],"")</f>
        <v>308.62</v>
      </c>
      <c r="Q870" s="75">
        <v>100</v>
      </c>
      <c r="R870" s="1" t="s">
        <v>3080</v>
      </c>
      <c r="S870" s="75">
        <f>Supplier_Perf_Table[[#This Row],[Unit_Cost]]*Supplier_Perf_Table[[#This Row],[Order_Quantity]]</f>
        <v>30862</v>
      </c>
      <c r="T870" s="75" t="str">
        <f>IFERROR(Supplier_Perf_Table[[#This Row],[Dollar Equivalent]]*Supplier_Perf_Table[[#This Row],[Ordered_Value]],"")</f>
        <v/>
      </c>
      <c r="U870" s="75">
        <v>0</v>
      </c>
      <c r="V870" s="7">
        <v>0</v>
      </c>
      <c r="W870" s="75">
        <v>16</v>
      </c>
      <c r="X870" s="55">
        <f>IFERROR(Supplier_Perf_Table[[#This Row],[Actual_Delivery_Date]]-Supplier_Perf_Table[[#This Row],[Order Date]],"")</f>
        <v>16</v>
      </c>
      <c r="Y870" s="75">
        <v>6</v>
      </c>
      <c r="Z870" s="56">
        <f>IFERROR(Supplier_Perf_Table[[#This Row],[Expected Delivery_Date]]-Supplier_Perf_Table[[#This Row],[Order Date]],"")</f>
        <v>6</v>
      </c>
      <c r="AA870" s="56">
        <f>Supplier_Perf_Table[[#This Row],[Calculated_Lead_Time2]]-Supplier_Perf_Table[[#This Row],[Calculated_Expected_Lead_Time]]</f>
        <v>10</v>
      </c>
      <c r="AB870" s="75">
        <v>10</v>
      </c>
      <c r="AC870" s="63" t="s">
        <v>135</v>
      </c>
      <c r="AD870" s="63" t="s">
        <v>40</v>
      </c>
      <c r="AE870" s="63" t="s">
        <v>127</v>
      </c>
      <c r="AF870" s="63" t="s">
        <v>190</v>
      </c>
      <c r="AG870" s="63" t="s">
        <v>107</v>
      </c>
      <c r="AH870" s="63" t="s">
        <v>88</v>
      </c>
      <c r="AI870" s="63" t="s">
        <v>44</v>
      </c>
      <c r="AJ870" s="63" t="s">
        <v>138</v>
      </c>
      <c r="AK870" s="83">
        <v>1.8</v>
      </c>
      <c r="AL870" s="63" t="s">
        <v>108</v>
      </c>
      <c r="AM870" s="63" t="s">
        <v>148</v>
      </c>
      <c r="AN870"/>
    </row>
    <row r="871" spans="1:40" ht="18" customHeight="1">
      <c r="A871" s="1" t="s">
        <v>2710</v>
      </c>
      <c r="B871" s="1" t="s">
        <v>2711</v>
      </c>
      <c r="C871" s="4">
        <v>46198</v>
      </c>
      <c r="D871" s="4">
        <v>46215</v>
      </c>
      <c r="E871" s="4">
        <v>46214</v>
      </c>
      <c r="F871" s="63" t="s">
        <v>48</v>
      </c>
      <c r="G871" s="63" t="s">
        <v>3836</v>
      </c>
      <c r="H871" s="63" t="s">
        <v>102</v>
      </c>
      <c r="I871" s="63" t="s">
        <v>70</v>
      </c>
      <c r="J871" s="63" t="s">
        <v>50</v>
      </c>
      <c r="K871" s="63" t="s">
        <v>2712</v>
      </c>
      <c r="L871" s="63" t="s">
        <v>52</v>
      </c>
      <c r="M871" s="69">
        <v>31.05</v>
      </c>
      <c r="N871" s="63" t="s">
        <v>86</v>
      </c>
      <c r="O871" s="73">
        <f>_xlfn.XLOOKUP(Supplier_Perf_Table[[#This Row],[Currency]],'Comments 2'!$C$4:$C$16,'Comments 2'!$D$4:$D$16)</f>
        <v>8.8999999999999996E-2</v>
      </c>
      <c r="P871" s="69">
        <f>IFERROR(Supplier_Perf_Table[[#This Row],[Unit_Cost]]*Supplier_Perf_Table[[#This Row],[Dollar Equivalent]],"")</f>
        <v>2.7634499999999997</v>
      </c>
      <c r="Q871" s="75">
        <v>50</v>
      </c>
      <c r="R871" s="1">
        <v>1552.5</v>
      </c>
      <c r="S871" s="75">
        <f>Supplier_Perf_Table[[#This Row],[Unit_Cost]]*Supplier_Perf_Table[[#This Row],[Order_Quantity]]</f>
        <v>1552.5</v>
      </c>
      <c r="T871" s="75">
        <f>IFERROR(Supplier_Perf_Table[[#This Row],[Dollar Equivalent]]*Supplier_Perf_Table[[#This Row],[Ordered_Value]],"")</f>
        <v>138.17249999999999</v>
      </c>
      <c r="U871" s="75">
        <v>2</v>
      </c>
      <c r="V871" s="7">
        <v>0.04</v>
      </c>
      <c r="W871" s="75">
        <v>16</v>
      </c>
      <c r="X871" s="55">
        <f>IFERROR(Supplier_Perf_Table[[#This Row],[Actual_Delivery_Date]]-Supplier_Perf_Table[[#This Row],[Order Date]],"")</f>
        <v>16</v>
      </c>
      <c r="Y871" s="75">
        <v>17</v>
      </c>
      <c r="Z871" s="56">
        <f>IFERROR(Supplier_Perf_Table[[#This Row],[Expected Delivery_Date]]-Supplier_Perf_Table[[#This Row],[Order Date]],"")</f>
        <v>17</v>
      </c>
      <c r="AA871" s="56">
        <f>Supplier_Perf_Table[[#This Row],[Calculated_Lead_Time2]]-Supplier_Perf_Table[[#This Row],[Calculated_Expected_Lead_Time]]</f>
        <v>-1</v>
      </c>
      <c r="AB871" s="75">
        <v>-1</v>
      </c>
      <c r="AC871" s="63" t="s">
        <v>87</v>
      </c>
      <c r="AD871" s="63" t="s">
        <v>40</v>
      </c>
      <c r="AE871" s="63" t="s">
        <v>41</v>
      </c>
      <c r="AF871" s="63" t="s">
        <v>190</v>
      </c>
      <c r="AG871" s="63" t="s">
        <v>3088</v>
      </c>
      <c r="AH871" s="63" t="s">
        <v>55</v>
      </c>
      <c r="AI871" s="63" t="s">
        <v>44</v>
      </c>
      <c r="AJ871" s="63" t="s">
        <v>138</v>
      </c>
      <c r="AK871" s="83">
        <v>4.5</v>
      </c>
      <c r="AL871" s="63" t="s">
        <v>139</v>
      </c>
      <c r="AM871" s="63" t="s">
        <v>138</v>
      </c>
      <c r="AN871"/>
    </row>
    <row r="872" spans="1:40" ht="18" customHeight="1">
      <c r="A872" s="1" t="s">
        <v>2713</v>
      </c>
      <c r="B872" s="1" t="s">
        <v>2714</v>
      </c>
      <c r="C872" s="4">
        <v>46202</v>
      </c>
      <c r="D872" s="4">
        <v>46214</v>
      </c>
      <c r="E872" s="4">
        <v>46222</v>
      </c>
      <c r="F872" s="63" t="s">
        <v>209</v>
      </c>
      <c r="G872" s="63" t="s">
        <v>3845</v>
      </c>
      <c r="H872" s="63" t="s">
        <v>316</v>
      </c>
      <c r="I872" s="63" t="s">
        <v>49</v>
      </c>
      <c r="J872" s="63" t="s">
        <v>153</v>
      </c>
      <c r="K872" s="63" t="s">
        <v>2715</v>
      </c>
      <c r="L872" s="63" t="s">
        <v>204</v>
      </c>
      <c r="M872" s="69">
        <v>233.37</v>
      </c>
      <c r="N872" s="63" t="s">
        <v>65</v>
      </c>
      <c r="O872" s="73">
        <f>_xlfn.XLOOKUP(Supplier_Perf_Table[[#This Row],[Currency]],'Comments 2'!$C$4:$C$16,'Comments 2'!$D$4:$D$16)</f>
        <v>1</v>
      </c>
      <c r="P872" s="69">
        <f>IFERROR(Supplier_Perf_Table[[#This Row],[Unit_Cost]]*Supplier_Perf_Table[[#This Row],[Dollar Equivalent]],"")</f>
        <v>233.37</v>
      </c>
      <c r="Q872" s="75">
        <v>1500</v>
      </c>
      <c r="R872" s="1">
        <v>350055</v>
      </c>
      <c r="S872" s="75">
        <f>Supplier_Perf_Table[[#This Row],[Unit_Cost]]*Supplier_Perf_Table[[#This Row],[Order_Quantity]]</f>
        <v>350055</v>
      </c>
      <c r="T872" s="75">
        <f>IFERROR(Supplier_Perf_Table[[#This Row],[Dollar Equivalent]]*Supplier_Perf_Table[[#This Row],[Ordered_Value]],"")</f>
        <v>350055</v>
      </c>
      <c r="U872" s="75">
        <v>43</v>
      </c>
      <c r="V872" s="7">
        <v>2.87E-2</v>
      </c>
      <c r="W872" s="75">
        <v>20</v>
      </c>
      <c r="X872" s="55">
        <f>IFERROR(Supplier_Perf_Table[[#This Row],[Actual_Delivery_Date]]-Supplier_Perf_Table[[#This Row],[Order Date]],"")</f>
        <v>20</v>
      </c>
      <c r="Y872" s="75">
        <v>12</v>
      </c>
      <c r="Z872" s="56">
        <f>IFERROR(Supplier_Perf_Table[[#This Row],[Expected Delivery_Date]]-Supplier_Perf_Table[[#This Row],[Order Date]],"")</f>
        <v>12</v>
      </c>
      <c r="AA872" s="56">
        <f>Supplier_Perf_Table[[#This Row],[Calculated_Lead_Time2]]-Supplier_Perf_Table[[#This Row],[Calculated_Expected_Lead_Time]]</f>
        <v>8</v>
      </c>
      <c r="AB872" s="75">
        <v>8</v>
      </c>
      <c r="AC872" s="63" t="s">
        <v>135</v>
      </c>
      <c r="AD872" s="63" t="s">
        <v>40</v>
      </c>
      <c r="AE872" s="63" t="s">
        <v>41</v>
      </c>
      <c r="AF872" s="63" t="s">
        <v>190</v>
      </c>
      <c r="AG872" s="63" t="s">
        <v>3088</v>
      </c>
      <c r="AH872" s="63" t="s">
        <v>55</v>
      </c>
      <c r="AI872" s="63" t="s">
        <v>44</v>
      </c>
      <c r="AJ872" s="63" t="s">
        <v>138</v>
      </c>
      <c r="AK872" s="83">
        <v>2.7</v>
      </c>
      <c r="AL872" s="63" t="s">
        <v>45</v>
      </c>
      <c r="AM872" s="63" t="s">
        <v>46</v>
      </c>
      <c r="AN872"/>
    </row>
    <row r="873" spans="1:40" ht="18" customHeight="1">
      <c r="A873" s="63" t="s">
        <v>2716</v>
      </c>
      <c r="B873" s="63" t="s">
        <v>2717</v>
      </c>
      <c r="C873" s="4">
        <v>46089</v>
      </c>
      <c r="D873" s="4">
        <v>46104</v>
      </c>
      <c r="E873" s="4">
        <v>46106</v>
      </c>
      <c r="F873" s="63" t="s">
        <v>100</v>
      </c>
      <c r="G873" s="63" t="s">
        <v>3841</v>
      </c>
      <c r="H873" s="63" t="s">
        <v>102</v>
      </c>
      <c r="I873" s="63" t="s">
        <v>49</v>
      </c>
      <c r="J873" s="63" t="s">
        <v>50</v>
      </c>
      <c r="K873" s="63" t="s">
        <v>2718</v>
      </c>
      <c r="L873" s="63" t="s">
        <v>52</v>
      </c>
      <c r="M873" s="69">
        <v>670.6</v>
      </c>
      <c r="N873" s="63" t="s">
        <v>86</v>
      </c>
      <c r="O873" s="73">
        <f>_xlfn.XLOOKUP(Supplier_Perf_Table[[#This Row],[Currency]],'Comments 2'!$C$4:$C$16,'Comments 2'!$D$4:$D$16)</f>
        <v>8.8999999999999996E-2</v>
      </c>
      <c r="P873" s="69">
        <f>IFERROR(Supplier_Perf_Table[[#This Row],[Unit_Cost]]*Supplier_Perf_Table[[#This Row],[Dollar Equivalent]],"")</f>
        <v>59.683399999999999</v>
      </c>
      <c r="Q873" s="75">
        <v>500</v>
      </c>
      <c r="R873" s="1">
        <v>335300</v>
      </c>
      <c r="S873" s="75">
        <f>Supplier_Perf_Table[[#This Row],[Unit_Cost]]*Supplier_Perf_Table[[#This Row],[Order_Quantity]]</f>
        <v>335300</v>
      </c>
      <c r="T873" s="75">
        <f>IFERROR(Supplier_Perf_Table[[#This Row],[Dollar Equivalent]]*Supplier_Perf_Table[[#This Row],[Ordered_Value]],"")</f>
        <v>29841.699999999997</v>
      </c>
      <c r="U873" s="75">
        <v>23</v>
      </c>
      <c r="V873" s="7">
        <v>4.5999999999999999E-2</v>
      </c>
      <c r="W873" s="75">
        <v>17</v>
      </c>
      <c r="X873" s="55">
        <f>IFERROR(Supplier_Perf_Table[[#This Row],[Actual_Delivery_Date]]-Supplier_Perf_Table[[#This Row],[Order Date]],"")</f>
        <v>17</v>
      </c>
      <c r="Y873" s="75">
        <v>15</v>
      </c>
      <c r="Z873" s="56">
        <f>IFERROR(Supplier_Perf_Table[[#This Row],[Expected Delivery_Date]]-Supplier_Perf_Table[[#This Row],[Order Date]],"")</f>
        <v>15</v>
      </c>
      <c r="AA873" s="56">
        <f>Supplier_Perf_Table[[#This Row],[Calculated_Lead_Time2]]-Supplier_Perf_Table[[#This Row],[Calculated_Expected_Lead_Time]]</f>
        <v>2</v>
      </c>
      <c r="AB873" s="75">
        <v>2</v>
      </c>
      <c r="AC873" s="63" t="s">
        <v>135</v>
      </c>
      <c r="AD873" s="63" t="s">
        <v>74</v>
      </c>
      <c r="AE873" s="63" t="s">
        <v>105</v>
      </c>
      <c r="AF873" s="63" t="s">
        <v>42</v>
      </c>
      <c r="AG873" s="63" t="s">
        <v>54</v>
      </c>
      <c r="AH873" s="63" t="s">
        <v>55</v>
      </c>
      <c r="AI873" s="63" t="s">
        <v>138</v>
      </c>
      <c r="AJ873" s="63" t="s">
        <v>373</v>
      </c>
      <c r="AK873" s="83">
        <v>3.2</v>
      </c>
      <c r="AL873" s="63" t="s">
        <v>76</v>
      </c>
      <c r="AM873" s="63" t="s">
        <v>77</v>
      </c>
      <c r="AN873"/>
    </row>
    <row r="874" spans="1:40" ht="18" customHeight="1">
      <c r="A874" s="1" t="s">
        <v>2719</v>
      </c>
      <c r="B874" s="1" t="s">
        <v>2720</v>
      </c>
      <c r="C874" s="4">
        <v>46066</v>
      </c>
      <c r="D874" s="4">
        <v>46088</v>
      </c>
      <c r="E874" s="4">
        <v>46081</v>
      </c>
      <c r="F874" s="63" t="s">
        <v>118</v>
      </c>
      <c r="G874" s="63" t="s">
        <v>3842</v>
      </c>
      <c r="H874" s="63" t="s">
        <v>301</v>
      </c>
      <c r="I874" s="63" t="s">
        <v>92</v>
      </c>
      <c r="J874" s="63" t="s">
        <v>112</v>
      </c>
      <c r="K874" s="63" t="s">
        <v>2721</v>
      </c>
      <c r="L874" s="63" t="s">
        <v>229</v>
      </c>
      <c r="M874" s="69">
        <v>222.15</v>
      </c>
      <c r="N874" s="63" t="s">
        <v>159</v>
      </c>
      <c r="O874" s="73">
        <f>_xlfn.XLOOKUP(Supplier_Perf_Table[[#This Row],[Currency]],'Comments 2'!$C$4:$C$16,'Comments 2'!$D$4:$D$16)</f>
        <v>7.2999999999999996E-4</v>
      </c>
      <c r="P874" s="69">
        <f>IFERROR(Supplier_Perf_Table[[#This Row],[Unit_Cost]]*Supplier_Perf_Table[[#This Row],[Dollar Equivalent]],"")</f>
        <v>0.16216949999999999</v>
      </c>
      <c r="Q874" s="75">
        <v>200</v>
      </c>
      <c r="R874" s="1">
        <v>44430</v>
      </c>
      <c r="S874" s="75">
        <f>Supplier_Perf_Table[[#This Row],[Unit_Cost]]*Supplier_Perf_Table[[#This Row],[Order_Quantity]]</f>
        <v>44430</v>
      </c>
      <c r="T874" s="75">
        <f>IFERROR(Supplier_Perf_Table[[#This Row],[Dollar Equivalent]]*Supplier_Perf_Table[[#This Row],[Ordered_Value]],"")</f>
        <v>32.433900000000001</v>
      </c>
      <c r="U874" s="75">
        <v>202</v>
      </c>
      <c r="V874" s="7">
        <v>0.02</v>
      </c>
      <c r="W874" s="75">
        <v>15</v>
      </c>
      <c r="X874" s="55">
        <f>IFERROR(Supplier_Perf_Table[[#This Row],[Actual_Delivery_Date]]-Supplier_Perf_Table[[#This Row],[Order Date]],"")</f>
        <v>15</v>
      </c>
      <c r="Y874" s="75" t="s">
        <v>3080</v>
      </c>
      <c r="Z874" s="56">
        <f>IFERROR(Supplier_Perf_Table[[#This Row],[Expected Delivery_Date]]-Supplier_Perf_Table[[#This Row],[Order Date]],"")</f>
        <v>22</v>
      </c>
      <c r="AA874" s="56">
        <f>Supplier_Perf_Table[[#This Row],[Calculated_Lead_Time2]]-Supplier_Perf_Table[[#This Row],[Calculated_Expected_Lead_Time]]</f>
        <v>-7</v>
      </c>
      <c r="AB874" s="75">
        <v>-7</v>
      </c>
      <c r="AC874" s="63" t="s">
        <v>270</v>
      </c>
      <c r="AD874" s="63" t="s">
        <v>40</v>
      </c>
      <c r="AE874" s="63" t="s">
        <v>146</v>
      </c>
      <c r="AF874" s="63" t="s">
        <v>212</v>
      </c>
      <c r="AG874" s="63" t="s">
        <v>128</v>
      </c>
      <c r="AH874" s="63" t="s">
        <v>3112</v>
      </c>
      <c r="AI874" s="63" t="s">
        <v>137</v>
      </c>
      <c r="AJ874" s="63" t="s">
        <v>138</v>
      </c>
      <c r="AK874" s="83">
        <v>2.7</v>
      </c>
      <c r="AL874" s="63" t="s">
        <v>139</v>
      </c>
      <c r="AM874" s="63" t="s">
        <v>130</v>
      </c>
      <c r="AN874"/>
    </row>
    <row r="875" spans="1:40" ht="18" customHeight="1">
      <c r="A875" s="1" t="s">
        <v>2722</v>
      </c>
      <c r="B875" s="1" t="s">
        <v>2723</v>
      </c>
      <c r="C875" s="4">
        <v>46051</v>
      </c>
      <c r="D875" s="4">
        <v>46059</v>
      </c>
      <c r="E875" s="4">
        <v>46063</v>
      </c>
      <c r="F875" s="63" t="s">
        <v>162</v>
      </c>
      <c r="G875" s="63" t="s">
        <v>3847</v>
      </c>
      <c r="H875" s="63" t="s">
        <v>152</v>
      </c>
      <c r="I875" s="63" t="s">
        <v>83</v>
      </c>
      <c r="J875" s="63" t="s">
        <v>50</v>
      </c>
      <c r="K875" s="63" t="s">
        <v>2724</v>
      </c>
      <c r="L875" s="63" t="s">
        <v>189</v>
      </c>
      <c r="M875" s="69">
        <v>1707.13</v>
      </c>
      <c r="N875" s="63" t="s">
        <v>159</v>
      </c>
      <c r="O875" s="73">
        <f>_xlfn.XLOOKUP(Supplier_Perf_Table[[#This Row],[Currency]],'Comments 2'!$C$4:$C$16,'Comments 2'!$D$4:$D$16)</f>
        <v>7.2999999999999996E-4</v>
      </c>
      <c r="P875" s="69">
        <f>IFERROR(Supplier_Perf_Table[[#This Row],[Unit_Cost]]*Supplier_Perf_Table[[#This Row],[Dollar Equivalent]],"")</f>
        <v>1.2462048999999999</v>
      </c>
      <c r="Q875" s="75">
        <v>1500</v>
      </c>
      <c r="R875" s="1">
        <v>2560695</v>
      </c>
      <c r="S875" s="75">
        <f>Supplier_Perf_Table[[#This Row],[Unit_Cost]]*Supplier_Perf_Table[[#This Row],[Order_Quantity]]</f>
        <v>2560695</v>
      </c>
      <c r="T875" s="75">
        <f>IFERROR(Supplier_Perf_Table[[#This Row],[Dollar Equivalent]]*Supplier_Perf_Table[[#This Row],[Ordered_Value]],"")</f>
        <v>1869.3073499999998</v>
      </c>
      <c r="U875" s="75">
        <v>43</v>
      </c>
      <c r="V875" s="7">
        <v>2.87E-2</v>
      </c>
      <c r="W875" s="75">
        <v>12</v>
      </c>
      <c r="X875" s="55">
        <f>IFERROR(Supplier_Perf_Table[[#This Row],[Actual_Delivery_Date]]-Supplier_Perf_Table[[#This Row],[Order Date]],"")</f>
        <v>12</v>
      </c>
      <c r="Y875" s="75" t="s">
        <v>3080</v>
      </c>
      <c r="Z875" s="56">
        <f>IFERROR(Supplier_Perf_Table[[#This Row],[Expected Delivery_Date]]-Supplier_Perf_Table[[#This Row],[Order Date]],"")</f>
        <v>8</v>
      </c>
      <c r="AA875" s="56">
        <f>Supplier_Perf_Table[[#This Row],[Calculated_Lead_Time2]]-Supplier_Perf_Table[[#This Row],[Calculated_Expected_Lead_Time]]</f>
        <v>4</v>
      </c>
      <c r="AB875" s="75">
        <v>4</v>
      </c>
      <c r="AC875" s="63" t="s">
        <v>39</v>
      </c>
      <c r="AD875" s="63" t="s">
        <v>40</v>
      </c>
      <c r="AE875" s="63" t="s">
        <v>105</v>
      </c>
      <c r="AF875" s="63" t="s">
        <v>212</v>
      </c>
      <c r="AG875" s="63" t="s">
        <v>107</v>
      </c>
      <c r="AH875" s="63" t="s">
        <v>206</v>
      </c>
      <c r="AI875" s="63" t="s">
        <v>191</v>
      </c>
      <c r="AJ875" s="63" t="s">
        <v>138</v>
      </c>
      <c r="AK875" s="83">
        <v>3.3</v>
      </c>
      <c r="AL875" s="63" t="s">
        <v>184</v>
      </c>
      <c r="AM875" s="63" t="s">
        <v>46</v>
      </c>
      <c r="AN875"/>
    </row>
    <row r="876" spans="1:40" ht="18" customHeight="1">
      <c r="A876" s="1" t="s">
        <v>2725</v>
      </c>
      <c r="B876" s="1" t="s">
        <v>2726</v>
      </c>
      <c r="C876" s="4">
        <v>46128</v>
      </c>
      <c r="D876" s="4">
        <v>46149</v>
      </c>
      <c r="E876" s="4">
        <v>46156</v>
      </c>
      <c r="F876" s="63" t="s">
        <v>32</v>
      </c>
      <c r="G876" s="63" t="s">
        <v>3835</v>
      </c>
      <c r="H876" s="63" t="s">
        <v>177</v>
      </c>
      <c r="I876" s="63" t="s">
        <v>49</v>
      </c>
      <c r="J876" s="63" t="s">
        <v>35</v>
      </c>
      <c r="K876" s="63" t="s">
        <v>2727</v>
      </c>
      <c r="L876" s="63" t="s">
        <v>37</v>
      </c>
      <c r="M876" s="69">
        <v>1786.2</v>
      </c>
      <c r="N876" s="63" t="s">
        <v>86</v>
      </c>
      <c r="O876" s="73">
        <f>_xlfn.XLOOKUP(Supplier_Perf_Table[[#This Row],[Currency]],'Comments 2'!$C$4:$C$16,'Comments 2'!$D$4:$D$16)</f>
        <v>8.8999999999999996E-2</v>
      </c>
      <c r="P876" s="69">
        <f>IFERROR(Supplier_Perf_Table[[#This Row],[Unit_Cost]]*Supplier_Perf_Table[[#This Row],[Dollar Equivalent]],"")</f>
        <v>158.9718</v>
      </c>
      <c r="Q876" s="75">
        <v>1000</v>
      </c>
      <c r="R876" s="1">
        <v>1786200</v>
      </c>
      <c r="S876" s="75">
        <f>Supplier_Perf_Table[[#This Row],[Unit_Cost]]*Supplier_Perf_Table[[#This Row],[Order_Quantity]]</f>
        <v>1786200</v>
      </c>
      <c r="T876" s="75">
        <f>IFERROR(Supplier_Perf_Table[[#This Row],[Dollar Equivalent]]*Supplier_Perf_Table[[#This Row],[Ordered_Value]],"")</f>
        <v>158971.79999999999</v>
      </c>
      <c r="U876" s="75">
        <v>39</v>
      </c>
      <c r="V876" s="7">
        <v>3.9E-2</v>
      </c>
      <c r="W876" s="75">
        <v>28</v>
      </c>
      <c r="X876" s="55">
        <f>IFERROR(Supplier_Perf_Table[[#This Row],[Actual_Delivery_Date]]-Supplier_Perf_Table[[#This Row],[Order Date]],"")</f>
        <v>28</v>
      </c>
      <c r="Y876" s="75" t="s">
        <v>3080</v>
      </c>
      <c r="Z876" s="56">
        <f>IFERROR(Supplier_Perf_Table[[#This Row],[Expected Delivery_Date]]-Supplier_Perf_Table[[#This Row],[Order Date]],"")</f>
        <v>21</v>
      </c>
      <c r="AA876" s="56">
        <f>Supplier_Perf_Table[[#This Row],[Calculated_Lead_Time2]]-Supplier_Perf_Table[[#This Row],[Calculated_Expected_Lead_Time]]</f>
        <v>7</v>
      </c>
      <c r="AB876" s="75">
        <v>7</v>
      </c>
      <c r="AC876" s="63" t="s">
        <v>205</v>
      </c>
      <c r="AD876" s="63" t="s">
        <v>40</v>
      </c>
      <c r="AE876" s="63" t="s">
        <v>105</v>
      </c>
      <c r="AF876" s="63" t="s">
        <v>106</v>
      </c>
      <c r="AG876" s="63" t="s">
        <v>173</v>
      </c>
      <c r="AH876" s="63" t="s">
        <v>206</v>
      </c>
      <c r="AI876" s="63" t="s">
        <v>95</v>
      </c>
      <c r="AJ876" s="63" t="s">
        <v>138</v>
      </c>
      <c r="AK876" s="83">
        <v>2.4</v>
      </c>
      <c r="AL876" s="63" t="s">
        <v>45</v>
      </c>
      <c r="AM876" s="63" t="s">
        <v>46</v>
      </c>
      <c r="AN876"/>
    </row>
    <row r="877" spans="1:40" ht="18" customHeight="1">
      <c r="A877" s="1" t="s">
        <v>2728</v>
      </c>
      <c r="B877" s="1" t="s">
        <v>2729</v>
      </c>
      <c r="C877" s="4">
        <v>46049</v>
      </c>
      <c r="D877" s="4">
        <v>46062</v>
      </c>
      <c r="E877" s="4">
        <v>46068</v>
      </c>
      <c r="F877" s="63" t="s">
        <v>48</v>
      </c>
      <c r="G877" s="63" t="s">
        <v>3836</v>
      </c>
      <c r="H877" s="63" t="s">
        <v>102</v>
      </c>
      <c r="I877" s="63" t="s">
        <v>70</v>
      </c>
      <c r="J877" s="63" t="s">
        <v>50</v>
      </c>
      <c r="K877" s="63" t="s">
        <v>2730</v>
      </c>
      <c r="L877" s="63" t="s">
        <v>145</v>
      </c>
      <c r="M877" s="69">
        <v>1445.24</v>
      </c>
      <c r="N877" s="63" t="s">
        <v>53</v>
      </c>
      <c r="O877" s="73">
        <f>_xlfn.XLOOKUP(Supplier_Perf_Table[[#This Row],[Currency]],'Comments 2'!$C$4:$C$16,'Comments 2'!$D$4:$D$16)</f>
        <v>6.0999999999999999E-2</v>
      </c>
      <c r="P877" s="69">
        <f>IFERROR(Supplier_Perf_Table[[#This Row],[Unit_Cost]]*Supplier_Perf_Table[[#This Row],[Dollar Equivalent]],"")</f>
        <v>88.159639999999996</v>
      </c>
      <c r="Q877" s="75">
        <v>300</v>
      </c>
      <c r="R877" s="1">
        <v>433572</v>
      </c>
      <c r="S877" s="75">
        <f>Supplier_Perf_Table[[#This Row],[Unit_Cost]]*Supplier_Perf_Table[[#This Row],[Order_Quantity]]</f>
        <v>433572</v>
      </c>
      <c r="T877" s="75">
        <f>IFERROR(Supplier_Perf_Table[[#This Row],[Dollar Equivalent]]*Supplier_Perf_Table[[#This Row],[Ordered_Value]],"")</f>
        <v>26447.892</v>
      </c>
      <c r="U877" s="75">
        <v>5</v>
      </c>
      <c r="V877" s="7">
        <v>1.67E-2</v>
      </c>
      <c r="W877" s="75">
        <v>19</v>
      </c>
      <c r="X877" s="55">
        <f>IFERROR(Supplier_Perf_Table[[#This Row],[Actual_Delivery_Date]]-Supplier_Perf_Table[[#This Row],[Order Date]],"")</f>
        <v>19</v>
      </c>
      <c r="Y877" s="75">
        <v>13</v>
      </c>
      <c r="Z877" s="56">
        <f>IFERROR(Supplier_Perf_Table[[#This Row],[Expected Delivery_Date]]-Supplier_Perf_Table[[#This Row],[Order Date]],"")</f>
        <v>13</v>
      </c>
      <c r="AA877" s="56">
        <f>Supplier_Perf_Table[[#This Row],[Calculated_Lead_Time2]]-Supplier_Perf_Table[[#This Row],[Calculated_Expected_Lead_Time]]</f>
        <v>6</v>
      </c>
      <c r="AB877" s="75">
        <v>6</v>
      </c>
      <c r="AC877" s="63" t="s">
        <v>39</v>
      </c>
      <c r="AD877" s="63" t="s">
        <v>40</v>
      </c>
      <c r="AE877" s="63" t="s">
        <v>41</v>
      </c>
      <c r="AF877" s="63" t="s">
        <v>106</v>
      </c>
      <c r="AG877" s="63" t="s">
        <v>3088</v>
      </c>
      <c r="AH877" s="63" t="s">
        <v>88</v>
      </c>
      <c r="AI877" s="63" t="s">
        <v>44</v>
      </c>
      <c r="AJ877" s="63" t="s">
        <v>138</v>
      </c>
      <c r="AK877" s="83">
        <v>3</v>
      </c>
      <c r="AL877" s="63" t="s">
        <v>139</v>
      </c>
      <c r="AM877" s="63" t="s">
        <v>46</v>
      </c>
      <c r="AN877"/>
    </row>
    <row r="878" spans="1:40" ht="18" customHeight="1">
      <c r="A878" s="1" t="s">
        <v>2731</v>
      </c>
      <c r="B878" s="1" t="s">
        <v>2732</v>
      </c>
      <c r="C878" s="4">
        <v>46160</v>
      </c>
      <c r="D878" s="4">
        <v>46175</v>
      </c>
      <c r="E878" s="4">
        <v>46182</v>
      </c>
      <c r="F878" s="63" t="s">
        <v>48</v>
      </c>
      <c r="G878" s="63" t="s">
        <v>3836</v>
      </c>
      <c r="H878" s="63" t="s">
        <v>102</v>
      </c>
      <c r="I878" s="63" t="s">
        <v>241</v>
      </c>
      <c r="J878" s="63" t="s">
        <v>50</v>
      </c>
      <c r="K878" s="63" t="s">
        <v>2733</v>
      </c>
      <c r="L878" s="63" t="s">
        <v>126</v>
      </c>
      <c r="M878" s="69">
        <v>2043.88</v>
      </c>
      <c r="N878" s="63" t="s">
        <v>104</v>
      </c>
      <c r="O878" s="73">
        <f>_xlfn.XLOOKUP(Supplier_Perf_Table[[#This Row],[Currency]],'Comments 2'!$C$4:$C$16,'Comments 2'!$D$4:$D$16)</f>
        <v>1.9E-2</v>
      </c>
      <c r="P878" s="69">
        <f>IFERROR(Supplier_Perf_Table[[#This Row],[Unit_Cost]]*Supplier_Perf_Table[[#This Row],[Dollar Equivalent]],"")</f>
        <v>38.83372</v>
      </c>
      <c r="Q878" s="75">
        <v>1500</v>
      </c>
      <c r="R878" s="1">
        <v>3065820</v>
      </c>
      <c r="S878" s="75">
        <f>Supplier_Perf_Table[[#This Row],[Unit_Cost]]*Supplier_Perf_Table[[#This Row],[Order_Quantity]]</f>
        <v>3065820</v>
      </c>
      <c r="T878" s="75">
        <f>IFERROR(Supplier_Perf_Table[[#This Row],[Dollar Equivalent]]*Supplier_Perf_Table[[#This Row],[Ordered_Value]],"")</f>
        <v>58250.58</v>
      </c>
      <c r="U878" s="75">
        <v>64</v>
      </c>
      <c r="V878" s="7">
        <v>4.2700000000000002E-2</v>
      </c>
      <c r="W878" s="75">
        <v>22</v>
      </c>
      <c r="X878" s="55">
        <f>IFERROR(Supplier_Perf_Table[[#This Row],[Actual_Delivery_Date]]-Supplier_Perf_Table[[#This Row],[Order Date]],"")</f>
        <v>22</v>
      </c>
      <c r="Y878" s="75">
        <v>15</v>
      </c>
      <c r="Z878" s="56">
        <f>IFERROR(Supplier_Perf_Table[[#This Row],[Expected Delivery_Date]]-Supplier_Perf_Table[[#This Row],[Order Date]],"")</f>
        <v>15</v>
      </c>
      <c r="AA878" s="56">
        <f>Supplier_Perf_Table[[#This Row],[Calculated_Lead_Time2]]-Supplier_Perf_Table[[#This Row],[Calculated_Expected_Lead_Time]]</f>
        <v>7</v>
      </c>
      <c r="AB878" s="75">
        <v>7</v>
      </c>
      <c r="AC878" s="63" t="s">
        <v>39</v>
      </c>
      <c r="AD878" s="63" t="s">
        <v>74</v>
      </c>
      <c r="AE878" s="63" t="s">
        <v>105</v>
      </c>
      <c r="AF878" s="63" t="s">
        <v>42</v>
      </c>
      <c r="AG878" s="63" t="s">
        <v>128</v>
      </c>
      <c r="AH878" s="63" t="s">
        <v>129</v>
      </c>
      <c r="AI878" s="63" t="s">
        <v>147</v>
      </c>
      <c r="AJ878" s="63" t="s">
        <v>183</v>
      </c>
      <c r="AK878" s="83">
        <v>2</v>
      </c>
      <c r="AL878" s="63" t="s">
        <v>139</v>
      </c>
      <c r="AM878" s="63" t="s">
        <v>77</v>
      </c>
      <c r="AN878"/>
    </row>
    <row r="879" spans="1:40" ht="18" customHeight="1">
      <c r="A879" s="1" t="s">
        <v>2734</v>
      </c>
      <c r="B879" s="1" t="s">
        <v>2735</v>
      </c>
      <c r="C879" s="4">
        <v>46162</v>
      </c>
      <c r="D879" s="4">
        <v>46172</v>
      </c>
      <c r="E879" s="4">
        <v>46180</v>
      </c>
      <c r="F879" s="63" t="s">
        <v>60</v>
      </c>
      <c r="G879" s="63" t="s">
        <v>3837</v>
      </c>
      <c r="H879" s="63" t="s">
        <v>152</v>
      </c>
      <c r="I879" s="63" t="s">
        <v>34</v>
      </c>
      <c r="J879" s="63" t="s">
        <v>62</v>
      </c>
      <c r="K879" s="63" t="s">
        <v>1592</v>
      </c>
      <c r="L879" s="63" t="s">
        <v>122</v>
      </c>
      <c r="M879" s="69">
        <v>399.76</v>
      </c>
      <c r="N879" s="63" t="s">
        <v>104</v>
      </c>
      <c r="O879" s="73">
        <f>_xlfn.XLOOKUP(Supplier_Perf_Table[[#This Row],[Currency]],'Comments 2'!$C$4:$C$16,'Comments 2'!$D$4:$D$16)</f>
        <v>1.9E-2</v>
      </c>
      <c r="P879" s="69">
        <f>IFERROR(Supplier_Perf_Table[[#This Row],[Unit_Cost]]*Supplier_Perf_Table[[#This Row],[Dollar Equivalent]],"")</f>
        <v>7.59544</v>
      </c>
      <c r="Q879" s="75">
        <v>200</v>
      </c>
      <c r="R879" s="1">
        <v>79952</v>
      </c>
      <c r="S879" s="75">
        <f>Supplier_Perf_Table[[#This Row],[Unit_Cost]]*Supplier_Perf_Table[[#This Row],[Order_Quantity]]</f>
        <v>79952</v>
      </c>
      <c r="T879" s="75">
        <f>IFERROR(Supplier_Perf_Table[[#This Row],[Dollar Equivalent]]*Supplier_Perf_Table[[#This Row],[Ordered_Value]],"")</f>
        <v>1519.088</v>
      </c>
      <c r="U879" s="75">
        <v>5</v>
      </c>
      <c r="V879" s="7">
        <v>2.5000000000000001E-2</v>
      </c>
      <c r="W879" s="75">
        <v>18</v>
      </c>
      <c r="X879" s="55">
        <f>IFERROR(Supplier_Perf_Table[[#This Row],[Actual_Delivery_Date]]-Supplier_Perf_Table[[#This Row],[Order Date]],"")</f>
        <v>18</v>
      </c>
      <c r="Y879" s="75">
        <v>10</v>
      </c>
      <c r="Z879" s="56">
        <f>IFERROR(Supplier_Perf_Table[[#This Row],[Expected Delivery_Date]]-Supplier_Perf_Table[[#This Row],[Order Date]],"")</f>
        <v>10</v>
      </c>
      <c r="AA879" s="56">
        <f>Supplier_Perf_Table[[#This Row],[Calculated_Lead_Time2]]-Supplier_Perf_Table[[#This Row],[Calculated_Expected_Lead_Time]]</f>
        <v>8</v>
      </c>
      <c r="AB879" s="75">
        <v>8</v>
      </c>
      <c r="AC879" s="63" t="s">
        <v>135</v>
      </c>
      <c r="AD879" s="63" t="s">
        <v>40</v>
      </c>
      <c r="AE879" s="63" t="s">
        <v>105</v>
      </c>
      <c r="AF879" s="63" t="s">
        <v>66</v>
      </c>
      <c r="AG879" s="63" t="s">
        <v>3088</v>
      </c>
      <c r="AH879" s="63" t="s">
        <v>3112</v>
      </c>
      <c r="AI879" s="63" t="s">
        <v>56</v>
      </c>
      <c r="AJ879" s="63" t="s">
        <v>138</v>
      </c>
      <c r="AK879" s="83">
        <v>1.6</v>
      </c>
      <c r="AL879" s="63" t="s">
        <v>45</v>
      </c>
      <c r="AM879" s="63" t="s">
        <v>46</v>
      </c>
      <c r="AN879"/>
    </row>
    <row r="880" spans="1:40" ht="18" customHeight="1">
      <c r="A880" s="1" t="s">
        <v>2736</v>
      </c>
      <c r="B880" s="1" t="s">
        <v>2737</v>
      </c>
      <c r="C880" s="4">
        <v>46189</v>
      </c>
      <c r="D880" s="4">
        <v>46203</v>
      </c>
      <c r="E880" s="4">
        <v>46201</v>
      </c>
      <c r="F880" s="63" t="s">
        <v>118</v>
      </c>
      <c r="G880" s="63" t="s">
        <v>3842</v>
      </c>
      <c r="H880" s="63" t="s">
        <v>301</v>
      </c>
      <c r="I880" s="63" t="s">
        <v>70</v>
      </c>
      <c r="J880" s="63" t="s">
        <v>62</v>
      </c>
      <c r="K880" s="63" t="s">
        <v>1640</v>
      </c>
      <c r="L880" s="63" t="s">
        <v>94</v>
      </c>
      <c r="M880" s="69">
        <v>23.4</v>
      </c>
      <c r="N880" s="63" t="s">
        <v>38</v>
      </c>
      <c r="O880" s="73">
        <f>_xlfn.XLOOKUP(Supplier_Perf_Table[[#This Row],[Currency]],'Comments 2'!$C$4:$C$16,'Comments 2'!$D$4:$D$16)</f>
        <v>7.7000000000000002E-3</v>
      </c>
      <c r="P880" s="69">
        <f>IFERROR(Supplier_Perf_Table[[#This Row],[Unit_Cost]]*Supplier_Perf_Table[[#This Row],[Dollar Equivalent]],"")</f>
        <v>0.18018000000000001</v>
      </c>
      <c r="Q880" s="75">
        <v>250</v>
      </c>
      <c r="R880" s="1">
        <v>5850</v>
      </c>
      <c r="S880" s="75">
        <f>Supplier_Perf_Table[[#This Row],[Unit_Cost]]*Supplier_Perf_Table[[#This Row],[Order_Quantity]]</f>
        <v>5850</v>
      </c>
      <c r="T880" s="75">
        <f>IFERROR(Supplier_Perf_Table[[#This Row],[Dollar Equivalent]]*Supplier_Perf_Table[[#This Row],[Ordered_Value]],"")</f>
        <v>45.045000000000002</v>
      </c>
      <c r="U880" s="75">
        <v>6</v>
      </c>
      <c r="V880" s="7">
        <v>2.4E-2</v>
      </c>
      <c r="W880" s="75">
        <v>12</v>
      </c>
      <c r="X880" s="55">
        <f>IFERROR(Supplier_Perf_Table[[#This Row],[Actual_Delivery_Date]]-Supplier_Perf_Table[[#This Row],[Order Date]],"")</f>
        <v>12</v>
      </c>
      <c r="Y880" s="75">
        <v>14</v>
      </c>
      <c r="Z880" s="56">
        <f>IFERROR(Supplier_Perf_Table[[#This Row],[Expected Delivery_Date]]-Supplier_Perf_Table[[#This Row],[Order Date]],"")</f>
        <v>14</v>
      </c>
      <c r="AA880" s="56">
        <f>Supplier_Perf_Table[[#This Row],[Calculated_Lead_Time2]]-Supplier_Perf_Table[[#This Row],[Calculated_Expected_Lead_Time]]</f>
        <v>-2</v>
      </c>
      <c r="AB880" s="75">
        <v>-2</v>
      </c>
      <c r="AC880" s="63" t="s">
        <v>87</v>
      </c>
      <c r="AD880" s="63" t="s">
        <v>40</v>
      </c>
      <c r="AE880" s="63" t="s">
        <v>3088</v>
      </c>
      <c r="AF880" s="63" t="s">
        <v>190</v>
      </c>
      <c r="AG880" s="63" t="s">
        <v>173</v>
      </c>
      <c r="AH880" s="63" t="s">
        <v>136</v>
      </c>
      <c r="AI880" s="63" t="s">
        <v>56</v>
      </c>
      <c r="AJ880" s="63" t="s">
        <v>138</v>
      </c>
      <c r="AK880" s="83">
        <v>3.7</v>
      </c>
      <c r="AL880" s="63" t="s">
        <v>115</v>
      </c>
      <c r="AM880" s="63" t="s">
        <v>130</v>
      </c>
      <c r="AN880"/>
    </row>
    <row r="881" spans="1:40" ht="18" customHeight="1">
      <c r="A881" s="1" t="s">
        <v>2738</v>
      </c>
      <c r="B881" s="1" t="s">
        <v>2739</v>
      </c>
      <c r="C881" s="4">
        <v>46183</v>
      </c>
      <c r="D881" s="4">
        <v>46209</v>
      </c>
      <c r="E881" s="4">
        <v>46211</v>
      </c>
      <c r="F881" s="63" t="s">
        <v>118</v>
      </c>
      <c r="G881" s="63" t="s">
        <v>3842</v>
      </c>
      <c r="H881" s="63" t="s">
        <v>301</v>
      </c>
      <c r="I881" s="63" t="s">
        <v>34</v>
      </c>
      <c r="J881" s="63" t="s">
        <v>62</v>
      </c>
      <c r="K881" s="63" t="s">
        <v>2740</v>
      </c>
      <c r="L881" s="63" t="s">
        <v>225</v>
      </c>
      <c r="M881" s="69">
        <v>190.85</v>
      </c>
      <c r="N881" s="63" t="s">
        <v>65</v>
      </c>
      <c r="O881" s="73">
        <f>_xlfn.XLOOKUP(Supplier_Perf_Table[[#This Row],[Currency]],'Comments 2'!$C$4:$C$16,'Comments 2'!$D$4:$D$16)</f>
        <v>1</v>
      </c>
      <c r="P881" s="69">
        <f>IFERROR(Supplier_Perf_Table[[#This Row],[Unit_Cost]]*Supplier_Perf_Table[[#This Row],[Dollar Equivalent]],"")</f>
        <v>190.85</v>
      </c>
      <c r="Q881" s="75">
        <v>75</v>
      </c>
      <c r="R881" s="1">
        <v>14313.75</v>
      </c>
      <c r="S881" s="75">
        <f>Supplier_Perf_Table[[#This Row],[Unit_Cost]]*Supplier_Perf_Table[[#This Row],[Order_Quantity]]</f>
        <v>14313.75</v>
      </c>
      <c r="T881" s="75">
        <f>IFERROR(Supplier_Perf_Table[[#This Row],[Dollar Equivalent]]*Supplier_Perf_Table[[#This Row],[Ordered_Value]],"")</f>
        <v>14313.75</v>
      </c>
      <c r="U881" s="75">
        <v>3</v>
      </c>
      <c r="V881" s="7">
        <v>0.04</v>
      </c>
      <c r="W881" s="75">
        <v>28</v>
      </c>
      <c r="X881" s="55">
        <f>IFERROR(Supplier_Perf_Table[[#This Row],[Actual_Delivery_Date]]-Supplier_Perf_Table[[#This Row],[Order Date]],"")</f>
        <v>28</v>
      </c>
      <c r="Y881" s="75">
        <v>26</v>
      </c>
      <c r="Z881" s="56">
        <f>IFERROR(Supplier_Perf_Table[[#This Row],[Expected Delivery_Date]]-Supplier_Perf_Table[[#This Row],[Order Date]],"")</f>
        <v>26</v>
      </c>
      <c r="AA881" s="56">
        <f>Supplier_Perf_Table[[#This Row],[Calculated_Lead_Time2]]-Supplier_Perf_Table[[#This Row],[Calculated_Expected_Lead_Time]]</f>
        <v>2</v>
      </c>
      <c r="AB881" s="75">
        <v>2</v>
      </c>
      <c r="AC881" s="63" t="s">
        <v>135</v>
      </c>
      <c r="AD881" s="63" t="s">
        <v>40</v>
      </c>
      <c r="AE881" s="63" t="s">
        <v>146</v>
      </c>
      <c r="AF881" s="63" t="s">
        <v>106</v>
      </c>
      <c r="AG881" s="63" t="s">
        <v>3088</v>
      </c>
      <c r="AH881" s="63" t="s">
        <v>174</v>
      </c>
      <c r="AI881" s="63" t="s">
        <v>44</v>
      </c>
      <c r="AJ881" s="63" t="s">
        <v>138</v>
      </c>
      <c r="AK881" s="83">
        <v>4.8</v>
      </c>
      <c r="AL881" s="63" t="s">
        <v>139</v>
      </c>
      <c r="AM881" s="63" t="s">
        <v>148</v>
      </c>
      <c r="AN881"/>
    </row>
    <row r="882" spans="1:40" ht="18" customHeight="1">
      <c r="A882" s="1" t="s">
        <v>2741</v>
      </c>
      <c r="B882" s="1" t="s">
        <v>2742</v>
      </c>
      <c r="C882" s="4">
        <v>46111</v>
      </c>
      <c r="D882" s="4">
        <v>46119</v>
      </c>
      <c r="E882" s="4">
        <v>46118</v>
      </c>
      <c r="F882" s="63" t="s">
        <v>60</v>
      </c>
      <c r="G882" s="63" t="s">
        <v>3837</v>
      </c>
      <c r="H882" s="63" t="s">
        <v>152</v>
      </c>
      <c r="I882" s="63" t="s">
        <v>49</v>
      </c>
      <c r="J882" s="63" t="s">
        <v>62</v>
      </c>
      <c r="K882" s="63" t="s">
        <v>2743</v>
      </c>
      <c r="L882" s="63" t="s">
        <v>64</v>
      </c>
      <c r="M882" s="69">
        <v>675.56</v>
      </c>
      <c r="N882" s="63" t="s">
        <v>86</v>
      </c>
      <c r="O882" s="73">
        <f>_xlfn.XLOOKUP(Supplier_Perf_Table[[#This Row],[Currency]],'Comments 2'!$C$4:$C$16,'Comments 2'!$D$4:$D$16)</f>
        <v>8.8999999999999996E-2</v>
      </c>
      <c r="P882" s="69">
        <f>IFERROR(Supplier_Perf_Table[[#This Row],[Unit_Cost]]*Supplier_Perf_Table[[#This Row],[Dollar Equivalent]],"")</f>
        <v>60.124839999999992</v>
      </c>
      <c r="Q882" s="75">
        <v>2000</v>
      </c>
      <c r="R882" s="1">
        <v>1351120</v>
      </c>
      <c r="S882" s="75">
        <f>Supplier_Perf_Table[[#This Row],[Unit_Cost]]*Supplier_Perf_Table[[#This Row],[Order_Quantity]]</f>
        <v>1351120</v>
      </c>
      <c r="T882" s="75">
        <f>IFERROR(Supplier_Perf_Table[[#This Row],[Dollar Equivalent]]*Supplier_Perf_Table[[#This Row],[Ordered_Value]],"")</f>
        <v>120249.68</v>
      </c>
      <c r="U882" s="75">
        <v>40</v>
      </c>
      <c r="V882" s="7">
        <v>0.02</v>
      </c>
      <c r="W882" s="75">
        <v>7</v>
      </c>
      <c r="X882" s="55">
        <f>IFERROR(Supplier_Perf_Table[[#This Row],[Actual_Delivery_Date]]-Supplier_Perf_Table[[#This Row],[Order Date]],"")</f>
        <v>7</v>
      </c>
      <c r="Y882" s="75">
        <v>8</v>
      </c>
      <c r="Z882" s="56">
        <f>IFERROR(Supplier_Perf_Table[[#This Row],[Expected Delivery_Date]]-Supplier_Perf_Table[[#This Row],[Order Date]],"")</f>
        <v>8</v>
      </c>
      <c r="AA882" s="56">
        <f>Supplier_Perf_Table[[#This Row],[Calculated_Lead_Time2]]-Supplier_Perf_Table[[#This Row],[Calculated_Expected_Lead_Time]]</f>
        <v>-1</v>
      </c>
      <c r="AB882" s="75">
        <v>-1</v>
      </c>
      <c r="AC882" s="63" t="s">
        <v>87</v>
      </c>
      <c r="AD882" s="63" t="s">
        <v>40</v>
      </c>
      <c r="AE882" s="63" t="s">
        <v>146</v>
      </c>
      <c r="AF882" s="63" t="s">
        <v>106</v>
      </c>
      <c r="AG882" s="63" t="s">
        <v>54</v>
      </c>
      <c r="AH882" s="63" t="s">
        <v>174</v>
      </c>
      <c r="AI882" s="63" t="s">
        <v>138</v>
      </c>
      <c r="AJ882" s="63" t="s">
        <v>138</v>
      </c>
      <c r="AK882" s="83">
        <v>2.2000000000000002</v>
      </c>
      <c r="AL882" s="63" t="s">
        <v>76</v>
      </c>
      <c r="AM882" s="63" t="s">
        <v>130</v>
      </c>
      <c r="AN882"/>
    </row>
    <row r="883" spans="1:40" ht="18" customHeight="1">
      <c r="A883" s="63" t="s">
        <v>2744</v>
      </c>
      <c r="B883" s="63" t="s">
        <v>2745</v>
      </c>
      <c r="C883" s="4">
        <v>46091</v>
      </c>
      <c r="D883" s="4">
        <v>46111</v>
      </c>
      <c r="E883" s="4">
        <v>46108</v>
      </c>
      <c r="F883" s="63" t="s">
        <v>142</v>
      </c>
      <c r="G883" s="63" t="s">
        <v>3843</v>
      </c>
      <c r="H883" s="63" t="s">
        <v>169</v>
      </c>
      <c r="I883" s="63" t="s">
        <v>34</v>
      </c>
      <c r="J883" s="63" t="s">
        <v>50</v>
      </c>
      <c r="K883" s="63" t="s">
        <v>2746</v>
      </c>
      <c r="L883" s="63" t="s">
        <v>189</v>
      </c>
      <c r="M883" s="69">
        <v>50.31</v>
      </c>
      <c r="N883" s="63" t="s">
        <v>53</v>
      </c>
      <c r="O883" s="73">
        <f>_xlfn.XLOOKUP(Supplier_Perf_Table[[#This Row],[Currency]],'Comments 2'!$C$4:$C$16,'Comments 2'!$D$4:$D$16)</f>
        <v>6.0999999999999999E-2</v>
      </c>
      <c r="P883" s="69">
        <f>IFERROR(Supplier_Perf_Table[[#This Row],[Unit_Cost]]*Supplier_Perf_Table[[#This Row],[Dollar Equivalent]],"")</f>
        <v>3.0689100000000002</v>
      </c>
      <c r="Q883" s="75">
        <v>100</v>
      </c>
      <c r="R883" s="1">
        <v>5031</v>
      </c>
      <c r="S883" s="75">
        <f>Supplier_Perf_Table[[#This Row],[Unit_Cost]]*Supplier_Perf_Table[[#This Row],[Order_Quantity]]</f>
        <v>5031</v>
      </c>
      <c r="T883" s="75">
        <f>IFERROR(Supplier_Perf_Table[[#This Row],[Dollar Equivalent]]*Supplier_Perf_Table[[#This Row],[Ordered_Value]],"")</f>
        <v>306.89100000000002</v>
      </c>
      <c r="U883" s="75">
        <v>0</v>
      </c>
      <c r="V883" s="7">
        <v>0</v>
      </c>
      <c r="W883" s="75">
        <v>17</v>
      </c>
      <c r="X883" s="55">
        <f>IFERROR(Supplier_Perf_Table[[#This Row],[Actual_Delivery_Date]]-Supplier_Perf_Table[[#This Row],[Order Date]],"")</f>
        <v>17</v>
      </c>
      <c r="Y883" s="75">
        <v>20</v>
      </c>
      <c r="Z883" s="56">
        <f>IFERROR(Supplier_Perf_Table[[#This Row],[Expected Delivery_Date]]-Supplier_Perf_Table[[#This Row],[Order Date]],"")</f>
        <v>20</v>
      </c>
      <c r="AA883" s="56">
        <f>Supplier_Perf_Table[[#This Row],[Calculated_Lead_Time2]]-Supplier_Perf_Table[[#This Row],[Calculated_Expected_Lead_Time]]</f>
        <v>-3</v>
      </c>
      <c r="AB883" s="75">
        <v>-3</v>
      </c>
      <c r="AC883" s="63" t="s">
        <v>87</v>
      </c>
      <c r="AD883" s="63" t="s">
        <v>40</v>
      </c>
      <c r="AE883" s="63" t="s">
        <v>146</v>
      </c>
      <c r="AF883" s="63" t="s">
        <v>106</v>
      </c>
      <c r="AG883" s="63" t="s">
        <v>173</v>
      </c>
      <c r="AH883" s="63" t="s">
        <v>3112</v>
      </c>
      <c r="AI883" s="63" t="s">
        <v>137</v>
      </c>
      <c r="AJ883" s="63" t="s">
        <v>138</v>
      </c>
      <c r="AK883" s="83">
        <v>3.7</v>
      </c>
      <c r="AL883" s="63" t="s">
        <v>76</v>
      </c>
      <c r="AM883" s="63" t="s">
        <v>1308</v>
      </c>
      <c r="AN883"/>
    </row>
    <row r="884" spans="1:40" ht="18" customHeight="1">
      <c r="A884" s="1" t="s">
        <v>2747</v>
      </c>
      <c r="B884" s="1" t="s">
        <v>2748</v>
      </c>
      <c r="C884" s="4">
        <v>46126</v>
      </c>
      <c r="D884" s="4">
        <v>46135</v>
      </c>
      <c r="E884" s="4">
        <v>46132</v>
      </c>
      <c r="F884" s="63" t="s">
        <v>209</v>
      </c>
      <c r="G884" s="63" t="s">
        <v>3845</v>
      </c>
      <c r="H884" s="63" t="s">
        <v>316</v>
      </c>
      <c r="I884" s="63" t="s">
        <v>241</v>
      </c>
      <c r="J884" s="63" t="s">
        <v>153</v>
      </c>
      <c r="K884" s="63" t="s">
        <v>2749</v>
      </c>
      <c r="L884" s="63" t="s">
        <v>295</v>
      </c>
      <c r="M884" s="69">
        <v>45.87</v>
      </c>
      <c r="N884" s="63" t="s">
        <v>53</v>
      </c>
      <c r="O884" s="73">
        <f>_xlfn.XLOOKUP(Supplier_Perf_Table[[#This Row],[Currency]],'Comments 2'!$C$4:$C$16,'Comments 2'!$D$4:$D$16)</f>
        <v>6.0999999999999999E-2</v>
      </c>
      <c r="P884" s="69">
        <f>IFERROR(Supplier_Perf_Table[[#This Row],[Unit_Cost]]*Supplier_Perf_Table[[#This Row],[Dollar Equivalent]],"")</f>
        <v>2.7980699999999996</v>
      </c>
      <c r="Q884" s="75">
        <v>200</v>
      </c>
      <c r="R884" s="1">
        <v>9174</v>
      </c>
      <c r="S884" s="75">
        <f>Supplier_Perf_Table[[#This Row],[Unit_Cost]]*Supplier_Perf_Table[[#This Row],[Order_Quantity]]</f>
        <v>9174</v>
      </c>
      <c r="T884" s="75">
        <f>IFERROR(Supplier_Perf_Table[[#This Row],[Dollar Equivalent]]*Supplier_Perf_Table[[#This Row],[Ordered_Value]],"")</f>
        <v>559.61400000000003</v>
      </c>
      <c r="U884" s="75">
        <v>1</v>
      </c>
      <c r="V884" s="7">
        <v>5.0000000000000001E-3</v>
      </c>
      <c r="W884" s="75">
        <v>6</v>
      </c>
      <c r="X884" s="55">
        <f>IFERROR(Supplier_Perf_Table[[#This Row],[Actual_Delivery_Date]]-Supplier_Perf_Table[[#This Row],[Order Date]],"")</f>
        <v>6</v>
      </c>
      <c r="Y884" s="75">
        <v>9</v>
      </c>
      <c r="Z884" s="56">
        <f>IFERROR(Supplier_Perf_Table[[#This Row],[Expected Delivery_Date]]-Supplier_Perf_Table[[#This Row],[Order Date]],"")</f>
        <v>9</v>
      </c>
      <c r="AA884" s="56">
        <f>Supplier_Perf_Table[[#This Row],[Calculated_Lead_Time2]]-Supplier_Perf_Table[[#This Row],[Calculated_Expected_Lead_Time]]</f>
        <v>-3</v>
      </c>
      <c r="AB884" s="75">
        <v>-3</v>
      </c>
      <c r="AC884" s="63" t="s">
        <v>87</v>
      </c>
      <c r="AD884" s="63" t="s">
        <v>40</v>
      </c>
      <c r="AE884" s="63" t="s">
        <v>105</v>
      </c>
      <c r="AF884" s="63" t="s">
        <v>212</v>
      </c>
      <c r="AG884" s="63" t="s">
        <v>173</v>
      </c>
      <c r="AH884" s="63" t="s">
        <v>136</v>
      </c>
      <c r="AI884" s="63" t="s">
        <v>44</v>
      </c>
      <c r="AJ884" s="63" t="s">
        <v>138</v>
      </c>
      <c r="AK884" s="83">
        <v>4.4000000000000004</v>
      </c>
      <c r="AL884" s="63" t="s">
        <v>184</v>
      </c>
      <c r="AM884" s="63" t="s">
        <v>138</v>
      </c>
      <c r="AN884"/>
    </row>
    <row r="885" spans="1:40" ht="18" customHeight="1">
      <c r="A885" s="1" t="s">
        <v>2750</v>
      </c>
      <c r="B885" s="1" t="s">
        <v>2751</v>
      </c>
      <c r="C885" s="4">
        <v>46040</v>
      </c>
      <c r="D885" s="4">
        <v>46043</v>
      </c>
      <c r="E885" s="4">
        <v>46040</v>
      </c>
      <c r="F885" s="63" t="s">
        <v>151</v>
      </c>
      <c r="G885" s="63" t="s">
        <v>3844</v>
      </c>
      <c r="H885" s="63" t="s">
        <v>152</v>
      </c>
      <c r="I885" s="63" t="s">
        <v>49</v>
      </c>
      <c r="J885" s="63" t="s">
        <v>112</v>
      </c>
      <c r="K885" s="63" t="s">
        <v>2752</v>
      </c>
      <c r="L885" s="63" t="s">
        <v>218</v>
      </c>
      <c r="M885" s="69">
        <v>496.79</v>
      </c>
      <c r="N885" s="63" t="s">
        <v>159</v>
      </c>
      <c r="O885" s="73">
        <f>_xlfn.XLOOKUP(Supplier_Perf_Table[[#This Row],[Currency]],'Comments 2'!$C$4:$C$16,'Comments 2'!$D$4:$D$16)</f>
        <v>7.2999999999999996E-4</v>
      </c>
      <c r="P885" s="69">
        <f>IFERROR(Supplier_Perf_Table[[#This Row],[Unit_Cost]]*Supplier_Perf_Table[[#This Row],[Dollar Equivalent]],"")</f>
        <v>0.3626567</v>
      </c>
      <c r="Q885" s="75">
        <v>75</v>
      </c>
      <c r="R885" s="1">
        <v>37259.25</v>
      </c>
      <c r="S885" s="75">
        <f>Supplier_Perf_Table[[#This Row],[Unit_Cost]]*Supplier_Perf_Table[[#This Row],[Order_Quantity]]</f>
        <v>37259.25</v>
      </c>
      <c r="T885" s="75">
        <f>IFERROR(Supplier_Perf_Table[[#This Row],[Dollar Equivalent]]*Supplier_Perf_Table[[#This Row],[Ordered_Value]],"")</f>
        <v>27.1992525</v>
      </c>
      <c r="U885" s="75">
        <v>4</v>
      </c>
      <c r="V885" s="7">
        <v>5.33E-2</v>
      </c>
      <c r="W885" s="75">
        <v>0</v>
      </c>
      <c r="X885" s="55">
        <f>IFERROR(Supplier_Perf_Table[[#This Row],[Actual_Delivery_Date]]-Supplier_Perf_Table[[#This Row],[Order Date]],"")</f>
        <v>0</v>
      </c>
      <c r="Y885" s="75">
        <v>3</v>
      </c>
      <c r="Z885" s="56">
        <f>IFERROR(Supplier_Perf_Table[[#This Row],[Expected Delivery_Date]]-Supplier_Perf_Table[[#This Row],[Order Date]],"")</f>
        <v>3</v>
      </c>
      <c r="AA885" s="56">
        <f>Supplier_Perf_Table[[#This Row],[Calculated_Lead_Time2]]-Supplier_Perf_Table[[#This Row],[Calculated_Expected_Lead_Time]]</f>
        <v>-3</v>
      </c>
      <c r="AB885" s="75">
        <v>-3</v>
      </c>
      <c r="AC885" s="63" t="s">
        <v>87</v>
      </c>
      <c r="AD885" s="63" t="s">
        <v>74</v>
      </c>
      <c r="AE885" s="63" t="s">
        <v>41</v>
      </c>
      <c r="AF885" s="63" t="s">
        <v>42</v>
      </c>
      <c r="AG885" s="63" t="s">
        <v>107</v>
      </c>
      <c r="AH885" s="63" t="s">
        <v>129</v>
      </c>
      <c r="AI885" s="63" t="s">
        <v>44</v>
      </c>
      <c r="AJ885" s="63" t="s">
        <v>96</v>
      </c>
      <c r="AK885" s="83">
        <v>2.2999999999999998</v>
      </c>
      <c r="AL885" s="63" t="s">
        <v>139</v>
      </c>
      <c r="AM885" s="63" t="s">
        <v>97</v>
      </c>
      <c r="AN885"/>
    </row>
    <row r="886" spans="1:40" ht="18" customHeight="1">
      <c r="A886" s="1" t="s">
        <v>2753</v>
      </c>
      <c r="B886" s="1" t="s">
        <v>2754</v>
      </c>
      <c r="C886" s="4">
        <v>46116</v>
      </c>
      <c r="D886" s="4">
        <v>46128</v>
      </c>
      <c r="E886" s="4">
        <v>46134</v>
      </c>
      <c r="F886" s="63" t="s">
        <v>209</v>
      </c>
      <c r="G886" s="63" t="s">
        <v>3845</v>
      </c>
      <c r="H886" s="63" t="s">
        <v>316</v>
      </c>
      <c r="I886" s="63" t="s">
        <v>61</v>
      </c>
      <c r="J886" s="63" t="s">
        <v>153</v>
      </c>
      <c r="K886" s="63" t="s">
        <v>2755</v>
      </c>
      <c r="L886" s="63" t="s">
        <v>318</v>
      </c>
      <c r="M886" s="69">
        <v>259.52</v>
      </c>
      <c r="N886" s="63" t="s">
        <v>53</v>
      </c>
      <c r="O886" s="73">
        <f>_xlfn.XLOOKUP(Supplier_Perf_Table[[#This Row],[Currency]],'Comments 2'!$C$4:$C$16,'Comments 2'!$D$4:$D$16)</f>
        <v>6.0999999999999999E-2</v>
      </c>
      <c r="P886" s="69">
        <f>IFERROR(Supplier_Perf_Table[[#This Row],[Unit_Cost]]*Supplier_Perf_Table[[#This Row],[Dollar Equivalent]],"")</f>
        <v>15.830719999999998</v>
      </c>
      <c r="Q886" s="75">
        <v>50</v>
      </c>
      <c r="R886" s="1">
        <v>12976</v>
      </c>
      <c r="S886" s="75">
        <f>Supplier_Perf_Table[[#This Row],[Unit_Cost]]*Supplier_Perf_Table[[#This Row],[Order_Quantity]]</f>
        <v>12976</v>
      </c>
      <c r="T886" s="75">
        <f>IFERROR(Supplier_Perf_Table[[#This Row],[Dollar Equivalent]]*Supplier_Perf_Table[[#This Row],[Ordered_Value]],"")</f>
        <v>791.53599999999994</v>
      </c>
      <c r="U886" s="75">
        <v>-1</v>
      </c>
      <c r="V886" s="7">
        <v>0.02</v>
      </c>
      <c r="W886" s="75">
        <v>18</v>
      </c>
      <c r="X886" s="55">
        <f>IFERROR(Supplier_Perf_Table[[#This Row],[Actual_Delivery_Date]]-Supplier_Perf_Table[[#This Row],[Order Date]],"")</f>
        <v>18</v>
      </c>
      <c r="Y886" s="75">
        <v>12</v>
      </c>
      <c r="Z886" s="56">
        <f>IFERROR(Supplier_Perf_Table[[#This Row],[Expected Delivery_Date]]-Supplier_Perf_Table[[#This Row],[Order Date]],"")</f>
        <v>12</v>
      </c>
      <c r="AA886" s="56">
        <f>Supplier_Perf_Table[[#This Row],[Calculated_Lead_Time2]]-Supplier_Perf_Table[[#This Row],[Calculated_Expected_Lead_Time]]</f>
        <v>6</v>
      </c>
      <c r="AB886" s="75">
        <v>6</v>
      </c>
      <c r="AC886" s="63" t="s">
        <v>205</v>
      </c>
      <c r="AD886" s="63" t="s">
        <v>40</v>
      </c>
      <c r="AE886" s="63" t="s">
        <v>105</v>
      </c>
      <c r="AF886" s="63" t="s">
        <v>42</v>
      </c>
      <c r="AG886" s="63" t="s">
        <v>173</v>
      </c>
      <c r="AH886" s="63" t="s">
        <v>129</v>
      </c>
      <c r="AI886" s="63" t="s">
        <v>137</v>
      </c>
      <c r="AJ886" s="63" t="s">
        <v>138</v>
      </c>
      <c r="AK886" s="83">
        <v>1.2</v>
      </c>
      <c r="AL886" s="63" t="s">
        <v>76</v>
      </c>
      <c r="AM886" s="63" t="s">
        <v>46</v>
      </c>
      <c r="AN886"/>
    </row>
    <row r="887" spans="1:40" ht="18" customHeight="1">
      <c r="A887" s="1" t="s">
        <v>2756</v>
      </c>
      <c r="B887" s="1" t="s">
        <v>2757</v>
      </c>
      <c r="C887" s="4">
        <v>46101</v>
      </c>
      <c r="D887" s="4">
        <v>46109</v>
      </c>
      <c r="E887" s="4">
        <v>46118</v>
      </c>
      <c r="F887" s="63" t="s">
        <v>80</v>
      </c>
      <c r="G887" s="63" t="s">
        <v>3839</v>
      </c>
      <c r="H887" s="63" t="s">
        <v>82</v>
      </c>
      <c r="I887" s="63" t="s">
        <v>49</v>
      </c>
      <c r="J887" s="63" t="s">
        <v>35</v>
      </c>
      <c r="K887" s="63" t="s">
        <v>2758</v>
      </c>
      <c r="L887" s="63" t="s">
        <v>85</v>
      </c>
      <c r="M887" s="69">
        <v>3711.32</v>
      </c>
      <c r="N887" s="63" t="s">
        <v>38</v>
      </c>
      <c r="O887" s="73">
        <f>_xlfn.XLOOKUP(Supplier_Perf_Table[[#This Row],[Currency]],'Comments 2'!$C$4:$C$16,'Comments 2'!$D$4:$D$16)</f>
        <v>7.7000000000000002E-3</v>
      </c>
      <c r="P887" s="69">
        <f>IFERROR(Supplier_Perf_Table[[#This Row],[Unit_Cost]]*Supplier_Perf_Table[[#This Row],[Dollar Equivalent]],"")</f>
        <v>28.577164000000003</v>
      </c>
      <c r="Q887" s="75">
        <v>50</v>
      </c>
      <c r="R887" s="1">
        <v>185566</v>
      </c>
      <c r="S887" s="75">
        <f>Supplier_Perf_Table[[#This Row],[Unit_Cost]]*Supplier_Perf_Table[[#This Row],[Order_Quantity]]</f>
        <v>185566</v>
      </c>
      <c r="T887" s="75">
        <f>IFERROR(Supplier_Perf_Table[[#This Row],[Dollar Equivalent]]*Supplier_Perf_Table[[#This Row],[Ordered_Value]],"")</f>
        <v>1428.8582000000001</v>
      </c>
      <c r="U887" s="75">
        <v>2</v>
      </c>
      <c r="V887" s="7">
        <v>0.04</v>
      </c>
      <c r="W887" s="75">
        <v>17</v>
      </c>
      <c r="X887" s="55">
        <f>IFERROR(Supplier_Perf_Table[[#This Row],[Actual_Delivery_Date]]-Supplier_Perf_Table[[#This Row],[Order Date]],"")</f>
        <v>17</v>
      </c>
      <c r="Y887" s="75">
        <v>8</v>
      </c>
      <c r="Z887" s="56">
        <f>IFERROR(Supplier_Perf_Table[[#This Row],[Expected Delivery_Date]]-Supplier_Perf_Table[[#This Row],[Order Date]],"")</f>
        <v>8</v>
      </c>
      <c r="AA887" s="56">
        <f>Supplier_Perf_Table[[#This Row],[Calculated_Lead_Time2]]-Supplier_Perf_Table[[#This Row],[Calculated_Expected_Lead_Time]]</f>
        <v>9</v>
      </c>
      <c r="AB887" s="75">
        <v>9</v>
      </c>
      <c r="AC887" s="63" t="s">
        <v>205</v>
      </c>
      <c r="AD887" s="63" t="s">
        <v>40</v>
      </c>
      <c r="AE887" s="63" t="s">
        <v>105</v>
      </c>
      <c r="AF887" s="63" t="s">
        <v>190</v>
      </c>
      <c r="AG887" s="63" t="s">
        <v>43</v>
      </c>
      <c r="AH887" s="63" t="s">
        <v>136</v>
      </c>
      <c r="AI887" s="63" t="s">
        <v>138</v>
      </c>
      <c r="AJ887" s="63" t="s">
        <v>138</v>
      </c>
      <c r="AK887" s="83">
        <v>1.4</v>
      </c>
      <c r="AL887" s="63" t="s">
        <v>45</v>
      </c>
      <c r="AM887" s="63" t="s">
        <v>46</v>
      </c>
      <c r="AN887"/>
    </row>
    <row r="888" spans="1:40" ht="18" customHeight="1">
      <c r="A888" s="1" t="s">
        <v>2759</v>
      </c>
      <c r="B888" s="1" t="s">
        <v>2760</v>
      </c>
      <c r="C888" s="4">
        <v>46033</v>
      </c>
      <c r="D888" s="4">
        <v>46042</v>
      </c>
      <c r="E888" s="4">
        <v>46055</v>
      </c>
      <c r="F888" s="63" t="s">
        <v>209</v>
      </c>
      <c r="G888" s="63" t="s">
        <v>3845</v>
      </c>
      <c r="H888" s="63" t="s">
        <v>316</v>
      </c>
      <c r="I888" s="63" t="s">
        <v>49</v>
      </c>
      <c r="J888" s="63" t="s">
        <v>153</v>
      </c>
      <c r="K888" s="63" t="s">
        <v>2761</v>
      </c>
      <c r="L888" s="63" t="s">
        <v>155</v>
      </c>
      <c r="M888" s="69">
        <v>678.42</v>
      </c>
      <c r="N888" s="63" t="s">
        <v>53</v>
      </c>
      <c r="O888" s="73">
        <f>_xlfn.XLOOKUP(Supplier_Perf_Table[[#This Row],[Currency]],'Comments 2'!$C$4:$C$16,'Comments 2'!$D$4:$D$16)</f>
        <v>6.0999999999999999E-2</v>
      </c>
      <c r="P888" s="69">
        <f>IFERROR(Supplier_Perf_Table[[#This Row],[Unit_Cost]]*Supplier_Perf_Table[[#This Row],[Dollar Equivalent]],"")</f>
        <v>41.383619999999993</v>
      </c>
      <c r="Q888" s="75" t="s">
        <v>3080</v>
      </c>
      <c r="R888" s="1">
        <v>169605</v>
      </c>
      <c r="S888" s="75" t="e">
        <f>Supplier_Perf_Table[[#This Row],[Unit_Cost]]*Supplier_Perf_Table[[#This Row],[Order_Quantity]]</f>
        <v>#VALUE!</v>
      </c>
      <c r="T888" s="75">
        <f>IFERROR(Supplier_Perf_Table[[#This Row],[Dollar Equivalent]]*Supplier_Perf_Table[[#This Row],[Ordered_Value]],"")</f>
        <v>10345.905000000001</v>
      </c>
      <c r="U888" s="75">
        <v>0</v>
      </c>
      <c r="V888" s="7">
        <v>0</v>
      </c>
      <c r="W888" s="75">
        <v>22</v>
      </c>
      <c r="X888" s="55">
        <f>IFERROR(Supplier_Perf_Table[[#This Row],[Actual_Delivery_Date]]-Supplier_Perf_Table[[#This Row],[Order Date]],"")</f>
        <v>22</v>
      </c>
      <c r="Y888" s="75">
        <v>9</v>
      </c>
      <c r="Z888" s="56">
        <f>IFERROR(Supplier_Perf_Table[[#This Row],[Expected Delivery_Date]]-Supplier_Perf_Table[[#This Row],[Order Date]],"")</f>
        <v>9</v>
      </c>
      <c r="AA888" s="56">
        <f>Supplier_Perf_Table[[#This Row],[Calculated_Lead_Time2]]-Supplier_Perf_Table[[#This Row],[Calculated_Expected_Lead_Time]]</f>
        <v>13</v>
      </c>
      <c r="AB888" s="75">
        <v>13</v>
      </c>
      <c r="AC888" s="63" t="s">
        <v>39</v>
      </c>
      <c r="AD888" s="63" t="s">
        <v>40</v>
      </c>
      <c r="AE888" s="63" t="s">
        <v>127</v>
      </c>
      <c r="AF888" s="63" t="s">
        <v>106</v>
      </c>
      <c r="AG888" s="63" t="s">
        <v>128</v>
      </c>
      <c r="AH888" s="63" t="s">
        <v>88</v>
      </c>
      <c r="AI888" s="63" t="s">
        <v>147</v>
      </c>
      <c r="AJ888" s="63" t="s">
        <v>138</v>
      </c>
      <c r="AK888" s="83">
        <v>2.6</v>
      </c>
      <c r="AL888" s="63" t="s">
        <v>184</v>
      </c>
      <c r="AM888" s="63" t="s">
        <v>148</v>
      </c>
      <c r="AN888"/>
    </row>
    <row r="889" spans="1:40" ht="18" customHeight="1">
      <c r="A889" s="1" t="s">
        <v>2762</v>
      </c>
      <c r="B889" s="1" t="s">
        <v>2763</v>
      </c>
      <c r="C889" s="4">
        <v>46127</v>
      </c>
      <c r="D889" s="4">
        <v>46140</v>
      </c>
      <c r="E889" s="4">
        <v>46148</v>
      </c>
      <c r="F889" s="63" t="s">
        <v>60</v>
      </c>
      <c r="G889" s="63" t="s">
        <v>3837</v>
      </c>
      <c r="H889" s="63" t="s">
        <v>152</v>
      </c>
      <c r="I889" s="63" t="s">
        <v>34</v>
      </c>
      <c r="J889" s="63" t="s">
        <v>62</v>
      </c>
      <c r="K889" s="63" t="s">
        <v>2764</v>
      </c>
      <c r="L889" s="63" t="s">
        <v>225</v>
      </c>
      <c r="M889" s="69">
        <v>511.09</v>
      </c>
      <c r="N889" s="63" t="s">
        <v>104</v>
      </c>
      <c r="O889" s="73">
        <f>_xlfn.XLOOKUP(Supplier_Perf_Table[[#This Row],[Currency]],'Comments 2'!$C$4:$C$16,'Comments 2'!$D$4:$D$16)</f>
        <v>1.9E-2</v>
      </c>
      <c r="P889" s="69">
        <f>IFERROR(Supplier_Perf_Table[[#This Row],[Unit_Cost]]*Supplier_Perf_Table[[#This Row],[Dollar Equivalent]],"")</f>
        <v>9.7107099999999988</v>
      </c>
      <c r="Q889" s="75">
        <v>300</v>
      </c>
      <c r="R889" s="1">
        <v>153327</v>
      </c>
      <c r="S889" s="75">
        <f>Supplier_Perf_Table[[#This Row],[Unit_Cost]]*Supplier_Perf_Table[[#This Row],[Order_Quantity]]</f>
        <v>153327</v>
      </c>
      <c r="T889" s="75">
        <f>IFERROR(Supplier_Perf_Table[[#This Row],[Dollar Equivalent]]*Supplier_Perf_Table[[#This Row],[Ordered_Value]],"")</f>
        <v>2913.2129999999997</v>
      </c>
      <c r="U889" s="75">
        <v>0</v>
      </c>
      <c r="V889" s="7">
        <v>0</v>
      </c>
      <c r="W889" s="75">
        <v>21</v>
      </c>
      <c r="X889" s="55">
        <f>IFERROR(Supplier_Perf_Table[[#This Row],[Actual_Delivery_Date]]-Supplier_Perf_Table[[#This Row],[Order Date]],"")</f>
        <v>21</v>
      </c>
      <c r="Y889" s="75">
        <v>13</v>
      </c>
      <c r="Z889" s="56">
        <f>IFERROR(Supplier_Perf_Table[[#This Row],[Expected Delivery_Date]]-Supplier_Perf_Table[[#This Row],[Order Date]],"")</f>
        <v>13</v>
      </c>
      <c r="AA889" s="56">
        <f>Supplier_Perf_Table[[#This Row],[Calculated_Lead_Time2]]-Supplier_Perf_Table[[#This Row],[Calculated_Expected_Lead_Time]]</f>
        <v>8</v>
      </c>
      <c r="AB889" s="75">
        <v>8</v>
      </c>
      <c r="AC889" s="63" t="s">
        <v>135</v>
      </c>
      <c r="AD889" s="63" t="s">
        <v>40</v>
      </c>
      <c r="AE889" s="63" t="s">
        <v>41</v>
      </c>
      <c r="AF889" s="63" t="s">
        <v>106</v>
      </c>
      <c r="AG889" s="63" t="s">
        <v>54</v>
      </c>
      <c r="AH889" s="63" t="s">
        <v>129</v>
      </c>
      <c r="AI889" s="63" t="s">
        <v>191</v>
      </c>
      <c r="AJ889" s="63" t="s">
        <v>138</v>
      </c>
      <c r="AK889" s="83">
        <v>1.5</v>
      </c>
      <c r="AL889" s="63" t="s">
        <v>76</v>
      </c>
      <c r="AM889" s="63" t="s">
        <v>46</v>
      </c>
      <c r="AN889"/>
    </row>
    <row r="890" spans="1:40" ht="18" customHeight="1">
      <c r="A890" s="1" t="s">
        <v>2765</v>
      </c>
      <c r="B890" s="1" t="s">
        <v>2766</v>
      </c>
      <c r="C890" s="4">
        <v>46094</v>
      </c>
      <c r="D890" s="4">
        <v>46099</v>
      </c>
      <c r="E890" s="4">
        <v>46096</v>
      </c>
      <c r="F890" s="63" t="s">
        <v>151</v>
      </c>
      <c r="G890" s="63" t="s">
        <v>3844</v>
      </c>
      <c r="H890" s="63" t="s">
        <v>152</v>
      </c>
      <c r="I890" s="63" t="s">
        <v>178</v>
      </c>
      <c r="J890" s="63" t="s">
        <v>112</v>
      </c>
      <c r="K890" s="63" t="s">
        <v>2767</v>
      </c>
      <c r="L890" s="63" t="s">
        <v>114</v>
      </c>
      <c r="M890" s="69" t="s">
        <v>3080</v>
      </c>
      <c r="N890" s="63" t="s">
        <v>38</v>
      </c>
      <c r="O890" s="73">
        <f>_xlfn.XLOOKUP(Supplier_Perf_Table[[#This Row],[Currency]],'Comments 2'!$C$4:$C$16,'Comments 2'!$D$4:$D$16)</f>
        <v>7.7000000000000002E-3</v>
      </c>
      <c r="P890" s="69" t="str">
        <f>IFERROR(Supplier_Perf_Table[[#This Row],[Unit_Cost]]*Supplier_Perf_Table[[#This Row],[Dollar Equivalent]],"")</f>
        <v/>
      </c>
      <c r="Q890" s="75">
        <v>750</v>
      </c>
      <c r="R890" s="1">
        <v>420877.5</v>
      </c>
      <c r="S890" s="75" t="e">
        <f>Supplier_Perf_Table[[#This Row],[Unit_Cost]]*Supplier_Perf_Table[[#This Row],[Order_Quantity]]</f>
        <v>#VALUE!</v>
      </c>
      <c r="T890" s="75">
        <f>IFERROR(Supplier_Perf_Table[[#This Row],[Dollar Equivalent]]*Supplier_Perf_Table[[#This Row],[Ordered_Value]],"")</f>
        <v>3240.75675</v>
      </c>
      <c r="U890" s="75">
        <v>6</v>
      </c>
      <c r="V890" s="7">
        <v>8.0000000000000002E-3</v>
      </c>
      <c r="W890" s="75">
        <v>2</v>
      </c>
      <c r="X890" s="55">
        <f>IFERROR(Supplier_Perf_Table[[#This Row],[Actual_Delivery_Date]]-Supplier_Perf_Table[[#This Row],[Order Date]],"")</f>
        <v>2</v>
      </c>
      <c r="Y890" s="75">
        <v>5</v>
      </c>
      <c r="Z890" s="56">
        <f>IFERROR(Supplier_Perf_Table[[#This Row],[Expected Delivery_Date]]-Supplier_Perf_Table[[#This Row],[Order Date]],"")</f>
        <v>5</v>
      </c>
      <c r="AA890" s="56">
        <f>Supplier_Perf_Table[[#This Row],[Calculated_Lead_Time2]]-Supplier_Perf_Table[[#This Row],[Calculated_Expected_Lead_Time]]</f>
        <v>-3</v>
      </c>
      <c r="AB890" s="75">
        <v>-3</v>
      </c>
      <c r="AC890" s="63" t="s">
        <v>87</v>
      </c>
      <c r="AD890" s="63" t="s">
        <v>40</v>
      </c>
      <c r="AE890" s="63" t="s">
        <v>105</v>
      </c>
      <c r="AF890" s="63" t="s">
        <v>106</v>
      </c>
      <c r="AG890" s="63" t="s">
        <v>173</v>
      </c>
      <c r="AH890" s="63" t="s">
        <v>55</v>
      </c>
      <c r="AI890" s="63" t="s">
        <v>138</v>
      </c>
      <c r="AJ890" s="63" t="s">
        <v>138</v>
      </c>
      <c r="AK890" s="83">
        <v>4.2</v>
      </c>
      <c r="AL890" s="63" t="s">
        <v>45</v>
      </c>
      <c r="AM890" s="63" t="s">
        <v>138</v>
      </c>
      <c r="AN890"/>
    </row>
    <row r="891" spans="1:40" ht="18" customHeight="1">
      <c r="A891" s="63" t="s">
        <v>2768</v>
      </c>
      <c r="B891" s="63" t="s">
        <v>2769</v>
      </c>
      <c r="C891" s="4">
        <v>46177</v>
      </c>
      <c r="D891" s="4">
        <v>46181</v>
      </c>
      <c r="E891" s="4">
        <v>46204</v>
      </c>
      <c r="F891" s="63" t="s">
        <v>151</v>
      </c>
      <c r="G891" s="63" t="s">
        <v>3844</v>
      </c>
      <c r="H891" s="63" t="s">
        <v>152</v>
      </c>
      <c r="I891" s="63" t="s">
        <v>61</v>
      </c>
      <c r="J891" s="63" t="s">
        <v>112</v>
      </c>
      <c r="K891" s="63" t="s">
        <v>2770</v>
      </c>
      <c r="L891" s="63" t="s">
        <v>229</v>
      </c>
      <c r="M891" s="69">
        <v>734.62</v>
      </c>
      <c r="N891" s="63" t="s">
        <v>104</v>
      </c>
      <c r="O891" s="73">
        <f>_xlfn.XLOOKUP(Supplier_Perf_Table[[#This Row],[Currency]],'Comments 2'!$C$4:$C$16,'Comments 2'!$D$4:$D$16)</f>
        <v>1.9E-2</v>
      </c>
      <c r="P891" s="69">
        <f>IFERROR(Supplier_Perf_Table[[#This Row],[Unit_Cost]]*Supplier_Perf_Table[[#This Row],[Dollar Equivalent]],"")</f>
        <v>13.95778</v>
      </c>
      <c r="Q891" s="75">
        <v>100</v>
      </c>
      <c r="R891" s="1">
        <v>73462</v>
      </c>
      <c r="S891" s="75">
        <f>Supplier_Perf_Table[[#This Row],[Unit_Cost]]*Supplier_Perf_Table[[#This Row],[Order_Quantity]]</f>
        <v>73462</v>
      </c>
      <c r="T891" s="75">
        <f>IFERROR(Supplier_Perf_Table[[#This Row],[Dollar Equivalent]]*Supplier_Perf_Table[[#This Row],[Ordered_Value]],"")</f>
        <v>1395.778</v>
      </c>
      <c r="U891" s="75">
        <v>1</v>
      </c>
      <c r="V891" s="7">
        <v>0.01</v>
      </c>
      <c r="W891" s="75" t="s">
        <v>3080</v>
      </c>
      <c r="X891" s="55">
        <f>IFERROR(Supplier_Perf_Table[[#This Row],[Actual_Delivery_Date]]-Supplier_Perf_Table[[#This Row],[Order Date]],"")</f>
        <v>27</v>
      </c>
      <c r="Y891" s="75">
        <v>4</v>
      </c>
      <c r="Z891" s="56">
        <f>IFERROR(Supplier_Perf_Table[[#This Row],[Expected Delivery_Date]]-Supplier_Perf_Table[[#This Row],[Order Date]],"")</f>
        <v>4</v>
      </c>
      <c r="AA891" s="56">
        <f>Supplier_Perf_Table[[#This Row],[Calculated_Lead_Time2]]-Supplier_Perf_Table[[#This Row],[Calculated_Expected_Lead_Time]]</f>
        <v>23</v>
      </c>
      <c r="AB891" s="75">
        <v>23</v>
      </c>
      <c r="AC891" s="63" t="s">
        <v>135</v>
      </c>
      <c r="AD891" s="63" t="s">
        <v>404</v>
      </c>
      <c r="AE891" s="63" t="s">
        <v>105</v>
      </c>
      <c r="AF891" s="63" t="s">
        <v>212</v>
      </c>
      <c r="AG891" s="63" t="s">
        <v>173</v>
      </c>
      <c r="AH891" s="63" t="s">
        <v>55</v>
      </c>
      <c r="AI891" s="63" t="s">
        <v>191</v>
      </c>
      <c r="AJ891" s="63" t="s">
        <v>138</v>
      </c>
      <c r="AK891" s="83">
        <v>2.9</v>
      </c>
      <c r="AL891" s="63" t="s">
        <v>108</v>
      </c>
      <c r="AM891" s="63" t="s">
        <v>46</v>
      </c>
      <c r="AN891"/>
    </row>
    <row r="892" spans="1:40" ht="18" customHeight="1">
      <c r="A892" s="1" t="s">
        <v>2771</v>
      </c>
      <c r="B892" s="1" t="s">
        <v>2772</v>
      </c>
      <c r="C892" s="4">
        <v>46035</v>
      </c>
      <c r="D892" s="4">
        <v>46048</v>
      </c>
      <c r="E892" s="4">
        <v>46051</v>
      </c>
      <c r="F892" s="63" t="s">
        <v>100</v>
      </c>
      <c r="G892" s="63" t="s">
        <v>3841</v>
      </c>
      <c r="H892" s="63" t="s">
        <v>102</v>
      </c>
      <c r="I892" s="63" t="s">
        <v>241</v>
      </c>
      <c r="J892" s="63" t="s">
        <v>35</v>
      </c>
      <c r="K892" s="63" t="s">
        <v>1205</v>
      </c>
      <c r="L892" s="63" t="s">
        <v>200</v>
      </c>
      <c r="M892" s="69">
        <v>3488.88</v>
      </c>
      <c r="N892" s="63" t="s">
        <v>53</v>
      </c>
      <c r="O892" s="73">
        <f>_xlfn.XLOOKUP(Supplier_Perf_Table[[#This Row],[Currency]],'Comments 2'!$C$4:$C$16,'Comments 2'!$D$4:$D$16)</f>
        <v>6.0999999999999999E-2</v>
      </c>
      <c r="P892" s="69">
        <f>IFERROR(Supplier_Perf_Table[[#This Row],[Unit_Cost]]*Supplier_Perf_Table[[#This Row],[Dollar Equivalent]],"")</f>
        <v>212.82168000000001</v>
      </c>
      <c r="Q892" s="75">
        <v>150</v>
      </c>
      <c r="R892" s="1">
        <v>523332</v>
      </c>
      <c r="S892" s="75">
        <f>Supplier_Perf_Table[[#This Row],[Unit_Cost]]*Supplier_Perf_Table[[#This Row],[Order_Quantity]]</f>
        <v>523332</v>
      </c>
      <c r="T892" s="75">
        <f>IFERROR(Supplier_Perf_Table[[#This Row],[Dollar Equivalent]]*Supplier_Perf_Table[[#This Row],[Ordered_Value]],"")</f>
        <v>31923.252</v>
      </c>
      <c r="U892" s="75">
        <v>0</v>
      </c>
      <c r="V892" s="7">
        <v>0</v>
      </c>
      <c r="W892" s="75">
        <v>16</v>
      </c>
      <c r="X892" s="55">
        <f>IFERROR(Supplier_Perf_Table[[#This Row],[Actual_Delivery_Date]]-Supplier_Perf_Table[[#This Row],[Order Date]],"")</f>
        <v>16</v>
      </c>
      <c r="Y892" s="75">
        <v>13</v>
      </c>
      <c r="Z892" s="56">
        <f>IFERROR(Supplier_Perf_Table[[#This Row],[Expected Delivery_Date]]-Supplier_Perf_Table[[#This Row],[Order Date]],"")</f>
        <v>13</v>
      </c>
      <c r="AA892" s="56">
        <f>Supplier_Perf_Table[[#This Row],[Calculated_Lead_Time2]]-Supplier_Perf_Table[[#This Row],[Calculated_Expected_Lead_Time]]</f>
        <v>3</v>
      </c>
      <c r="AB892" s="75">
        <v>3</v>
      </c>
      <c r="AC892" s="63" t="s">
        <v>135</v>
      </c>
      <c r="AD892" s="63" t="s">
        <v>40</v>
      </c>
      <c r="AE892" s="63" t="s">
        <v>105</v>
      </c>
      <c r="AF892" s="63" t="s">
        <v>42</v>
      </c>
      <c r="AG892" s="63" t="s">
        <v>43</v>
      </c>
      <c r="AH892" s="63" t="s">
        <v>88</v>
      </c>
      <c r="AI892" s="63" t="s">
        <v>147</v>
      </c>
      <c r="AJ892" s="63" t="s">
        <v>138</v>
      </c>
      <c r="AK892" s="83">
        <v>2.7</v>
      </c>
      <c r="AL892" s="63" t="s">
        <v>139</v>
      </c>
      <c r="AM892" s="63" t="s">
        <v>46</v>
      </c>
      <c r="AN892"/>
    </row>
    <row r="893" spans="1:40" ht="18" customHeight="1">
      <c r="A893" s="1" t="s">
        <v>2773</v>
      </c>
      <c r="B893" s="1" t="s">
        <v>2774</v>
      </c>
      <c r="C893" s="4">
        <v>46192</v>
      </c>
      <c r="D893" s="4">
        <v>46199</v>
      </c>
      <c r="E893" s="4">
        <v>46202</v>
      </c>
      <c r="F893" s="63" t="s">
        <v>209</v>
      </c>
      <c r="G893" s="63" t="s">
        <v>3845</v>
      </c>
      <c r="H893" s="63" t="s">
        <v>316</v>
      </c>
      <c r="I893" s="63" t="s">
        <v>61</v>
      </c>
      <c r="J893" s="63" t="s">
        <v>153</v>
      </c>
      <c r="K893" s="63" t="s">
        <v>2636</v>
      </c>
      <c r="L893" s="63" t="s">
        <v>318</v>
      </c>
      <c r="M893" s="69">
        <v>20.43</v>
      </c>
      <c r="N893" s="63" t="s">
        <v>159</v>
      </c>
      <c r="O893" s="73">
        <f>_xlfn.XLOOKUP(Supplier_Perf_Table[[#This Row],[Currency]],'Comments 2'!$C$4:$C$16,'Comments 2'!$D$4:$D$16)</f>
        <v>7.2999999999999996E-4</v>
      </c>
      <c r="P893" s="69">
        <f>IFERROR(Supplier_Perf_Table[[#This Row],[Unit_Cost]]*Supplier_Perf_Table[[#This Row],[Dollar Equivalent]],"")</f>
        <v>1.4913899999999999E-2</v>
      </c>
      <c r="Q893" s="75">
        <v>2000</v>
      </c>
      <c r="R893" s="1">
        <v>40860</v>
      </c>
      <c r="S893" s="75">
        <f>Supplier_Perf_Table[[#This Row],[Unit_Cost]]*Supplier_Perf_Table[[#This Row],[Order_Quantity]]</f>
        <v>40860</v>
      </c>
      <c r="T893" s="75">
        <f>IFERROR(Supplier_Perf_Table[[#This Row],[Dollar Equivalent]]*Supplier_Perf_Table[[#This Row],[Ordered_Value]],"")</f>
        <v>29.8278</v>
      </c>
      <c r="U893" s="75">
        <v>88</v>
      </c>
      <c r="V893" s="7">
        <v>4.3999999999999997E-2</v>
      </c>
      <c r="W893" s="75">
        <v>10</v>
      </c>
      <c r="X893" s="55">
        <f>IFERROR(Supplier_Perf_Table[[#This Row],[Actual_Delivery_Date]]-Supplier_Perf_Table[[#This Row],[Order Date]],"")</f>
        <v>10</v>
      </c>
      <c r="Y893" s="75">
        <v>7</v>
      </c>
      <c r="Z893" s="56">
        <f>IFERROR(Supplier_Perf_Table[[#This Row],[Expected Delivery_Date]]-Supplier_Perf_Table[[#This Row],[Order Date]],"")</f>
        <v>7</v>
      </c>
      <c r="AA893" s="56">
        <f>Supplier_Perf_Table[[#This Row],[Calculated_Lead_Time2]]-Supplier_Perf_Table[[#This Row],[Calculated_Expected_Lead_Time]]</f>
        <v>3</v>
      </c>
      <c r="AB893" s="75">
        <v>3</v>
      </c>
      <c r="AC893" s="63" t="s">
        <v>166</v>
      </c>
      <c r="AD893" s="63" t="s">
        <v>74</v>
      </c>
      <c r="AE893" s="63" t="s">
        <v>41</v>
      </c>
      <c r="AF893" s="63" t="s">
        <v>106</v>
      </c>
      <c r="AG893" s="63" t="s">
        <v>128</v>
      </c>
      <c r="AH893" s="63" t="s">
        <v>174</v>
      </c>
      <c r="AI893" s="63" t="s">
        <v>147</v>
      </c>
      <c r="AJ893" s="63" t="s">
        <v>96</v>
      </c>
      <c r="AK893" s="83">
        <v>1.7</v>
      </c>
      <c r="AL893" s="63" t="s">
        <v>115</v>
      </c>
      <c r="AM893" s="63" t="s">
        <v>77</v>
      </c>
      <c r="AN893"/>
    </row>
    <row r="894" spans="1:40" ht="18" customHeight="1">
      <c r="A894" s="1" t="s">
        <v>2775</v>
      </c>
      <c r="B894" s="1" t="s">
        <v>2776</v>
      </c>
      <c r="C894" s="4">
        <v>46059</v>
      </c>
      <c r="D894" s="4">
        <v>46073</v>
      </c>
      <c r="E894" s="4">
        <v>46083</v>
      </c>
      <c r="F894" s="63" t="s">
        <v>90</v>
      </c>
      <c r="G894" s="63" t="s">
        <v>3840</v>
      </c>
      <c r="H894" s="63" t="s">
        <v>133</v>
      </c>
      <c r="I894" s="63" t="s">
        <v>241</v>
      </c>
      <c r="J894" s="63" t="s">
        <v>71</v>
      </c>
      <c r="K894" s="63" t="s">
        <v>2777</v>
      </c>
      <c r="L894" s="63" t="s">
        <v>553</v>
      </c>
      <c r="M894" s="69">
        <v>760.75</v>
      </c>
      <c r="N894" s="63" t="s">
        <v>104</v>
      </c>
      <c r="O894" s="73">
        <f>_xlfn.XLOOKUP(Supplier_Perf_Table[[#This Row],[Currency]],'Comments 2'!$C$4:$C$16,'Comments 2'!$D$4:$D$16)</f>
        <v>1.9E-2</v>
      </c>
      <c r="P894" s="69">
        <f>IFERROR(Supplier_Perf_Table[[#This Row],[Unit_Cost]]*Supplier_Perf_Table[[#This Row],[Dollar Equivalent]],"")</f>
        <v>14.45425</v>
      </c>
      <c r="Q894" s="75">
        <v>750</v>
      </c>
      <c r="R894" s="1">
        <v>570562.5</v>
      </c>
      <c r="S894" s="75">
        <f>Supplier_Perf_Table[[#This Row],[Unit_Cost]]*Supplier_Perf_Table[[#This Row],[Order_Quantity]]</f>
        <v>570562.5</v>
      </c>
      <c r="T894" s="75">
        <f>IFERROR(Supplier_Perf_Table[[#This Row],[Dollar Equivalent]]*Supplier_Perf_Table[[#This Row],[Ordered_Value]],"")</f>
        <v>10840.6875</v>
      </c>
      <c r="U894" s="75">
        <v>47</v>
      </c>
      <c r="V894" s="7">
        <v>6.2700000000000006E-2</v>
      </c>
      <c r="W894" s="75">
        <v>24</v>
      </c>
      <c r="X894" s="55">
        <f>IFERROR(Supplier_Perf_Table[[#This Row],[Actual_Delivery_Date]]-Supplier_Perf_Table[[#This Row],[Order Date]],"")</f>
        <v>24</v>
      </c>
      <c r="Y894" s="75">
        <v>14</v>
      </c>
      <c r="Z894" s="56">
        <f>IFERROR(Supplier_Perf_Table[[#This Row],[Expected Delivery_Date]]-Supplier_Perf_Table[[#This Row],[Order Date]],"")</f>
        <v>14</v>
      </c>
      <c r="AA894" s="56">
        <f>Supplier_Perf_Table[[#This Row],[Calculated_Lead_Time2]]-Supplier_Perf_Table[[#This Row],[Calculated_Expected_Lead_Time]]</f>
        <v>10</v>
      </c>
      <c r="AB894" s="75">
        <v>10</v>
      </c>
      <c r="AC894" s="63" t="s">
        <v>39</v>
      </c>
      <c r="AD894" s="63" t="s">
        <v>74</v>
      </c>
      <c r="AE894" s="63" t="s">
        <v>146</v>
      </c>
      <c r="AF894" s="63" t="s">
        <v>106</v>
      </c>
      <c r="AG894" s="63" t="s">
        <v>43</v>
      </c>
      <c r="AH894" s="63" t="s">
        <v>136</v>
      </c>
      <c r="AI894" s="63" t="s">
        <v>44</v>
      </c>
      <c r="AJ894" s="63" t="s">
        <v>183</v>
      </c>
      <c r="AK894" s="83">
        <v>2.2999999999999998</v>
      </c>
      <c r="AL894" s="63" t="s">
        <v>108</v>
      </c>
      <c r="AM894" s="63" t="s">
        <v>185</v>
      </c>
      <c r="AN894"/>
    </row>
    <row r="895" spans="1:40" ht="18" customHeight="1">
      <c r="A895" s="1" t="s">
        <v>2778</v>
      </c>
      <c r="B895" s="1" t="s">
        <v>2779</v>
      </c>
      <c r="C895" s="4">
        <v>46113</v>
      </c>
      <c r="D895" s="4">
        <v>46119</v>
      </c>
      <c r="E895" s="4">
        <v>46123</v>
      </c>
      <c r="F895" s="63" t="s">
        <v>151</v>
      </c>
      <c r="G895" s="63" t="s">
        <v>3844</v>
      </c>
      <c r="H895" s="63" t="s">
        <v>152</v>
      </c>
      <c r="I895" s="63" t="s">
        <v>61</v>
      </c>
      <c r="J895" s="63" t="s">
        <v>35</v>
      </c>
      <c r="K895" s="63" t="s">
        <v>2780</v>
      </c>
      <c r="L895" s="63" t="s">
        <v>37</v>
      </c>
      <c r="M895" s="69">
        <v>1569.39</v>
      </c>
      <c r="N895" s="63" t="s">
        <v>104</v>
      </c>
      <c r="O895" s="73">
        <f>_xlfn.XLOOKUP(Supplier_Perf_Table[[#This Row],[Currency]],'Comments 2'!$C$4:$C$16,'Comments 2'!$D$4:$D$16)</f>
        <v>1.9E-2</v>
      </c>
      <c r="P895" s="69">
        <f>IFERROR(Supplier_Perf_Table[[#This Row],[Unit_Cost]]*Supplier_Perf_Table[[#This Row],[Dollar Equivalent]],"")</f>
        <v>29.81841</v>
      </c>
      <c r="Q895" s="75">
        <v>1500</v>
      </c>
      <c r="R895" s="1">
        <v>2354085</v>
      </c>
      <c r="S895" s="75">
        <f>Supplier_Perf_Table[[#This Row],[Unit_Cost]]*Supplier_Perf_Table[[#This Row],[Order_Quantity]]</f>
        <v>2354085</v>
      </c>
      <c r="T895" s="75">
        <f>IFERROR(Supplier_Perf_Table[[#This Row],[Dollar Equivalent]]*Supplier_Perf_Table[[#This Row],[Ordered_Value]],"")</f>
        <v>44727.614999999998</v>
      </c>
      <c r="U895" s="75"/>
      <c r="V895" s="7">
        <v>0.01</v>
      </c>
      <c r="W895" s="75">
        <v>10</v>
      </c>
      <c r="X895" s="55">
        <f>IFERROR(Supplier_Perf_Table[[#This Row],[Actual_Delivery_Date]]-Supplier_Perf_Table[[#This Row],[Order Date]],"")</f>
        <v>10</v>
      </c>
      <c r="Y895" s="75">
        <v>6</v>
      </c>
      <c r="Z895" s="56">
        <f>IFERROR(Supplier_Perf_Table[[#This Row],[Expected Delivery_Date]]-Supplier_Perf_Table[[#This Row],[Order Date]],"")</f>
        <v>6</v>
      </c>
      <c r="AA895" s="56">
        <f>Supplier_Perf_Table[[#This Row],[Calculated_Lead_Time2]]-Supplier_Perf_Table[[#This Row],[Calculated_Expected_Lead_Time]]</f>
        <v>4</v>
      </c>
      <c r="AB895" s="75">
        <v>4</v>
      </c>
      <c r="AC895" s="63" t="s">
        <v>39</v>
      </c>
      <c r="AD895" s="63" t="s">
        <v>40</v>
      </c>
      <c r="AE895" s="63" t="s">
        <v>105</v>
      </c>
      <c r="AF895" s="63" t="s">
        <v>106</v>
      </c>
      <c r="AG895" s="63" t="s">
        <v>43</v>
      </c>
      <c r="AH895" s="63" t="s">
        <v>136</v>
      </c>
      <c r="AI895" s="63" t="s">
        <v>138</v>
      </c>
      <c r="AJ895" s="63" t="s">
        <v>138</v>
      </c>
      <c r="AK895" s="83">
        <v>4.4000000000000004</v>
      </c>
      <c r="AL895" s="63" t="s">
        <v>139</v>
      </c>
      <c r="AM895" s="63" t="s">
        <v>46</v>
      </c>
      <c r="AN895"/>
    </row>
    <row r="896" spans="1:40" ht="18" customHeight="1">
      <c r="A896" s="1" t="s">
        <v>881</v>
      </c>
      <c r="B896" s="1" t="s">
        <v>2781</v>
      </c>
      <c r="C896" s="4">
        <v>46029</v>
      </c>
      <c r="D896" s="4">
        <v>46047</v>
      </c>
      <c r="E896" s="4">
        <v>46037</v>
      </c>
      <c r="F896" s="63" t="s">
        <v>235</v>
      </c>
      <c r="G896" s="63" t="s">
        <v>3848</v>
      </c>
      <c r="H896" s="63" t="s">
        <v>479</v>
      </c>
      <c r="I896" s="63" t="s">
        <v>120</v>
      </c>
      <c r="J896" s="63" t="s">
        <v>71</v>
      </c>
      <c r="K896" s="63" t="s">
        <v>2497</v>
      </c>
      <c r="L896" s="63" t="s">
        <v>73</v>
      </c>
      <c r="M896" s="69">
        <v>352.21</v>
      </c>
      <c r="N896" s="63" t="s">
        <v>38</v>
      </c>
      <c r="O896" s="73">
        <f>_xlfn.XLOOKUP(Supplier_Perf_Table[[#This Row],[Currency]],'Comments 2'!$C$4:$C$16,'Comments 2'!$D$4:$D$16)</f>
        <v>7.7000000000000002E-3</v>
      </c>
      <c r="P896" s="69">
        <f>IFERROR(Supplier_Perf_Table[[#This Row],[Unit_Cost]]*Supplier_Perf_Table[[#This Row],[Dollar Equivalent]],"")</f>
        <v>2.7120169999999999</v>
      </c>
      <c r="Q896" s="75">
        <v>500</v>
      </c>
      <c r="R896" s="1">
        <v>176105</v>
      </c>
      <c r="S896" s="75">
        <f>Supplier_Perf_Table[[#This Row],[Unit_Cost]]*Supplier_Perf_Table[[#This Row],[Order_Quantity]]</f>
        <v>176105</v>
      </c>
      <c r="T896" s="75">
        <f>IFERROR(Supplier_Perf_Table[[#This Row],[Dollar Equivalent]]*Supplier_Perf_Table[[#This Row],[Ordered_Value]],"")</f>
        <v>1356.0085000000001</v>
      </c>
      <c r="U896" s="75">
        <v>8</v>
      </c>
      <c r="V896" s="7">
        <v>1.6E-2</v>
      </c>
      <c r="W896" s="75">
        <v>8</v>
      </c>
      <c r="X896" s="55">
        <f>IFERROR(Supplier_Perf_Table[[#This Row],[Actual_Delivery_Date]]-Supplier_Perf_Table[[#This Row],[Order Date]],"")</f>
        <v>8</v>
      </c>
      <c r="Y896" s="75">
        <v>18</v>
      </c>
      <c r="Z896" s="56">
        <f>IFERROR(Supplier_Perf_Table[[#This Row],[Expected Delivery_Date]]-Supplier_Perf_Table[[#This Row],[Order Date]],"")</f>
        <v>18</v>
      </c>
      <c r="AA896" s="56">
        <f>Supplier_Perf_Table[[#This Row],[Calculated_Lead_Time2]]-Supplier_Perf_Table[[#This Row],[Calculated_Expected_Lead_Time]]</f>
        <v>-10</v>
      </c>
      <c r="AB896" s="75">
        <v>-10</v>
      </c>
      <c r="AC896" s="63" t="s">
        <v>87</v>
      </c>
      <c r="AD896" s="63" t="s">
        <v>40</v>
      </c>
      <c r="AE896" s="63" t="s">
        <v>105</v>
      </c>
      <c r="AF896" s="63" t="s">
        <v>212</v>
      </c>
      <c r="AG896" s="63" t="s">
        <v>128</v>
      </c>
      <c r="AH896" s="63" t="s">
        <v>174</v>
      </c>
      <c r="AI896" s="63" t="s">
        <v>147</v>
      </c>
      <c r="AJ896" s="63" t="s">
        <v>138</v>
      </c>
      <c r="AK896" s="83">
        <v>3.7</v>
      </c>
      <c r="AL896" s="63" t="s">
        <v>108</v>
      </c>
      <c r="AM896" s="63" t="s">
        <v>138</v>
      </c>
      <c r="AN896"/>
    </row>
    <row r="897" spans="1:40" ht="18" customHeight="1">
      <c r="A897" s="1" t="s">
        <v>2782</v>
      </c>
      <c r="B897" s="1" t="s">
        <v>2783</v>
      </c>
      <c r="C897" s="4">
        <v>46176</v>
      </c>
      <c r="D897" s="4">
        <v>46187</v>
      </c>
      <c r="E897" s="4">
        <v>46188</v>
      </c>
      <c r="F897" s="63" t="s">
        <v>80</v>
      </c>
      <c r="G897" s="63" t="s">
        <v>3839</v>
      </c>
      <c r="H897" s="63" t="s">
        <v>82</v>
      </c>
      <c r="I897" s="63" t="s">
        <v>61</v>
      </c>
      <c r="J897" s="63" t="s">
        <v>35</v>
      </c>
      <c r="K897" s="63" t="s">
        <v>2784</v>
      </c>
      <c r="L897" s="63" t="s">
        <v>200</v>
      </c>
      <c r="M897" s="69">
        <v>389.56</v>
      </c>
      <c r="N897" s="63" t="s">
        <v>38</v>
      </c>
      <c r="O897" s="73">
        <f>_xlfn.XLOOKUP(Supplier_Perf_Table[[#This Row],[Currency]],'Comments 2'!$C$4:$C$16,'Comments 2'!$D$4:$D$16)</f>
        <v>7.7000000000000002E-3</v>
      </c>
      <c r="P897" s="69">
        <f>IFERROR(Supplier_Perf_Table[[#This Row],[Unit_Cost]]*Supplier_Perf_Table[[#This Row],[Dollar Equivalent]],"")</f>
        <v>2.9996119999999999</v>
      </c>
      <c r="Q897" s="75">
        <v>1000</v>
      </c>
      <c r="R897" s="1">
        <v>389560</v>
      </c>
      <c r="S897" s="75">
        <f>Supplier_Perf_Table[[#This Row],[Unit_Cost]]*Supplier_Perf_Table[[#This Row],[Order_Quantity]]</f>
        <v>389560</v>
      </c>
      <c r="T897" s="75">
        <f>IFERROR(Supplier_Perf_Table[[#This Row],[Dollar Equivalent]]*Supplier_Perf_Table[[#This Row],[Ordered_Value]],"")</f>
        <v>2999.6120000000001</v>
      </c>
      <c r="U897" s="75">
        <v>21</v>
      </c>
      <c r="V897" s="7">
        <v>2.1000000000000001E-2</v>
      </c>
      <c r="W897" s="75">
        <v>12</v>
      </c>
      <c r="X897" s="55">
        <f>IFERROR(Supplier_Perf_Table[[#This Row],[Actual_Delivery_Date]]-Supplier_Perf_Table[[#This Row],[Order Date]],"")</f>
        <v>12</v>
      </c>
      <c r="Y897" s="75">
        <v>11</v>
      </c>
      <c r="Z897" s="56">
        <f>IFERROR(Supplier_Perf_Table[[#This Row],[Expected Delivery_Date]]-Supplier_Perf_Table[[#This Row],[Order Date]],"")</f>
        <v>11</v>
      </c>
      <c r="AA897" s="56">
        <f>Supplier_Perf_Table[[#This Row],[Calculated_Lead_Time2]]-Supplier_Perf_Table[[#This Row],[Calculated_Expected_Lead_Time]]</f>
        <v>1</v>
      </c>
      <c r="AB897" s="75">
        <v>1</v>
      </c>
      <c r="AC897" s="63" t="s">
        <v>166</v>
      </c>
      <c r="AD897" s="63" t="s">
        <v>40</v>
      </c>
      <c r="AE897" s="63" t="s">
        <v>105</v>
      </c>
      <c r="AF897" s="63" t="s">
        <v>190</v>
      </c>
      <c r="AG897" s="63" t="s">
        <v>173</v>
      </c>
      <c r="AH897" s="63" t="s">
        <v>206</v>
      </c>
      <c r="AI897" s="63" t="s">
        <v>56</v>
      </c>
      <c r="AJ897" s="63" t="s">
        <v>138</v>
      </c>
      <c r="AK897" s="83">
        <v>3.4</v>
      </c>
      <c r="AL897" s="63" t="s">
        <v>57</v>
      </c>
      <c r="AM897" s="63" t="s">
        <v>46</v>
      </c>
      <c r="AN897"/>
    </row>
    <row r="898" spans="1:40" ht="18" customHeight="1">
      <c r="A898" s="1" t="s">
        <v>2785</v>
      </c>
      <c r="B898" s="1" t="s">
        <v>2786</v>
      </c>
      <c r="C898" s="4">
        <v>46157</v>
      </c>
      <c r="D898" s="4">
        <v>46169</v>
      </c>
      <c r="E898" s="4">
        <v>46172</v>
      </c>
      <c r="F898" s="63" t="s">
        <v>48</v>
      </c>
      <c r="G898" s="63" t="s">
        <v>3836</v>
      </c>
      <c r="H898" s="63" t="s">
        <v>102</v>
      </c>
      <c r="I898" s="63" t="s">
        <v>83</v>
      </c>
      <c r="J898" s="63" t="s">
        <v>50</v>
      </c>
      <c r="K898" s="63" t="s">
        <v>2787</v>
      </c>
      <c r="L898" s="63" t="s">
        <v>126</v>
      </c>
      <c r="M898" s="69">
        <v>1830.84</v>
      </c>
      <c r="N898" s="63" t="s">
        <v>38</v>
      </c>
      <c r="O898" s="73">
        <f>_xlfn.XLOOKUP(Supplier_Perf_Table[[#This Row],[Currency]],'Comments 2'!$C$4:$C$16,'Comments 2'!$D$4:$D$16)</f>
        <v>7.7000000000000002E-3</v>
      </c>
      <c r="P898" s="69">
        <f>IFERROR(Supplier_Perf_Table[[#This Row],[Unit_Cost]]*Supplier_Perf_Table[[#This Row],[Dollar Equivalent]],"")</f>
        <v>14.097467999999999</v>
      </c>
      <c r="Q898" s="75">
        <v>250</v>
      </c>
      <c r="R898" s="1">
        <v>457710</v>
      </c>
      <c r="S898" s="75">
        <f>Supplier_Perf_Table[[#This Row],[Unit_Cost]]*Supplier_Perf_Table[[#This Row],[Order_Quantity]]</f>
        <v>457710</v>
      </c>
      <c r="T898" s="75">
        <f>IFERROR(Supplier_Perf_Table[[#This Row],[Dollar Equivalent]]*Supplier_Perf_Table[[#This Row],[Ordered_Value]],"")</f>
        <v>3524.3670000000002</v>
      </c>
      <c r="U898" s="75">
        <v>14</v>
      </c>
      <c r="V898" s="7">
        <v>5.6000000000000001E-2</v>
      </c>
      <c r="W898" s="75">
        <v>15</v>
      </c>
      <c r="X898" s="55">
        <f>IFERROR(Supplier_Perf_Table[[#This Row],[Actual_Delivery_Date]]-Supplier_Perf_Table[[#This Row],[Order Date]],"")</f>
        <v>15</v>
      </c>
      <c r="Y898" s="75">
        <v>12</v>
      </c>
      <c r="Z898" s="56">
        <f>IFERROR(Supplier_Perf_Table[[#This Row],[Expected Delivery_Date]]-Supplier_Perf_Table[[#This Row],[Order Date]],"")</f>
        <v>12</v>
      </c>
      <c r="AA898" s="56">
        <f>Supplier_Perf_Table[[#This Row],[Calculated_Lead_Time2]]-Supplier_Perf_Table[[#This Row],[Calculated_Expected_Lead_Time]]</f>
        <v>3</v>
      </c>
      <c r="AB898" s="75">
        <v>3</v>
      </c>
      <c r="AC898" s="63" t="s">
        <v>166</v>
      </c>
      <c r="AD898" s="63" t="s">
        <v>74</v>
      </c>
      <c r="AE898" s="63" t="s">
        <v>146</v>
      </c>
      <c r="AF898" s="63" t="s">
        <v>106</v>
      </c>
      <c r="AG898" s="63" t="s">
        <v>173</v>
      </c>
      <c r="AH898" s="63" t="s">
        <v>206</v>
      </c>
      <c r="AI898" s="63" t="s">
        <v>95</v>
      </c>
      <c r="AJ898" s="63" t="s">
        <v>283</v>
      </c>
      <c r="AK898" s="83">
        <v>2</v>
      </c>
      <c r="AL898" s="63" t="s">
        <v>139</v>
      </c>
      <c r="AM898" s="63" t="s">
        <v>185</v>
      </c>
      <c r="AN898"/>
    </row>
    <row r="899" spans="1:40" ht="18" customHeight="1">
      <c r="A899" s="1" t="s">
        <v>2788</v>
      </c>
      <c r="B899" s="1" t="s">
        <v>2789</v>
      </c>
      <c r="C899" s="4">
        <v>46048</v>
      </c>
      <c r="D899" s="4">
        <v>46057</v>
      </c>
      <c r="E899" s="4">
        <v>46062</v>
      </c>
      <c r="F899" s="63" t="s">
        <v>69</v>
      </c>
      <c r="G899" s="63" t="s">
        <v>3838</v>
      </c>
      <c r="H899" s="63" t="s">
        <v>194</v>
      </c>
      <c r="I899" s="63" t="s">
        <v>34</v>
      </c>
      <c r="J899" s="63" t="s">
        <v>112</v>
      </c>
      <c r="K899" s="63" t="s">
        <v>2790</v>
      </c>
      <c r="L899" s="63" t="s">
        <v>246</v>
      </c>
      <c r="M899" s="69">
        <v>752.28</v>
      </c>
      <c r="N899" s="63" t="s">
        <v>53</v>
      </c>
      <c r="O899" s="73">
        <f>_xlfn.XLOOKUP(Supplier_Perf_Table[[#This Row],[Currency]],'Comments 2'!$C$4:$C$16,'Comments 2'!$D$4:$D$16)</f>
        <v>6.0999999999999999E-2</v>
      </c>
      <c r="P899" s="69">
        <f>IFERROR(Supplier_Perf_Table[[#This Row],[Unit_Cost]]*Supplier_Perf_Table[[#This Row],[Dollar Equivalent]],"")</f>
        <v>45.88908</v>
      </c>
      <c r="Q899" s="75">
        <v>2000</v>
      </c>
      <c r="R899" s="1">
        <v>1504560</v>
      </c>
      <c r="S899" s="75">
        <f>Supplier_Perf_Table[[#This Row],[Unit_Cost]]*Supplier_Perf_Table[[#This Row],[Order_Quantity]]</f>
        <v>1504560</v>
      </c>
      <c r="T899" s="75">
        <f>IFERROR(Supplier_Perf_Table[[#This Row],[Dollar Equivalent]]*Supplier_Perf_Table[[#This Row],[Ordered_Value]],"")</f>
        <v>91778.16</v>
      </c>
      <c r="U899" s="75">
        <v>42</v>
      </c>
      <c r="V899" s="7">
        <v>2.1000000000000001E-2</v>
      </c>
      <c r="W899" s="75">
        <v>14</v>
      </c>
      <c r="X899" s="55">
        <f>IFERROR(Supplier_Perf_Table[[#This Row],[Actual_Delivery_Date]]-Supplier_Perf_Table[[#This Row],[Order Date]],"")</f>
        <v>14</v>
      </c>
      <c r="Y899" s="75">
        <v>9</v>
      </c>
      <c r="Z899" s="56">
        <f>IFERROR(Supplier_Perf_Table[[#This Row],[Expected Delivery_Date]]-Supplier_Perf_Table[[#This Row],[Order Date]],"")</f>
        <v>9</v>
      </c>
      <c r="AA899" s="56">
        <f>Supplier_Perf_Table[[#This Row],[Calculated_Lead_Time2]]-Supplier_Perf_Table[[#This Row],[Calculated_Expected_Lead_Time]]</f>
        <v>5</v>
      </c>
      <c r="AB899" s="75">
        <v>5</v>
      </c>
      <c r="AC899" s="63" t="s">
        <v>39</v>
      </c>
      <c r="AD899" s="63" t="s">
        <v>40</v>
      </c>
      <c r="AE899" s="63" t="s">
        <v>105</v>
      </c>
      <c r="AF899" s="63" t="s">
        <v>106</v>
      </c>
      <c r="AG899" s="63" t="s">
        <v>107</v>
      </c>
      <c r="AH899" s="63" t="s">
        <v>174</v>
      </c>
      <c r="AI899" s="63" t="s">
        <v>147</v>
      </c>
      <c r="AJ899" s="63" t="s">
        <v>138</v>
      </c>
      <c r="AK899" s="83">
        <v>4</v>
      </c>
      <c r="AL899" s="63" t="s">
        <v>184</v>
      </c>
      <c r="AM899" s="63" t="s">
        <v>46</v>
      </c>
      <c r="AN899"/>
    </row>
    <row r="900" spans="1:40" ht="18" customHeight="1">
      <c r="A900" s="1" t="s">
        <v>2791</v>
      </c>
      <c r="B900" s="1" t="s">
        <v>2792</v>
      </c>
      <c r="C900" s="4">
        <v>46174</v>
      </c>
      <c r="D900" s="4">
        <v>46183</v>
      </c>
      <c r="E900" s="4">
        <v>46187</v>
      </c>
      <c r="F900" s="63" t="s">
        <v>60</v>
      </c>
      <c r="G900" s="63" t="s">
        <v>3837</v>
      </c>
      <c r="H900" s="63" t="s">
        <v>152</v>
      </c>
      <c r="I900" s="63" t="s">
        <v>92</v>
      </c>
      <c r="J900" s="63" t="s">
        <v>62</v>
      </c>
      <c r="K900" s="63" t="s">
        <v>2793</v>
      </c>
      <c r="L900" s="63" t="s">
        <v>225</v>
      </c>
      <c r="M900" s="69">
        <v>603</v>
      </c>
      <c r="N900" s="63" t="s">
        <v>65</v>
      </c>
      <c r="O900" s="73">
        <f>_xlfn.XLOOKUP(Supplier_Perf_Table[[#This Row],[Currency]],'Comments 2'!$C$4:$C$16,'Comments 2'!$D$4:$D$16)</f>
        <v>1</v>
      </c>
      <c r="P900" s="69">
        <f>IFERROR(Supplier_Perf_Table[[#This Row],[Unit_Cost]]*Supplier_Perf_Table[[#This Row],[Dollar Equivalent]],"")</f>
        <v>603</v>
      </c>
      <c r="Q900" s="75">
        <v>750</v>
      </c>
      <c r="R900" s="1">
        <v>452250</v>
      </c>
      <c r="S900" s="75">
        <f>Supplier_Perf_Table[[#This Row],[Unit_Cost]]*Supplier_Perf_Table[[#This Row],[Order_Quantity]]</f>
        <v>452250</v>
      </c>
      <c r="T900" s="75">
        <f>IFERROR(Supplier_Perf_Table[[#This Row],[Dollar Equivalent]]*Supplier_Perf_Table[[#This Row],[Ordered_Value]],"")</f>
        <v>452250</v>
      </c>
      <c r="U900" s="75">
        <v>4</v>
      </c>
      <c r="V900" s="7">
        <v>5.3E-3</v>
      </c>
      <c r="W900" s="75">
        <v>13</v>
      </c>
      <c r="X900" s="55">
        <f>IFERROR(Supplier_Perf_Table[[#This Row],[Actual_Delivery_Date]]-Supplier_Perf_Table[[#This Row],[Order Date]],"")</f>
        <v>13</v>
      </c>
      <c r="Y900" s="75">
        <v>9</v>
      </c>
      <c r="Z900" s="56">
        <f>IFERROR(Supplier_Perf_Table[[#This Row],[Expected Delivery_Date]]-Supplier_Perf_Table[[#This Row],[Order Date]],"")</f>
        <v>9</v>
      </c>
      <c r="AA900" s="56">
        <f>Supplier_Perf_Table[[#This Row],[Calculated_Lead_Time2]]-Supplier_Perf_Table[[#This Row],[Calculated_Expected_Lead_Time]]</f>
        <v>4</v>
      </c>
      <c r="AB900" s="75">
        <v>4</v>
      </c>
      <c r="AC900" s="63" t="s">
        <v>39</v>
      </c>
      <c r="AD900" s="63" t="s">
        <v>40</v>
      </c>
      <c r="AE900" s="63" t="s">
        <v>127</v>
      </c>
      <c r="AF900" s="63" t="s">
        <v>212</v>
      </c>
      <c r="AG900" s="63" t="s">
        <v>173</v>
      </c>
      <c r="AH900" s="63" t="s">
        <v>206</v>
      </c>
      <c r="AI900" s="63" t="s">
        <v>138</v>
      </c>
      <c r="AJ900" s="63" t="s">
        <v>138</v>
      </c>
      <c r="AK900" s="83">
        <v>3.9</v>
      </c>
      <c r="AL900" s="63" t="s">
        <v>76</v>
      </c>
      <c r="AM900" s="63" t="s">
        <v>148</v>
      </c>
      <c r="AN900"/>
    </row>
    <row r="901" spans="1:40" ht="18" customHeight="1">
      <c r="A901" s="1" t="s">
        <v>2794</v>
      </c>
      <c r="B901" s="1" t="s">
        <v>2795</v>
      </c>
      <c r="C901" s="4">
        <v>46094</v>
      </c>
      <c r="D901" s="4">
        <v>46105</v>
      </c>
      <c r="E901" s="4">
        <v>46108</v>
      </c>
      <c r="F901" s="63" t="s">
        <v>235</v>
      </c>
      <c r="G901" s="63" t="s">
        <v>3848</v>
      </c>
      <c r="H901" s="63" t="s">
        <v>479</v>
      </c>
      <c r="I901" s="63" t="s">
        <v>70</v>
      </c>
      <c r="J901" s="63" t="s">
        <v>62</v>
      </c>
      <c r="K901" s="63" t="s">
        <v>2796</v>
      </c>
      <c r="L901" s="63" t="s">
        <v>122</v>
      </c>
      <c r="M901" s="69">
        <v>211.19</v>
      </c>
      <c r="N901" s="63" t="s">
        <v>291</v>
      </c>
      <c r="O901" s="73">
        <f>_xlfn.XLOOKUP(Supplier_Perf_Table[[#This Row],[Currency]],'Comments 2'!$C$4:$C$16,'Comments 2'!$D$4:$D$16)</f>
        <v>7.2999999999999996E-4</v>
      </c>
      <c r="P901" s="69">
        <f>IFERROR(Supplier_Perf_Table[[#This Row],[Unit_Cost]]*Supplier_Perf_Table[[#This Row],[Dollar Equivalent]],"")</f>
        <v>0.15416869999999999</v>
      </c>
      <c r="Q901" s="75">
        <v>150</v>
      </c>
      <c r="R901" s="1">
        <v>31678.5</v>
      </c>
      <c r="S901" s="75">
        <f>Supplier_Perf_Table[[#This Row],[Unit_Cost]]*Supplier_Perf_Table[[#This Row],[Order_Quantity]]</f>
        <v>31678.5</v>
      </c>
      <c r="T901" s="75">
        <f>IFERROR(Supplier_Perf_Table[[#This Row],[Dollar Equivalent]]*Supplier_Perf_Table[[#This Row],[Ordered_Value]],"")</f>
        <v>23.125304999999997</v>
      </c>
      <c r="U901" s="75">
        <v>4</v>
      </c>
      <c r="V901" s="7">
        <v>2.6700000000000002E-2</v>
      </c>
      <c r="W901" s="75">
        <v>14</v>
      </c>
      <c r="X901" s="55">
        <f>IFERROR(Supplier_Perf_Table[[#This Row],[Actual_Delivery_Date]]-Supplier_Perf_Table[[#This Row],[Order Date]],"")</f>
        <v>14</v>
      </c>
      <c r="Y901" s="75">
        <v>11</v>
      </c>
      <c r="Z901" s="56">
        <f>IFERROR(Supplier_Perf_Table[[#This Row],[Expected Delivery_Date]]-Supplier_Perf_Table[[#This Row],[Order Date]],"")</f>
        <v>11</v>
      </c>
      <c r="AA901" s="56">
        <f>Supplier_Perf_Table[[#This Row],[Calculated_Lead_Time2]]-Supplier_Perf_Table[[#This Row],[Calculated_Expected_Lead_Time]]</f>
        <v>3</v>
      </c>
      <c r="AB901" s="75">
        <v>3</v>
      </c>
      <c r="AC901" s="63" t="s">
        <v>135</v>
      </c>
      <c r="AD901" s="63" t="s">
        <v>40</v>
      </c>
      <c r="AE901" s="63" t="s">
        <v>105</v>
      </c>
      <c r="AF901" s="63" t="s">
        <v>190</v>
      </c>
      <c r="AG901" s="63" t="s">
        <v>43</v>
      </c>
      <c r="AH901" s="63" t="s">
        <v>136</v>
      </c>
      <c r="AI901" s="63" t="s">
        <v>44</v>
      </c>
      <c r="AJ901" s="63" t="s">
        <v>138</v>
      </c>
      <c r="AK901" s="83">
        <v>2.5</v>
      </c>
      <c r="AL901" s="63" t="s">
        <v>45</v>
      </c>
      <c r="AM901" s="63" t="s">
        <v>46</v>
      </c>
      <c r="AN901"/>
    </row>
    <row r="902" spans="1:40" ht="18" customHeight="1">
      <c r="A902" s="1" t="s">
        <v>2797</v>
      </c>
      <c r="B902" s="1" t="s">
        <v>2798</v>
      </c>
      <c r="C902" s="4">
        <v>46103</v>
      </c>
      <c r="D902" s="4">
        <v>46113</v>
      </c>
      <c r="E902" s="4">
        <v>46114</v>
      </c>
      <c r="F902" s="63" t="s">
        <v>48</v>
      </c>
      <c r="G902" s="63" t="s">
        <v>3836</v>
      </c>
      <c r="H902" s="63" t="s">
        <v>102</v>
      </c>
      <c r="I902" s="63" t="s">
        <v>34</v>
      </c>
      <c r="J902" s="63" t="s">
        <v>50</v>
      </c>
      <c r="K902" s="63" t="s">
        <v>1223</v>
      </c>
      <c r="L902" s="63" t="s">
        <v>189</v>
      </c>
      <c r="M902" s="69">
        <v>2057.66</v>
      </c>
      <c r="N902" s="63" t="s">
        <v>104</v>
      </c>
      <c r="O902" s="73">
        <f>_xlfn.XLOOKUP(Supplier_Perf_Table[[#This Row],[Currency]],'Comments 2'!$C$4:$C$16,'Comments 2'!$D$4:$D$16)</f>
        <v>1.9E-2</v>
      </c>
      <c r="P902" s="69">
        <f>IFERROR(Supplier_Perf_Table[[#This Row],[Unit_Cost]]*Supplier_Perf_Table[[#This Row],[Dollar Equivalent]],"")</f>
        <v>39.09554</v>
      </c>
      <c r="Q902" s="75">
        <v>150</v>
      </c>
      <c r="R902" s="1">
        <v>308649</v>
      </c>
      <c r="S902" s="75">
        <f>Supplier_Perf_Table[[#This Row],[Unit_Cost]]*Supplier_Perf_Table[[#This Row],[Order_Quantity]]</f>
        <v>308649</v>
      </c>
      <c r="T902" s="75">
        <f>IFERROR(Supplier_Perf_Table[[#This Row],[Dollar Equivalent]]*Supplier_Perf_Table[[#This Row],[Ordered_Value]],"")</f>
        <v>5864.3310000000001</v>
      </c>
      <c r="U902" s="75">
        <v>9</v>
      </c>
      <c r="V902" s="7">
        <v>0.06</v>
      </c>
      <c r="W902" s="75">
        <v>11</v>
      </c>
      <c r="X902" s="55">
        <f>IFERROR(Supplier_Perf_Table[[#This Row],[Actual_Delivery_Date]]-Supplier_Perf_Table[[#This Row],[Order Date]],"")</f>
        <v>11</v>
      </c>
      <c r="Y902" s="75">
        <v>10</v>
      </c>
      <c r="Z902" s="56">
        <f>IFERROR(Supplier_Perf_Table[[#This Row],[Expected Delivery_Date]]-Supplier_Perf_Table[[#This Row],[Order Date]],"")</f>
        <v>10</v>
      </c>
      <c r="AA902" s="56">
        <f>Supplier_Perf_Table[[#This Row],[Calculated_Lead_Time2]]-Supplier_Perf_Table[[#This Row],[Calculated_Expected_Lead_Time]]</f>
        <v>1</v>
      </c>
      <c r="AB902" s="75">
        <v>1</v>
      </c>
      <c r="AC902" s="63" t="s">
        <v>135</v>
      </c>
      <c r="AD902" s="63" t="s">
        <v>366</v>
      </c>
      <c r="AE902" s="63" t="s">
        <v>105</v>
      </c>
      <c r="AF902" s="63" t="s">
        <v>42</v>
      </c>
      <c r="AG902" s="63" t="s">
        <v>107</v>
      </c>
      <c r="AH902" s="63" t="s">
        <v>55</v>
      </c>
      <c r="AI902" s="63" t="s">
        <v>95</v>
      </c>
      <c r="AJ902" s="63" t="s">
        <v>75</v>
      </c>
      <c r="AK902" s="83">
        <v>1</v>
      </c>
      <c r="AL902" s="63" t="s">
        <v>45</v>
      </c>
      <c r="AM902" s="63" t="s">
        <v>77</v>
      </c>
      <c r="AN902"/>
    </row>
    <row r="903" spans="1:40" ht="18" customHeight="1">
      <c r="A903" s="1" t="s">
        <v>2719</v>
      </c>
      <c r="B903" s="1" t="s">
        <v>2799</v>
      </c>
      <c r="C903" s="4">
        <v>46094</v>
      </c>
      <c r="D903" s="4">
        <v>46117</v>
      </c>
      <c r="E903" s="4">
        <v>46118</v>
      </c>
      <c r="F903" s="63" t="s">
        <v>32</v>
      </c>
      <c r="G903" s="63" t="s">
        <v>3835</v>
      </c>
      <c r="H903" s="63" t="s">
        <v>177</v>
      </c>
      <c r="I903" s="63" t="s">
        <v>61</v>
      </c>
      <c r="J903" s="63" t="s">
        <v>35</v>
      </c>
      <c r="K903" s="63" t="s">
        <v>2800</v>
      </c>
      <c r="L903" s="63" t="s">
        <v>37</v>
      </c>
      <c r="M903" s="69">
        <v>4399.58</v>
      </c>
      <c r="N903" s="63" t="s">
        <v>104</v>
      </c>
      <c r="O903" s="73">
        <f>_xlfn.XLOOKUP(Supplier_Perf_Table[[#This Row],[Currency]],'Comments 2'!$C$4:$C$16,'Comments 2'!$D$4:$D$16)</f>
        <v>1.9E-2</v>
      </c>
      <c r="P903" s="69">
        <f>IFERROR(Supplier_Perf_Table[[#This Row],[Unit_Cost]]*Supplier_Perf_Table[[#This Row],[Dollar Equivalent]],"")</f>
        <v>83.592019999999991</v>
      </c>
      <c r="Q903" s="75">
        <v>300</v>
      </c>
      <c r="R903" s="1">
        <v>1319874</v>
      </c>
      <c r="S903" s="75">
        <f>Supplier_Perf_Table[[#This Row],[Unit_Cost]]*Supplier_Perf_Table[[#This Row],[Order_Quantity]]</f>
        <v>1319874</v>
      </c>
      <c r="T903" s="75">
        <f>IFERROR(Supplier_Perf_Table[[#This Row],[Dollar Equivalent]]*Supplier_Perf_Table[[#This Row],[Ordered_Value]],"")</f>
        <v>25077.606</v>
      </c>
      <c r="U903" s="75">
        <v>0</v>
      </c>
      <c r="V903" s="7">
        <v>0</v>
      </c>
      <c r="W903" s="75">
        <v>24</v>
      </c>
      <c r="X903" s="55">
        <f>IFERROR(Supplier_Perf_Table[[#This Row],[Actual_Delivery_Date]]-Supplier_Perf_Table[[#This Row],[Order Date]],"")</f>
        <v>24</v>
      </c>
      <c r="Y903" s="75">
        <v>23</v>
      </c>
      <c r="Z903" s="56">
        <f>IFERROR(Supplier_Perf_Table[[#This Row],[Expected Delivery_Date]]-Supplier_Perf_Table[[#This Row],[Order Date]],"")</f>
        <v>23</v>
      </c>
      <c r="AA903" s="56">
        <f>Supplier_Perf_Table[[#This Row],[Calculated_Lead_Time2]]-Supplier_Perf_Table[[#This Row],[Calculated_Expected_Lead_Time]]</f>
        <v>1</v>
      </c>
      <c r="AB903" s="75">
        <v>1</v>
      </c>
      <c r="AC903" s="63" t="s">
        <v>135</v>
      </c>
      <c r="AD903" s="63" t="s">
        <v>649</v>
      </c>
      <c r="AE903" s="63" t="s">
        <v>105</v>
      </c>
      <c r="AF903" s="63" t="s">
        <v>106</v>
      </c>
      <c r="AG903" s="63" t="s">
        <v>43</v>
      </c>
      <c r="AH903" s="63" t="s">
        <v>3112</v>
      </c>
      <c r="AI903" s="63" t="s">
        <v>44</v>
      </c>
      <c r="AJ903" s="63" t="s">
        <v>138</v>
      </c>
      <c r="AK903" s="83">
        <v>4.5999999999999996</v>
      </c>
      <c r="AL903" s="63" t="s">
        <v>184</v>
      </c>
      <c r="AM903" s="63" t="s">
        <v>46</v>
      </c>
      <c r="AN903"/>
    </row>
    <row r="904" spans="1:40" ht="18" customHeight="1">
      <c r="A904" s="1" t="s">
        <v>2801</v>
      </c>
      <c r="B904" s="1" t="s">
        <v>2802</v>
      </c>
      <c r="C904" s="4">
        <v>46126</v>
      </c>
      <c r="D904" s="4">
        <v>46142</v>
      </c>
      <c r="E904" s="4">
        <v>46146</v>
      </c>
      <c r="F904" s="63" t="s">
        <v>118</v>
      </c>
      <c r="G904" s="63" t="s">
        <v>3842</v>
      </c>
      <c r="H904" s="63" t="s">
        <v>316</v>
      </c>
      <c r="I904" s="63" t="s">
        <v>92</v>
      </c>
      <c r="J904" s="63" t="s">
        <v>62</v>
      </c>
      <c r="K904" s="63" t="s">
        <v>1566</v>
      </c>
      <c r="L904" s="63" t="s">
        <v>64</v>
      </c>
      <c r="M904" s="69">
        <v>779.97</v>
      </c>
      <c r="N904" s="63" t="s">
        <v>86</v>
      </c>
      <c r="O904" s="73">
        <f>_xlfn.XLOOKUP(Supplier_Perf_Table[[#This Row],[Currency]],'Comments 2'!$C$4:$C$16,'Comments 2'!$D$4:$D$16)</f>
        <v>8.8999999999999996E-2</v>
      </c>
      <c r="P904" s="69">
        <f>IFERROR(Supplier_Perf_Table[[#This Row],[Unit_Cost]]*Supplier_Perf_Table[[#This Row],[Dollar Equivalent]],"")</f>
        <v>69.417329999999993</v>
      </c>
      <c r="Q904" s="75">
        <v>200</v>
      </c>
      <c r="R904" s="1">
        <v>155994</v>
      </c>
      <c r="S904" s="75">
        <f>Supplier_Perf_Table[[#This Row],[Unit_Cost]]*Supplier_Perf_Table[[#This Row],[Order_Quantity]]</f>
        <v>155994</v>
      </c>
      <c r="T904" s="75">
        <f>IFERROR(Supplier_Perf_Table[[#This Row],[Dollar Equivalent]]*Supplier_Perf_Table[[#This Row],[Ordered_Value]],"")</f>
        <v>13883.465999999999</v>
      </c>
      <c r="U904" s="75">
        <v>1</v>
      </c>
      <c r="V904" s="7">
        <v>5.0000000000000001E-3</v>
      </c>
      <c r="W904" s="75">
        <v>20</v>
      </c>
      <c r="X904" s="55">
        <f>IFERROR(Supplier_Perf_Table[[#This Row],[Actual_Delivery_Date]]-Supplier_Perf_Table[[#This Row],[Order Date]],"")</f>
        <v>20</v>
      </c>
      <c r="Y904" s="75">
        <v>16</v>
      </c>
      <c r="Z904" s="56">
        <f>IFERROR(Supplier_Perf_Table[[#This Row],[Expected Delivery_Date]]-Supplier_Perf_Table[[#This Row],[Order Date]],"")</f>
        <v>16</v>
      </c>
      <c r="AA904" s="56">
        <f>Supplier_Perf_Table[[#This Row],[Calculated_Lead_Time2]]-Supplier_Perf_Table[[#This Row],[Calculated_Expected_Lead_Time]]</f>
        <v>4</v>
      </c>
      <c r="AB904" s="75">
        <v>4</v>
      </c>
      <c r="AC904" s="63" t="s">
        <v>135</v>
      </c>
      <c r="AD904" s="63" t="s">
        <v>40</v>
      </c>
      <c r="AE904" s="63" t="s">
        <v>41</v>
      </c>
      <c r="AF904" s="63" t="s">
        <v>106</v>
      </c>
      <c r="AG904" s="63" t="s">
        <v>107</v>
      </c>
      <c r="AH904" s="63" t="s">
        <v>206</v>
      </c>
      <c r="AI904" s="63" t="s">
        <v>137</v>
      </c>
      <c r="AJ904" s="63" t="s">
        <v>138</v>
      </c>
      <c r="AK904" s="83">
        <v>4.5</v>
      </c>
      <c r="AL904" s="63" t="s">
        <v>184</v>
      </c>
      <c r="AM904" s="63" t="s">
        <v>46</v>
      </c>
      <c r="AN904"/>
    </row>
    <row r="905" spans="1:40" ht="18" customHeight="1">
      <c r="A905" s="1" t="s">
        <v>2803</v>
      </c>
      <c r="B905" s="1" t="s">
        <v>2804</v>
      </c>
      <c r="C905" s="4">
        <v>46198</v>
      </c>
      <c r="D905" s="4">
        <v>46216</v>
      </c>
      <c r="E905" s="4">
        <v>46216</v>
      </c>
      <c r="F905" s="63" t="s">
        <v>235</v>
      </c>
      <c r="G905" s="63" t="s">
        <v>3848</v>
      </c>
      <c r="H905" s="63" t="s">
        <v>479</v>
      </c>
      <c r="I905" s="63" t="s">
        <v>49</v>
      </c>
      <c r="J905" s="63" t="s">
        <v>71</v>
      </c>
      <c r="K905" s="63" t="s">
        <v>2805</v>
      </c>
      <c r="L905" s="63" t="s">
        <v>238</v>
      </c>
      <c r="M905" s="69">
        <v>457.88</v>
      </c>
      <c r="N905" s="63" t="s">
        <v>159</v>
      </c>
      <c r="O905" s="73">
        <f>_xlfn.XLOOKUP(Supplier_Perf_Table[[#This Row],[Currency]],'Comments 2'!$C$4:$C$16,'Comments 2'!$D$4:$D$16)</f>
        <v>7.2999999999999996E-4</v>
      </c>
      <c r="P905" s="69">
        <f>IFERROR(Supplier_Perf_Table[[#This Row],[Unit_Cost]]*Supplier_Perf_Table[[#This Row],[Dollar Equivalent]],"")</f>
        <v>0.33425240000000001</v>
      </c>
      <c r="Q905" s="75">
        <v>150</v>
      </c>
      <c r="R905" s="1">
        <v>68682</v>
      </c>
      <c r="S905" s="75">
        <f>Supplier_Perf_Table[[#This Row],[Unit_Cost]]*Supplier_Perf_Table[[#This Row],[Order_Quantity]]</f>
        <v>68682</v>
      </c>
      <c r="T905" s="75">
        <f>IFERROR(Supplier_Perf_Table[[#This Row],[Dollar Equivalent]]*Supplier_Perf_Table[[#This Row],[Ordered_Value]],"")</f>
        <v>50.137859999999996</v>
      </c>
      <c r="U905" s="75">
        <v>5</v>
      </c>
      <c r="V905" s="7">
        <v>3.3300000000000003E-2</v>
      </c>
      <c r="W905" s="75">
        <v>18</v>
      </c>
      <c r="X905" s="55">
        <f>IFERROR(Supplier_Perf_Table[[#This Row],[Actual_Delivery_Date]]-Supplier_Perf_Table[[#This Row],[Order Date]],"")</f>
        <v>18</v>
      </c>
      <c r="Y905" s="75">
        <v>18</v>
      </c>
      <c r="Z905" s="56">
        <f>IFERROR(Supplier_Perf_Table[[#This Row],[Expected Delivery_Date]]-Supplier_Perf_Table[[#This Row],[Order Date]],"")</f>
        <v>18</v>
      </c>
      <c r="AA905" s="56">
        <f>Supplier_Perf_Table[[#This Row],[Calculated_Lead_Time2]]-Supplier_Perf_Table[[#This Row],[Calculated_Expected_Lead_Time]]</f>
        <v>0</v>
      </c>
      <c r="AB905" s="75">
        <v>0</v>
      </c>
      <c r="AC905" s="63" t="s">
        <v>87</v>
      </c>
      <c r="AD905" s="63" t="s">
        <v>40</v>
      </c>
      <c r="AE905" s="63" t="s">
        <v>41</v>
      </c>
      <c r="AF905" s="63" t="s">
        <v>3088</v>
      </c>
      <c r="AG905" s="63" t="s">
        <v>43</v>
      </c>
      <c r="AH905" s="63" t="s">
        <v>136</v>
      </c>
      <c r="AI905" s="63" t="s">
        <v>137</v>
      </c>
      <c r="AJ905" s="63" t="s">
        <v>138</v>
      </c>
      <c r="AK905" s="83">
        <v>4.5999999999999996</v>
      </c>
      <c r="AL905" s="63" t="s">
        <v>139</v>
      </c>
      <c r="AM905" s="63" t="s">
        <v>138</v>
      </c>
      <c r="AN905"/>
    </row>
    <row r="906" spans="1:40" ht="18" customHeight="1">
      <c r="A906" s="1" t="s">
        <v>2806</v>
      </c>
      <c r="B906" s="1" t="s">
        <v>2807</v>
      </c>
      <c r="C906" s="4">
        <v>46037</v>
      </c>
      <c r="D906" s="4">
        <v>46061</v>
      </c>
      <c r="E906" s="4">
        <v>46065</v>
      </c>
      <c r="F906" s="63" t="s">
        <v>118</v>
      </c>
      <c r="G906" s="63" t="s">
        <v>3842</v>
      </c>
      <c r="H906" s="63" t="s">
        <v>301</v>
      </c>
      <c r="I906" s="63" t="s">
        <v>92</v>
      </c>
      <c r="J906" s="63" t="s">
        <v>62</v>
      </c>
      <c r="K906" s="63" t="s">
        <v>1487</v>
      </c>
      <c r="L906" s="63" t="s">
        <v>64</v>
      </c>
      <c r="M906" s="69">
        <v>644.30999999999995</v>
      </c>
      <c r="N906" s="63" t="s">
        <v>65</v>
      </c>
      <c r="O906" s="73">
        <f>_xlfn.XLOOKUP(Supplier_Perf_Table[[#This Row],[Currency]],'Comments 2'!$C$4:$C$16,'Comments 2'!$D$4:$D$16)</f>
        <v>1</v>
      </c>
      <c r="P906" s="69">
        <f>IFERROR(Supplier_Perf_Table[[#This Row],[Unit_Cost]]*Supplier_Perf_Table[[#This Row],[Dollar Equivalent]],"")</f>
        <v>644.30999999999995</v>
      </c>
      <c r="Q906" s="75">
        <v>50</v>
      </c>
      <c r="R906" s="1">
        <v>32215.5</v>
      </c>
      <c r="S906" s="75">
        <f>Supplier_Perf_Table[[#This Row],[Unit_Cost]]*Supplier_Perf_Table[[#This Row],[Order_Quantity]]</f>
        <v>32215.499999999996</v>
      </c>
      <c r="T906" s="75">
        <f>IFERROR(Supplier_Perf_Table[[#This Row],[Dollar Equivalent]]*Supplier_Perf_Table[[#This Row],[Ordered_Value]],"")</f>
        <v>32215.5</v>
      </c>
      <c r="U906" s="75">
        <v>0</v>
      </c>
      <c r="V906" s="7">
        <v>0</v>
      </c>
      <c r="W906" s="75">
        <v>28</v>
      </c>
      <c r="X906" s="55">
        <f>IFERROR(Supplier_Perf_Table[[#This Row],[Actual_Delivery_Date]]-Supplier_Perf_Table[[#This Row],[Order Date]],"")</f>
        <v>28</v>
      </c>
      <c r="Y906" s="75">
        <v>24</v>
      </c>
      <c r="Z906" s="56">
        <f>IFERROR(Supplier_Perf_Table[[#This Row],[Expected Delivery_Date]]-Supplier_Perf_Table[[#This Row],[Order Date]],"")</f>
        <v>24</v>
      </c>
      <c r="AA906" s="56">
        <f>Supplier_Perf_Table[[#This Row],[Calculated_Lead_Time2]]-Supplier_Perf_Table[[#This Row],[Calculated_Expected_Lead_Time]]</f>
        <v>4</v>
      </c>
      <c r="AB906" s="75">
        <v>4</v>
      </c>
      <c r="AC906" s="63" t="s">
        <v>39</v>
      </c>
      <c r="AD906" s="63" t="s">
        <v>40</v>
      </c>
      <c r="AE906" s="63" t="s">
        <v>105</v>
      </c>
      <c r="AF906" s="63" t="s">
        <v>106</v>
      </c>
      <c r="AG906" s="63" t="s">
        <v>43</v>
      </c>
      <c r="AH906" s="63" t="s">
        <v>174</v>
      </c>
      <c r="AI906" s="63" t="s">
        <v>137</v>
      </c>
      <c r="AJ906" s="63" t="s">
        <v>138</v>
      </c>
      <c r="AK906" s="83">
        <v>3.3</v>
      </c>
      <c r="AL906" s="63" t="s">
        <v>76</v>
      </c>
      <c r="AM906" s="63" t="s">
        <v>46</v>
      </c>
      <c r="AN906"/>
    </row>
    <row r="907" spans="1:40" ht="18" customHeight="1">
      <c r="A907" s="1" t="s">
        <v>2808</v>
      </c>
      <c r="B907" s="1" t="s">
        <v>2809</v>
      </c>
      <c r="C907" s="4">
        <v>46165</v>
      </c>
      <c r="D907" s="4">
        <v>46188</v>
      </c>
      <c r="E907" s="4">
        <v>46184</v>
      </c>
      <c r="F907" s="63" t="s">
        <v>118</v>
      </c>
      <c r="G907" s="63" t="s">
        <v>3842</v>
      </c>
      <c r="H907" s="63" t="s">
        <v>301</v>
      </c>
      <c r="I907" s="63" t="s">
        <v>241</v>
      </c>
      <c r="J907" s="63" t="s">
        <v>62</v>
      </c>
      <c r="K907" s="63" t="s">
        <v>2810</v>
      </c>
      <c r="L907" s="63" t="s">
        <v>122</v>
      </c>
      <c r="M907" s="69">
        <v>496.22</v>
      </c>
      <c r="N907" s="63" t="s">
        <v>104</v>
      </c>
      <c r="O907" s="73">
        <f>_xlfn.XLOOKUP(Supplier_Perf_Table[[#This Row],[Currency]],'Comments 2'!$C$4:$C$16,'Comments 2'!$D$4:$D$16)</f>
        <v>1.9E-2</v>
      </c>
      <c r="P907" s="69">
        <f>IFERROR(Supplier_Perf_Table[[#This Row],[Unit_Cost]]*Supplier_Perf_Table[[#This Row],[Dollar Equivalent]],"")</f>
        <v>9.4281800000000011</v>
      </c>
      <c r="Q907" s="75">
        <v>1500</v>
      </c>
      <c r="R907" s="1">
        <v>744330</v>
      </c>
      <c r="S907" s="75">
        <f>Supplier_Perf_Table[[#This Row],[Unit_Cost]]*Supplier_Perf_Table[[#This Row],[Order_Quantity]]</f>
        <v>744330</v>
      </c>
      <c r="T907" s="75">
        <f>IFERROR(Supplier_Perf_Table[[#This Row],[Dollar Equivalent]]*Supplier_Perf_Table[[#This Row],[Ordered_Value]],"")</f>
        <v>14142.27</v>
      </c>
      <c r="U907" s="75">
        <v>28</v>
      </c>
      <c r="V907" s="7">
        <v>1.8700000000000001E-2</v>
      </c>
      <c r="W907" s="75" t="s">
        <v>3080</v>
      </c>
      <c r="X907" s="55">
        <f>IFERROR(Supplier_Perf_Table[[#This Row],[Actual_Delivery_Date]]-Supplier_Perf_Table[[#This Row],[Order Date]],"")</f>
        <v>19</v>
      </c>
      <c r="Y907" s="75">
        <v>23</v>
      </c>
      <c r="Z907" s="56">
        <f>IFERROR(Supplier_Perf_Table[[#This Row],[Expected Delivery_Date]]-Supplier_Perf_Table[[#This Row],[Order Date]],"")</f>
        <v>23</v>
      </c>
      <c r="AA907" s="56">
        <f>Supplier_Perf_Table[[#This Row],[Calculated_Lead_Time2]]-Supplier_Perf_Table[[#This Row],[Calculated_Expected_Lead_Time]]</f>
        <v>-4</v>
      </c>
      <c r="AB907" s="75">
        <v>-4</v>
      </c>
      <c r="AC907" s="63" t="s">
        <v>270</v>
      </c>
      <c r="AD907" s="63" t="s">
        <v>40</v>
      </c>
      <c r="AE907" s="63" t="s">
        <v>105</v>
      </c>
      <c r="AF907" s="63" t="s">
        <v>42</v>
      </c>
      <c r="AG907" s="63" t="s">
        <v>43</v>
      </c>
      <c r="AH907" s="63" t="s">
        <v>55</v>
      </c>
      <c r="AI907" s="63" t="s">
        <v>191</v>
      </c>
      <c r="AJ907" s="63" t="s">
        <v>138</v>
      </c>
      <c r="AK907" s="83">
        <v>4.3</v>
      </c>
      <c r="AL907" s="63" t="s">
        <v>115</v>
      </c>
      <c r="AM907" s="63" t="s">
        <v>138</v>
      </c>
      <c r="AN907"/>
    </row>
    <row r="908" spans="1:40" ht="18" customHeight="1">
      <c r="A908" s="1" t="s">
        <v>2811</v>
      </c>
      <c r="B908" s="1" t="s">
        <v>2812</v>
      </c>
      <c r="C908" s="4">
        <v>46136</v>
      </c>
      <c r="D908" s="4">
        <v>46148</v>
      </c>
      <c r="E908" s="4">
        <v>46145</v>
      </c>
      <c r="F908" s="63" t="s">
        <v>69</v>
      </c>
      <c r="G908" s="63" t="s">
        <v>3838</v>
      </c>
      <c r="H908" s="63" t="s">
        <v>194</v>
      </c>
      <c r="I908" s="63" t="s">
        <v>70</v>
      </c>
      <c r="J908" s="63" t="s">
        <v>112</v>
      </c>
      <c r="K908" s="63" t="s">
        <v>2813</v>
      </c>
      <c r="L908" s="63" t="s">
        <v>114</v>
      </c>
      <c r="M908" s="69">
        <v>841.14</v>
      </c>
      <c r="N908" s="63" t="s">
        <v>104</v>
      </c>
      <c r="O908" s="73">
        <f>_xlfn.XLOOKUP(Supplier_Perf_Table[[#This Row],[Currency]],'Comments 2'!$C$4:$C$16,'Comments 2'!$D$4:$D$16)</f>
        <v>1.9E-2</v>
      </c>
      <c r="P908" s="69">
        <f>IFERROR(Supplier_Perf_Table[[#This Row],[Unit_Cost]]*Supplier_Perf_Table[[#This Row],[Dollar Equivalent]],"")</f>
        <v>15.98166</v>
      </c>
      <c r="Q908" s="75">
        <v>300</v>
      </c>
      <c r="R908" s="1">
        <v>252342</v>
      </c>
      <c r="S908" s="75">
        <f>Supplier_Perf_Table[[#This Row],[Unit_Cost]]*Supplier_Perf_Table[[#This Row],[Order_Quantity]]</f>
        <v>252342</v>
      </c>
      <c r="T908" s="75">
        <f>IFERROR(Supplier_Perf_Table[[#This Row],[Dollar Equivalent]]*Supplier_Perf_Table[[#This Row],[Ordered_Value]],"")</f>
        <v>4794.4979999999996</v>
      </c>
      <c r="U908" s="75">
        <v>17</v>
      </c>
      <c r="V908" s="7">
        <v>5.67E-2</v>
      </c>
      <c r="W908" s="75">
        <v>9</v>
      </c>
      <c r="X908" s="55">
        <f>IFERROR(Supplier_Perf_Table[[#This Row],[Actual_Delivery_Date]]-Supplier_Perf_Table[[#This Row],[Order Date]],"")</f>
        <v>9</v>
      </c>
      <c r="Y908" s="75">
        <v>12</v>
      </c>
      <c r="Z908" s="56">
        <f>IFERROR(Supplier_Perf_Table[[#This Row],[Expected Delivery_Date]]-Supplier_Perf_Table[[#This Row],[Order Date]],"")</f>
        <v>12</v>
      </c>
      <c r="AA908" s="56">
        <f>Supplier_Perf_Table[[#This Row],[Calculated_Lead_Time2]]-Supplier_Perf_Table[[#This Row],[Calculated_Expected_Lead_Time]]</f>
        <v>-3</v>
      </c>
      <c r="AB908" s="75">
        <v>-3</v>
      </c>
      <c r="AC908" s="63" t="s">
        <v>87</v>
      </c>
      <c r="AD908" s="63" t="s">
        <v>366</v>
      </c>
      <c r="AE908" s="63" t="s">
        <v>105</v>
      </c>
      <c r="AF908" s="63" t="s">
        <v>3088</v>
      </c>
      <c r="AG908" s="63" t="s">
        <v>43</v>
      </c>
      <c r="AH908" s="63" t="s">
        <v>136</v>
      </c>
      <c r="AI908" s="63" t="s">
        <v>191</v>
      </c>
      <c r="AJ908" s="63" t="s">
        <v>96</v>
      </c>
      <c r="AK908" s="83">
        <v>1.9</v>
      </c>
      <c r="AL908" s="63" t="s">
        <v>184</v>
      </c>
      <c r="AM908" s="63" t="s">
        <v>97</v>
      </c>
      <c r="AN908"/>
    </row>
    <row r="909" spans="1:40" ht="18" customHeight="1">
      <c r="A909" s="1" t="s">
        <v>2814</v>
      </c>
      <c r="B909" s="1" t="s">
        <v>2815</v>
      </c>
      <c r="C909" s="4">
        <v>46184</v>
      </c>
      <c r="D909" s="4">
        <v>46204</v>
      </c>
      <c r="E909" s="4">
        <v>46210</v>
      </c>
      <c r="F909" s="63" t="s">
        <v>32</v>
      </c>
      <c r="G909" s="63" t="s">
        <v>3835</v>
      </c>
      <c r="H909" s="63" t="s">
        <v>177</v>
      </c>
      <c r="I909" s="63" t="s">
        <v>34</v>
      </c>
      <c r="J909" s="63" t="s">
        <v>153</v>
      </c>
      <c r="K909" s="63" t="s">
        <v>2816</v>
      </c>
      <c r="L909" s="63" t="s">
        <v>155</v>
      </c>
      <c r="M909" s="69">
        <v>675.02</v>
      </c>
      <c r="N909" s="63" t="s">
        <v>104</v>
      </c>
      <c r="O909" s="73">
        <f>_xlfn.XLOOKUP(Supplier_Perf_Table[[#This Row],[Currency]],'Comments 2'!$C$4:$C$16,'Comments 2'!$D$4:$D$16)</f>
        <v>1.9E-2</v>
      </c>
      <c r="P909" s="69">
        <f>IFERROR(Supplier_Perf_Table[[#This Row],[Unit_Cost]]*Supplier_Perf_Table[[#This Row],[Dollar Equivalent]],"")</f>
        <v>12.825379999999999</v>
      </c>
      <c r="Q909" s="75">
        <v>250</v>
      </c>
      <c r="R909" s="1">
        <v>168755</v>
      </c>
      <c r="S909" s="75">
        <f>Supplier_Perf_Table[[#This Row],[Unit_Cost]]*Supplier_Perf_Table[[#This Row],[Order_Quantity]]</f>
        <v>168755</v>
      </c>
      <c r="T909" s="75">
        <f>IFERROR(Supplier_Perf_Table[[#This Row],[Dollar Equivalent]]*Supplier_Perf_Table[[#This Row],[Ordered_Value]],"")</f>
        <v>3206.3449999999998</v>
      </c>
      <c r="U909" s="75">
        <v>39</v>
      </c>
      <c r="V909" s="7">
        <v>0.156</v>
      </c>
      <c r="W909" s="75">
        <v>26</v>
      </c>
      <c r="X909" s="55">
        <f>IFERROR(Supplier_Perf_Table[[#This Row],[Actual_Delivery_Date]]-Supplier_Perf_Table[[#This Row],[Order Date]],"")</f>
        <v>26</v>
      </c>
      <c r="Y909" s="75">
        <v>20</v>
      </c>
      <c r="Z909" s="56">
        <f>IFERROR(Supplier_Perf_Table[[#This Row],[Expected Delivery_Date]]-Supplier_Perf_Table[[#This Row],[Order Date]],"")</f>
        <v>20</v>
      </c>
      <c r="AA909" s="56">
        <f>Supplier_Perf_Table[[#This Row],[Calculated_Lead_Time2]]-Supplier_Perf_Table[[#This Row],[Calculated_Expected_Lead_Time]]</f>
        <v>6</v>
      </c>
      <c r="AB909" s="75">
        <v>6</v>
      </c>
      <c r="AC909" s="63" t="s">
        <v>205</v>
      </c>
      <c r="AD909" s="63" t="s">
        <v>74</v>
      </c>
      <c r="AE909" s="63" t="s">
        <v>146</v>
      </c>
      <c r="AF909" s="63" t="s">
        <v>190</v>
      </c>
      <c r="AG909" s="63" t="s">
        <v>107</v>
      </c>
      <c r="AH909" s="63" t="s">
        <v>206</v>
      </c>
      <c r="AI909" s="63" t="s">
        <v>138</v>
      </c>
      <c r="AJ909" s="63" t="s">
        <v>75</v>
      </c>
      <c r="AK909" s="83">
        <v>3.3</v>
      </c>
      <c r="AL909" s="63" t="s">
        <v>76</v>
      </c>
      <c r="AM909" s="63" t="s">
        <v>185</v>
      </c>
      <c r="AN909"/>
    </row>
    <row r="910" spans="1:40" ht="18" customHeight="1">
      <c r="A910" s="1" t="s">
        <v>2817</v>
      </c>
      <c r="B910" s="1" t="s">
        <v>2818</v>
      </c>
      <c r="C910" s="4">
        <v>46025</v>
      </c>
      <c r="D910" s="4">
        <v>46044</v>
      </c>
      <c r="E910" s="4">
        <v>46049</v>
      </c>
      <c r="F910" s="63" t="s">
        <v>142</v>
      </c>
      <c r="G910" s="63" t="s">
        <v>3843</v>
      </c>
      <c r="H910" s="63" t="s">
        <v>169</v>
      </c>
      <c r="I910" s="63" t="s">
        <v>83</v>
      </c>
      <c r="J910" s="63" t="s">
        <v>50</v>
      </c>
      <c r="K910" s="63" t="s">
        <v>2819</v>
      </c>
      <c r="L910" s="63" t="s">
        <v>189</v>
      </c>
      <c r="M910" s="69">
        <v>1344.92</v>
      </c>
      <c r="N910" s="63" t="s">
        <v>159</v>
      </c>
      <c r="O910" s="73">
        <f>_xlfn.XLOOKUP(Supplier_Perf_Table[[#This Row],[Currency]],'Comments 2'!$C$4:$C$16,'Comments 2'!$D$4:$D$16)</f>
        <v>7.2999999999999996E-4</v>
      </c>
      <c r="P910" s="69">
        <f>IFERROR(Supplier_Perf_Table[[#This Row],[Unit_Cost]]*Supplier_Perf_Table[[#This Row],[Dollar Equivalent]],"")</f>
        <v>0.98179159999999999</v>
      </c>
      <c r="Q910" s="75">
        <v>500</v>
      </c>
      <c r="R910" s="1">
        <v>672460</v>
      </c>
      <c r="S910" s="75">
        <f>Supplier_Perf_Table[[#This Row],[Unit_Cost]]*Supplier_Perf_Table[[#This Row],[Order_Quantity]]</f>
        <v>672460</v>
      </c>
      <c r="T910" s="75">
        <f>IFERROR(Supplier_Perf_Table[[#This Row],[Dollar Equivalent]]*Supplier_Perf_Table[[#This Row],[Ordered_Value]],"")</f>
        <v>490.89579999999995</v>
      </c>
      <c r="U910" s="75">
        <v>8</v>
      </c>
      <c r="V910" s="7">
        <v>1.6E-2</v>
      </c>
      <c r="W910" s="75">
        <v>24</v>
      </c>
      <c r="X910" s="55">
        <f>IFERROR(Supplier_Perf_Table[[#This Row],[Actual_Delivery_Date]]-Supplier_Perf_Table[[#This Row],[Order Date]],"")</f>
        <v>24</v>
      </c>
      <c r="Y910" s="75">
        <v>19</v>
      </c>
      <c r="Z910" s="56">
        <f>IFERROR(Supplier_Perf_Table[[#This Row],[Expected Delivery_Date]]-Supplier_Perf_Table[[#This Row],[Order Date]],"")</f>
        <v>19</v>
      </c>
      <c r="AA910" s="56">
        <f>Supplier_Perf_Table[[#This Row],[Calculated_Lead_Time2]]-Supplier_Perf_Table[[#This Row],[Calculated_Expected_Lead_Time]]</f>
        <v>5</v>
      </c>
      <c r="AB910" s="75">
        <v>5</v>
      </c>
      <c r="AC910" s="63" t="s">
        <v>135</v>
      </c>
      <c r="AD910" s="63" t="s">
        <v>40</v>
      </c>
      <c r="AE910" s="63" t="s">
        <v>105</v>
      </c>
      <c r="AF910" s="63" t="s">
        <v>42</v>
      </c>
      <c r="AG910" s="63" t="s">
        <v>173</v>
      </c>
      <c r="AH910" s="63" t="s">
        <v>3112</v>
      </c>
      <c r="AI910" s="63" t="s">
        <v>95</v>
      </c>
      <c r="AJ910" s="63" t="s">
        <v>138</v>
      </c>
      <c r="AK910" s="83">
        <v>4.3</v>
      </c>
      <c r="AL910" s="63" t="s">
        <v>184</v>
      </c>
      <c r="AM910" s="63" t="s">
        <v>386</v>
      </c>
      <c r="AN910"/>
    </row>
    <row r="911" spans="1:40" ht="18" customHeight="1">
      <c r="A911" s="1" t="s">
        <v>2820</v>
      </c>
      <c r="B911" s="1" t="s">
        <v>2821</v>
      </c>
      <c r="C911" s="4">
        <v>46151</v>
      </c>
      <c r="D911" s="4">
        <v>46176</v>
      </c>
      <c r="E911" s="4">
        <v>46179</v>
      </c>
      <c r="F911" s="63" t="s">
        <v>118</v>
      </c>
      <c r="G911" s="63" t="s">
        <v>3842</v>
      </c>
      <c r="H911" s="63" t="s">
        <v>301</v>
      </c>
      <c r="I911" s="63" t="s">
        <v>178</v>
      </c>
      <c r="J911" s="63" t="s">
        <v>62</v>
      </c>
      <c r="K911" s="63" t="s">
        <v>1314</v>
      </c>
      <c r="L911" s="63" t="s">
        <v>122</v>
      </c>
      <c r="M911" s="69">
        <v>347.98</v>
      </c>
      <c r="N911" s="63" t="s">
        <v>65</v>
      </c>
      <c r="O911" s="73">
        <f>_xlfn.XLOOKUP(Supplier_Perf_Table[[#This Row],[Currency]],'Comments 2'!$C$4:$C$16,'Comments 2'!$D$4:$D$16)</f>
        <v>1</v>
      </c>
      <c r="P911" s="69">
        <f>IFERROR(Supplier_Perf_Table[[#This Row],[Unit_Cost]]*Supplier_Perf_Table[[#This Row],[Dollar Equivalent]],"")</f>
        <v>347.98</v>
      </c>
      <c r="Q911" s="75">
        <v>1000</v>
      </c>
      <c r="R911" s="1">
        <v>347980</v>
      </c>
      <c r="S911" s="75">
        <f>Supplier_Perf_Table[[#This Row],[Unit_Cost]]*Supplier_Perf_Table[[#This Row],[Order_Quantity]]</f>
        <v>347980</v>
      </c>
      <c r="T911" s="75">
        <f>IFERROR(Supplier_Perf_Table[[#This Row],[Dollar Equivalent]]*Supplier_Perf_Table[[#This Row],[Ordered_Value]],"")</f>
        <v>347980</v>
      </c>
      <c r="U911" s="75">
        <v>20</v>
      </c>
      <c r="V911" s="7">
        <v>0.02</v>
      </c>
      <c r="W911" s="75">
        <v>28</v>
      </c>
      <c r="X911" s="55">
        <f>IFERROR(Supplier_Perf_Table[[#This Row],[Actual_Delivery_Date]]-Supplier_Perf_Table[[#This Row],[Order Date]],"")</f>
        <v>28</v>
      </c>
      <c r="Y911" s="75">
        <v>25</v>
      </c>
      <c r="Z911" s="56">
        <f>IFERROR(Supplier_Perf_Table[[#This Row],[Expected Delivery_Date]]-Supplier_Perf_Table[[#This Row],[Order Date]],"")</f>
        <v>25</v>
      </c>
      <c r="AA911" s="56">
        <f>Supplier_Perf_Table[[#This Row],[Calculated_Lead_Time2]]-Supplier_Perf_Table[[#This Row],[Calculated_Expected_Lead_Time]]</f>
        <v>3</v>
      </c>
      <c r="AB911" s="75">
        <v>3</v>
      </c>
      <c r="AC911" s="63" t="s">
        <v>135</v>
      </c>
      <c r="AD911" s="63" t="s">
        <v>40</v>
      </c>
      <c r="AE911" s="63" t="s">
        <v>127</v>
      </c>
      <c r="AF911" s="63" t="s">
        <v>42</v>
      </c>
      <c r="AG911" s="63" t="s">
        <v>3088</v>
      </c>
      <c r="AH911" s="63" t="s">
        <v>3112</v>
      </c>
      <c r="AI911" s="63" t="s">
        <v>138</v>
      </c>
      <c r="AJ911" s="63" t="s">
        <v>138</v>
      </c>
      <c r="AK911" s="83">
        <v>4.0999999999999996</v>
      </c>
      <c r="AL911" s="63" t="s">
        <v>108</v>
      </c>
      <c r="AM911" s="63" t="s">
        <v>148</v>
      </c>
      <c r="AN911"/>
    </row>
    <row r="912" spans="1:40" ht="18" customHeight="1">
      <c r="A912" s="1" t="s">
        <v>2822</v>
      </c>
      <c r="B912" s="1" t="s">
        <v>2823</v>
      </c>
      <c r="C912" s="4">
        <v>46053</v>
      </c>
      <c r="D912" s="4">
        <v>46059</v>
      </c>
      <c r="E912" s="4">
        <v>46060</v>
      </c>
      <c r="F912" s="63" t="s">
        <v>162</v>
      </c>
      <c r="G912" s="63" t="s">
        <v>3847</v>
      </c>
      <c r="H912" s="63" t="s">
        <v>152</v>
      </c>
      <c r="I912" s="63" t="s">
        <v>241</v>
      </c>
      <c r="J912" s="63" t="s">
        <v>153</v>
      </c>
      <c r="K912" s="63" t="s">
        <v>2824</v>
      </c>
      <c r="L912" s="63" t="s">
        <v>155</v>
      </c>
      <c r="M912" s="69">
        <v>299.86</v>
      </c>
      <c r="N912" s="63" t="s">
        <v>53</v>
      </c>
      <c r="O912" s="73">
        <f>_xlfn.XLOOKUP(Supplier_Perf_Table[[#This Row],[Currency]],'Comments 2'!$C$4:$C$16,'Comments 2'!$D$4:$D$16)</f>
        <v>6.0999999999999999E-2</v>
      </c>
      <c r="P912" s="69">
        <f>IFERROR(Supplier_Perf_Table[[#This Row],[Unit_Cost]]*Supplier_Perf_Table[[#This Row],[Dollar Equivalent]],"")</f>
        <v>18.291460000000001</v>
      </c>
      <c r="Q912" s="75">
        <v>75</v>
      </c>
      <c r="R912" s="1">
        <v>22489.5</v>
      </c>
      <c r="S912" s="75">
        <f>Supplier_Perf_Table[[#This Row],[Unit_Cost]]*Supplier_Perf_Table[[#This Row],[Order_Quantity]]</f>
        <v>22489.5</v>
      </c>
      <c r="T912" s="75">
        <f>IFERROR(Supplier_Perf_Table[[#This Row],[Dollar Equivalent]]*Supplier_Perf_Table[[#This Row],[Ordered_Value]],"")</f>
        <v>1371.8595</v>
      </c>
      <c r="U912" s="75">
        <v>1</v>
      </c>
      <c r="V912" s="7">
        <v>1.3299999999999999E-2</v>
      </c>
      <c r="W912" s="75">
        <v>-5</v>
      </c>
      <c r="X912" s="55">
        <f>IFERROR(Supplier_Perf_Table[[#This Row],[Actual_Delivery_Date]]-Supplier_Perf_Table[[#This Row],[Order Date]],"")</f>
        <v>7</v>
      </c>
      <c r="Y912" s="75">
        <v>6</v>
      </c>
      <c r="Z912" s="56">
        <f>IFERROR(Supplier_Perf_Table[[#This Row],[Expected Delivery_Date]]-Supplier_Perf_Table[[#This Row],[Order Date]],"")</f>
        <v>6</v>
      </c>
      <c r="AA912" s="56">
        <f>Supplier_Perf_Table[[#This Row],[Calculated_Lead_Time2]]-Supplier_Perf_Table[[#This Row],[Calculated_Expected_Lead_Time]]</f>
        <v>1</v>
      </c>
      <c r="AB912" s="75">
        <v>1</v>
      </c>
      <c r="AC912" s="63" t="s">
        <v>135</v>
      </c>
      <c r="AD912" s="63" t="s">
        <v>3088</v>
      </c>
      <c r="AE912" s="63" t="s">
        <v>127</v>
      </c>
      <c r="AF912" s="63" t="s">
        <v>42</v>
      </c>
      <c r="AG912" s="63" t="s">
        <v>173</v>
      </c>
      <c r="AH912" s="63" t="s">
        <v>206</v>
      </c>
      <c r="AI912" s="63" t="s">
        <v>191</v>
      </c>
      <c r="AJ912" s="63" t="s">
        <v>138</v>
      </c>
      <c r="AK912" s="83">
        <v>2.4</v>
      </c>
      <c r="AL912" s="63" t="s">
        <v>76</v>
      </c>
      <c r="AM912" s="63" t="s">
        <v>148</v>
      </c>
      <c r="AN912"/>
    </row>
    <row r="913" spans="1:40" ht="18" customHeight="1">
      <c r="A913" s="1" t="s">
        <v>2825</v>
      </c>
      <c r="B913" s="1" t="s">
        <v>2826</v>
      </c>
      <c r="C913" s="4">
        <v>46072</v>
      </c>
      <c r="D913" s="4">
        <v>46078</v>
      </c>
      <c r="E913" s="4">
        <v>46087</v>
      </c>
      <c r="F913" s="63" t="s">
        <v>215</v>
      </c>
      <c r="G913" s="63" t="s">
        <v>3846</v>
      </c>
      <c r="H913" s="63" t="s">
        <v>152</v>
      </c>
      <c r="I913" s="63" t="s">
        <v>70</v>
      </c>
      <c r="J913" s="63" t="s">
        <v>112</v>
      </c>
      <c r="K913" s="63" t="s">
        <v>2827</v>
      </c>
      <c r="L913" s="63" t="s">
        <v>246</v>
      </c>
      <c r="M913" s="69">
        <v>570.54999999999995</v>
      </c>
      <c r="N913" s="63" t="s">
        <v>159</v>
      </c>
      <c r="O913" s="73">
        <f>_xlfn.XLOOKUP(Supplier_Perf_Table[[#This Row],[Currency]],'Comments 2'!$C$4:$C$16,'Comments 2'!$D$4:$D$16)</f>
        <v>7.2999999999999996E-4</v>
      </c>
      <c r="P913" s="69">
        <f>IFERROR(Supplier_Perf_Table[[#This Row],[Unit_Cost]]*Supplier_Perf_Table[[#This Row],[Dollar Equivalent]],"")</f>
        <v>0.41650149999999997</v>
      </c>
      <c r="Q913" s="75">
        <v>50</v>
      </c>
      <c r="R913" s="1">
        <v>28527.5</v>
      </c>
      <c r="S913" s="75">
        <f>Supplier_Perf_Table[[#This Row],[Unit_Cost]]*Supplier_Perf_Table[[#This Row],[Order_Quantity]]</f>
        <v>28527.499999999996</v>
      </c>
      <c r="T913" s="75">
        <f>IFERROR(Supplier_Perf_Table[[#This Row],[Dollar Equivalent]]*Supplier_Perf_Table[[#This Row],[Ordered_Value]],"")</f>
        <v>20.825074999999998</v>
      </c>
      <c r="U913" s="75">
        <v>0</v>
      </c>
      <c r="V913" s="7">
        <v>0</v>
      </c>
      <c r="W913" s="75">
        <v>15</v>
      </c>
      <c r="X913" s="55">
        <f>IFERROR(Supplier_Perf_Table[[#This Row],[Actual_Delivery_Date]]-Supplier_Perf_Table[[#This Row],[Order Date]],"")</f>
        <v>15</v>
      </c>
      <c r="Y913" s="75">
        <v>6</v>
      </c>
      <c r="Z913" s="56">
        <f>IFERROR(Supplier_Perf_Table[[#This Row],[Expected Delivery_Date]]-Supplier_Perf_Table[[#This Row],[Order Date]],"")</f>
        <v>6</v>
      </c>
      <c r="AA913" s="56">
        <f>Supplier_Perf_Table[[#This Row],[Calculated_Lead_Time2]]-Supplier_Perf_Table[[#This Row],[Calculated_Expected_Lead_Time]]</f>
        <v>9</v>
      </c>
      <c r="AB913" s="75">
        <v>9</v>
      </c>
      <c r="AC913" s="63" t="s">
        <v>205</v>
      </c>
      <c r="AD913" s="63" t="s">
        <v>40</v>
      </c>
      <c r="AE913" s="63" t="s">
        <v>105</v>
      </c>
      <c r="AF913" s="63" t="s">
        <v>190</v>
      </c>
      <c r="AG913" s="63" t="s">
        <v>3088</v>
      </c>
      <c r="AH913" s="63" t="s">
        <v>3112</v>
      </c>
      <c r="AI913" s="63" t="s">
        <v>147</v>
      </c>
      <c r="AJ913" s="63" t="s">
        <v>138</v>
      </c>
      <c r="AK913" s="83">
        <v>1</v>
      </c>
      <c r="AL913" s="63" t="s">
        <v>115</v>
      </c>
      <c r="AM913" s="63" t="s">
        <v>46</v>
      </c>
      <c r="AN913"/>
    </row>
    <row r="914" spans="1:40" ht="18" customHeight="1">
      <c r="A914" s="1" t="s">
        <v>2828</v>
      </c>
      <c r="B914" s="1" t="s">
        <v>2829</v>
      </c>
      <c r="C914" s="4">
        <v>46191</v>
      </c>
      <c r="D914" s="4">
        <v>46196</v>
      </c>
      <c r="E914" s="4">
        <v>46206</v>
      </c>
      <c r="F914" s="63" t="s">
        <v>48</v>
      </c>
      <c r="G914" s="63" t="s">
        <v>3836</v>
      </c>
      <c r="H914" s="63" t="s">
        <v>102</v>
      </c>
      <c r="I914" s="63" t="s">
        <v>49</v>
      </c>
      <c r="J914" s="63" t="s">
        <v>50</v>
      </c>
      <c r="K914" s="63" t="s">
        <v>2830</v>
      </c>
      <c r="L914" s="63" t="s">
        <v>52</v>
      </c>
      <c r="M914" s="69">
        <v>2171.58</v>
      </c>
      <c r="N914" s="63" t="s">
        <v>159</v>
      </c>
      <c r="O914" s="73">
        <f>_xlfn.XLOOKUP(Supplier_Perf_Table[[#This Row],[Currency]],'Comments 2'!$C$4:$C$16,'Comments 2'!$D$4:$D$16)</f>
        <v>7.2999999999999996E-4</v>
      </c>
      <c r="P914" s="69">
        <f>IFERROR(Supplier_Perf_Table[[#This Row],[Unit_Cost]]*Supplier_Perf_Table[[#This Row],[Dollar Equivalent]],"")</f>
        <v>1.5852533999999998</v>
      </c>
      <c r="Q914" s="75">
        <v>250</v>
      </c>
      <c r="R914" s="1">
        <v>542895</v>
      </c>
      <c r="S914" s="75">
        <f>Supplier_Perf_Table[[#This Row],[Unit_Cost]]*Supplier_Perf_Table[[#This Row],[Order_Quantity]]</f>
        <v>542895</v>
      </c>
      <c r="T914" s="75">
        <f>IFERROR(Supplier_Perf_Table[[#This Row],[Dollar Equivalent]]*Supplier_Perf_Table[[#This Row],[Ordered_Value]],"")</f>
        <v>396.31334999999996</v>
      </c>
      <c r="U914" s="75">
        <v>22</v>
      </c>
      <c r="V914" s="7">
        <v>8.7999999999999995E-2</v>
      </c>
      <c r="W914" s="75">
        <v>15</v>
      </c>
      <c r="X914" s="55">
        <f>IFERROR(Supplier_Perf_Table[[#This Row],[Actual_Delivery_Date]]-Supplier_Perf_Table[[#This Row],[Order Date]],"")</f>
        <v>15</v>
      </c>
      <c r="Y914" s="75">
        <v>5</v>
      </c>
      <c r="Z914" s="56">
        <f>IFERROR(Supplier_Perf_Table[[#This Row],[Expected Delivery_Date]]-Supplier_Perf_Table[[#This Row],[Order Date]],"")</f>
        <v>5</v>
      </c>
      <c r="AA914" s="56">
        <f>Supplier_Perf_Table[[#This Row],[Calculated_Lead_Time2]]-Supplier_Perf_Table[[#This Row],[Calculated_Expected_Lead_Time]]</f>
        <v>10</v>
      </c>
      <c r="AB914" s="75">
        <v>10</v>
      </c>
      <c r="AC914" s="63" t="s">
        <v>205</v>
      </c>
      <c r="AD914" s="63" t="s">
        <v>74</v>
      </c>
      <c r="AE914" s="63" t="s">
        <v>146</v>
      </c>
      <c r="AF914" s="63" t="s">
        <v>190</v>
      </c>
      <c r="AG914" s="63" t="s">
        <v>43</v>
      </c>
      <c r="AH914" s="63" t="s">
        <v>136</v>
      </c>
      <c r="AI914" s="63" t="s">
        <v>56</v>
      </c>
      <c r="AJ914" s="63" t="s">
        <v>96</v>
      </c>
      <c r="AK914" s="83">
        <v>3.3</v>
      </c>
      <c r="AL914" s="63" t="s">
        <v>57</v>
      </c>
      <c r="AM914" s="63" t="s">
        <v>185</v>
      </c>
      <c r="AN914"/>
    </row>
    <row r="915" spans="1:40" ht="18" customHeight="1">
      <c r="A915" s="1" t="s">
        <v>2006</v>
      </c>
      <c r="B915" s="1" t="s">
        <v>2831</v>
      </c>
      <c r="C915" s="4">
        <v>46115</v>
      </c>
      <c r="D915" s="4">
        <v>46123</v>
      </c>
      <c r="E915" s="4">
        <v>46132</v>
      </c>
      <c r="F915" s="63" t="s">
        <v>60</v>
      </c>
      <c r="G915" s="63" t="s">
        <v>3837</v>
      </c>
      <c r="H915" s="63" t="s">
        <v>152</v>
      </c>
      <c r="I915" s="63" t="s">
        <v>49</v>
      </c>
      <c r="J915" s="63" t="s">
        <v>62</v>
      </c>
      <c r="K915" s="63" t="s">
        <v>2832</v>
      </c>
      <c r="L915" s="63" t="s">
        <v>94</v>
      </c>
      <c r="M915" s="69">
        <v>150.02000000000001</v>
      </c>
      <c r="N915" s="63" t="s">
        <v>86</v>
      </c>
      <c r="O915" s="73">
        <f>_xlfn.XLOOKUP(Supplier_Perf_Table[[#This Row],[Currency]],'Comments 2'!$C$4:$C$16,'Comments 2'!$D$4:$D$16)</f>
        <v>8.8999999999999996E-2</v>
      </c>
      <c r="P915" s="69">
        <f>IFERROR(Supplier_Perf_Table[[#This Row],[Unit_Cost]]*Supplier_Perf_Table[[#This Row],[Dollar Equivalent]],"")</f>
        <v>13.35178</v>
      </c>
      <c r="Q915" s="75" t="s">
        <v>3080</v>
      </c>
      <c r="R915" s="1">
        <v>15002</v>
      </c>
      <c r="S915" s="75" t="e">
        <f>Supplier_Perf_Table[[#This Row],[Unit_Cost]]*Supplier_Perf_Table[[#This Row],[Order_Quantity]]</f>
        <v>#VALUE!</v>
      </c>
      <c r="T915" s="75">
        <f>IFERROR(Supplier_Perf_Table[[#This Row],[Dollar Equivalent]]*Supplier_Perf_Table[[#This Row],[Ordered_Value]],"")</f>
        <v>1335.1779999999999</v>
      </c>
      <c r="U915" s="75">
        <v>4</v>
      </c>
      <c r="V915" s="7">
        <v>0.04</v>
      </c>
      <c r="W915" s="75">
        <v>17</v>
      </c>
      <c r="X915" s="55">
        <f>IFERROR(Supplier_Perf_Table[[#This Row],[Actual_Delivery_Date]]-Supplier_Perf_Table[[#This Row],[Order Date]],"")</f>
        <v>17</v>
      </c>
      <c r="Y915" s="75">
        <v>8</v>
      </c>
      <c r="Z915" s="56">
        <f>IFERROR(Supplier_Perf_Table[[#This Row],[Expected Delivery_Date]]-Supplier_Perf_Table[[#This Row],[Order Date]],"")</f>
        <v>8</v>
      </c>
      <c r="AA915" s="56">
        <f>Supplier_Perf_Table[[#This Row],[Calculated_Lead_Time2]]-Supplier_Perf_Table[[#This Row],[Calculated_Expected_Lead_Time]]</f>
        <v>9</v>
      </c>
      <c r="AB915" s="75"/>
      <c r="AC915" s="63" t="s">
        <v>39</v>
      </c>
      <c r="AD915" s="63" t="s">
        <v>40</v>
      </c>
      <c r="AE915" s="63" t="s">
        <v>105</v>
      </c>
      <c r="AF915" s="63" t="s">
        <v>3088</v>
      </c>
      <c r="AG915" s="63" t="s">
        <v>43</v>
      </c>
      <c r="AH915" s="63" t="s">
        <v>136</v>
      </c>
      <c r="AI915" s="63" t="s">
        <v>44</v>
      </c>
      <c r="AJ915" s="63" t="s">
        <v>138</v>
      </c>
      <c r="AK915" s="83">
        <v>2.5</v>
      </c>
      <c r="AL915" s="63" t="s">
        <v>45</v>
      </c>
      <c r="AM915" s="63" t="s">
        <v>46</v>
      </c>
      <c r="AN915"/>
    </row>
    <row r="916" spans="1:40" ht="18" customHeight="1">
      <c r="A916" s="1" t="s">
        <v>2833</v>
      </c>
      <c r="B916" s="1" t="s">
        <v>2834</v>
      </c>
      <c r="C916" s="4">
        <v>46104</v>
      </c>
      <c r="D916" s="4">
        <v>46116</v>
      </c>
      <c r="E916" s="4">
        <v>46120</v>
      </c>
      <c r="F916" s="63" t="s">
        <v>80</v>
      </c>
      <c r="G916" s="63" t="s">
        <v>3839</v>
      </c>
      <c r="H916" s="63" t="s">
        <v>82</v>
      </c>
      <c r="I916" s="63" t="s">
        <v>34</v>
      </c>
      <c r="J916" s="63" t="s">
        <v>153</v>
      </c>
      <c r="K916" s="63" t="s">
        <v>2835</v>
      </c>
      <c r="L916" s="63" t="s">
        <v>295</v>
      </c>
      <c r="M916" s="69">
        <v>826.06</v>
      </c>
      <c r="N916" s="63" t="s">
        <v>38</v>
      </c>
      <c r="O916" s="73">
        <f>_xlfn.XLOOKUP(Supplier_Perf_Table[[#This Row],[Currency]],'Comments 2'!$C$4:$C$16,'Comments 2'!$D$4:$D$16)</f>
        <v>7.7000000000000002E-3</v>
      </c>
      <c r="P916" s="69">
        <f>IFERROR(Supplier_Perf_Table[[#This Row],[Unit_Cost]]*Supplier_Perf_Table[[#This Row],[Dollar Equivalent]],"")</f>
        <v>6.3606619999999996</v>
      </c>
      <c r="Q916" s="75">
        <v>300</v>
      </c>
      <c r="R916" s="1">
        <v>247818</v>
      </c>
      <c r="S916" s="75">
        <f>Supplier_Perf_Table[[#This Row],[Unit_Cost]]*Supplier_Perf_Table[[#This Row],[Order_Quantity]]</f>
        <v>247817.99999999997</v>
      </c>
      <c r="T916" s="75">
        <f>IFERROR(Supplier_Perf_Table[[#This Row],[Dollar Equivalent]]*Supplier_Perf_Table[[#This Row],[Ordered_Value]],"")</f>
        <v>1908.1986000000002</v>
      </c>
      <c r="U916" s="75">
        <v>4</v>
      </c>
      <c r="V916" s="7">
        <v>1.3299999999999999E-2</v>
      </c>
      <c r="W916" s="75">
        <v>16</v>
      </c>
      <c r="X916" s="55">
        <f>IFERROR(Supplier_Perf_Table[[#This Row],[Actual_Delivery_Date]]-Supplier_Perf_Table[[#This Row],[Order Date]],"")</f>
        <v>16</v>
      </c>
      <c r="Y916" s="75" t="s">
        <v>3080</v>
      </c>
      <c r="Z916" s="56">
        <f>IFERROR(Supplier_Perf_Table[[#This Row],[Expected Delivery_Date]]-Supplier_Perf_Table[[#This Row],[Order Date]],"")</f>
        <v>12</v>
      </c>
      <c r="AA916" s="56">
        <f>Supplier_Perf_Table[[#This Row],[Calculated_Lead_Time2]]-Supplier_Perf_Table[[#This Row],[Calculated_Expected_Lead_Time]]</f>
        <v>4</v>
      </c>
      <c r="AB916" s="75">
        <v>4</v>
      </c>
      <c r="AC916" s="63" t="s">
        <v>135</v>
      </c>
      <c r="AD916" s="63" t="s">
        <v>40</v>
      </c>
      <c r="AE916" s="63" t="s">
        <v>3088</v>
      </c>
      <c r="AF916" s="63" t="s">
        <v>212</v>
      </c>
      <c r="AG916" s="63" t="s">
        <v>107</v>
      </c>
      <c r="AH916" s="63" t="s">
        <v>88</v>
      </c>
      <c r="AI916" s="63" t="s">
        <v>137</v>
      </c>
      <c r="AJ916" s="63" t="s">
        <v>138</v>
      </c>
      <c r="AK916" s="83">
        <v>2.8</v>
      </c>
      <c r="AL916" s="63" t="s">
        <v>45</v>
      </c>
      <c r="AM916" s="63" t="s">
        <v>148</v>
      </c>
      <c r="AN916"/>
    </row>
    <row r="917" spans="1:40" ht="18" customHeight="1">
      <c r="A917" s="1" t="s">
        <v>2836</v>
      </c>
      <c r="B917" s="1" t="s">
        <v>2837</v>
      </c>
      <c r="C917" s="4">
        <v>46038</v>
      </c>
      <c r="D917" s="4">
        <v>46051</v>
      </c>
      <c r="E917" s="4">
        <v>46053</v>
      </c>
      <c r="F917" s="63" t="s">
        <v>60</v>
      </c>
      <c r="G917" s="63" t="s">
        <v>3837</v>
      </c>
      <c r="H917" s="63" t="s">
        <v>152</v>
      </c>
      <c r="I917" s="63" t="s">
        <v>241</v>
      </c>
      <c r="J917" s="63" t="s">
        <v>153</v>
      </c>
      <c r="K917" s="63" t="s">
        <v>2838</v>
      </c>
      <c r="L917" s="63" t="s">
        <v>155</v>
      </c>
      <c r="M917" s="69">
        <v>684.02</v>
      </c>
      <c r="N917" s="63" t="s">
        <v>53</v>
      </c>
      <c r="O917" s="73">
        <f>_xlfn.XLOOKUP(Supplier_Perf_Table[[#This Row],[Currency]],'Comments 2'!$C$4:$C$16,'Comments 2'!$D$4:$D$16)</f>
        <v>6.0999999999999999E-2</v>
      </c>
      <c r="P917" s="69">
        <f>IFERROR(Supplier_Perf_Table[[#This Row],[Unit_Cost]]*Supplier_Perf_Table[[#This Row],[Dollar Equivalent]],"")</f>
        <v>41.72522</v>
      </c>
      <c r="Q917" s="75">
        <v>100</v>
      </c>
      <c r="R917" s="1">
        <v>68402</v>
      </c>
      <c r="S917" s="75">
        <f>Supplier_Perf_Table[[#This Row],[Unit_Cost]]*Supplier_Perf_Table[[#This Row],[Order_Quantity]]</f>
        <v>68402</v>
      </c>
      <c r="T917" s="75">
        <f>IFERROR(Supplier_Perf_Table[[#This Row],[Dollar Equivalent]]*Supplier_Perf_Table[[#This Row],[Ordered_Value]],"")</f>
        <v>4172.5219999999999</v>
      </c>
      <c r="U917" s="75">
        <v>2</v>
      </c>
      <c r="V917" s="7">
        <v>0.02</v>
      </c>
      <c r="W917" s="75">
        <v>15</v>
      </c>
      <c r="X917" s="55">
        <f>IFERROR(Supplier_Perf_Table[[#This Row],[Actual_Delivery_Date]]-Supplier_Perf_Table[[#This Row],[Order Date]],"")</f>
        <v>15</v>
      </c>
      <c r="Y917" s="75">
        <v>13</v>
      </c>
      <c r="Z917" s="56">
        <f>IFERROR(Supplier_Perf_Table[[#This Row],[Expected Delivery_Date]]-Supplier_Perf_Table[[#This Row],[Order Date]],"")</f>
        <v>13</v>
      </c>
      <c r="AA917" s="56">
        <f>Supplier_Perf_Table[[#This Row],[Calculated_Lead_Time2]]-Supplier_Perf_Table[[#This Row],[Calculated_Expected_Lead_Time]]</f>
        <v>2</v>
      </c>
      <c r="AB917" s="75">
        <v>2</v>
      </c>
      <c r="AC917" s="63" t="s">
        <v>135</v>
      </c>
      <c r="AD917" s="63" t="s">
        <v>40</v>
      </c>
      <c r="AE917" s="63" t="s">
        <v>105</v>
      </c>
      <c r="AF917" s="63" t="s">
        <v>66</v>
      </c>
      <c r="AG917" s="63" t="s">
        <v>3088</v>
      </c>
      <c r="AH917" s="63" t="s">
        <v>174</v>
      </c>
      <c r="AI917" s="63" t="s">
        <v>147</v>
      </c>
      <c r="AJ917" s="63" t="s">
        <v>138</v>
      </c>
      <c r="AK917" s="83">
        <v>3.5</v>
      </c>
      <c r="AL917" s="63" t="s">
        <v>108</v>
      </c>
      <c r="AM917" s="63" t="s">
        <v>46</v>
      </c>
      <c r="AN917"/>
    </row>
    <row r="918" spans="1:40" ht="18" customHeight="1">
      <c r="A918" s="63" t="s">
        <v>2839</v>
      </c>
      <c r="B918" s="63" t="s">
        <v>2840</v>
      </c>
      <c r="C918" s="4">
        <v>46158</v>
      </c>
      <c r="D918" s="4">
        <v>46165</v>
      </c>
      <c r="E918" s="4">
        <v>46165</v>
      </c>
      <c r="F918" s="63" t="s">
        <v>215</v>
      </c>
      <c r="G918" s="63" t="s">
        <v>3846</v>
      </c>
      <c r="H918" s="63" t="s">
        <v>152</v>
      </c>
      <c r="I918" s="63" t="s">
        <v>92</v>
      </c>
      <c r="J918" s="63" t="s">
        <v>112</v>
      </c>
      <c r="K918" s="63" t="s">
        <v>2841</v>
      </c>
      <c r="L918" s="63" t="s">
        <v>114</v>
      </c>
      <c r="M918" s="69">
        <v>607</v>
      </c>
      <c r="N918" s="63" t="s">
        <v>65</v>
      </c>
      <c r="O918" s="73">
        <f>_xlfn.XLOOKUP(Supplier_Perf_Table[[#This Row],[Currency]],'Comments 2'!$C$4:$C$16,'Comments 2'!$D$4:$D$16)</f>
        <v>1</v>
      </c>
      <c r="P918" s="69">
        <f>IFERROR(Supplier_Perf_Table[[#This Row],[Unit_Cost]]*Supplier_Perf_Table[[#This Row],[Dollar Equivalent]],"")</f>
        <v>607</v>
      </c>
      <c r="Q918" s="75">
        <v>100</v>
      </c>
      <c r="R918" s="1">
        <v>60700</v>
      </c>
      <c r="S918" s="75">
        <f>Supplier_Perf_Table[[#This Row],[Unit_Cost]]*Supplier_Perf_Table[[#This Row],[Order_Quantity]]</f>
        <v>60700</v>
      </c>
      <c r="T918" s="75">
        <f>IFERROR(Supplier_Perf_Table[[#This Row],[Dollar Equivalent]]*Supplier_Perf_Table[[#This Row],[Ordered_Value]],"")</f>
        <v>60700</v>
      </c>
      <c r="U918" s="75">
        <v>1</v>
      </c>
      <c r="V918" s="7">
        <v>0.01</v>
      </c>
      <c r="W918" s="75">
        <v>7</v>
      </c>
      <c r="X918" s="55">
        <f>IFERROR(Supplier_Perf_Table[[#This Row],[Actual_Delivery_Date]]-Supplier_Perf_Table[[#This Row],[Order Date]],"")</f>
        <v>7</v>
      </c>
      <c r="Y918" s="75">
        <v>7</v>
      </c>
      <c r="Z918" s="56">
        <f>IFERROR(Supplier_Perf_Table[[#This Row],[Expected Delivery_Date]]-Supplier_Perf_Table[[#This Row],[Order Date]],"")</f>
        <v>7</v>
      </c>
      <c r="AA918" s="56">
        <f>Supplier_Perf_Table[[#This Row],[Calculated_Lead_Time2]]-Supplier_Perf_Table[[#This Row],[Calculated_Expected_Lead_Time]]</f>
        <v>0</v>
      </c>
      <c r="AB918" s="75">
        <v>0</v>
      </c>
      <c r="AC918" s="63" t="s">
        <v>87</v>
      </c>
      <c r="AD918" s="63" t="s">
        <v>40</v>
      </c>
      <c r="AE918" s="63" t="s">
        <v>105</v>
      </c>
      <c r="AF918" s="63" t="s">
        <v>106</v>
      </c>
      <c r="AG918" s="63" t="s">
        <v>173</v>
      </c>
      <c r="AH918" s="63" t="s">
        <v>174</v>
      </c>
      <c r="AI918" s="63" t="s">
        <v>137</v>
      </c>
      <c r="AJ918" s="63" t="s">
        <v>138</v>
      </c>
      <c r="AK918" s="83">
        <v>2.9</v>
      </c>
      <c r="AL918" s="63" t="s">
        <v>184</v>
      </c>
      <c r="AM918" s="63" t="s">
        <v>138</v>
      </c>
      <c r="AN918"/>
    </row>
    <row r="919" spans="1:40" ht="18" customHeight="1">
      <c r="A919" s="63" t="s">
        <v>2842</v>
      </c>
      <c r="B919" s="63" t="s">
        <v>2843</v>
      </c>
      <c r="C919" s="4">
        <v>46175</v>
      </c>
      <c r="D919" s="4">
        <v>46194</v>
      </c>
      <c r="E919" s="4">
        <v>46189</v>
      </c>
      <c r="F919" s="63" t="s">
        <v>118</v>
      </c>
      <c r="G919" s="63" t="s">
        <v>3842</v>
      </c>
      <c r="H919" s="63" t="s">
        <v>301</v>
      </c>
      <c r="I919" s="63" t="s">
        <v>241</v>
      </c>
      <c r="J919" s="63" t="s">
        <v>112</v>
      </c>
      <c r="K919" s="63" t="s">
        <v>2844</v>
      </c>
      <c r="L919" s="63" t="s">
        <v>218</v>
      </c>
      <c r="M919" s="69">
        <v>763.52</v>
      </c>
      <c r="N919" s="63" t="s">
        <v>159</v>
      </c>
      <c r="O919" s="73">
        <f>_xlfn.XLOOKUP(Supplier_Perf_Table[[#This Row],[Currency]],'Comments 2'!$C$4:$C$16,'Comments 2'!$D$4:$D$16)</f>
        <v>7.2999999999999996E-4</v>
      </c>
      <c r="P919" s="69">
        <f>IFERROR(Supplier_Perf_Table[[#This Row],[Unit_Cost]]*Supplier_Perf_Table[[#This Row],[Dollar Equivalent]],"")</f>
        <v>0.55736959999999991</v>
      </c>
      <c r="Q919" s="75">
        <v>150</v>
      </c>
      <c r="R919" s="1">
        <v>114528</v>
      </c>
      <c r="S919" s="75">
        <f>Supplier_Perf_Table[[#This Row],[Unit_Cost]]*Supplier_Perf_Table[[#This Row],[Order_Quantity]]</f>
        <v>114528</v>
      </c>
      <c r="T919" s="75">
        <f>IFERROR(Supplier_Perf_Table[[#This Row],[Dollar Equivalent]]*Supplier_Perf_Table[[#This Row],[Ordered_Value]],"")</f>
        <v>83.605440000000002</v>
      </c>
      <c r="U919" s="75">
        <v>0</v>
      </c>
      <c r="V919" s="7">
        <v>0</v>
      </c>
      <c r="W919" s="75">
        <v>14</v>
      </c>
      <c r="X919" s="55">
        <f>IFERROR(Supplier_Perf_Table[[#This Row],[Actual_Delivery_Date]]-Supplier_Perf_Table[[#This Row],[Order Date]],"")</f>
        <v>14</v>
      </c>
      <c r="Y919" s="75">
        <v>19</v>
      </c>
      <c r="Z919" s="56">
        <f>IFERROR(Supplier_Perf_Table[[#This Row],[Expected Delivery_Date]]-Supplier_Perf_Table[[#This Row],[Order Date]],"")</f>
        <v>19</v>
      </c>
      <c r="AA919" s="56">
        <f>Supplier_Perf_Table[[#This Row],[Calculated_Lead_Time2]]-Supplier_Perf_Table[[#This Row],[Calculated_Expected_Lead_Time]]</f>
        <v>-5</v>
      </c>
      <c r="AB919" s="75">
        <v>-5</v>
      </c>
      <c r="AC919" s="63" t="s">
        <v>87</v>
      </c>
      <c r="AD919" s="63" t="s">
        <v>40</v>
      </c>
      <c r="AE919" s="63" t="s">
        <v>127</v>
      </c>
      <c r="AF919" s="63" t="s">
        <v>66</v>
      </c>
      <c r="AG919" s="63" t="s">
        <v>43</v>
      </c>
      <c r="AH919" s="63" t="s">
        <v>136</v>
      </c>
      <c r="AI919" s="63" t="s">
        <v>191</v>
      </c>
      <c r="AJ919" s="63" t="s">
        <v>138</v>
      </c>
      <c r="AK919" s="83">
        <v>4.5999999999999996</v>
      </c>
      <c r="AL919" s="63" t="s">
        <v>139</v>
      </c>
      <c r="AM919" s="63" t="s">
        <v>130</v>
      </c>
      <c r="AN919"/>
    </row>
    <row r="920" spans="1:40" ht="18" customHeight="1">
      <c r="A920" s="1" t="s">
        <v>2845</v>
      </c>
      <c r="B920" s="1" t="s">
        <v>2846</v>
      </c>
      <c r="C920" s="4">
        <v>46112</v>
      </c>
      <c r="D920" s="4">
        <v>46122</v>
      </c>
      <c r="E920" s="4">
        <v>46133</v>
      </c>
      <c r="F920" s="63" t="s">
        <v>215</v>
      </c>
      <c r="G920" s="63" t="s">
        <v>3846</v>
      </c>
      <c r="H920" s="63" t="s">
        <v>152</v>
      </c>
      <c r="I920" s="63" t="s">
        <v>83</v>
      </c>
      <c r="J920" s="63" t="s">
        <v>112</v>
      </c>
      <c r="K920" s="63" t="s">
        <v>588</v>
      </c>
      <c r="L920" s="63" t="s">
        <v>229</v>
      </c>
      <c r="M920" s="69">
        <v>138.22</v>
      </c>
      <c r="N920" s="63" t="s">
        <v>53</v>
      </c>
      <c r="O920" s="73">
        <f>_xlfn.XLOOKUP(Supplier_Perf_Table[[#This Row],[Currency]],'Comments 2'!$C$4:$C$16,'Comments 2'!$D$4:$D$16)</f>
        <v>6.0999999999999999E-2</v>
      </c>
      <c r="P920" s="69">
        <f>IFERROR(Supplier_Perf_Table[[#This Row],[Unit_Cost]]*Supplier_Perf_Table[[#This Row],[Dollar Equivalent]],"")</f>
        <v>8.4314199999999992</v>
      </c>
      <c r="Q920" s="75">
        <v>50</v>
      </c>
      <c r="R920" s="1">
        <v>6911</v>
      </c>
      <c r="S920" s="75">
        <f>Supplier_Perf_Table[[#This Row],[Unit_Cost]]*Supplier_Perf_Table[[#This Row],[Order_Quantity]]</f>
        <v>6911</v>
      </c>
      <c r="T920" s="75">
        <f>IFERROR(Supplier_Perf_Table[[#This Row],[Dollar Equivalent]]*Supplier_Perf_Table[[#This Row],[Ordered_Value]],"")</f>
        <v>421.57099999999997</v>
      </c>
      <c r="U920" s="75">
        <v>2</v>
      </c>
      <c r="V920" s="7">
        <v>0.04</v>
      </c>
      <c r="W920" s="75">
        <v>21</v>
      </c>
      <c r="X920" s="55">
        <f>IFERROR(Supplier_Perf_Table[[#This Row],[Actual_Delivery_Date]]-Supplier_Perf_Table[[#This Row],[Order Date]],"")</f>
        <v>21</v>
      </c>
      <c r="Y920" s="75">
        <v>10</v>
      </c>
      <c r="Z920" s="56">
        <f>IFERROR(Supplier_Perf_Table[[#This Row],[Expected Delivery_Date]]-Supplier_Perf_Table[[#This Row],[Order Date]],"")</f>
        <v>10</v>
      </c>
      <c r="AA920" s="56">
        <f>Supplier_Perf_Table[[#This Row],[Calculated_Lead_Time2]]-Supplier_Perf_Table[[#This Row],[Calculated_Expected_Lead_Time]]</f>
        <v>11</v>
      </c>
      <c r="AB920" s="75">
        <v>11</v>
      </c>
      <c r="AC920" s="63" t="s">
        <v>205</v>
      </c>
      <c r="AD920" s="63" t="s">
        <v>40</v>
      </c>
      <c r="AE920" s="63" t="s">
        <v>41</v>
      </c>
      <c r="AF920" s="63" t="s">
        <v>66</v>
      </c>
      <c r="AG920" s="63" t="s">
        <v>107</v>
      </c>
      <c r="AH920" s="63" t="s">
        <v>55</v>
      </c>
      <c r="AI920" s="63" t="s">
        <v>56</v>
      </c>
      <c r="AJ920" s="63" t="s">
        <v>138</v>
      </c>
      <c r="AK920" s="83">
        <v>1.5</v>
      </c>
      <c r="AL920" s="63" t="s">
        <v>115</v>
      </c>
      <c r="AM920" s="63" t="s">
        <v>46</v>
      </c>
      <c r="AN920"/>
    </row>
    <row r="921" spans="1:40" ht="18" customHeight="1">
      <c r="A921" s="1" t="s">
        <v>2847</v>
      </c>
      <c r="B921" s="1" t="s">
        <v>2848</v>
      </c>
      <c r="C921" s="4">
        <v>46190</v>
      </c>
      <c r="D921" s="4">
        <v>46195</v>
      </c>
      <c r="E921" s="4">
        <v>46197</v>
      </c>
      <c r="F921" s="63" t="s">
        <v>209</v>
      </c>
      <c r="G921" s="63" t="s">
        <v>3845</v>
      </c>
      <c r="H921" s="63" t="s">
        <v>316</v>
      </c>
      <c r="I921" s="63" t="s">
        <v>70</v>
      </c>
      <c r="J921" s="63" t="s">
        <v>50</v>
      </c>
      <c r="K921" s="63" t="s">
        <v>1803</v>
      </c>
      <c r="L921" s="63" t="s">
        <v>126</v>
      </c>
      <c r="M921" s="69">
        <v>1308.74</v>
      </c>
      <c r="N921" s="63" t="s">
        <v>104</v>
      </c>
      <c r="O921" s="73">
        <f>_xlfn.XLOOKUP(Supplier_Perf_Table[[#This Row],[Currency]],'Comments 2'!$C$4:$C$16,'Comments 2'!$D$4:$D$16)</f>
        <v>1.9E-2</v>
      </c>
      <c r="P921" s="69">
        <f>IFERROR(Supplier_Perf_Table[[#This Row],[Unit_Cost]]*Supplier_Perf_Table[[#This Row],[Dollar Equivalent]],"")</f>
        <v>24.866060000000001</v>
      </c>
      <c r="Q921" s="75">
        <v>250</v>
      </c>
      <c r="R921" s="1">
        <v>327185</v>
      </c>
      <c r="S921" s="75">
        <f>Supplier_Perf_Table[[#This Row],[Unit_Cost]]*Supplier_Perf_Table[[#This Row],[Order_Quantity]]</f>
        <v>327185</v>
      </c>
      <c r="T921" s="75">
        <f>IFERROR(Supplier_Perf_Table[[#This Row],[Dollar Equivalent]]*Supplier_Perf_Table[[#This Row],[Ordered_Value]],"")</f>
        <v>6216.5149999999994</v>
      </c>
      <c r="U921" s="75">
        <v>3</v>
      </c>
      <c r="V921" s="7">
        <v>1.2E-2</v>
      </c>
      <c r="W921" s="75" t="s">
        <v>3080</v>
      </c>
      <c r="X921" s="55">
        <f>IFERROR(Supplier_Perf_Table[[#This Row],[Actual_Delivery_Date]]-Supplier_Perf_Table[[#This Row],[Order Date]],"")</f>
        <v>7</v>
      </c>
      <c r="Y921" s="75">
        <v>5</v>
      </c>
      <c r="Z921" s="56">
        <f>IFERROR(Supplier_Perf_Table[[#This Row],[Expected Delivery_Date]]-Supplier_Perf_Table[[#This Row],[Order Date]],"")</f>
        <v>5</v>
      </c>
      <c r="AA921" s="56">
        <f>Supplier_Perf_Table[[#This Row],[Calculated_Lead_Time2]]-Supplier_Perf_Table[[#This Row],[Calculated_Expected_Lead_Time]]</f>
        <v>2</v>
      </c>
      <c r="AB921" s="75">
        <v>2</v>
      </c>
      <c r="AC921" s="63" t="s">
        <v>135</v>
      </c>
      <c r="AD921" s="63" t="s">
        <v>40</v>
      </c>
      <c r="AE921" s="63" t="s">
        <v>41</v>
      </c>
      <c r="AF921" s="63" t="s">
        <v>106</v>
      </c>
      <c r="AG921" s="63" t="s">
        <v>43</v>
      </c>
      <c r="AH921" s="63" t="s">
        <v>129</v>
      </c>
      <c r="AI921" s="63" t="s">
        <v>191</v>
      </c>
      <c r="AJ921" s="63" t="s">
        <v>138</v>
      </c>
      <c r="AK921" s="83">
        <v>2.5</v>
      </c>
      <c r="AL921" s="63" t="s">
        <v>57</v>
      </c>
      <c r="AM921" s="63" t="s">
        <v>46</v>
      </c>
      <c r="AN921"/>
    </row>
    <row r="922" spans="1:40" ht="18" customHeight="1">
      <c r="A922" s="1" t="s">
        <v>2849</v>
      </c>
      <c r="B922" s="1" t="s">
        <v>2850</v>
      </c>
      <c r="C922" s="4">
        <v>46134</v>
      </c>
      <c r="D922" s="4">
        <v>46141</v>
      </c>
      <c r="E922" s="4">
        <v>46149</v>
      </c>
      <c r="F922" s="63" t="s">
        <v>215</v>
      </c>
      <c r="G922" s="63" t="s">
        <v>3846</v>
      </c>
      <c r="H922" s="63" t="s">
        <v>152</v>
      </c>
      <c r="I922" s="63" t="s">
        <v>83</v>
      </c>
      <c r="J922" s="63" t="s">
        <v>112</v>
      </c>
      <c r="K922" s="63" t="s">
        <v>2851</v>
      </c>
      <c r="L922" s="63" t="s">
        <v>114</v>
      </c>
      <c r="M922" s="69">
        <v>465.95</v>
      </c>
      <c r="N922" s="63" t="s">
        <v>53</v>
      </c>
      <c r="O922" s="73">
        <f>_xlfn.XLOOKUP(Supplier_Perf_Table[[#This Row],[Currency]],'Comments 2'!$C$4:$C$16,'Comments 2'!$D$4:$D$16)</f>
        <v>6.0999999999999999E-2</v>
      </c>
      <c r="P922" s="69">
        <f>IFERROR(Supplier_Perf_Table[[#This Row],[Unit_Cost]]*Supplier_Perf_Table[[#This Row],[Dollar Equivalent]],"")</f>
        <v>28.42295</v>
      </c>
      <c r="Q922" s="75">
        <v>500</v>
      </c>
      <c r="R922" s="1">
        <v>232975</v>
      </c>
      <c r="S922" s="75">
        <f>Supplier_Perf_Table[[#This Row],[Unit_Cost]]*Supplier_Perf_Table[[#This Row],[Order_Quantity]]</f>
        <v>232975</v>
      </c>
      <c r="T922" s="75">
        <f>IFERROR(Supplier_Perf_Table[[#This Row],[Dollar Equivalent]]*Supplier_Perf_Table[[#This Row],[Ordered_Value]],"")</f>
        <v>14211.475</v>
      </c>
      <c r="U922" s="75">
        <v>4</v>
      </c>
      <c r="V922" s="7">
        <v>8.0000000000000002E-3</v>
      </c>
      <c r="W922" s="75">
        <v>15</v>
      </c>
      <c r="X922" s="55">
        <f>IFERROR(Supplier_Perf_Table[[#This Row],[Actual_Delivery_Date]]-Supplier_Perf_Table[[#This Row],[Order Date]],"")</f>
        <v>15</v>
      </c>
      <c r="Y922" s="75">
        <v>7</v>
      </c>
      <c r="Z922" s="56">
        <f>IFERROR(Supplier_Perf_Table[[#This Row],[Expected Delivery_Date]]-Supplier_Perf_Table[[#This Row],[Order Date]],"")</f>
        <v>7</v>
      </c>
      <c r="AA922" s="56">
        <f>Supplier_Perf_Table[[#This Row],[Calculated_Lead_Time2]]-Supplier_Perf_Table[[#This Row],[Calculated_Expected_Lead_Time]]</f>
        <v>8</v>
      </c>
      <c r="AB922" s="75">
        <v>8</v>
      </c>
      <c r="AC922" s="63" t="s">
        <v>39</v>
      </c>
      <c r="AD922" s="63" t="s">
        <v>40</v>
      </c>
      <c r="AE922" s="63" t="s">
        <v>41</v>
      </c>
      <c r="AF922" s="63" t="s">
        <v>212</v>
      </c>
      <c r="AG922" s="63" t="s">
        <v>54</v>
      </c>
      <c r="AH922" s="63" t="s">
        <v>3112</v>
      </c>
      <c r="AI922" s="63" t="s">
        <v>137</v>
      </c>
      <c r="AJ922" s="63" t="s">
        <v>138</v>
      </c>
      <c r="AK922" s="83">
        <v>1.5</v>
      </c>
      <c r="AL922" s="63" t="s">
        <v>45</v>
      </c>
      <c r="AM922" s="63" t="s">
        <v>46</v>
      </c>
      <c r="AN922"/>
    </row>
    <row r="923" spans="1:40" ht="18" customHeight="1">
      <c r="A923" s="1" t="s">
        <v>2820</v>
      </c>
      <c r="B923" s="1" t="s">
        <v>2852</v>
      </c>
      <c r="C923" s="4">
        <v>46130</v>
      </c>
      <c r="D923" s="4">
        <v>46149</v>
      </c>
      <c r="E923" s="4">
        <v>46144</v>
      </c>
      <c r="F923" s="63" t="s">
        <v>235</v>
      </c>
      <c r="G923" s="63" t="s">
        <v>3848</v>
      </c>
      <c r="H923" s="63" t="s">
        <v>479</v>
      </c>
      <c r="I923" s="63" t="s">
        <v>92</v>
      </c>
      <c r="J923" s="63" t="s">
        <v>71</v>
      </c>
      <c r="K923" s="63" t="s">
        <v>2853</v>
      </c>
      <c r="L923" s="63" t="s">
        <v>73</v>
      </c>
      <c r="M923" s="69">
        <v>840.04</v>
      </c>
      <c r="N923" s="63" t="s">
        <v>53</v>
      </c>
      <c r="O923" s="73">
        <f>_xlfn.XLOOKUP(Supplier_Perf_Table[[#This Row],[Currency]],'Comments 2'!$C$4:$C$16,'Comments 2'!$D$4:$D$16)</f>
        <v>6.0999999999999999E-2</v>
      </c>
      <c r="P923" s="69">
        <f>IFERROR(Supplier_Perf_Table[[#This Row],[Unit_Cost]]*Supplier_Perf_Table[[#This Row],[Dollar Equivalent]],"")</f>
        <v>51.242439999999995</v>
      </c>
      <c r="Q923" s="75">
        <v>500</v>
      </c>
      <c r="R923" s="1">
        <v>420020</v>
      </c>
      <c r="S923" s="75">
        <f>Supplier_Perf_Table[[#This Row],[Unit_Cost]]*Supplier_Perf_Table[[#This Row],[Order_Quantity]]</f>
        <v>420020</v>
      </c>
      <c r="T923" s="75">
        <f>IFERROR(Supplier_Perf_Table[[#This Row],[Dollar Equivalent]]*Supplier_Perf_Table[[#This Row],[Ordered_Value]],"")</f>
        <v>25621.22</v>
      </c>
      <c r="U923" s="75">
        <v>1</v>
      </c>
      <c r="V923" s="7">
        <v>2E-3</v>
      </c>
      <c r="W923" s="75">
        <v>14</v>
      </c>
      <c r="X923" s="55">
        <f>IFERROR(Supplier_Perf_Table[[#This Row],[Actual_Delivery_Date]]-Supplier_Perf_Table[[#This Row],[Order Date]],"")</f>
        <v>14</v>
      </c>
      <c r="Y923" s="75">
        <v>19</v>
      </c>
      <c r="Z923" s="56">
        <f>IFERROR(Supplier_Perf_Table[[#This Row],[Expected Delivery_Date]]-Supplier_Perf_Table[[#This Row],[Order Date]],"")</f>
        <v>19</v>
      </c>
      <c r="AA923" s="56">
        <f>Supplier_Perf_Table[[#This Row],[Calculated_Lead_Time2]]-Supplier_Perf_Table[[#This Row],[Calculated_Expected_Lead_Time]]</f>
        <v>-5</v>
      </c>
      <c r="AB923" s="75">
        <v>-5</v>
      </c>
      <c r="AC923" s="63" t="s">
        <v>87</v>
      </c>
      <c r="AD923" s="63" t="s">
        <v>40</v>
      </c>
      <c r="AE923" s="63" t="s">
        <v>105</v>
      </c>
      <c r="AF923" s="63" t="s">
        <v>212</v>
      </c>
      <c r="AG923" s="63" t="s">
        <v>3088</v>
      </c>
      <c r="AH923" s="63" t="s">
        <v>136</v>
      </c>
      <c r="AI923" s="63" t="s">
        <v>138</v>
      </c>
      <c r="AJ923" s="63" t="s">
        <v>138</v>
      </c>
      <c r="AK923" s="83">
        <v>3.7</v>
      </c>
      <c r="AL923" s="63" t="s">
        <v>45</v>
      </c>
      <c r="AM923" s="63" t="s">
        <v>138</v>
      </c>
      <c r="AN923"/>
    </row>
    <row r="924" spans="1:40" ht="18" customHeight="1">
      <c r="A924" s="1" t="s">
        <v>2854</v>
      </c>
      <c r="B924" s="1" t="s">
        <v>2855</v>
      </c>
      <c r="C924" s="4">
        <v>46057</v>
      </c>
      <c r="D924" s="4">
        <v>46070</v>
      </c>
      <c r="E924" s="4">
        <v>46074</v>
      </c>
      <c r="F924" s="63" t="s">
        <v>69</v>
      </c>
      <c r="G924" s="63" t="s">
        <v>3838</v>
      </c>
      <c r="H924" s="63" t="s">
        <v>194</v>
      </c>
      <c r="I924" s="63" t="s">
        <v>70</v>
      </c>
      <c r="J924" s="63" t="s">
        <v>112</v>
      </c>
      <c r="K924" s="63" t="s">
        <v>2856</v>
      </c>
      <c r="L924" s="63" t="s">
        <v>229</v>
      </c>
      <c r="M924" s="69">
        <v>754.6</v>
      </c>
      <c r="N924" s="63" t="s">
        <v>65</v>
      </c>
      <c r="O924" s="73">
        <f>_xlfn.XLOOKUP(Supplier_Perf_Table[[#This Row],[Currency]],'Comments 2'!$C$4:$C$16,'Comments 2'!$D$4:$D$16)</f>
        <v>1</v>
      </c>
      <c r="P924" s="69">
        <f>IFERROR(Supplier_Perf_Table[[#This Row],[Unit_Cost]]*Supplier_Perf_Table[[#This Row],[Dollar Equivalent]],"")</f>
        <v>754.6</v>
      </c>
      <c r="Q924" s="75">
        <v>500</v>
      </c>
      <c r="R924" s="1">
        <v>377300</v>
      </c>
      <c r="S924" s="75">
        <f>Supplier_Perf_Table[[#This Row],[Unit_Cost]]*Supplier_Perf_Table[[#This Row],[Order_Quantity]]</f>
        <v>377300</v>
      </c>
      <c r="T924" s="75">
        <f>IFERROR(Supplier_Perf_Table[[#This Row],[Dollar Equivalent]]*Supplier_Perf_Table[[#This Row],[Ordered_Value]],"")</f>
        <v>377300</v>
      </c>
      <c r="U924" s="75">
        <v>23</v>
      </c>
      <c r="V924" s="7">
        <v>4.5999999999999999E-2</v>
      </c>
      <c r="W924" s="75">
        <v>17</v>
      </c>
      <c r="X924" s="55">
        <f>IFERROR(Supplier_Perf_Table[[#This Row],[Actual_Delivery_Date]]-Supplier_Perf_Table[[#This Row],[Order Date]],"")</f>
        <v>17</v>
      </c>
      <c r="Y924" s="75">
        <v>13</v>
      </c>
      <c r="Z924" s="56">
        <f>IFERROR(Supplier_Perf_Table[[#This Row],[Expected Delivery_Date]]-Supplier_Perf_Table[[#This Row],[Order Date]],"")</f>
        <v>13</v>
      </c>
      <c r="AA924" s="56">
        <f>Supplier_Perf_Table[[#This Row],[Calculated_Lead_Time2]]-Supplier_Perf_Table[[#This Row],[Calculated_Expected_Lead_Time]]</f>
        <v>4</v>
      </c>
      <c r="AB924" s="75">
        <v>4</v>
      </c>
      <c r="AC924" s="63" t="s">
        <v>39</v>
      </c>
      <c r="AD924" s="63" t="s">
        <v>74</v>
      </c>
      <c r="AE924" s="63" t="s">
        <v>41</v>
      </c>
      <c r="AF924" s="63" t="s">
        <v>106</v>
      </c>
      <c r="AG924" s="63" t="s">
        <v>43</v>
      </c>
      <c r="AH924" s="63" t="s">
        <v>174</v>
      </c>
      <c r="AI924" s="63" t="s">
        <v>191</v>
      </c>
      <c r="AJ924" s="63" t="s">
        <v>75</v>
      </c>
      <c r="AK924" s="83">
        <v>1.3</v>
      </c>
      <c r="AL924" s="63" t="s">
        <v>45</v>
      </c>
      <c r="AM924" s="63" t="s">
        <v>77</v>
      </c>
      <c r="AN924"/>
    </row>
    <row r="925" spans="1:40" ht="18" customHeight="1">
      <c r="A925" s="1" t="s">
        <v>2857</v>
      </c>
      <c r="B925" s="1" t="s">
        <v>2858</v>
      </c>
      <c r="C925" s="4">
        <v>46090</v>
      </c>
      <c r="D925" s="4">
        <v>46103</v>
      </c>
      <c r="E925" s="4">
        <v>46108</v>
      </c>
      <c r="F925" s="63" t="s">
        <v>209</v>
      </c>
      <c r="G925" s="63" t="s">
        <v>3845</v>
      </c>
      <c r="H925" s="63" t="s">
        <v>316</v>
      </c>
      <c r="I925" s="63" t="s">
        <v>70</v>
      </c>
      <c r="J925" s="63" t="s">
        <v>153</v>
      </c>
      <c r="K925" s="63" t="s">
        <v>2859</v>
      </c>
      <c r="L925" s="63" t="s">
        <v>295</v>
      </c>
      <c r="M925" s="69">
        <v>330.24</v>
      </c>
      <c r="N925" s="63" t="s">
        <v>86</v>
      </c>
      <c r="O925" s="73">
        <f>_xlfn.XLOOKUP(Supplier_Perf_Table[[#This Row],[Currency]],'Comments 2'!$C$4:$C$16,'Comments 2'!$D$4:$D$16)</f>
        <v>8.8999999999999996E-2</v>
      </c>
      <c r="P925" s="69">
        <f>IFERROR(Supplier_Perf_Table[[#This Row],[Unit_Cost]]*Supplier_Perf_Table[[#This Row],[Dollar Equivalent]],"")</f>
        <v>29.391359999999999</v>
      </c>
      <c r="Q925" s="75">
        <v>50</v>
      </c>
      <c r="R925" s="1">
        <v>16512</v>
      </c>
      <c r="S925" s="75">
        <f>Supplier_Perf_Table[[#This Row],[Unit_Cost]]*Supplier_Perf_Table[[#This Row],[Order_Quantity]]</f>
        <v>16512</v>
      </c>
      <c r="T925" s="75">
        <f>IFERROR(Supplier_Perf_Table[[#This Row],[Dollar Equivalent]]*Supplier_Perf_Table[[#This Row],[Ordered_Value]],"")</f>
        <v>1469.568</v>
      </c>
      <c r="U925" s="75">
        <v>2</v>
      </c>
      <c r="V925" s="7">
        <v>0.04</v>
      </c>
      <c r="W925" s="75">
        <v>18</v>
      </c>
      <c r="X925" s="55">
        <f>IFERROR(Supplier_Perf_Table[[#This Row],[Actual_Delivery_Date]]-Supplier_Perf_Table[[#This Row],[Order Date]],"")</f>
        <v>18</v>
      </c>
      <c r="Y925" s="75">
        <v>13</v>
      </c>
      <c r="Z925" s="56">
        <f>IFERROR(Supplier_Perf_Table[[#This Row],[Expected Delivery_Date]]-Supplier_Perf_Table[[#This Row],[Order Date]],"")</f>
        <v>13</v>
      </c>
      <c r="AA925" s="56">
        <f>Supplier_Perf_Table[[#This Row],[Calculated_Lead_Time2]]-Supplier_Perf_Table[[#This Row],[Calculated_Expected_Lead_Time]]</f>
        <v>5</v>
      </c>
      <c r="AB925" s="75"/>
      <c r="AC925" s="63" t="s">
        <v>135</v>
      </c>
      <c r="AD925" s="63" t="s">
        <v>40</v>
      </c>
      <c r="AE925" s="63" t="s">
        <v>105</v>
      </c>
      <c r="AF925" s="63" t="s">
        <v>106</v>
      </c>
      <c r="AG925" s="63" t="s">
        <v>43</v>
      </c>
      <c r="AH925" s="63" t="s">
        <v>136</v>
      </c>
      <c r="AI925" s="63" t="s">
        <v>95</v>
      </c>
      <c r="AJ925" s="63" t="s">
        <v>138</v>
      </c>
      <c r="AK925" s="83">
        <v>4.8</v>
      </c>
      <c r="AL925" s="63" t="s">
        <v>76</v>
      </c>
      <c r="AM925" s="63" t="s">
        <v>46</v>
      </c>
      <c r="AN925"/>
    </row>
    <row r="926" spans="1:40" ht="18" customHeight="1">
      <c r="A926" s="1" t="s">
        <v>2860</v>
      </c>
      <c r="B926" s="1" t="s">
        <v>2861</v>
      </c>
      <c r="C926" s="4">
        <v>46098</v>
      </c>
      <c r="D926" s="4">
        <v>46108</v>
      </c>
      <c r="E926" s="4">
        <v>46115</v>
      </c>
      <c r="F926" s="63" t="s">
        <v>100</v>
      </c>
      <c r="G926" s="63" t="s">
        <v>3841</v>
      </c>
      <c r="H926" s="63" t="s">
        <v>102</v>
      </c>
      <c r="I926" s="63" t="s">
        <v>178</v>
      </c>
      <c r="J926" s="63" t="s">
        <v>50</v>
      </c>
      <c r="K926" s="63" t="s">
        <v>2862</v>
      </c>
      <c r="L926" s="63" t="s">
        <v>145</v>
      </c>
      <c r="M926" s="69">
        <v>1559.61</v>
      </c>
      <c r="N926" s="63" t="s">
        <v>65</v>
      </c>
      <c r="O926" s="73">
        <f>_xlfn.XLOOKUP(Supplier_Perf_Table[[#This Row],[Currency]],'Comments 2'!$C$4:$C$16,'Comments 2'!$D$4:$D$16)</f>
        <v>1</v>
      </c>
      <c r="P926" s="69">
        <f>IFERROR(Supplier_Perf_Table[[#This Row],[Unit_Cost]]*Supplier_Perf_Table[[#This Row],[Dollar Equivalent]],"")</f>
        <v>1559.61</v>
      </c>
      <c r="Q926" s="75">
        <v>250</v>
      </c>
      <c r="R926" s="1">
        <v>389902.5</v>
      </c>
      <c r="S926" s="75">
        <f>Supplier_Perf_Table[[#This Row],[Unit_Cost]]*Supplier_Perf_Table[[#This Row],[Order_Quantity]]</f>
        <v>389902.5</v>
      </c>
      <c r="T926" s="75">
        <f>IFERROR(Supplier_Perf_Table[[#This Row],[Dollar Equivalent]]*Supplier_Perf_Table[[#This Row],[Ordered_Value]],"")</f>
        <v>389902.5</v>
      </c>
      <c r="U926" s="75">
        <v>11</v>
      </c>
      <c r="V926" s="7">
        <v>4.3999999999999997E-2</v>
      </c>
      <c r="W926" s="75">
        <v>17</v>
      </c>
      <c r="X926" s="55">
        <f>IFERROR(Supplier_Perf_Table[[#This Row],[Actual_Delivery_Date]]-Supplier_Perf_Table[[#This Row],[Order Date]],"")</f>
        <v>17</v>
      </c>
      <c r="Y926" s="75">
        <v>10</v>
      </c>
      <c r="Z926" s="56">
        <f>IFERROR(Supplier_Perf_Table[[#This Row],[Expected Delivery_Date]]-Supplier_Perf_Table[[#This Row],[Order Date]],"")</f>
        <v>10</v>
      </c>
      <c r="AA926" s="56">
        <f>Supplier_Perf_Table[[#This Row],[Calculated_Lead_Time2]]-Supplier_Perf_Table[[#This Row],[Calculated_Expected_Lead_Time]]</f>
        <v>7</v>
      </c>
      <c r="AB926" s="75">
        <v>7</v>
      </c>
      <c r="AC926" s="63" t="s">
        <v>39</v>
      </c>
      <c r="AD926" s="63" t="s">
        <v>420</v>
      </c>
      <c r="AE926" s="63" t="s">
        <v>41</v>
      </c>
      <c r="AF926" s="63" t="s">
        <v>212</v>
      </c>
      <c r="AG926" s="63" t="s">
        <v>54</v>
      </c>
      <c r="AH926" s="63" t="s">
        <v>174</v>
      </c>
      <c r="AI926" s="63" t="s">
        <v>44</v>
      </c>
      <c r="AJ926" s="63" t="s">
        <v>373</v>
      </c>
      <c r="AK926" s="83">
        <v>2.2999999999999998</v>
      </c>
      <c r="AL926" s="63" t="s">
        <v>57</v>
      </c>
      <c r="AM926" s="63" t="s">
        <v>77</v>
      </c>
      <c r="AN926"/>
    </row>
    <row r="927" spans="1:40" ht="18" customHeight="1">
      <c r="A927" s="1" t="s">
        <v>2863</v>
      </c>
      <c r="B927" s="1" t="s">
        <v>2864</v>
      </c>
      <c r="C927" s="4">
        <v>46130</v>
      </c>
      <c r="D927" s="4">
        <v>46149</v>
      </c>
      <c r="E927" s="4">
        <v>46151</v>
      </c>
      <c r="F927" s="63" t="s">
        <v>100</v>
      </c>
      <c r="G927" s="63" t="s">
        <v>3841</v>
      </c>
      <c r="H927" s="63" t="s">
        <v>102</v>
      </c>
      <c r="I927" s="63" t="s">
        <v>49</v>
      </c>
      <c r="J927" s="63" t="s">
        <v>50</v>
      </c>
      <c r="K927" s="63" t="s">
        <v>2865</v>
      </c>
      <c r="L927" s="63" t="s">
        <v>189</v>
      </c>
      <c r="M927" s="69">
        <v>2662.25</v>
      </c>
      <c r="N927" s="63" t="s">
        <v>159</v>
      </c>
      <c r="O927" s="73">
        <f>_xlfn.XLOOKUP(Supplier_Perf_Table[[#This Row],[Currency]],'Comments 2'!$C$4:$C$16,'Comments 2'!$D$4:$D$16)</f>
        <v>7.2999999999999996E-4</v>
      </c>
      <c r="P927" s="69">
        <f>IFERROR(Supplier_Perf_Table[[#This Row],[Unit_Cost]]*Supplier_Perf_Table[[#This Row],[Dollar Equivalent]],"")</f>
        <v>1.9434425</v>
      </c>
      <c r="Q927" s="75">
        <v>150</v>
      </c>
      <c r="R927" s="1">
        <v>399337.5</v>
      </c>
      <c r="S927" s="75">
        <f>Supplier_Perf_Table[[#This Row],[Unit_Cost]]*Supplier_Perf_Table[[#This Row],[Order_Quantity]]</f>
        <v>399337.5</v>
      </c>
      <c r="T927" s="75">
        <f>IFERROR(Supplier_Perf_Table[[#This Row],[Dollar Equivalent]]*Supplier_Perf_Table[[#This Row],[Ordered_Value]],"")</f>
        <v>291.51637499999998</v>
      </c>
      <c r="U927" s="75">
        <v>6</v>
      </c>
      <c r="V927" s="7">
        <v>0.04</v>
      </c>
      <c r="W927" s="75">
        <v>21</v>
      </c>
      <c r="X927" s="55">
        <f>IFERROR(Supplier_Perf_Table[[#This Row],[Actual_Delivery_Date]]-Supplier_Perf_Table[[#This Row],[Order Date]],"")</f>
        <v>21</v>
      </c>
      <c r="Y927" s="75">
        <v>19</v>
      </c>
      <c r="Z927" s="56">
        <f>IFERROR(Supplier_Perf_Table[[#This Row],[Expected Delivery_Date]]-Supplier_Perf_Table[[#This Row],[Order Date]],"")</f>
        <v>19</v>
      </c>
      <c r="AA927" s="56">
        <f>Supplier_Perf_Table[[#This Row],[Calculated_Lead_Time2]]-Supplier_Perf_Table[[#This Row],[Calculated_Expected_Lead_Time]]</f>
        <v>2</v>
      </c>
      <c r="AB927" s="75">
        <v>2</v>
      </c>
      <c r="AC927" s="63" t="s">
        <v>135</v>
      </c>
      <c r="AD927" s="63" t="s">
        <v>40</v>
      </c>
      <c r="AE927" s="63" t="s">
        <v>105</v>
      </c>
      <c r="AF927" s="63" t="s">
        <v>66</v>
      </c>
      <c r="AG927" s="63" t="s">
        <v>128</v>
      </c>
      <c r="AH927" s="63" t="s">
        <v>136</v>
      </c>
      <c r="AI927" s="63" t="s">
        <v>147</v>
      </c>
      <c r="AJ927" s="63" t="s">
        <v>138</v>
      </c>
      <c r="AK927" s="83">
        <v>4.3</v>
      </c>
      <c r="AL927" s="63" t="s">
        <v>108</v>
      </c>
      <c r="AM927" s="63" t="s">
        <v>46</v>
      </c>
      <c r="AN927"/>
    </row>
    <row r="928" spans="1:40" ht="18" customHeight="1">
      <c r="A928" s="1" t="s">
        <v>2866</v>
      </c>
      <c r="B928" s="1" t="s">
        <v>2867</v>
      </c>
      <c r="C928" s="4">
        <v>46111</v>
      </c>
      <c r="D928" s="4">
        <v>46122</v>
      </c>
      <c r="E928" s="4">
        <v>46112</v>
      </c>
      <c r="F928" s="63" t="s">
        <v>151</v>
      </c>
      <c r="G928" s="63" t="s">
        <v>3844</v>
      </c>
      <c r="H928" s="63" t="s">
        <v>152</v>
      </c>
      <c r="I928" s="63" t="s">
        <v>120</v>
      </c>
      <c r="J928" s="63" t="s">
        <v>112</v>
      </c>
      <c r="K928" s="63" t="s">
        <v>2851</v>
      </c>
      <c r="L928" s="63" t="s">
        <v>218</v>
      </c>
      <c r="M928" s="69">
        <v>261.44</v>
      </c>
      <c r="N928" s="63" t="s">
        <v>159</v>
      </c>
      <c r="O928" s="73">
        <f>_xlfn.XLOOKUP(Supplier_Perf_Table[[#This Row],[Currency]],'Comments 2'!$C$4:$C$16,'Comments 2'!$D$4:$D$16)</f>
        <v>7.2999999999999996E-4</v>
      </c>
      <c r="P928" s="69">
        <f>IFERROR(Supplier_Perf_Table[[#This Row],[Unit_Cost]]*Supplier_Perf_Table[[#This Row],[Dollar Equivalent]],"")</f>
        <v>0.1908512</v>
      </c>
      <c r="Q928" s="75">
        <v>750</v>
      </c>
      <c r="R928" s="1">
        <v>196080</v>
      </c>
      <c r="S928" s="75">
        <f>Supplier_Perf_Table[[#This Row],[Unit_Cost]]*Supplier_Perf_Table[[#This Row],[Order_Quantity]]</f>
        <v>196080</v>
      </c>
      <c r="T928" s="75">
        <f>IFERROR(Supplier_Perf_Table[[#This Row],[Dollar Equivalent]]*Supplier_Perf_Table[[#This Row],[Ordered_Value]],"")</f>
        <v>143.13839999999999</v>
      </c>
      <c r="U928" s="75">
        <v>15</v>
      </c>
      <c r="V928" s="7">
        <v>0.02</v>
      </c>
      <c r="W928" s="75">
        <v>1</v>
      </c>
      <c r="X928" s="55">
        <f>IFERROR(Supplier_Perf_Table[[#This Row],[Actual_Delivery_Date]]-Supplier_Perf_Table[[#This Row],[Order Date]],"")</f>
        <v>1</v>
      </c>
      <c r="Y928" s="75">
        <v>11</v>
      </c>
      <c r="Z928" s="56">
        <f>IFERROR(Supplier_Perf_Table[[#This Row],[Expected Delivery_Date]]-Supplier_Perf_Table[[#This Row],[Order Date]],"")</f>
        <v>11</v>
      </c>
      <c r="AA928" s="56">
        <f>Supplier_Perf_Table[[#This Row],[Calculated_Lead_Time2]]-Supplier_Perf_Table[[#This Row],[Calculated_Expected_Lead_Time]]</f>
        <v>-10</v>
      </c>
      <c r="AB928" s="75">
        <v>-10</v>
      </c>
      <c r="AC928" s="63" t="s">
        <v>270</v>
      </c>
      <c r="AD928" s="63" t="s">
        <v>40</v>
      </c>
      <c r="AE928" s="63" t="s">
        <v>146</v>
      </c>
      <c r="AF928" s="63" t="s">
        <v>190</v>
      </c>
      <c r="AG928" s="63" t="s">
        <v>128</v>
      </c>
      <c r="AH928" s="63" t="s">
        <v>206</v>
      </c>
      <c r="AI928" s="63" t="s">
        <v>138</v>
      </c>
      <c r="AJ928" s="63" t="s">
        <v>138</v>
      </c>
      <c r="AK928" s="83">
        <v>4.5999999999999996</v>
      </c>
      <c r="AL928" s="63" t="s">
        <v>115</v>
      </c>
      <c r="AM928" s="63" t="s">
        <v>130</v>
      </c>
      <c r="AN928"/>
    </row>
    <row r="929" spans="1:40" ht="18" customHeight="1">
      <c r="A929" s="1" t="s">
        <v>2868</v>
      </c>
      <c r="B929" s="1" t="s">
        <v>2869</v>
      </c>
      <c r="C929" s="4">
        <v>46184</v>
      </c>
      <c r="D929" s="4">
        <v>46201</v>
      </c>
      <c r="E929" s="4">
        <v>46194</v>
      </c>
      <c r="F929" s="63" t="s">
        <v>48</v>
      </c>
      <c r="G929" s="63" t="s">
        <v>3836</v>
      </c>
      <c r="H929" s="63" t="s">
        <v>102</v>
      </c>
      <c r="I929" s="63" t="s">
        <v>70</v>
      </c>
      <c r="J929" s="63" t="s">
        <v>50</v>
      </c>
      <c r="K929" s="63" t="s">
        <v>2870</v>
      </c>
      <c r="L929" s="63" t="s">
        <v>145</v>
      </c>
      <c r="M929" s="69">
        <v>1310.24</v>
      </c>
      <c r="N929" s="63" t="s">
        <v>86</v>
      </c>
      <c r="O929" s="73">
        <f>_xlfn.XLOOKUP(Supplier_Perf_Table[[#This Row],[Currency]],'Comments 2'!$C$4:$C$16,'Comments 2'!$D$4:$D$16)</f>
        <v>8.8999999999999996E-2</v>
      </c>
      <c r="P929" s="69">
        <f>IFERROR(Supplier_Perf_Table[[#This Row],[Unit_Cost]]*Supplier_Perf_Table[[#This Row],[Dollar Equivalent]],"")</f>
        <v>116.61135999999999</v>
      </c>
      <c r="Q929" s="75">
        <v>2000</v>
      </c>
      <c r="R929" s="1">
        <v>2620480</v>
      </c>
      <c r="S929" s="75">
        <f>Supplier_Perf_Table[[#This Row],[Unit_Cost]]*Supplier_Perf_Table[[#This Row],[Order_Quantity]]</f>
        <v>2620480</v>
      </c>
      <c r="T929" s="75">
        <f>IFERROR(Supplier_Perf_Table[[#This Row],[Dollar Equivalent]]*Supplier_Perf_Table[[#This Row],[Ordered_Value]],"")</f>
        <v>233222.72</v>
      </c>
      <c r="U929" s="75">
        <v>74</v>
      </c>
      <c r="V929" s="7">
        <v>3.6999999999999998E-2</v>
      </c>
      <c r="W929" s="75">
        <v>10</v>
      </c>
      <c r="X929" s="55">
        <f>IFERROR(Supplier_Perf_Table[[#This Row],[Actual_Delivery_Date]]-Supplier_Perf_Table[[#This Row],[Order Date]],"")</f>
        <v>10</v>
      </c>
      <c r="Y929" s="75" t="s">
        <v>3080</v>
      </c>
      <c r="Z929" s="56">
        <f>IFERROR(Supplier_Perf_Table[[#This Row],[Expected Delivery_Date]]-Supplier_Perf_Table[[#This Row],[Order Date]],"")</f>
        <v>17</v>
      </c>
      <c r="AA929" s="56">
        <f>Supplier_Perf_Table[[#This Row],[Calculated_Lead_Time2]]-Supplier_Perf_Table[[#This Row],[Calculated_Expected_Lead_Time]]</f>
        <v>-7</v>
      </c>
      <c r="AB929" s="75">
        <v>-7</v>
      </c>
      <c r="AC929" s="63" t="s">
        <v>270</v>
      </c>
      <c r="AD929" s="63" t="s">
        <v>40</v>
      </c>
      <c r="AE929" s="63" t="s">
        <v>105</v>
      </c>
      <c r="AF929" s="63" t="s">
        <v>212</v>
      </c>
      <c r="AG929" s="63" t="s">
        <v>173</v>
      </c>
      <c r="AH929" s="63" t="s">
        <v>55</v>
      </c>
      <c r="AI929" s="63" t="s">
        <v>95</v>
      </c>
      <c r="AJ929" s="63" t="s">
        <v>138</v>
      </c>
      <c r="AK929" s="83">
        <v>3.7</v>
      </c>
      <c r="AL929" s="63" t="s">
        <v>76</v>
      </c>
      <c r="AM929" s="63" t="s">
        <v>138</v>
      </c>
      <c r="AN929"/>
    </row>
    <row r="930" spans="1:40" ht="18" customHeight="1">
      <c r="A930" s="1" t="s">
        <v>2871</v>
      </c>
      <c r="B930" s="1" t="s">
        <v>2872</v>
      </c>
      <c r="C930" s="4">
        <v>46161</v>
      </c>
      <c r="D930" s="4">
        <v>46176</v>
      </c>
      <c r="E930" s="4">
        <v>46168</v>
      </c>
      <c r="F930" s="63" t="s">
        <v>90</v>
      </c>
      <c r="G930" s="63" t="s">
        <v>3840</v>
      </c>
      <c r="H930" s="63" t="s">
        <v>133</v>
      </c>
      <c r="I930" s="63" t="s">
        <v>92</v>
      </c>
      <c r="J930" s="63" t="s">
        <v>71</v>
      </c>
      <c r="K930" s="63" t="s">
        <v>631</v>
      </c>
      <c r="L930" s="63" t="s">
        <v>337</v>
      </c>
      <c r="M930" s="69">
        <v>218.72</v>
      </c>
      <c r="N930" s="63" t="s">
        <v>104</v>
      </c>
      <c r="O930" s="73">
        <f>_xlfn.XLOOKUP(Supplier_Perf_Table[[#This Row],[Currency]],'Comments 2'!$C$4:$C$16,'Comments 2'!$D$4:$D$16)</f>
        <v>1.9E-2</v>
      </c>
      <c r="P930" s="69">
        <f>IFERROR(Supplier_Perf_Table[[#This Row],[Unit_Cost]]*Supplier_Perf_Table[[#This Row],[Dollar Equivalent]],"")</f>
        <v>4.1556800000000003</v>
      </c>
      <c r="Q930" s="75">
        <v>75</v>
      </c>
      <c r="R930" s="1">
        <v>16404</v>
      </c>
      <c r="S930" s="75">
        <f>Supplier_Perf_Table[[#This Row],[Unit_Cost]]*Supplier_Perf_Table[[#This Row],[Order_Quantity]]</f>
        <v>16404</v>
      </c>
      <c r="T930" s="75">
        <f>IFERROR(Supplier_Perf_Table[[#This Row],[Dollar Equivalent]]*Supplier_Perf_Table[[#This Row],[Ordered_Value]],"")</f>
        <v>311.67599999999999</v>
      </c>
      <c r="U930" s="75">
        <v>0</v>
      </c>
      <c r="V930" s="7">
        <v>0</v>
      </c>
      <c r="W930" s="75">
        <v>7</v>
      </c>
      <c r="X930" s="55">
        <f>IFERROR(Supplier_Perf_Table[[#This Row],[Actual_Delivery_Date]]-Supplier_Perf_Table[[#This Row],[Order Date]],"")</f>
        <v>7</v>
      </c>
      <c r="Y930" s="75">
        <v>15</v>
      </c>
      <c r="Z930" s="56">
        <f>IFERROR(Supplier_Perf_Table[[#This Row],[Expected Delivery_Date]]-Supplier_Perf_Table[[#This Row],[Order Date]],"")</f>
        <v>15</v>
      </c>
      <c r="AA930" s="56">
        <f>Supplier_Perf_Table[[#This Row],[Calculated_Lead_Time2]]-Supplier_Perf_Table[[#This Row],[Calculated_Expected_Lead_Time]]</f>
        <v>-8</v>
      </c>
      <c r="AB930" s="75">
        <v>-8</v>
      </c>
      <c r="AC930" s="63" t="s">
        <v>87</v>
      </c>
      <c r="AD930" s="63" t="s">
        <v>40</v>
      </c>
      <c r="AE930" s="63" t="s">
        <v>41</v>
      </c>
      <c r="AF930" s="63" t="s">
        <v>190</v>
      </c>
      <c r="AG930" s="63" t="s">
        <v>173</v>
      </c>
      <c r="AH930" s="63" t="s">
        <v>129</v>
      </c>
      <c r="AI930" s="63" t="s">
        <v>147</v>
      </c>
      <c r="AJ930" s="63" t="s">
        <v>138</v>
      </c>
      <c r="AK930" s="83">
        <v>3.2</v>
      </c>
      <c r="AL930" s="63" t="s">
        <v>184</v>
      </c>
      <c r="AM930" s="63" t="s">
        <v>138</v>
      </c>
      <c r="AN930"/>
    </row>
    <row r="931" spans="1:40" ht="18" customHeight="1">
      <c r="A931" s="1" t="s">
        <v>2873</v>
      </c>
      <c r="B931" s="1" t="s">
        <v>2874</v>
      </c>
      <c r="C931" s="4">
        <v>46039</v>
      </c>
      <c r="D931" s="4">
        <v>46040</v>
      </c>
      <c r="E931" s="4">
        <v>46051</v>
      </c>
      <c r="F931" s="63" t="s">
        <v>151</v>
      </c>
      <c r="G931" s="63" t="s">
        <v>3844</v>
      </c>
      <c r="H931" s="63" t="s">
        <v>152</v>
      </c>
      <c r="I931" s="63" t="s">
        <v>241</v>
      </c>
      <c r="J931" s="63" t="s">
        <v>112</v>
      </c>
      <c r="K931" s="63" t="s">
        <v>2875</v>
      </c>
      <c r="L931" s="63" t="s">
        <v>246</v>
      </c>
      <c r="M931" s="69">
        <v>449.33</v>
      </c>
      <c r="N931" s="63" t="s">
        <v>159</v>
      </c>
      <c r="O931" s="73">
        <f>_xlfn.XLOOKUP(Supplier_Perf_Table[[#This Row],[Currency]],'Comments 2'!$C$4:$C$16,'Comments 2'!$D$4:$D$16)</f>
        <v>7.2999999999999996E-4</v>
      </c>
      <c r="P931" s="69">
        <f>IFERROR(Supplier_Perf_Table[[#This Row],[Unit_Cost]]*Supplier_Perf_Table[[#This Row],[Dollar Equivalent]],"")</f>
        <v>0.32801089999999999</v>
      </c>
      <c r="Q931" s="75">
        <v>50</v>
      </c>
      <c r="R931" s="1">
        <v>22466.5</v>
      </c>
      <c r="S931" s="75">
        <f>Supplier_Perf_Table[[#This Row],[Unit_Cost]]*Supplier_Perf_Table[[#This Row],[Order_Quantity]]</f>
        <v>22466.5</v>
      </c>
      <c r="T931" s="75">
        <f>IFERROR(Supplier_Perf_Table[[#This Row],[Dollar Equivalent]]*Supplier_Perf_Table[[#This Row],[Ordered_Value]],"")</f>
        <v>16.400544999999997</v>
      </c>
      <c r="U931" s="75">
        <v>0</v>
      </c>
      <c r="V931" s="7">
        <v>0</v>
      </c>
      <c r="W931" s="75">
        <v>12</v>
      </c>
      <c r="X931" s="55">
        <f>IFERROR(Supplier_Perf_Table[[#This Row],[Actual_Delivery_Date]]-Supplier_Perf_Table[[#This Row],[Order Date]],"")</f>
        <v>12</v>
      </c>
      <c r="Y931" s="75">
        <v>1</v>
      </c>
      <c r="Z931" s="56">
        <f>IFERROR(Supplier_Perf_Table[[#This Row],[Expected Delivery_Date]]-Supplier_Perf_Table[[#This Row],[Order Date]],"")</f>
        <v>1</v>
      </c>
      <c r="AA931" s="56">
        <f>Supplier_Perf_Table[[#This Row],[Calculated_Lead_Time2]]-Supplier_Perf_Table[[#This Row],[Calculated_Expected_Lead_Time]]</f>
        <v>11</v>
      </c>
      <c r="AB931" s="75">
        <v>11</v>
      </c>
      <c r="AC931" s="63" t="s">
        <v>135</v>
      </c>
      <c r="AD931" s="63" t="s">
        <v>40</v>
      </c>
      <c r="AE931" s="63" t="s">
        <v>41</v>
      </c>
      <c r="AF931" s="63" t="s">
        <v>3088</v>
      </c>
      <c r="AG931" s="63" t="s">
        <v>128</v>
      </c>
      <c r="AH931" s="63" t="s">
        <v>88</v>
      </c>
      <c r="AI931" s="63" t="s">
        <v>138</v>
      </c>
      <c r="AJ931" s="63" t="s">
        <v>138</v>
      </c>
      <c r="AK931" s="83">
        <v>2.7</v>
      </c>
      <c r="AL931" s="63" t="s">
        <v>108</v>
      </c>
      <c r="AM931" s="63" t="s">
        <v>386</v>
      </c>
      <c r="AN931"/>
    </row>
    <row r="932" spans="1:40" ht="18" customHeight="1">
      <c r="A932" s="1" t="s">
        <v>2876</v>
      </c>
      <c r="B932" s="1" t="s">
        <v>2877</v>
      </c>
      <c r="C932" s="4">
        <v>46136</v>
      </c>
      <c r="D932" s="4">
        <v>46154</v>
      </c>
      <c r="E932" s="4">
        <v>46144</v>
      </c>
      <c r="F932" s="63" t="s">
        <v>100</v>
      </c>
      <c r="G932" s="63" t="s">
        <v>3841</v>
      </c>
      <c r="H932" s="63" t="s">
        <v>102</v>
      </c>
      <c r="I932" s="63" t="s">
        <v>70</v>
      </c>
      <c r="J932" s="63" t="s">
        <v>50</v>
      </c>
      <c r="K932" s="63" t="s">
        <v>298</v>
      </c>
      <c r="L932" s="63" t="s">
        <v>52</v>
      </c>
      <c r="M932" s="69" t="s">
        <v>3080</v>
      </c>
      <c r="N932" s="63" t="s">
        <v>65</v>
      </c>
      <c r="O932" s="73">
        <f>_xlfn.XLOOKUP(Supplier_Perf_Table[[#This Row],[Currency]],'Comments 2'!$C$4:$C$16,'Comments 2'!$D$4:$D$16)</f>
        <v>1</v>
      </c>
      <c r="P932" s="69" t="str">
        <f>IFERROR(Supplier_Perf_Table[[#This Row],[Unit_Cost]]*Supplier_Perf_Table[[#This Row],[Dollar Equivalent]],"")</f>
        <v/>
      </c>
      <c r="Q932" s="75">
        <v>1000</v>
      </c>
      <c r="R932" s="1">
        <v>4184090</v>
      </c>
      <c r="S932" s="75" t="e">
        <f>Supplier_Perf_Table[[#This Row],[Unit_Cost]]*Supplier_Perf_Table[[#This Row],[Order_Quantity]]</f>
        <v>#VALUE!</v>
      </c>
      <c r="T932" s="75">
        <f>IFERROR(Supplier_Perf_Table[[#This Row],[Dollar Equivalent]]*Supplier_Perf_Table[[#This Row],[Ordered_Value]],"")</f>
        <v>4184090</v>
      </c>
      <c r="U932" s="75">
        <v>24</v>
      </c>
      <c r="V932" s="7">
        <v>2.4E-2</v>
      </c>
      <c r="W932" s="75">
        <v>8</v>
      </c>
      <c r="X932" s="55">
        <f>IFERROR(Supplier_Perf_Table[[#This Row],[Actual_Delivery_Date]]-Supplier_Perf_Table[[#This Row],[Order Date]],"")</f>
        <v>8</v>
      </c>
      <c r="Y932" s="75">
        <v>18</v>
      </c>
      <c r="Z932" s="56">
        <f>IFERROR(Supplier_Perf_Table[[#This Row],[Expected Delivery_Date]]-Supplier_Perf_Table[[#This Row],[Order Date]],"")</f>
        <v>18</v>
      </c>
      <c r="AA932" s="56">
        <f>Supplier_Perf_Table[[#This Row],[Calculated_Lead_Time2]]-Supplier_Perf_Table[[#This Row],[Calculated_Expected_Lead_Time]]</f>
        <v>-10</v>
      </c>
      <c r="AB932" s="75">
        <v>-10</v>
      </c>
      <c r="AC932" s="63" t="s">
        <v>87</v>
      </c>
      <c r="AD932" s="63" t="s">
        <v>40</v>
      </c>
      <c r="AE932" s="63" t="s">
        <v>105</v>
      </c>
      <c r="AF932" s="63" t="s">
        <v>42</v>
      </c>
      <c r="AG932" s="63" t="s">
        <v>43</v>
      </c>
      <c r="AH932" s="63" t="s">
        <v>88</v>
      </c>
      <c r="AI932" s="63" t="s">
        <v>147</v>
      </c>
      <c r="AJ932" s="63" t="s">
        <v>138</v>
      </c>
      <c r="AK932" s="83">
        <v>4.2</v>
      </c>
      <c r="AL932" s="63" t="s">
        <v>115</v>
      </c>
      <c r="AM932" s="63" t="s">
        <v>138</v>
      </c>
      <c r="AN932"/>
    </row>
    <row r="933" spans="1:40" ht="18" customHeight="1">
      <c r="A933" s="1" t="s">
        <v>2878</v>
      </c>
      <c r="B933" s="1" t="s">
        <v>2879</v>
      </c>
      <c r="C933" s="4">
        <v>46094</v>
      </c>
      <c r="D933" s="4">
        <v>46109</v>
      </c>
      <c r="E933" s="4">
        <v>46105</v>
      </c>
      <c r="F933" s="63" t="s">
        <v>256</v>
      </c>
      <c r="G933" s="63" t="s">
        <v>3849</v>
      </c>
      <c r="H933" s="63" t="s">
        <v>258</v>
      </c>
      <c r="I933" s="63" t="s">
        <v>49</v>
      </c>
      <c r="J933" s="63" t="s">
        <v>62</v>
      </c>
      <c r="K933" s="63" t="s">
        <v>2880</v>
      </c>
      <c r="L933" s="63" t="s">
        <v>64</v>
      </c>
      <c r="M933" s="69">
        <v>580.20000000000005</v>
      </c>
      <c r="N933" s="63" t="s">
        <v>53</v>
      </c>
      <c r="O933" s="73">
        <f>_xlfn.XLOOKUP(Supplier_Perf_Table[[#This Row],[Currency]],'Comments 2'!$C$4:$C$16,'Comments 2'!$D$4:$D$16)</f>
        <v>6.0999999999999999E-2</v>
      </c>
      <c r="P933" s="69">
        <f>IFERROR(Supplier_Perf_Table[[#This Row],[Unit_Cost]]*Supplier_Perf_Table[[#This Row],[Dollar Equivalent]],"")</f>
        <v>35.392200000000003</v>
      </c>
      <c r="Q933" s="75">
        <v>150</v>
      </c>
      <c r="R933" s="1">
        <v>87030</v>
      </c>
      <c r="S933" s="75">
        <f>Supplier_Perf_Table[[#This Row],[Unit_Cost]]*Supplier_Perf_Table[[#This Row],[Order_Quantity]]</f>
        <v>87030</v>
      </c>
      <c r="T933" s="75">
        <f>IFERROR(Supplier_Perf_Table[[#This Row],[Dollar Equivalent]]*Supplier_Perf_Table[[#This Row],[Ordered_Value]],"")</f>
        <v>5308.83</v>
      </c>
      <c r="U933" s="75">
        <v>0</v>
      </c>
      <c r="V933" s="7">
        <v>0</v>
      </c>
      <c r="W933" s="75" t="s">
        <v>3080</v>
      </c>
      <c r="X933" s="55">
        <f>IFERROR(Supplier_Perf_Table[[#This Row],[Actual_Delivery_Date]]-Supplier_Perf_Table[[#This Row],[Order Date]],"")</f>
        <v>11</v>
      </c>
      <c r="Y933" s="75">
        <v>15</v>
      </c>
      <c r="Z933" s="56">
        <f>IFERROR(Supplier_Perf_Table[[#This Row],[Expected Delivery_Date]]-Supplier_Perf_Table[[#This Row],[Order Date]],"")</f>
        <v>15</v>
      </c>
      <c r="AA933" s="56">
        <f>Supplier_Perf_Table[[#This Row],[Calculated_Lead_Time2]]-Supplier_Perf_Table[[#This Row],[Calculated_Expected_Lead_Time]]</f>
        <v>-4</v>
      </c>
      <c r="AB933" s="75">
        <v>-4</v>
      </c>
      <c r="AC933" s="63" t="s">
        <v>87</v>
      </c>
      <c r="AD933" s="63" t="s">
        <v>40</v>
      </c>
      <c r="AE933" s="63" t="s">
        <v>127</v>
      </c>
      <c r="AF933" s="63" t="s">
        <v>66</v>
      </c>
      <c r="AG933" s="63" t="s">
        <v>43</v>
      </c>
      <c r="AH933" s="63" t="s">
        <v>3112</v>
      </c>
      <c r="AI933" s="63" t="s">
        <v>191</v>
      </c>
      <c r="AJ933" s="63" t="s">
        <v>138</v>
      </c>
      <c r="AK933" s="83">
        <v>4.9000000000000004</v>
      </c>
      <c r="AL933" s="63" t="s">
        <v>108</v>
      </c>
      <c r="AM933" s="63" t="s">
        <v>130</v>
      </c>
      <c r="AN933"/>
    </row>
    <row r="934" spans="1:40" ht="18" customHeight="1">
      <c r="A934" s="1" t="s">
        <v>2881</v>
      </c>
      <c r="B934" s="1" t="s">
        <v>2882</v>
      </c>
      <c r="C934" s="4">
        <v>46194</v>
      </c>
      <c r="D934" s="4">
        <v>46202</v>
      </c>
      <c r="E934" s="4">
        <v>46206</v>
      </c>
      <c r="F934" s="63" t="s">
        <v>162</v>
      </c>
      <c r="G934" s="63" t="s">
        <v>3847</v>
      </c>
      <c r="H934" s="63" t="s">
        <v>152</v>
      </c>
      <c r="I934" s="63" t="s">
        <v>241</v>
      </c>
      <c r="J934" s="63" t="s">
        <v>50</v>
      </c>
      <c r="K934" s="63" t="s">
        <v>2883</v>
      </c>
      <c r="L934" s="63" t="s">
        <v>52</v>
      </c>
      <c r="M934" s="69">
        <v>2713.04</v>
      </c>
      <c r="N934" s="63" t="s">
        <v>159</v>
      </c>
      <c r="O934" s="73">
        <f>_xlfn.XLOOKUP(Supplier_Perf_Table[[#This Row],[Currency]],'Comments 2'!$C$4:$C$16,'Comments 2'!$D$4:$D$16)</f>
        <v>7.2999999999999996E-4</v>
      </c>
      <c r="P934" s="69">
        <f>IFERROR(Supplier_Perf_Table[[#This Row],[Unit_Cost]]*Supplier_Perf_Table[[#This Row],[Dollar Equivalent]],"")</f>
        <v>1.9805191999999998</v>
      </c>
      <c r="Q934" s="75">
        <v>300</v>
      </c>
      <c r="R934" s="1">
        <v>813912</v>
      </c>
      <c r="S934" s="75">
        <f>Supplier_Perf_Table[[#This Row],[Unit_Cost]]*Supplier_Perf_Table[[#This Row],[Order_Quantity]]</f>
        <v>813912</v>
      </c>
      <c r="T934" s="75">
        <f>IFERROR(Supplier_Perf_Table[[#This Row],[Dollar Equivalent]]*Supplier_Perf_Table[[#This Row],[Ordered_Value]],"")</f>
        <v>594.15575999999999</v>
      </c>
      <c r="U934" s="75">
        <v>4</v>
      </c>
      <c r="V934" s="7">
        <v>1.3299999999999999E-2</v>
      </c>
      <c r="W934" s="75">
        <v>12</v>
      </c>
      <c r="X934" s="55">
        <f>IFERROR(Supplier_Perf_Table[[#This Row],[Actual_Delivery_Date]]-Supplier_Perf_Table[[#This Row],[Order Date]],"")</f>
        <v>12</v>
      </c>
      <c r="Y934" s="75">
        <v>8</v>
      </c>
      <c r="Z934" s="56">
        <f>IFERROR(Supplier_Perf_Table[[#This Row],[Expected Delivery_Date]]-Supplier_Perf_Table[[#This Row],[Order Date]],"")</f>
        <v>8</v>
      </c>
      <c r="AA934" s="56">
        <f>Supplier_Perf_Table[[#This Row],[Calculated_Lead_Time2]]-Supplier_Perf_Table[[#This Row],[Calculated_Expected_Lead_Time]]</f>
        <v>4</v>
      </c>
      <c r="AB934" s="75">
        <v>4</v>
      </c>
      <c r="AC934" s="63" t="s">
        <v>39</v>
      </c>
      <c r="AD934" s="63" t="s">
        <v>40</v>
      </c>
      <c r="AE934" s="63" t="s">
        <v>41</v>
      </c>
      <c r="AF934" s="63" t="s">
        <v>42</v>
      </c>
      <c r="AG934" s="63" t="s">
        <v>43</v>
      </c>
      <c r="AH934" s="63" t="s">
        <v>129</v>
      </c>
      <c r="AI934" s="63" t="s">
        <v>137</v>
      </c>
      <c r="AJ934" s="63" t="s">
        <v>138</v>
      </c>
      <c r="AK934" s="83">
        <v>3.8</v>
      </c>
      <c r="AL934" s="63" t="s">
        <v>139</v>
      </c>
      <c r="AM934" s="63" t="s">
        <v>46</v>
      </c>
      <c r="AN934"/>
    </row>
    <row r="935" spans="1:40" ht="18" customHeight="1">
      <c r="A935" s="1" t="s">
        <v>2884</v>
      </c>
      <c r="B935" s="1" t="s">
        <v>2885</v>
      </c>
      <c r="C935" s="4">
        <v>46168</v>
      </c>
      <c r="D935" s="4">
        <v>46178</v>
      </c>
      <c r="E935" s="4">
        <v>46173</v>
      </c>
      <c r="F935" s="63" t="s">
        <v>48</v>
      </c>
      <c r="G935" s="63" t="s">
        <v>3836</v>
      </c>
      <c r="H935" s="63" t="s">
        <v>102</v>
      </c>
      <c r="I935" s="63" t="s">
        <v>92</v>
      </c>
      <c r="J935" s="63" t="s">
        <v>50</v>
      </c>
      <c r="K935" s="63" t="s">
        <v>2886</v>
      </c>
      <c r="L935" s="63" t="s">
        <v>52</v>
      </c>
      <c r="M935" s="69">
        <v>659.21</v>
      </c>
      <c r="N935" s="63" t="s">
        <v>65</v>
      </c>
      <c r="O935" s="73">
        <f>_xlfn.XLOOKUP(Supplier_Perf_Table[[#This Row],[Currency]],'Comments 2'!$C$4:$C$16,'Comments 2'!$D$4:$D$16)</f>
        <v>1</v>
      </c>
      <c r="P935" s="69">
        <f>IFERROR(Supplier_Perf_Table[[#This Row],[Unit_Cost]]*Supplier_Perf_Table[[#This Row],[Dollar Equivalent]],"")</f>
        <v>659.21</v>
      </c>
      <c r="Q935" s="75">
        <v>75</v>
      </c>
      <c r="R935" s="1">
        <v>49440.75</v>
      </c>
      <c r="S935" s="75">
        <f>Supplier_Perf_Table[[#This Row],[Unit_Cost]]*Supplier_Perf_Table[[#This Row],[Order_Quantity]]</f>
        <v>49440.75</v>
      </c>
      <c r="T935" s="75">
        <f>IFERROR(Supplier_Perf_Table[[#This Row],[Dollar Equivalent]]*Supplier_Perf_Table[[#This Row],[Ordered_Value]],"")</f>
        <v>49440.75</v>
      </c>
      <c r="U935" s="75">
        <v>9</v>
      </c>
      <c r="V935" s="7">
        <v>0.12</v>
      </c>
      <c r="W935" s="75">
        <v>5</v>
      </c>
      <c r="X935" s="55">
        <f>IFERROR(Supplier_Perf_Table[[#This Row],[Actual_Delivery_Date]]-Supplier_Perf_Table[[#This Row],[Order Date]],"")</f>
        <v>5</v>
      </c>
      <c r="Y935" s="75">
        <v>10</v>
      </c>
      <c r="Z935" s="56">
        <f>IFERROR(Supplier_Perf_Table[[#This Row],[Expected Delivery_Date]]-Supplier_Perf_Table[[#This Row],[Order Date]],"")</f>
        <v>10</v>
      </c>
      <c r="AA935" s="56">
        <f>Supplier_Perf_Table[[#This Row],[Calculated_Lead_Time2]]-Supplier_Perf_Table[[#This Row],[Calculated_Expected_Lead_Time]]</f>
        <v>-5</v>
      </c>
      <c r="AB935" s="75">
        <v>-5</v>
      </c>
      <c r="AC935" s="63" t="s">
        <v>270</v>
      </c>
      <c r="AD935" s="63" t="s">
        <v>74</v>
      </c>
      <c r="AE935" s="63" t="s">
        <v>41</v>
      </c>
      <c r="AF935" s="63" t="s">
        <v>190</v>
      </c>
      <c r="AG935" s="63" t="s">
        <v>54</v>
      </c>
      <c r="AH935" s="63" t="s">
        <v>129</v>
      </c>
      <c r="AI935" s="63" t="s">
        <v>95</v>
      </c>
      <c r="AJ935" s="63" t="s">
        <v>373</v>
      </c>
      <c r="AK935" s="83">
        <v>6</v>
      </c>
      <c r="AL935" s="63" t="s">
        <v>139</v>
      </c>
      <c r="AM935" s="63" t="s">
        <v>1758</v>
      </c>
      <c r="AN935"/>
    </row>
    <row r="936" spans="1:40" ht="18" customHeight="1">
      <c r="A936" s="63" t="s">
        <v>2887</v>
      </c>
      <c r="B936" s="63" t="s">
        <v>2888</v>
      </c>
      <c r="C936" s="4">
        <v>46105</v>
      </c>
      <c r="D936" s="4">
        <v>46116</v>
      </c>
      <c r="E936" s="4">
        <v>46114</v>
      </c>
      <c r="F936" s="63" t="s">
        <v>69</v>
      </c>
      <c r="G936" s="63" t="s">
        <v>3838</v>
      </c>
      <c r="H936" s="63" t="s">
        <v>194</v>
      </c>
      <c r="I936" s="63" t="s">
        <v>49</v>
      </c>
      <c r="J936" s="63" t="s">
        <v>112</v>
      </c>
      <c r="K936" s="63" t="s">
        <v>2889</v>
      </c>
      <c r="L936" s="63" t="s">
        <v>218</v>
      </c>
      <c r="M936" s="69">
        <v>646.12</v>
      </c>
      <c r="N936" s="63" t="s">
        <v>38</v>
      </c>
      <c r="O936" s="73">
        <f>_xlfn.XLOOKUP(Supplier_Perf_Table[[#This Row],[Currency]],'Comments 2'!$C$4:$C$16,'Comments 2'!$D$4:$D$16)</f>
        <v>7.7000000000000002E-3</v>
      </c>
      <c r="P936" s="69">
        <f>IFERROR(Supplier_Perf_Table[[#This Row],[Unit_Cost]]*Supplier_Perf_Table[[#This Row],[Dollar Equivalent]],"")</f>
        <v>4.9751240000000001</v>
      </c>
      <c r="Q936" s="75">
        <v>150</v>
      </c>
      <c r="R936" s="1">
        <v>96918</v>
      </c>
      <c r="S936" s="75">
        <f>Supplier_Perf_Table[[#This Row],[Unit_Cost]]*Supplier_Perf_Table[[#This Row],[Order_Quantity]]</f>
        <v>96918</v>
      </c>
      <c r="T936" s="75">
        <f>IFERROR(Supplier_Perf_Table[[#This Row],[Dollar Equivalent]]*Supplier_Perf_Table[[#This Row],[Ordered_Value]],"")</f>
        <v>746.26859999999999</v>
      </c>
      <c r="U936" s="75">
        <v>9</v>
      </c>
      <c r="V936" s="7">
        <v>0.06</v>
      </c>
      <c r="W936" s="75">
        <v>9</v>
      </c>
      <c r="X936" s="55">
        <f>IFERROR(Supplier_Perf_Table[[#This Row],[Actual_Delivery_Date]]-Supplier_Perf_Table[[#This Row],[Order Date]],"")</f>
        <v>9</v>
      </c>
      <c r="Y936" s="75">
        <v>11</v>
      </c>
      <c r="Z936" s="56">
        <f>IFERROR(Supplier_Perf_Table[[#This Row],[Expected Delivery_Date]]-Supplier_Perf_Table[[#This Row],[Order Date]],"")</f>
        <v>11</v>
      </c>
      <c r="AA936" s="56">
        <f>Supplier_Perf_Table[[#This Row],[Calculated_Lead_Time2]]-Supplier_Perf_Table[[#This Row],[Calculated_Expected_Lead_Time]]</f>
        <v>-2</v>
      </c>
      <c r="AB936" s="75">
        <v>-2</v>
      </c>
      <c r="AC936" s="63" t="s">
        <v>87</v>
      </c>
      <c r="AD936" s="63" t="s">
        <v>420</v>
      </c>
      <c r="AE936" s="63" t="s">
        <v>127</v>
      </c>
      <c r="AF936" s="63" t="s">
        <v>106</v>
      </c>
      <c r="AG936" s="63" t="s">
        <v>128</v>
      </c>
      <c r="AH936" s="63" t="s">
        <v>88</v>
      </c>
      <c r="AI936" s="63" t="s">
        <v>44</v>
      </c>
      <c r="AJ936" s="63" t="s">
        <v>96</v>
      </c>
      <c r="AK936" s="83">
        <v>1.3</v>
      </c>
      <c r="AL936" s="63" t="s">
        <v>45</v>
      </c>
      <c r="AM936" s="63" t="s">
        <v>284</v>
      </c>
      <c r="AN936"/>
    </row>
    <row r="937" spans="1:40" ht="18" customHeight="1">
      <c r="A937" s="1" t="s">
        <v>2890</v>
      </c>
      <c r="B937" s="1" t="s">
        <v>2891</v>
      </c>
      <c r="C937" s="4">
        <v>46151</v>
      </c>
      <c r="D937" s="4">
        <v>46166</v>
      </c>
      <c r="E937" s="4">
        <v>46170</v>
      </c>
      <c r="F937" s="63" t="s">
        <v>256</v>
      </c>
      <c r="G937" s="63" t="s">
        <v>3849</v>
      </c>
      <c r="H937" s="63" t="s">
        <v>258</v>
      </c>
      <c r="I937" s="63" t="s">
        <v>70</v>
      </c>
      <c r="J937" s="63" t="s">
        <v>35</v>
      </c>
      <c r="K937" s="63" t="s">
        <v>2892</v>
      </c>
      <c r="L937" s="63" t="s">
        <v>200</v>
      </c>
      <c r="M937" s="69">
        <v>2361.5700000000002</v>
      </c>
      <c r="N937" s="63" t="s">
        <v>53</v>
      </c>
      <c r="O937" s="73">
        <f>_xlfn.XLOOKUP(Supplier_Perf_Table[[#This Row],[Currency]],'Comments 2'!$C$4:$C$16,'Comments 2'!$D$4:$D$16)</f>
        <v>6.0999999999999999E-2</v>
      </c>
      <c r="P937" s="69">
        <f>IFERROR(Supplier_Perf_Table[[#This Row],[Unit_Cost]]*Supplier_Perf_Table[[#This Row],[Dollar Equivalent]],"")</f>
        <v>144.05577</v>
      </c>
      <c r="Q937" s="75">
        <v>500</v>
      </c>
      <c r="R937" s="1">
        <v>1180785</v>
      </c>
      <c r="S937" s="75">
        <f>Supplier_Perf_Table[[#This Row],[Unit_Cost]]*Supplier_Perf_Table[[#This Row],[Order_Quantity]]</f>
        <v>1180785</v>
      </c>
      <c r="T937" s="75">
        <f>IFERROR(Supplier_Perf_Table[[#This Row],[Dollar Equivalent]]*Supplier_Perf_Table[[#This Row],[Ordered_Value]],"")</f>
        <v>72027.884999999995</v>
      </c>
      <c r="U937" s="75">
        <v>8</v>
      </c>
      <c r="V937" s="7">
        <v>1.6E-2</v>
      </c>
      <c r="W937" s="75">
        <v>19</v>
      </c>
      <c r="X937" s="55">
        <f>IFERROR(Supplier_Perf_Table[[#This Row],[Actual_Delivery_Date]]-Supplier_Perf_Table[[#This Row],[Order Date]],"")</f>
        <v>19</v>
      </c>
      <c r="Y937" s="75">
        <v>15</v>
      </c>
      <c r="Z937" s="56">
        <f>IFERROR(Supplier_Perf_Table[[#This Row],[Expected Delivery_Date]]-Supplier_Perf_Table[[#This Row],[Order Date]],"")</f>
        <v>15</v>
      </c>
      <c r="AA937" s="56">
        <f>Supplier_Perf_Table[[#This Row],[Calculated_Lead_Time2]]-Supplier_Perf_Table[[#This Row],[Calculated_Expected_Lead_Time]]</f>
        <v>4</v>
      </c>
      <c r="AB937" s="75">
        <v>4</v>
      </c>
      <c r="AC937" s="63" t="s">
        <v>205</v>
      </c>
      <c r="AD937" s="63" t="s">
        <v>40</v>
      </c>
      <c r="AE937" s="63" t="s">
        <v>3088</v>
      </c>
      <c r="AF937" s="63" t="s">
        <v>190</v>
      </c>
      <c r="AG937" s="63" t="s">
        <v>54</v>
      </c>
      <c r="AH937" s="63" t="s">
        <v>206</v>
      </c>
      <c r="AI937" s="63" t="s">
        <v>44</v>
      </c>
      <c r="AJ937" s="63" t="s">
        <v>138</v>
      </c>
      <c r="AK937" s="83">
        <v>4.7</v>
      </c>
      <c r="AL937" s="63" t="s">
        <v>76</v>
      </c>
      <c r="AM937" s="63" t="s">
        <v>148</v>
      </c>
      <c r="AN937"/>
    </row>
    <row r="938" spans="1:40" ht="18" customHeight="1">
      <c r="A938" s="1" t="s">
        <v>2876</v>
      </c>
      <c r="B938" s="1" t="s">
        <v>2893</v>
      </c>
      <c r="C938" s="4">
        <v>46125</v>
      </c>
      <c r="D938" s="4">
        <v>46129</v>
      </c>
      <c r="E938" s="4">
        <v>46132</v>
      </c>
      <c r="F938" s="63" t="s">
        <v>69</v>
      </c>
      <c r="G938" s="63" t="s">
        <v>3838</v>
      </c>
      <c r="H938" s="63" t="s">
        <v>194</v>
      </c>
      <c r="I938" s="63" t="s">
        <v>34</v>
      </c>
      <c r="J938" s="63" t="s">
        <v>112</v>
      </c>
      <c r="K938" s="63" t="s">
        <v>2894</v>
      </c>
      <c r="L938" s="63" t="s">
        <v>114</v>
      </c>
      <c r="M938" s="69">
        <v>223.59</v>
      </c>
      <c r="N938" s="63" t="s">
        <v>38</v>
      </c>
      <c r="O938" s="73">
        <f>_xlfn.XLOOKUP(Supplier_Perf_Table[[#This Row],[Currency]],'Comments 2'!$C$4:$C$16,'Comments 2'!$D$4:$D$16)</f>
        <v>7.7000000000000002E-3</v>
      </c>
      <c r="P938" s="69">
        <f>IFERROR(Supplier_Perf_Table[[#This Row],[Unit_Cost]]*Supplier_Perf_Table[[#This Row],[Dollar Equivalent]],"")</f>
        <v>1.721643</v>
      </c>
      <c r="Q938" s="75">
        <v>50</v>
      </c>
      <c r="R938" s="1">
        <v>11179.5</v>
      </c>
      <c r="S938" s="75">
        <f>Supplier_Perf_Table[[#This Row],[Unit_Cost]]*Supplier_Perf_Table[[#This Row],[Order_Quantity]]</f>
        <v>11179.5</v>
      </c>
      <c r="T938" s="75">
        <f>IFERROR(Supplier_Perf_Table[[#This Row],[Dollar Equivalent]]*Supplier_Perf_Table[[#This Row],[Ordered_Value]],"")</f>
        <v>86.082149999999999</v>
      </c>
      <c r="U938" s="75">
        <v>0</v>
      </c>
      <c r="V938" s="7">
        <v>0</v>
      </c>
      <c r="W938" s="75">
        <v>7</v>
      </c>
      <c r="X938" s="55">
        <f>IFERROR(Supplier_Perf_Table[[#This Row],[Actual_Delivery_Date]]-Supplier_Perf_Table[[#This Row],[Order Date]],"")</f>
        <v>7</v>
      </c>
      <c r="Y938" s="75">
        <v>4</v>
      </c>
      <c r="Z938" s="56">
        <f>IFERROR(Supplier_Perf_Table[[#This Row],[Expected Delivery_Date]]-Supplier_Perf_Table[[#This Row],[Order Date]],"")</f>
        <v>4</v>
      </c>
      <c r="AA938" s="56">
        <f>Supplier_Perf_Table[[#This Row],[Calculated_Lead_Time2]]-Supplier_Perf_Table[[#This Row],[Calculated_Expected_Lead_Time]]</f>
        <v>3</v>
      </c>
      <c r="AB938" s="75">
        <v>3</v>
      </c>
      <c r="AC938" s="63" t="s">
        <v>135</v>
      </c>
      <c r="AD938" s="63" t="s">
        <v>40</v>
      </c>
      <c r="AE938" s="63" t="s">
        <v>105</v>
      </c>
      <c r="AF938" s="63" t="s">
        <v>106</v>
      </c>
      <c r="AG938" s="63" t="s">
        <v>128</v>
      </c>
      <c r="AH938" s="63" t="s">
        <v>88</v>
      </c>
      <c r="AI938" s="63" t="s">
        <v>95</v>
      </c>
      <c r="AJ938" s="63" t="s">
        <v>138</v>
      </c>
      <c r="AK938" s="83">
        <v>3.8</v>
      </c>
      <c r="AL938" s="63" t="s">
        <v>108</v>
      </c>
      <c r="AM938" s="63" t="s">
        <v>46</v>
      </c>
      <c r="AN938"/>
    </row>
    <row r="939" spans="1:40" ht="18" customHeight="1">
      <c r="A939" s="1" t="s">
        <v>2895</v>
      </c>
      <c r="B939" s="1" t="s">
        <v>2896</v>
      </c>
      <c r="C939" s="4">
        <v>46165</v>
      </c>
      <c r="D939" s="4">
        <v>46179</v>
      </c>
      <c r="E939" s="4">
        <v>46186</v>
      </c>
      <c r="F939" s="63" t="s">
        <v>142</v>
      </c>
      <c r="G939" s="63" t="s">
        <v>3843</v>
      </c>
      <c r="H939" s="63" t="s">
        <v>169</v>
      </c>
      <c r="I939" s="63" t="s">
        <v>83</v>
      </c>
      <c r="J939" s="63" t="s">
        <v>50</v>
      </c>
      <c r="K939" s="63" t="s">
        <v>2897</v>
      </c>
      <c r="L939" s="63" t="s">
        <v>189</v>
      </c>
      <c r="M939" s="69">
        <v>525.83000000000004</v>
      </c>
      <c r="N939" s="63" t="s">
        <v>159</v>
      </c>
      <c r="O939" s="73">
        <f>_xlfn.XLOOKUP(Supplier_Perf_Table[[#This Row],[Currency]],'Comments 2'!$C$4:$C$16,'Comments 2'!$D$4:$D$16)</f>
        <v>7.2999999999999996E-4</v>
      </c>
      <c r="P939" s="69">
        <f>IFERROR(Supplier_Perf_Table[[#This Row],[Unit_Cost]]*Supplier_Perf_Table[[#This Row],[Dollar Equivalent]],"")</f>
        <v>0.38385590000000003</v>
      </c>
      <c r="Q939" s="75">
        <v>1000</v>
      </c>
      <c r="R939" s="1">
        <v>525830</v>
      </c>
      <c r="S939" s="75">
        <f>Supplier_Perf_Table[[#This Row],[Unit_Cost]]*Supplier_Perf_Table[[#This Row],[Order_Quantity]]</f>
        <v>525830</v>
      </c>
      <c r="T939" s="75">
        <f>IFERROR(Supplier_Perf_Table[[#This Row],[Dollar Equivalent]]*Supplier_Perf_Table[[#This Row],[Ordered_Value]],"")</f>
        <v>383.85589999999996</v>
      </c>
      <c r="U939" s="75">
        <v>8</v>
      </c>
      <c r="V939" s="7">
        <v>8.0000000000000002E-3</v>
      </c>
      <c r="W939" s="75">
        <v>21</v>
      </c>
      <c r="X939" s="55">
        <f>IFERROR(Supplier_Perf_Table[[#This Row],[Actual_Delivery_Date]]-Supplier_Perf_Table[[#This Row],[Order Date]],"")</f>
        <v>21</v>
      </c>
      <c r="Y939" s="75">
        <v>14</v>
      </c>
      <c r="Z939" s="56">
        <f>IFERROR(Supplier_Perf_Table[[#This Row],[Expected Delivery_Date]]-Supplier_Perf_Table[[#This Row],[Order Date]],"")</f>
        <v>14</v>
      </c>
      <c r="AA939" s="56">
        <f>Supplier_Perf_Table[[#This Row],[Calculated_Lead_Time2]]-Supplier_Perf_Table[[#This Row],[Calculated_Expected_Lead_Time]]</f>
        <v>7</v>
      </c>
      <c r="AB939" s="75">
        <v>7</v>
      </c>
      <c r="AC939" s="63" t="s">
        <v>205</v>
      </c>
      <c r="AD939" s="63" t="s">
        <v>40</v>
      </c>
      <c r="AE939" s="63" t="s">
        <v>41</v>
      </c>
      <c r="AF939" s="63" t="s">
        <v>66</v>
      </c>
      <c r="AG939" s="63" t="s">
        <v>3088</v>
      </c>
      <c r="AH939" s="63" t="s">
        <v>206</v>
      </c>
      <c r="AI939" s="63" t="s">
        <v>137</v>
      </c>
      <c r="AJ939" s="63" t="s">
        <v>138</v>
      </c>
      <c r="AK939" s="83">
        <v>2.5</v>
      </c>
      <c r="AL939" s="63" t="s">
        <v>108</v>
      </c>
      <c r="AM939" s="63" t="s">
        <v>46</v>
      </c>
      <c r="AN939"/>
    </row>
    <row r="940" spans="1:40" ht="18" customHeight="1">
      <c r="A940" s="1" t="s">
        <v>2898</v>
      </c>
      <c r="B940" s="1" t="s">
        <v>2899</v>
      </c>
      <c r="C940" s="4">
        <v>46047</v>
      </c>
      <c r="D940" s="4">
        <v>46068</v>
      </c>
      <c r="E940" s="4">
        <v>46079</v>
      </c>
      <c r="F940" s="63" t="s">
        <v>118</v>
      </c>
      <c r="G940" s="63" t="s">
        <v>3842</v>
      </c>
      <c r="H940" s="63" t="s">
        <v>301</v>
      </c>
      <c r="I940" s="63" t="s">
        <v>61</v>
      </c>
      <c r="J940" s="63" t="s">
        <v>62</v>
      </c>
      <c r="K940" s="63" t="s">
        <v>2900</v>
      </c>
      <c r="L940" s="63" t="s">
        <v>225</v>
      </c>
      <c r="M940" s="69">
        <v>304.73</v>
      </c>
      <c r="N940" s="63" t="s">
        <v>65</v>
      </c>
      <c r="O940" s="73">
        <f>_xlfn.XLOOKUP(Supplier_Perf_Table[[#This Row],[Currency]],'Comments 2'!$C$4:$C$16,'Comments 2'!$D$4:$D$16)</f>
        <v>1</v>
      </c>
      <c r="P940" s="69">
        <f>IFERROR(Supplier_Perf_Table[[#This Row],[Unit_Cost]]*Supplier_Perf_Table[[#This Row],[Dollar Equivalent]],"")</f>
        <v>304.73</v>
      </c>
      <c r="Q940" s="75">
        <v>1500</v>
      </c>
      <c r="R940" s="1">
        <v>457095</v>
      </c>
      <c r="S940" s="75">
        <f>Supplier_Perf_Table[[#This Row],[Unit_Cost]]*Supplier_Perf_Table[[#This Row],[Order_Quantity]]</f>
        <v>457095</v>
      </c>
      <c r="T940" s="75">
        <f>IFERROR(Supplier_Perf_Table[[#This Row],[Dollar Equivalent]]*Supplier_Perf_Table[[#This Row],[Ordered_Value]],"")</f>
        <v>457095</v>
      </c>
      <c r="U940" s="75">
        <v>31</v>
      </c>
      <c r="V940" s="7">
        <v>2.07E-2</v>
      </c>
      <c r="W940" s="75">
        <v>32</v>
      </c>
      <c r="X940" s="55">
        <f>IFERROR(Supplier_Perf_Table[[#This Row],[Actual_Delivery_Date]]-Supplier_Perf_Table[[#This Row],[Order Date]],"")</f>
        <v>32</v>
      </c>
      <c r="Y940" s="75">
        <v>21</v>
      </c>
      <c r="Z940" s="56">
        <f>IFERROR(Supplier_Perf_Table[[#This Row],[Expected Delivery_Date]]-Supplier_Perf_Table[[#This Row],[Order Date]],"")</f>
        <v>21</v>
      </c>
      <c r="AA940" s="56">
        <f>Supplier_Perf_Table[[#This Row],[Calculated_Lead_Time2]]-Supplier_Perf_Table[[#This Row],[Calculated_Expected_Lead_Time]]</f>
        <v>11</v>
      </c>
      <c r="AB940" s="75">
        <v>11</v>
      </c>
      <c r="AC940" s="63" t="s">
        <v>205</v>
      </c>
      <c r="AD940" s="63" t="s">
        <v>40</v>
      </c>
      <c r="AE940" s="63" t="s">
        <v>146</v>
      </c>
      <c r="AF940" s="63" t="s">
        <v>42</v>
      </c>
      <c r="AG940" s="63" t="s">
        <v>54</v>
      </c>
      <c r="AH940" s="63" t="s">
        <v>136</v>
      </c>
      <c r="AI940" s="63" t="s">
        <v>138</v>
      </c>
      <c r="AJ940" s="63" t="s">
        <v>138</v>
      </c>
      <c r="AK940" s="83">
        <v>3.2</v>
      </c>
      <c r="AL940" s="63" t="s">
        <v>139</v>
      </c>
      <c r="AM940" s="63" t="s">
        <v>148</v>
      </c>
      <c r="AN940"/>
    </row>
    <row r="941" spans="1:40" ht="18" customHeight="1">
      <c r="A941" s="1" t="s">
        <v>2901</v>
      </c>
      <c r="B941" s="1" t="s">
        <v>2902</v>
      </c>
      <c r="C941" s="4">
        <v>46170</v>
      </c>
      <c r="D941" s="4">
        <v>46177</v>
      </c>
      <c r="E941" s="4">
        <v>46183</v>
      </c>
      <c r="F941" s="63" t="s">
        <v>209</v>
      </c>
      <c r="G941" s="63" t="s">
        <v>3845</v>
      </c>
      <c r="H941" s="63" t="s">
        <v>316</v>
      </c>
      <c r="I941" s="63" t="s">
        <v>61</v>
      </c>
      <c r="J941" s="63" t="s">
        <v>112</v>
      </c>
      <c r="K941" s="63" t="s">
        <v>1124</v>
      </c>
      <c r="L941" s="63" t="s">
        <v>114</v>
      </c>
      <c r="M941" s="69">
        <v>592.28</v>
      </c>
      <c r="N941" s="63" t="s">
        <v>65</v>
      </c>
      <c r="O941" s="73">
        <f>_xlfn.XLOOKUP(Supplier_Perf_Table[[#This Row],[Currency]],'Comments 2'!$C$4:$C$16,'Comments 2'!$D$4:$D$16)</f>
        <v>1</v>
      </c>
      <c r="P941" s="69">
        <f>IFERROR(Supplier_Perf_Table[[#This Row],[Unit_Cost]]*Supplier_Perf_Table[[#This Row],[Dollar Equivalent]],"")</f>
        <v>592.28</v>
      </c>
      <c r="Q941" s="75">
        <v>100</v>
      </c>
      <c r="R941" s="1">
        <v>59228</v>
      </c>
      <c r="S941" s="75">
        <f>Supplier_Perf_Table[[#This Row],[Unit_Cost]]*Supplier_Perf_Table[[#This Row],[Order_Quantity]]</f>
        <v>59228</v>
      </c>
      <c r="T941" s="75">
        <f>IFERROR(Supplier_Perf_Table[[#This Row],[Dollar Equivalent]]*Supplier_Perf_Table[[#This Row],[Ordered_Value]],"")</f>
        <v>59228</v>
      </c>
      <c r="U941" s="75">
        <v>2</v>
      </c>
      <c r="V941" s="7">
        <v>0.02</v>
      </c>
      <c r="W941" s="75">
        <v>13</v>
      </c>
      <c r="X941" s="55">
        <f>IFERROR(Supplier_Perf_Table[[#This Row],[Actual_Delivery_Date]]-Supplier_Perf_Table[[#This Row],[Order Date]],"")</f>
        <v>13</v>
      </c>
      <c r="Y941" s="75">
        <v>7</v>
      </c>
      <c r="Z941" s="56">
        <f>IFERROR(Supplier_Perf_Table[[#This Row],[Expected Delivery_Date]]-Supplier_Perf_Table[[#This Row],[Order Date]],"")</f>
        <v>7</v>
      </c>
      <c r="AA941" s="56">
        <f>Supplier_Perf_Table[[#This Row],[Calculated_Lead_Time2]]-Supplier_Perf_Table[[#This Row],[Calculated_Expected_Lead_Time]]</f>
        <v>6</v>
      </c>
      <c r="AB941" s="75">
        <v>6</v>
      </c>
      <c r="AC941" s="63" t="s">
        <v>205</v>
      </c>
      <c r="AD941" s="63" t="s">
        <v>40</v>
      </c>
      <c r="AE941" s="63" t="s">
        <v>3088</v>
      </c>
      <c r="AF941" s="63" t="s">
        <v>66</v>
      </c>
      <c r="AG941" s="63" t="s">
        <v>107</v>
      </c>
      <c r="AH941" s="63" t="s">
        <v>129</v>
      </c>
      <c r="AI941" s="63" t="s">
        <v>137</v>
      </c>
      <c r="AJ941" s="63" t="s">
        <v>138</v>
      </c>
      <c r="AK941" s="83">
        <v>2.9</v>
      </c>
      <c r="AL941" s="63" t="s">
        <v>115</v>
      </c>
      <c r="AM941" s="63" t="s">
        <v>148</v>
      </c>
      <c r="AN941"/>
    </row>
    <row r="942" spans="1:40" ht="18" customHeight="1">
      <c r="A942" s="1" t="s">
        <v>2903</v>
      </c>
      <c r="B942" s="1" t="s">
        <v>2904</v>
      </c>
      <c r="C942" s="4">
        <v>46053</v>
      </c>
      <c r="D942" s="4">
        <v>46060</v>
      </c>
      <c r="E942" s="4">
        <v>46055</v>
      </c>
      <c r="F942" s="63" t="s">
        <v>215</v>
      </c>
      <c r="G942" s="63" t="s">
        <v>3846</v>
      </c>
      <c r="H942" s="63" t="s">
        <v>152</v>
      </c>
      <c r="I942" s="63" t="s">
        <v>61</v>
      </c>
      <c r="J942" s="63" t="s">
        <v>112</v>
      </c>
      <c r="K942" s="63" t="s">
        <v>2905</v>
      </c>
      <c r="L942" s="63" t="s">
        <v>246</v>
      </c>
      <c r="M942" s="69">
        <v>106.48</v>
      </c>
      <c r="N942" s="63" t="s">
        <v>86</v>
      </c>
      <c r="O942" s="73">
        <f>_xlfn.XLOOKUP(Supplier_Perf_Table[[#This Row],[Currency]],'Comments 2'!$C$4:$C$16,'Comments 2'!$D$4:$D$16)</f>
        <v>8.8999999999999996E-2</v>
      </c>
      <c r="P942" s="69">
        <f>IFERROR(Supplier_Perf_Table[[#This Row],[Unit_Cost]]*Supplier_Perf_Table[[#This Row],[Dollar Equivalent]],"")</f>
        <v>9.4767200000000003</v>
      </c>
      <c r="Q942" s="75">
        <v>1000</v>
      </c>
      <c r="R942" s="1">
        <v>106480</v>
      </c>
      <c r="S942" s="75">
        <f>Supplier_Perf_Table[[#This Row],[Unit_Cost]]*Supplier_Perf_Table[[#This Row],[Order_Quantity]]</f>
        <v>106480</v>
      </c>
      <c r="T942" s="75">
        <f>IFERROR(Supplier_Perf_Table[[#This Row],[Dollar Equivalent]]*Supplier_Perf_Table[[#This Row],[Ordered_Value]],"")</f>
        <v>9476.7199999999993</v>
      </c>
      <c r="U942" s="75">
        <v>53</v>
      </c>
      <c r="V942" s="7">
        <v>5.2999999999999999E-2</v>
      </c>
      <c r="W942" s="75">
        <v>2</v>
      </c>
      <c r="X942" s="55">
        <f>IFERROR(Supplier_Perf_Table[[#This Row],[Actual_Delivery_Date]]-Supplier_Perf_Table[[#This Row],[Order Date]],"")</f>
        <v>2</v>
      </c>
      <c r="Y942" s="75">
        <v>7</v>
      </c>
      <c r="Z942" s="56">
        <f>IFERROR(Supplier_Perf_Table[[#This Row],[Expected Delivery_Date]]-Supplier_Perf_Table[[#This Row],[Order Date]],"")</f>
        <v>7</v>
      </c>
      <c r="AA942" s="56">
        <f>Supplier_Perf_Table[[#This Row],[Calculated_Lead_Time2]]-Supplier_Perf_Table[[#This Row],[Calculated_Expected_Lead_Time]]</f>
        <v>-5</v>
      </c>
      <c r="AB942" s="75">
        <v>-5</v>
      </c>
      <c r="AC942" s="63" t="s">
        <v>270</v>
      </c>
      <c r="AD942" s="63" t="s">
        <v>366</v>
      </c>
      <c r="AE942" s="63" t="s">
        <v>105</v>
      </c>
      <c r="AF942" s="63" t="s">
        <v>3088</v>
      </c>
      <c r="AG942" s="63" t="s">
        <v>128</v>
      </c>
      <c r="AH942" s="63" t="s">
        <v>136</v>
      </c>
      <c r="AI942" s="63" t="s">
        <v>138</v>
      </c>
      <c r="AJ942" s="63" t="s">
        <v>373</v>
      </c>
      <c r="AK942" s="83">
        <v>3.1</v>
      </c>
      <c r="AL942" s="63" t="s">
        <v>76</v>
      </c>
      <c r="AM942" s="63" t="s">
        <v>97</v>
      </c>
      <c r="AN942"/>
    </row>
    <row r="943" spans="1:40" ht="18" customHeight="1">
      <c r="A943" s="1" t="s">
        <v>2906</v>
      </c>
      <c r="B943" s="1" t="s">
        <v>2907</v>
      </c>
      <c r="C943" s="4">
        <v>46115</v>
      </c>
      <c r="D943" s="4">
        <v>46130</v>
      </c>
      <c r="E943" s="4">
        <v>46133</v>
      </c>
      <c r="F943" s="63" t="s">
        <v>142</v>
      </c>
      <c r="G943" s="63" t="s">
        <v>3843</v>
      </c>
      <c r="H943" s="63" t="s">
        <v>169</v>
      </c>
      <c r="I943" s="63" t="s">
        <v>34</v>
      </c>
      <c r="J943" s="63" t="s">
        <v>50</v>
      </c>
      <c r="K943" s="63" t="s">
        <v>2908</v>
      </c>
      <c r="L943" s="63" t="s">
        <v>189</v>
      </c>
      <c r="M943" s="69">
        <v>1969.5</v>
      </c>
      <c r="N943" s="63" t="s">
        <v>104</v>
      </c>
      <c r="O943" s="73">
        <f>_xlfn.XLOOKUP(Supplier_Perf_Table[[#This Row],[Currency]],'Comments 2'!$C$4:$C$16,'Comments 2'!$D$4:$D$16)</f>
        <v>1.9E-2</v>
      </c>
      <c r="P943" s="69">
        <f>IFERROR(Supplier_Perf_Table[[#This Row],[Unit_Cost]]*Supplier_Perf_Table[[#This Row],[Dollar Equivalent]],"")</f>
        <v>37.420499999999997</v>
      </c>
      <c r="Q943" s="75">
        <v>300</v>
      </c>
      <c r="R943" s="1">
        <v>590850</v>
      </c>
      <c r="S943" s="75">
        <f>Supplier_Perf_Table[[#This Row],[Unit_Cost]]*Supplier_Perf_Table[[#This Row],[Order_Quantity]]</f>
        <v>590850</v>
      </c>
      <c r="T943" s="75">
        <f>IFERROR(Supplier_Perf_Table[[#This Row],[Dollar Equivalent]]*Supplier_Perf_Table[[#This Row],[Ordered_Value]],"")</f>
        <v>11226.15</v>
      </c>
      <c r="U943" s="75">
        <v>2</v>
      </c>
      <c r="V943" s="7">
        <v>6.7000000000000002E-3</v>
      </c>
      <c r="W943" s="75">
        <v>18</v>
      </c>
      <c r="X943" s="55">
        <f>IFERROR(Supplier_Perf_Table[[#This Row],[Actual_Delivery_Date]]-Supplier_Perf_Table[[#This Row],[Order Date]],"")</f>
        <v>18</v>
      </c>
      <c r="Y943" s="75">
        <v>15</v>
      </c>
      <c r="Z943" s="56">
        <f>IFERROR(Supplier_Perf_Table[[#This Row],[Expected Delivery_Date]]-Supplier_Perf_Table[[#This Row],[Order Date]],"")</f>
        <v>15</v>
      </c>
      <c r="AA943" s="56">
        <f>Supplier_Perf_Table[[#This Row],[Calculated_Lead_Time2]]-Supplier_Perf_Table[[#This Row],[Calculated_Expected_Lead_Time]]</f>
        <v>3</v>
      </c>
      <c r="AB943" s="75">
        <v>3</v>
      </c>
      <c r="AC943" s="63" t="s">
        <v>166</v>
      </c>
      <c r="AD943" s="63" t="s">
        <v>3088</v>
      </c>
      <c r="AE943" s="63" t="s">
        <v>105</v>
      </c>
      <c r="AF943" s="63" t="s">
        <v>212</v>
      </c>
      <c r="AG943" s="63" t="s">
        <v>173</v>
      </c>
      <c r="AH943" s="63" t="s">
        <v>55</v>
      </c>
      <c r="AI943" s="63" t="s">
        <v>138</v>
      </c>
      <c r="AJ943" s="63" t="s">
        <v>138</v>
      </c>
      <c r="AK943" s="83">
        <v>2.9</v>
      </c>
      <c r="AL943" s="63" t="s">
        <v>115</v>
      </c>
      <c r="AM943" s="63" t="s">
        <v>46</v>
      </c>
      <c r="AN943"/>
    </row>
    <row r="944" spans="1:40" ht="18" customHeight="1">
      <c r="A944" s="1" t="s">
        <v>2909</v>
      </c>
      <c r="B944" s="1" t="s">
        <v>2910</v>
      </c>
      <c r="C944" s="4">
        <v>46106</v>
      </c>
      <c r="D944" s="4">
        <v>46118</v>
      </c>
      <c r="E944" s="4">
        <v>46128</v>
      </c>
      <c r="F944" s="63" t="s">
        <v>256</v>
      </c>
      <c r="G944" s="63" t="s">
        <v>3849</v>
      </c>
      <c r="H944" s="63" t="s">
        <v>258</v>
      </c>
      <c r="I944" s="63" t="s">
        <v>70</v>
      </c>
      <c r="J944" s="63" t="s">
        <v>153</v>
      </c>
      <c r="K944" s="63" t="s">
        <v>2838</v>
      </c>
      <c r="L944" s="63" t="s">
        <v>204</v>
      </c>
      <c r="M944" s="69">
        <v>410.42</v>
      </c>
      <c r="N944" s="63" t="s">
        <v>159</v>
      </c>
      <c r="O944" s="73">
        <f>_xlfn.XLOOKUP(Supplier_Perf_Table[[#This Row],[Currency]],'Comments 2'!$C$4:$C$16,'Comments 2'!$D$4:$D$16)</f>
        <v>7.2999999999999996E-4</v>
      </c>
      <c r="P944" s="69">
        <f>IFERROR(Supplier_Perf_Table[[#This Row],[Unit_Cost]]*Supplier_Perf_Table[[#This Row],[Dollar Equivalent]],"")</f>
        <v>0.2996066</v>
      </c>
      <c r="Q944" s="75">
        <v>75</v>
      </c>
      <c r="R944" s="1">
        <v>30781.5</v>
      </c>
      <c r="S944" s="75">
        <f>Supplier_Perf_Table[[#This Row],[Unit_Cost]]*Supplier_Perf_Table[[#This Row],[Order_Quantity]]</f>
        <v>30781.5</v>
      </c>
      <c r="T944" s="75">
        <f>IFERROR(Supplier_Perf_Table[[#This Row],[Dollar Equivalent]]*Supplier_Perf_Table[[#This Row],[Ordered_Value]],"")</f>
        <v>22.470495</v>
      </c>
      <c r="U944" s="75">
        <v>0</v>
      </c>
      <c r="V944" s="7">
        <v>0</v>
      </c>
      <c r="W944" s="75">
        <v>22</v>
      </c>
      <c r="X944" s="55">
        <f>IFERROR(Supplier_Perf_Table[[#This Row],[Actual_Delivery_Date]]-Supplier_Perf_Table[[#This Row],[Order Date]],"")</f>
        <v>22</v>
      </c>
      <c r="Y944" s="75">
        <v>12</v>
      </c>
      <c r="Z944" s="56">
        <f>IFERROR(Supplier_Perf_Table[[#This Row],[Expected Delivery_Date]]-Supplier_Perf_Table[[#This Row],[Order Date]],"")</f>
        <v>12</v>
      </c>
      <c r="AA944" s="56">
        <f>Supplier_Perf_Table[[#This Row],[Calculated_Lead_Time2]]-Supplier_Perf_Table[[#This Row],[Calculated_Expected_Lead_Time]]</f>
        <v>10</v>
      </c>
      <c r="AB944" s="75">
        <v>10</v>
      </c>
      <c r="AC944" s="63" t="s">
        <v>205</v>
      </c>
      <c r="AD944" s="63" t="s">
        <v>404</v>
      </c>
      <c r="AE944" s="63" t="s">
        <v>105</v>
      </c>
      <c r="AF944" s="63" t="s">
        <v>212</v>
      </c>
      <c r="AG944" s="63" t="s">
        <v>54</v>
      </c>
      <c r="AH944" s="63" t="s">
        <v>174</v>
      </c>
      <c r="AI944" s="63" t="s">
        <v>191</v>
      </c>
      <c r="AJ944" s="63" t="s">
        <v>138</v>
      </c>
      <c r="AK944" s="83">
        <v>2.6</v>
      </c>
      <c r="AL944" s="63" t="s">
        <v>76</v>
      </c>
      <c r="AM944" s="63" t="s">
        <v>46</v>
      </c>
      <c r="AN944"/>
    </row>
    <row r="945" spans="1:40" ht="18" customHeight="1">
      <c r="A945" s="1" t="s">
        <v>2911</v>
      </c>
      <c r="B945" s="1" t="s">
        <v>2912</v>
      </c>
      <c r="C945" s="4">
        <v>46182</v>
      </c>
      <c r="D945" s="4">
        <v>46199</v>
      </c>
      <c r="E945" s="4">
        <v>46201</v>
      </c>
      <c r="F945" s="63" t="s">
        <v>235</v>
      </c>
      <c r="G945" s="63" t="s">
        <v>3848</v>
      </c>
      <c r="H945" s="63" t="s">
        <v>479</v>
      </c>
      <c r="I945" s="63" t="s">
        <v>178</v>
      </c>
      <c r="J945" s="63" t="s">
        <v>71</v>
      </c>
      <c r="K945" s="63" t="s">
        <v>2913</v>
      </c>
      <c r="L945" s="63" t="s">
        <v>238</v>
      </c>
      <c r="M945" s="69">
        <v>730.18</v>
      </c>
      <c r="N945" s="63" t="s">
        <v>53</v>
      </c>
      <c r="O945" s="73">
        <f>_xlfn.XLOOKUP(Supplier_Perf_Table[[#This Row],[Currency]],'Comments 2'!$C$4:$C$16,'Comments 2'!$D$4:$D$16)</f>
        <v>6.0999999999999999E-2</v>
      </c>
      <c r="P945" s="69">
        <f>IFERROR(Supplier_Perf_Table[[#This Row],[Unit_Cost]]*Supplier_Perf_Table[[#This Row],[Dollar Equivalent]],"")</f>
        <v>44.540979999999998</v>
      </c>
      <c r="Q945" s="75">
        <v>1500</v>
      </c>
      <c r="R945" s="1">
        <v>1095270</v>
      </c>
      <c r="S945" s="75">
        <f>Supplier_Perf_Table[[#This Row],[Unit_Cost]]*Supplier_Perf_Table[[#This Row],[Order_Quantity]]</f>
        <v>1095270</v>
      </c>
      <c r="T945" s="75">
        <f>IFERROR(Supplier_Perf_Table[[#This Row],[Dollar Equivalent]]*Supplier_Perf_Table[[#This Row],[Ordered_Value]],"")</f>
        <v>66811.47</v>
      </c>
      <c r="U945" s="75">
        <v>25</v>
      </c>
      <c r="V945" s="7">
        <v>1.67E-2</v>
      </c>
      <c r="W945" s="75">
        <v>19</v>
      </c>
      <c r="X945" s="55">
        <f>IFERROR(Supplier_Perf_Table[[#This Row],[Actual_Delivery_Date]]-Supplier_Perf_Table[[#This Row],[Order Date]],"")</f>
        <v>19</v>
      </c>
      <c r="Y945" s="75">
        <v>17</v>
      </c>
      <c r="Z945" s="56">
        <f>IFERROR(Supplier_Perf_Table[[#This Row],[Expected Delivery_Date]]-Supplier_Perf_Table[[#This Row],[Order Date]],"")</f>
        <v>17</v>
      </c>
      <c r="AA945" s="56">
        <f>Supplier_Perf_Table[[#This Row],[Calculated_Lead_Time2]]-Supplier_Perf_Table[[#This Row],[Calculated_Expected_Lead_Time]]</f>
        <v>2</v>
      </c>
      <c r="AB945" s="75">
        <v>2</v>
      </c>
      <c r="AC945" s="63" t="s">
        <v>135</v>
      </c>
      <c r="AD945" s="63" t="s">
        <v>40</v>
      </c>
      <c r="AE945" s="63" t="s">
        <v>3088</v>
      </c>
      <c r="AF945" s="63" t="s">
        <v>3088</v>
      </c>
      <c r="AG945" s="63" t="s">
        <v>3088</v>
      </c>
      <c r="AH945" s="63" t="s">
        <v>206</v>
      </c>
      <c r="AI945" s="63" t="s">
        <v>137</v>
      </c>
      <c r="AJ945" s="63" t="s">
        <v>138</v>
      </c>
      <c r="AK945" s="83">
        <v>3.4</v>
      </c>
      <c r="AL945" s="63" t="s">
        <v>108</v>
      </c>
      <c r="AM945" s="63" t="s">
        <v>148</v>
      </c>
      <c r="AN945"/>
    </row>
    <row r="946" spans="1:40" ht="18" customHeight="1">
      <c r="A946" s="1" t="s">
        <v>2914</v>
      </c>
      <c r="B946" s="1" t="s">
        <v>2915</v>
      </c>
      <c r="C946" s="4">
        <v>46083</v>
      </c>
      <c r="D946" s="4">
        <v>46102</v>
      </c>
      <c r="E946" s="4">
        <v>46102</v>
      </c>
      <c r="F946" s="63" t="s">
        <v>32</v>
      </c>
      <c r="G946" s="63" t="s">
        <v>3835</v>
      </c>
      <c r="H946" s="63" t="s">
        <v>177</v>
      </c>
      <c r="I946" s="63" t="s">
        <v>49</v>
      </c>
      <c r="J946" s="63" t="s">
        <v>35</v>
      </c>
      <c r="K946" s="63" t="s">
        <v>2916</v>
      </c>
      <c r="L946" s="63" t="s">
        <v>85</v>
      </c>
      <c r="M946" s="69">
        <v>1317.68</v>
      </c>
      <c r="N946" s="63" t="s">
        <v>3077</v>
      </c>
      <c r="O946" s="73">
        <f>_xlfn.XLOOKUP(Supplier_Perf_Table[[#This Row],[Currency]],'Comments 2'!$C$4:$C$16,'Comments 2'!$D$4:$D$16)</f>
        <v>3.8999999999999999E-4</v>
      </c>
      <c r="P946" s="69">
        <f>IFERROR(Supplier_Perf_Table[[#This Row],[Unit_Cost]]*Supplier_Perf_Table[[#This Row],[Dollar Equivalent]],"")</f>
        <v>0.5138952</v>
      </c>
      <c r="Q946" s="75">
        <v>150</v>
      </c>
      <c r="R946" s="1">
        <v>197652</v>
      </c>
      <c r="S946" s="75">
        <f>Supplier_Perf_Table[[#This Row],[Unit_Cost]]*Supplier_Perf_Table[[#This Row],[Order_Quantity]]</f>
        <v>197652</v>
      </c>
      <c r="T946" s="75">
        <f>IFERROR(Supplier_Perf_Table[[#This Row],[Dollar Equivalent]]*Supplier_Perf_Table[[#This Row],[Ordered_Value]],"")</f>
        <v>77.084279999999993</v>
      </c>
      <c r="U946" s="75">
        <v>1</v>
      </c>
      <c r="V946" s="7">
        <v>6.7000000000000002E-3</v>
      </c>
      <c r="W946" s="75">
        <v>19</v>
      </c>
      <c r="X946" s="55">
        <f>IFERROR(Supplier_Perf_Table[[#This Row],[Actual_Delivery_Date]]-Supplier_Perf_Table[[#This Row],[Order Date]],"")</f>
        <v>19</v>
      </c>
      <c r="Y946" s="75">
        <v>19</v>
      </c>
      <c r="Z946" s="56">
        <f>IFERROR(Supplier_Perf_Table[[#This Row],[Expected Delivery_Date]]-Supplier_Perf_Table[[#This Row],[Order Date]],"")</f>
        <v>19</v>
      </c>
      <c r="AA946" s="56">
        <f>Supplier_Perf_Table[[#This Row],[Calculated_Lead_Time2]]-Supplier_Perf_Table[[#This Row],[Calculated_Expected_Lead_Time]]</f>
        <v>0</v>
      </c>
      <c r="AB946" s="75">
        <v>0</v>
      </c>
      <c r="AC946" s="63" t="s">
        <v>270</v>
      </c>
      <c r="AD946" s="63" t="s">
        <v>40</v>
      </c>
      <c r="AE946" s="63" t="s">
        <v>41</v>
      </c>
      <c r="AF946" s="63" t="s">
        <v>42</v>
      </c>
      <c r="AG946" s="63" t="s">
        <v>128</v>
      </c>
      <c r="AH946" s="63" t="s">
        <v>129</v>
      </c>
      <c r="AI946" s="63" t="s">
        <v>95</v>
      </c>
      <c r="AJ946" s="63" t="s">
        <v>138</v>
      </c>
      <c r="AK946" s="83">
        <v>3.6</v>
      </c>
      <c r="AL946" s="63" t="s">
        <v>76</v>
      </c>
      <c r="AM946" s="63" t="s">
        <v>138</v>
      </c>
      <c r="AN946"/>
    </row>
    <row r="947" spans="1:40" ht="18" customHeight="1">
      <c r="A947" s="1" t="s">
        <v>2917</v>
      </c>
      <c r="B947" s="1" t="s">
        <v>2918</v>
      </c>
      <c r="C947" s="4">
        <v>46175</v>
      </c>
      <c r="D947" s="4">
        <v>46181</v>
      </c>
      <c r="E947" s="4">
        <v>46192</v>
      </c>
      <c r="F947" s="63" t="s">
        <v>215</v>
      </c>
      <c r="G947" s="63" t="s">
        <v>3846</v>
      </c>
      <c r="H947" s="63" t="s">
        <v>152</v>
      </c>
      <c r="I947" s="63" t="s">
        <v>178</v>
      </c>
      <c r="J947" s="63" t="s">
        <v>112</v>
      </c>
      <c r="K947" s="63" t="s">
        <v>2919</v>
      </c>
      <c r="L947" s="63" t="s">
        <v>218</v>
      </c>
      <c r="M947" s="69">
        <v>633.19000000000005</v>
      </c>
      <c r="N947" s="63" t="s">
        <v>65</v>
      </c>
      <c r="O947" s="73">
        <f>_xlfn.XLOOKUP(Supplier_Perf_Table[[#This Row],[Currency]],'Comments 2'!$C$4:$C$16,'Comments 2'!$D$4:$D$16)</f>
        <v>1</v>
      </c>
      <c r="P947" s="69">
        <f>IFERROR(Supplier_Perf_Table[[#This Row],[Unit_Cost]]*Supplier_Perf_Table[[#This Row],[Dollar Equivalent]],"")</f>
        <v>633.19000000000005</v>
      </c>
      <c r="Q947" s="75">
        <v>250</v>
      </c>
      <c r="R947" s="1">
        <v>158297.5</v>
      </c>
      <c r="S947" s="75">
        <f>Supplier_Perf_Table[[#This Row],[Unit_Cost]]*Supplier_Perf_Table[[#This Row],[Order_Quantity]]</f>
        <v>158297.5</v>
      </c>
      <c r="T947" s="75">
        <f>IFERROR(Supplier_Perf_Table[[#This Row],[Dollar Equivalent]]*Supplier_Perf_Table[[#This Row],[Ordered_Value]],"")</f>
        <v>158297.5</v>
      </c>
      <c r="U947" s="75">
        <v>4</v>
      </c>
      <c r="V947" s="7">
        <v>1.6E-2</v>
      </c>
      <c r="W947" s="75">
        <v>17</v>
      </c>
      <c r="X947" s="55">
        <f>IFERROR(Supplier_Perf_Table[[#This Row],[Actual_Delivery_Date]]-Supplier_Perf_Table[[#This Row],[Order Date]],"")</f>
        <v>17</v>
      </c>
      <c r="Y947" s="75">
        <v>6</v>
      </c>
      <c r="Z947" s="56">
        <f>IFERROR(Supplier_Perf_Table[[#This Row],[Expected Delivery_Date]]-Supplier_Perf_Table[[#This Row],[Order Date]],"")</f>
        <v>6</v>
      </c>
      <c r="AA947" s="56">
        <f>Supplier_Perf_Table[[#This Row],[Calculated_Lead_Time2]]-Supplier_Perf_Table[[#This Row],[Calculated_Expected_Lead_Time]]</f>
        <v>11</v>
      </c>
      <c r="AB947" s="75">
        <v>11</v>
      </c>
      <c r="AC947" s="63" t="s">
        <v>135</v>
      </c>
      <c r="AD947" s="63" t="s">
        <v>40</v>
      </c>
      <c r="AE947" s="63" t="s">
        <v>105</v>
      </c>
      <c r="AF947" s="63" t="s">
        <v>66</v>
      </c>
      <c r="AG947" s="63" t="s">
        <v>107</v>
      </c>
      <c r="AH947" s="63" t="s">
        <v>88</v>
      </c>
      <c r="AI947" s="63" t="s">
        <v>138</v>
      </c>
      <c r="AJ947" s="63" t="s">
        <v>138</v>
      </c>
      <c r="AK947" s="83">
        <v>1.8</v>
      </c>
      <c r="AL947" s="63" t="s">
        <v>184</v>
      </c>
      <c r="AM947" s="63" t="s">
        <v>46</v>
      </c>
      <c r="AN947"/>
    </row>
    <row r="948" spans="1:40" ht="18" customHeight="1">
      <c r="A948" s="1" t="s">
        <v>2920</v>
      </c>
      <c r="B948" s="1" t="s">
        <v>2921</v>
      </c>
      <c r="C948" s="4">
        <v>46084</v>
      </c>
      <c r="D948" s="4">
        <v>46101</v>
      </c>
      <c r="E948" s="4">
        <v>46109</v>
      </c>
      <c r="F948" s="63" t="s">
        <v>48</v>
      </c>
      <c r="G948" s="63" t="s">
        <v>3836</v>
      </c>
      <c r="H948" s="63" t="s">
        <v>102</v>
      </c>
      <c r="I948" s="63" t="s">
        <v>83</v>
      </c>
      <c r="J948" s="63" t="s">
        <v>50</v>
      </c>
      <c r="K948" s="63" t="s">
        <v>2922</v>
      </c>
      <c r="L948" s="63" t="s">
        <v>52</v>
      </c>
      <c r="M948" s="69">
        <v>1456.78</v>
      </c>
      <c r="N948" s="63" t="s">
        <v>65</v>
      </c>
      <c r="O948" s="73">
        <f>_xlfn.XLOOKUP(Supplier_Perf_Table[[#This Row],[Currency]],'Comments 2'!$C$4:$C$16,'Comments 2'!$D$4:$D$16)</f>
        <v>1</v>
      </c>
      <c r="P948" s="69">
        <f>IFERROR(Supplier_Perf_Table[[#This Row],[Unit_Cost]]*Supplier_Perf_Table[[#This Row],[Dollar Equivalent]],"")</f>
        <v>1456.78</v>
      </c>
      <c r="Q948" s="75">
        <v>50</v>
      </c>
      <c r="R948" s="1" t="s">
        <v>3080</v>
      </c>
      <c r="S948" s="75">
        <f>Supplier_Perf_Table[[#This Row],[Unit_Cost]]*Supplier_Perf_Table[[#This Row],[Order_Quantity]]</f>
        <v>72839</v>
      </c>
      <c r="T948" s="75" t="str">
        <f>IFERROR(Supplier_Perf_Table[[#This Row],[Dollar Equivalent]]*Supplier_Perf_Table[[#This Row],[Ordered_Value]],"")</f>
        <v/>
      </c>
      <c r="U948" s="75">
        <v>0</v>
      </c>
      <c r="V948" s="7">
        <v>0</v>
      </c>
      <c r="W948" s="75">
        <v>25</v>
      </c>
      <c r="X948" s="55">
        <f>IFERROR(Supplier_Perf_Table[[#This Row],[Actual_Delivery_Date]]-Supplier_Perf_Table[[#This Row],[Order Date]],"")</f>
        <v>25</v>
      </c>
      <c r="Y948" s="75">
        <v>17</v>
      </c>
      <c r="Z948" s="56">
        <f>IFERROR(Supplier_Perf_Table[[#This Row],[Expected Delivery_Date]]-Supplier_Perf_Table[[#This Row],[Order Date]],"")</f>
        <v>17</v>
      </c>
      <c r="AA948" s="56">
        <f>Supplier_Perf_Table[[#This Row],[Calculated_Lead_Time2]]-Supplier_Perf_Table[[#This Row],[Calculated_Expected_Lead_Time]]</f>
        <v>8</v>
      </c>
      <c r="AB948" s="75">
        <v>8</v>
      </c>
      <c r="AC948" s="63" t="s">
        <v>39</v>
      </c>
      <c r="AD948" s="63" t="s">
        <v>40</v>
      </c>
      <c r="AE948" s="63" t="s">
        <v>105</v>
      </c>
      <c r="AF948" s="63" t="s">
        <v>106</v>
      </c>
      <c r="AG948" s="63" t="s">
        <v>3088</v>
      </c>
      <c r="AH948" s="63" t="s">
        <v>136</v>
      </c>
      <c r="AI948" s="63" t="s">
        <v>56</v>
      </c>
      <c r="AJ948" s="63" t="s">
        <v>138</v>
      </c>
      <c r="AK948" s="83">
        <v>2.8</v>
      </c>
      <c r="AL948" s="63" t="s">
        <v>57</v>
      </c>
      <c r="AM948" s="63" t="s">
        <v>46</v>
      </c>
      <c r="AN948"/>
    </row>
    <row r="949" spans="1:40" ht="18" customHeight="1">
      <c r="A949" s="1" t="s">
        <v>2923</v>
      </c>
      <c r="B949" s="1" t="s">
        <v>2924</v>
      </c>
      <c r="C949" s="4">
        <v>46175</v>
      </c>
      <c r="D949" s="4">
        <v>46196</v>
      </c>
      <c r="E949" s="4">
        <v>46193</v>
      </c>
      <c r="F949" s="63" t="s">
        <v>32</v>
      </c>
      <c r="G949" s="63" t="s">
        <v>3835</v>
      </c>
      <c r="H949" s="63" t="s">
        <v>177</v>
      </c>
      <c r="I949" s="63" t="s">
        <v>120</v>
      </c>
      <c r="J949" s="63" t="s">
        <v>35</v>
      </c>
      <c r="K949" s="63" t="s">
        <v>594</v>
      </c>
      <c r="L949" s="63" t="s">
        <v>37</v>
      </c>
      <c r="M949" s="69">
        <v>225.51</v>
      </c>
      <c r="N949" s="63" t="s">
        <v>38</v>
      </c>
      <c r="O949" s="73">
        <f>_xlfn.XLOOKUP(Supplier_Perf_Table[[#This Row],[Currency]],'Comments 2'!$C$4:$C$16,'Comments 2'!$D$4:$D$16)</f>
        <v>7.7000000000000002E-3</v>
      </c>
      <c r="P949" s="69">
        <f>IFERROR(Supplier_Perf_Table[[#This Row],[Unit_Cost]]*Supplier_Perf_Table[[#This Row],[Dollar Equivalent]],"")</f>
        <v>1.7364269999999999</v>
      </c>
      <c r="Q949" s="75">
        <v>750</v>
      </c>
      <c r="R949" s="1">
        <v>169132.5</v>
      </c>
      <c r="S949" s="75">
        <f>Supplier_Perf_Table[[#This Row],[Unit_Cost]]*Supplier_Perf_Table[[#This Row],[Order_Quantity]]</f>
        <v>169132.5</v>
      </c>
      <c r="T949" s="75">
        <f>IFERROR(Supplier_Perf_Table[[#This Row],[Dollar Equivalent]]*Supplier_Perf_Table[[#This Row],[Ordered_Value]],"")</f>
        <v>1302.32025</v>
      </c>
      <c r="U949" s="75">
        <v>38</v>
      </c>
      <c r="V949" s="7">
        <v>5.0700000000000002E-2</v>
      </c>
      <c r="W949" s="75">
        <v>18</v>
      </c>
      <c r="X949" s="55">
        <f>IFERROR(Supplier_Perf_Table[[#This Row],[Actual_Delivery_Date]]-Supplier_Perf_Table[[#This Row],[Order Date]],"")</f>
        <v>18</v>
      </c>
      <c r="Y949" s="75">
        <v>21</v>
      </c>
      <c r="Z949" s="56">
        <f>IFERROR(Supplier_Perf_Table[[#This Row],[Expected Delivery_Date]]-Supplier_Perf_Table[[#This Row],[Order Date]],"")</f>
        <v>21</v>
      </c>
      <c r="AA949" s="56">
        <f>Supplier_Perf_Table[[#This Row],[Calculated_Lead_Time2]]-Supplier_Perf_Table[[#This Row],[Calculated_Expected_Lead_Time]]</f>
        <v>-3</v>
      </c>
      <c r="AB949" s="75">
        <v>-3</v>
      </c>
      <c r="AC949" s="63" t="s">
        <v>87</v>
      </c>
      <c r="AD949" s="63" t="s">
        <v>420</v>
      </c>
      <c r="AE949" s="63" t="s">
        <v>3088</v>
      </c>
      <c r="AF949" s="63" t="s">
        <v>3088</v>
      </c>
      <c r="AG949" s="63" t="s">
        <v>173</v>
      </c>
      <c r="AH949" s="63" t="s">
        <v>129</v>
      </c>
      <c r="AI949" s="63" t="s">
        <v>191</v>
      </c>
      <c r="AJ949" s="63" t="s">
        <v>283</v>
      </c>
      <c r="AK949" s="83">
        <v>2.1</v>
      </c>
      <c r="AL949" s="63" t="s">
        <v>76</v>
      </c>
      <c r="AM949" s="63" t="s">
        <v>284</v>
      </c>
      <c r="AN949"/>
    </row>
    <row r="950" spans="1:40" ht="18" customHeight="1">
      <c r="A950" s="1" t="s">
        <v>2925</v>
      </c>
      <c r="B950" s="1" t="s">
        <v>2926</v>
      </c>
      <c r="C950" s="4">
        <v>46166</v>
      </c>
      <c r="D950" s="4">
        <v>46179</v>
      </c>
      <c r="E950" s="4">
        <v>46180</v>
      </c>
      <c r="F950" s="63" t="s">
        <v>80</v>
      </c>
      <c r="G950" s="63" t="s">
        <v>3839</v>
      </c>
      <c r="H950" s="63" t="s">
        <v>82</v>
      </c>
      <c r="I950" s="63" t="s">
        <v>61</v>
      </c>
      <c r="J950" s="63" t="s">
        <v>35</v>
      </c>
      <c r="K950" s="63" t="s">
        <v>2927</v>
      </c>
      <c r="L950" s="63" t="s">
        <v>37</v>
      </c>
      <c r="M950" s="69">
        <v>2040.06</v>
      </c>
      <c r="N950" s="63" t="s">
        <v>104</v>
      </c>
      <c r="O950" s="73">
        <f>_xlfn.XLOOKUP(Supplier_Perf_Table[[#This Row],[Currency]],'Comments 2'!$C$4:$C$16,'Comments 2'!$D$4:$D$16)</f>
        <v>1.9E-2</v>
      </c>
      <c r="P950" s="69">
        <f>IFERROR(Supplier_Perf_Table[[#This Row],[Unit_Cost]]*Supplier_Perf_Table[[#This Row],[Dollar Equivalent]],"")</f>
        <v>38.761139999999997</v>
      </c>
      <c r="Q950" s="75">
        <v>2000</v>
      </c>
      <c r="R950" s="1">
        <v>4080120</v>
      </c>
      <c r="S950" s="75">
        <f>Supplier_Perf_Table[[#This Row],[Unit_Cost]]*Supplier_Perf_Table[[#This Row],[Order_Quantity]]</f>
        <v>4080120</v>
      </c>
      <c r="T950" s="75">
        <f>IFERROR(Supplier_Perf_Table[[#This Row],[Dollar Equivalent]]*Supplier_Perf_Table[[#This Row],[Ordered_Value]],"")</f>
        <v>77522.28</v>
      </c>
      <c r="U950" s="75">
        <v>55</v>
      </c>
      <c r="V950" s="7">
        <v>2.75E-2</v>
      </c>
      <c r="W950" s="75">
        <v>14</v>
      </c>
      <c r="X950" s="55">
        <f>IFERROR(Supplier_Perf_Table[[#This Row],[Actual_Delivery_Date]]-Supplier_Perf_Table[[#This Row],[Order Date]],"")</f>
        <v>14</v>
      </c>
      <c r="Y950" s="75">
        <v>13</v>
      </c>
      <c r="Z950" s="56">
        <f>IFERROR(Supplier_Perf_Table[[#This Row],[Expected Delivery_Date]]-Supplier_Perf_Table[[#This Row],[Order Date]],"")</f>
        <v>13</v>
      </c>
      <c r="AA950" s="56">
        <f>Supplier_Perf_Table[[#This Row],[Calculated_Lead_Time2]]-Supplier_Perf_Table[[#This Row],[Calculated_Expected_Lead_Time]]</f>
        <v>1</v>
      </c>
      <c r="AB950" s="75">
        <v>1</v>
      </c>
      <c r="AC950" s="63" t="s">
        <v>135</v>
      </c>
      <c r="AD950" s="63" t="s">
        <v>40</v>
      </c>
      <c r="AE950" s="63" t="s">
        <v>105</v>
      </c>
      <c r="AF950" s="63" t="s">
        <v>66</v>
      </c>
      <c r="AG950" s="63" t="s">
        <v>173</v>
      </c>
      <c r="AH950" s="63" t="s">
        <v>3112</v>
      </c>
      <c r="AI950" s="63" t="s">
        <v>56</v>
      </c>
      <c r="AJ950" s="63" t="s">
        <v>138</v>
      </c>
      <c r="AK950" s="83">
        <v>3.4</v>
      </c>
      <c r="AL950" s="63" t="s">
        <v>76</v>
      </c>
      <c r="AM950" s="63" t="s">
        <v>46</v>
      </c>
      <c r="AN950"/>
    </row>
    <row r="951" spans="1:40" ht="18" customHeight="1">
      <c r="A951" s="1" t="s">
        <v>2928</v>
      </c>
      <c r="B951" s="1" t="s">
        <v>2929</v>
      </c>
      <c r="C951" s="4">
        <v>46110</v>
      </c>
      <c r="D951" s="4">
        <v>46120</v>
      </c>
      <c r="E951" s="4">
        <v>46120</v>
      </c>
      <c r="F951" s="63" t="s">
        <v>80</v>
      </c>
      <c r="G951" s="63" t="s">
        <v>3839</v>
      </c>
      <c r="H951" s="63" t="s">
        <v>82</v>
      </c>
      <c r="I951" s="63" t="s">
        <v>178</v>
      </c>
      <c r="J951" s="63" t="s">
        <v>35</v>
      </c>
      <c r="K951" s="63" t="s">
        <v>540</v>
      </c>
      <c r="L951" s="63" t="s">
        <v>200</v>
      </c>
      <c r="M951" s="69">
        <v>1676.62</v>
      </c>
      <c r="N951" s="63" t="s">
        <v>65</v>
      </c>
      <c r="O951" s="73">
        <f>_xlfn.XLOOKUP(Supplier_Perf_Table[[#This Row],[Currency]],'Comments 2'!$C$4:$C$16,'Comments 2'!$D$4:$D$16)</f>
        <v>1</v>
      </c>
      <c r="P951" s="69">
        <f>IFERROR(Supplier_Perf_Table[[#This Row],[Unit_Cost]]*Supplier_Perf_Table[[#This Row],[Dollar Equivalent]],"")</f>
        <v>1676.62</v>
      </c>
      <c r="Q951" s="75" t="s">
        <v>3080</v>
      </c>
      <c r="R951" s="1">
        <v>502986</v>
      </c>
      <c r="S951" s="75" t="e">
        <f>Supplier_Perf_Table[[#This Row],[Unit_Cost]]*Supplier_Perf_Table[[#This Row],[Order_Quantity]]</f>
        <v>#VALUE!</v>
      </c>
      <c r="T951" s="75">
        <f>IFERROR(Supplier_Perf_Table[[#This Row],[Dollar Equivalent]]*Supplier_Perf_Table[[#This Row],[Ordered_Value]],"")</f>
        <v>502986</v>
      </c>
      <c r="U951" s="75">
        <v>16</v>
      </c>
      <c r="V951" s="7">
        <v>5.33E-2</v>
      </c>
      <c r="W951" s="75">
        <v>10</v>
      </c>
      <c r="X951" s="55">
        <f>IFERROR(Supplier_Perf_Table[[#This Row],[Actual_Delivery_Date]]-Supplier_Perf_Table[[#This Row],[Order Date]],"")</f>
        <v>10</v>
      </c>
      <c r="Y951" s="75">
        <v>10</v>
      </c>
      <c r="Z951" s="56">
        <f>IFERROR(Supplier_Perf_Table[[#This Row],[Expected Delivery_Date]]-Supplier_Perf_Table[[#This Row],[Order Date]],"")</f>
        <v>10</v>
      </c>
      <c r="AA951" s="56">
        <f>Supplier_Perf_Table[[#This Row],[Calculated_Lead_Time2]]-Supplier_Perf_Table[[#This Row],[Calculated_Expected_Lead_Time]]</f>
        <v>0</v>
      </c>
      <c r="AB951" s="75">
        <v>0</v>
      </c>
      <c r="AC951" s="63" t="s">
        <v>87</v>
      </c>
      <c r="AD951" s="63" t="s">
        <v>74</v>
      </c>
      <c r="AE951" s="63" t="s">
        <v>105</v>
      </c>
      <c r="AF951" s="63" t="s">
        <v>106</v>
      </c>
      <c r="AG951" s="63" t="s">
        <v>107</v>
      </c>
      <c r="AH951" s="63" t="s">
        <v>129</v>
      </c>
      <c r="AI951" s="63" t="s">
        <v>95</v>
      </c>
      <c r="AJ951" s="63" t="s">
        <v>75</v>
      </c>
      <c r="AK951" s="83">
        <v>3.1</v>
      </c>
      <c r="AL951" s="63" t="s">
        <v>76</v>
      </c>
      <c r="AM951" s="63" t="s">
        <v>97</v>
      </c>
      <c r="AN951"/>
    </row>
    <row r="952" spans="1:40" ht="18" customHeight="1">
      <c r="A952" s="1" t="s">
        <v>2930</v>
      </c>
      <c r="B952" s="1" t="s">
        <v>2931</v>
      </c>
      <c r="C952" s="4">
        <v>46194</v>
      </c>
      <c r="D952" s="4">
        <v>46204</v>
      </c>
      <c r="E952" s="4">
        <v>46210</v>
      </c>
      <c r="F952" s="63" t="s">
        <v>80</v>
      </c>
      <c r="G952" s="63" t="s">
        <v>3839</v>
      </c>
      <c r="H952" s="63" t="s">
        <v>82</v>
      </c>
      <c r="I952" s="63" t="s">
        <v>34</v>
      </c>
      <c r="J952" s="63" t="s">
        <v>35</v>
      </c>
      <c r="K952" s="63" t="s">
        <v>2932</v>
      </c>
      <c r="L952" s="63" t="s">
        <v>85</v>
      </c>
      <c r="M952" s="69">
        <v>2506.5300000000002</v>
      </c>
      <c r="N952" s="63" t="s">
        <v>104</v>
      </c>
      <c r="O952" s="73">
        <f>_xlfn.XLOOKUP(Supplier_Perf_Table[[#This Row],[Currency]],'Comments 2'!$C$4:$C$16,'Comments 2'!$D$4:$D$16)</f>
        <v>1.9E-2</v>
      </c>
      <c r="P952" s="69">
        <f>IFERROR(Supplier_Perf_Table[[#This Row],[Unit_Cost]]*Supplier_Perf_Table[[#This Row],[Dollar Equivalent]],"")</f>
        <v>47.624070000000003</v>
      </c>
      <c r="Q952" s="75">
        <v>750</v>
      </c>
      <c r="R952" s="1">
        <v>1879897.5</v>
      </c>
      <c r="S952" s="75">
        <f>Supplier_Perf_Table[[#This Row],[Unit_Cost]]*Supplier_Perf_Table[[#This Row],[Order_Quantity]]</f>
        <v>1879897.5000000002</v>
      </c>
      <c r="T952" s="75">
        <f>IFERROR(Supplier_Perf_Table[[#This Row],[Dollar Equivalent]]*Supplier_Perf_Table[[#This Row],[Ordered_Value]],"")</f>
        <v>35718.052499999998</v>
      </c>
      <c r="U952" s="75">
        <v>13</v>
      </c>
      <c r="V952" s="7">
        <v>1.7299999999999999E-2</v>
      </c>
      <c r="W952" s="75">
        <v>16</v>
      </c>
      <c r="X952" s="55">
        <f>IFERROR(Supplier_Perf_Table[[#This Row],[Actual_Delivery_Date]]-Supplier_Perf_Table[[#This Row],[Order Date]],"")</f>
        <v>16</v>
      </c>
      <c r="Y952" s="75">
        <v>10</v>
      </c>
      <c r="Z952" s="56">
        <f>IFERROR(Supplier_Perf_Table[[#This Row],[Expected Delivery_Date]]-Supplier_Perf_Table[[#This Row],[Order Date]],"")</f>
        <v>10</v>
      </c>
      <c r="AA952" s="56">
        <f>Supplier_Perf_Table[[#This Row],[Calculated_Lead_Time2]]-Supplier_Perf_Table[[#This Row],[Calculated_Expected_Lead_Time]]</f>
        <v>6</v>
      </c>
      <c r="AB952" s="75">
        <v>6</v>
      </c>
      <c r="AC952" s="63" t="s">
        <v>205</v>
      </c>
      <c r="AD952" s="63" t="s">
        <v>40</v>
      </c>
      <c r="AE952" s="63" t="s">
        <v>105</v>
      </c>
      <c r="AF952" s="63" t="s">
        <v>106</v>
      </c>
      <c r="AG952" s="63" t="s">
        <v>128</v>
      </c>
      <c r="AH952" s="63" t="s">
        <v>88</v>
      </c>
      <c r="AI952" s="63" t="s">
        <v>147</v>
      </c>
      <c r="AJ952" s="63" t="s">
        <v>138</v>
      </c>
      <c r="AK952" s="83">
        <v>3.4</v>
      </c>
      <c r="AL952" s="63" t="s">
        <v>76</v>
      </c>
      <c r="AM952" s="63" t="s">
        <v>46</v>
      </c>
      <c r="AN952"/>
    </row>
    <row r="953" spans="1:40" ht="18" customHeight="1">
      <c r="A953" s="1" t="s">
        <v>2933</v>
      </c>
      <c r="B953" s="1" t="s">
        <v>2934</v>
      </c>
      <c r="C953" s="4">
        <v>46106</v>
      </c>
      <c r="D953" s="4">
        <v>46109</v>
      </c>
      <c r="E953" s="4">
        <v>46118</v>
      </c>
      <c r="F953" s="63" t="s">
        <v>215</v>
      </c>
      <c r="G953" s="63" t="s">
        <v>3846</v>
      </c>
      <c r="H953" s="63" t="s">
        <v>152</v>
      </c>
      <c r="I953" s="63" t="s">
        <v>241</v>
      </c>
      <c r="J953" s="63" t="s">
        <v>71</v>
      </c>
      <c r="K953" s="63" t="s">
        <v>2935</v>
      </c>
      <c r="L953" s="63" t="s">
        <v>553</v>
      </c>
      <c r="M953" s="69">
        <v>133.84</v>
      </c>
      <c r="N953" s="63" t="s">
        <v>159</v>
      </c>
      <c r="O953" s="73">
        <f>_xlfn.XLOOKUP(Supplier_Perf_Table[[#This Row],[Currency]],'Comments 2'!$C$4:$C$16,'Comments 2'!$D$4:$D$16)</f>
        <v>7.2999999999999996E-4</v>
      </c>
      <c r="P953" s="69">
        <f>IFERROR(Supplier_Perf_Table[[#This Row],[Unit_Cost]]*Supplier_Perf_Table[[#This Row],[Dollar Equivalent]],"")</f>
        <v>9.7703200000000004E-2</v>
      </c>
      <c r="Q953" s="75">
        <v>750</v>
      </c>
      <c r="R953" s="1">
        <v>100380</v>
      </c>
      <c r="S953" s="75">
        <f>Supplier_Perf_Table[[#This Row],[Unit_Cost]]*Supplier_Perf_Table[[#This Row],[Order_Quantity]]</f>
        <v>100380</v>
      </c>
      <c r="T953" s="75">
        <f>IFERROR(Supplier_Perf_Table[[#This Row],[Dollar Equivalent]]*Supplier_Perf_Table[[#This Row],[Ordered_Value]],"")</f>
        <v>73.2774</v>
      </c>
      <c r="U953" s="75">
        <v>27</v>
      </c>
      <c r="V953" s="7">
        <v>3.5999999999999997E-2</v>
      </c>
      <c r="W953" s="75">
        <v>12</v>
      </c>
      <c r="X953" s="55">
        <f>IFERROR(Supplier_Perf_Table[[#This Row],[Actual_Delivery_Date]]-Supplier_Perf_Table[[#This Row],[Order Date]],"")</f>
        <v>12</v>
      </c>
      <c r="Y953" s="75">
        <v>3</v>
      </c>
      <c r="Z953" s="56">
        <f>IFERROR(Supplier_Perf_Table[[#This Row],[Expected Delivery_Date]]-Supplier_Perf_Table[[#This Row],[Order Date]],"")</f>
        <v>3</v>
      </c>
      <c r="AA953" s="56">
        <f>Supplier_Perf_Table[[#This Row],[Calculated_Lead_Time2]]-Supplier_Perf_Table[[#This Row],[Calculated_Expected_Lead_Time]]</f>
        <v>9</v>
      </c>
      <c r="AB953" s="75">
        <v>9</v>
      </c>
      <c r="AC953" s="63" t="s">
        <v>135</v>
      </c>
      <c r="AD953" s="63" t="s">
        <v>40</v>
      </c>
      <c r="AE953" s="63" t="s">
        <v>105</v>
      </c>
      <c r="AF953" s="63" t="s">
        <v>106</v>
      </c>
      <c r="AG953" s="63" t="s">
        <v>43</v>
      </c>
      <c r="AH953" s="63" t="s">
        <v>174</v>
      </c>
      <c r="AI953" s="63" t="s">
        <v>138</v>
      </c>
      <c r="AJ953" s="63" t="s">
        <v>138</v>
      </c>
      <c r="AK953" s="83">
        <v>2</v>
      </c>
      <c r="AL953" s="63" t="s">
        <v>139</v>
      </c>
      <c r="AM953" s="63" t="s">
        <v>46</v>
      </c>
      <c r="AN953"/>
    </row>
    <row r="954" spans="1:40" ht="18" customHeight="1">
      <c r="A954" s="1" t="s">
        <v>2936</v>
      </c>
      <c r="B954" s="1" t="s">
        <v>2937</v>
      </c>
      <c r="C954" s="4">
        <v>46047</v>
      </c>
      <c r="D954" s="4">
        <v>46068</v>
      </c>
      <c r="E954" s="4">
        <v>46067</v>
      </c>
      <c r="F954" s="63" t="s">
        <v>32</v>
      </c>
      <c r="G954" s="63" t="s">
        <v>3835</v>
      </c>
      <c r="H954" s="63" t="s">
        <v>177</v>
      </c>
      <c r="I954" s="63" t="s">
        <v>61</v>
      </c>
      <c r="J954" s="63" t="s">
        <v>35</v>
      </c>
      <c r="K954" s="63" t="s">
        <v>2938</v>
      </c>
      <c r="L954" s="63" t="s">
        <v>37</v>
      </c>
      <c r="M954" s="69">
        <v>1188.3699999999999</v>
      </c>
      <c r="N954" s="63" t="s">
        <v>104</v>
      </c>
      <c r="O954" s="73">
        <f>_xlfn.XLOOKUP(Supplier_Perf_Table[[#This Row],[Currency]],'Comments 2'!$C$4:$C$16,'Comments 2'!$D$4:$D$16)</f>
        <v>1.9E-2</v>
      </c>
      <c r="P954" s="69">
        <f>IFERROR(Supplier_Perf_Table[[#This Row],[Unit_Cost]]*Supplier_Perf_Table[[#This Row],[Dollar Equivalent]],"")</f>
        <v>22.579029999999996</v>
      </c>
      <c r="Q954" s="75">
        <v>150</v>
      </c>
      <c r="R954" s="1">
        <v>178255.5</v>
      </c>
      <c r="S954" s="75">
        <f>Supplier_Perf_Table[[#This Row],[Unit_Cost]]*Supplier_Perf_Table[[#This Row],[Order_Quantity]]</f>
        <v>178255.49999999997</v>
      </c>
      <c r="T954" s="75">
        <f>IFERROR(Supplier_Perf_Table[[#This Row],[Dollar Equivalent]]*Supplier_Perf_Table[[#This Row],[Ordered_Value]],"")</f>
        <v>3386.8544999999999</v>
      </c>
      <c r="U954" s="75">
        <v>2</v>
      </c>
      <c r="V954" s="7">
        <v>1.3299999999999999E-2</v>
      </c>
      <c r="W954" s="75">
        <v>20</v>
      </c>
      <c r="X954" s="55">
        <f>IFERROR(Supplier_Perf_Table[[#This Row],[Actual_Delivery_Date]]-Supplier_Perf_Table[[#This Row],[Order Date]],"")</f>
        <v>20</v>
      </c>
      <c r="Y954" s="75">
        <v>21</v>
      </c>
      <c r="Z954" s="56">
        <f>IFERROR(Supplier_Perf_Table[[#This Row],[Expected Delivery_Date]]-Supplier_Perf_Table[[#This Row],[Order Date]],"")</f>
        <v>21</v>
      </c>
      <c r="AA954" s="56">
        <f>Supplier_Perf_Table[[#This Row],[Calculated_Lead_Time2]]-Supplier_Perf_Table[[#This Row],[Calculated_Expected_Lead_Time]]</f>
        <v>-1</v>
      </c>
      <c r="AB954" s="75">
        <v>-1</v>
      </c>
      <c r="AC954" s="63" t="s">
        <v>87</v>
      </c>
      <c r="AD954" s="63" t="s">
        <v>40</v>
      </c>
      <c r="AE954" s="63" t="s">
        <v>3088</v>
      </c>
      <c r="AF954" s="63" t="s">
        <v>212</v>
      </c>
      <c r="AG954" s="63" t="s">
        <v>128</v>
      </c>
      <c r="AH954" s="63" t="s">
        <v>129</v>
      </c>
      <c r="AI954" s="63" t="s">
        <v>137</v>
      </c>
      <c r="AJ954" s="63" t="s">
        <v>138</v>
      </c>
      <c r="AK954" s="83">
        <v>4.8</v>
      </c>
      <c r="AL954" s="63" t="s">
        <v>139</v>
      </c>
      <c r="AM954" s="63" t="s">
        <v>130</v>
      </c>
      <c r="AN954"/>
    </row>
    <row r="955" spans="1:40" ht="18" customHeight="1">
      <c r="A955" s="1" t="s">
        <v>2939</v>
      </c>
      <c r="B955" s="1" t="s">
        <v>2940</v>
      </c>
      <c r="C955" s="4">
        <v>46115</v>
      </c>
      <c r="D955" s="4">
        <v>46129</v>
      </c>
      <c r="E955" s="4">
        <v>46131</v>
      </c>
      <c r="F955" s="63" t="s">
        <v>100</v>
      </c>
      <c r="G955" s="63" t="s">
        <v>3841</v>
      </c>
      <c r="H955" s="63" t="s">
        <v>102</v>
      </c>
      <c r="I955" s="63" t="s">
        <v>34</v>
      </c>
      <c r="J955" s="63" t="s">
        <v>153</v>
      </c>
      <c r="K955" s="63" t="s">
        <v>1764</v>
      </c>
      <c r="L955" s="63" t="s">
        <v>295</v>
      </c>
      <c r="M955" s="69">
        <v>785.26</v>
      </c>
      <c r="N955" s="63" t="s">
        <v>53</v>
      </c>
      <c r="O955" s="73">
        <f>_xlfn.XLOOKUP(Supplier_Perf_Table[[#This Row],[Currency]],'Comments 2'!$C$4:$C$16,'Comments 2'!$D$4:$D$16)</f>
        <v>6.0999999999999999E-2</v>
      </c>
      <c r="P955" s="69">
        <f>IFERROR(Supplier_Perf_Table[[#This Row],[Unit_Cost]]*Supplier_Perf_Table[[#This Row],[Dollar Equivalent]],"")</f>
        <v>47.900860000000002</v>
      </c>
      <c r="Q955" s="75">
        <v>50</v>
      </c>
      <c r="R955" s="1">
        <v>39263</v>
      </c>
      <c r="S955" s="75">
        <f>Supplier_Perf_Table[[#This Row],[Unit_Cost]]*Supplier_Perf_Table[[#This Row],[Order_Quantity]]</f>
        <v>39263</v>
      </c>
      <c r="T955" s="75">
        <f>IFERROR(Supplier_Perf_Table[[#This Row],[Dollar Equivalent]]*Supplier_Perf_Table[[#This Row],[Ordered_Value]],"")</f>
        <v>2395.0430000000001</v>
      </c>
      <c r="U955" s="75">
        <v>0</v>
      </c>
      <c r="V955" s="7">
        <v>0</v>
      </c>
      <c r="W955" s="75">
        <v>16</v>
      </c>
      <c r="X955" s="55">
        <f>IFERROR(Supplier_Perf_Table[[#This Row],[Actual_Delivery_Date]]-Supplier_Perf_Table[[#This Row],[Order Date]],"")</f>
        <v>16</v>
      </c>
      <c r="Y955" s="75">
        <v>14</v>
      </c>
      <c r="Z955" s="56">
        <f>IFERROR(Supplier_Perf_Table[[#This Row],[Expected Delivery_Date]]-Supplier_Perf_Table[[#This Row],[Order Date]],"")</f>
        <v>14</v>
      </c>
      <c r="AA955" s="56">
        <f>Supplier_Perf_Table[[#This Row],[Calculated_Lead_Time2]]-Supplier_Perf_Table[[#This Row],[Calculated_Expected_Lead_Time]]</f>
        <v>2</v>
      </c>
      <c r="AB955" s="75">
        <v>2</v>
      </c>
      <c r="AC955" s="63" t="s">
        <v>135</v>
      </c>
      <c r="AD955" s="63" t="s">
        <v>40</v>
      </c>
      <c r="AE955" s="63" t="s">
        <v>105</v>
      </c>
      <c r="AF955" s="63" t="s">
        <v>66</v>
      </c>
      <c r="AG955" s="63" t="s">
        <v>54</v>
      </c>
      <c r="AH955" s="63" t="s">
        <v>136</v>
      </c>
      <c r="AI955" s="63" t="s">
        <v>138</v>
      </c>
      <c r="AJ955" s="63" t="s">
        <v>138</v>
      </c>
      <c r="AK955" s="83">
        <v>4.9000000000000004</v>
      </c>
      <c r="AL955" s="63" t="s">
        <v>108</v>
      </c>
      <c r="AM955" s="63" t="s">
        <v>46</v>
      </c>
      <c r="AN955"/>
    </row>
    <row r="956" spans="1:40" ht="18" customHeight="1">
      <c r="A956" s="1" t="s">
        <v>2941</v>
      </c>
      <c r="B956" s="1" t="s">
        <v>2942</v>
      </c>
      <c r="C956" s="4">
        <v>46188</v>
      </c>
      <c r="D956" s="4">
        <v>46209</v>
      </c>
      <c r="E956" s="4">
        <v>46205</v>
      </c>
      <c r="F956" s="63" t="s">
        <v>142</v>
      </c>
      <c r="G956" s="63" t="s">
        <v>3843</v>
      </c>
      <c r="H956" s="63" t="s">
        <v>169</v>
      </c>
      <c r="I956" s="63" t="s">
        <v>92</v>
      </c>
      <c r="J956" s="63" t="s">
        <v>163</v>
      </c>
      <c r="K956" s="63" t="s">
        <v>2943</v>
      </c>
      <c r="L956" s="63" t="s">
        <v>253</v>
      </c>
      <c r="M956" s="69">
        <v>854.55</v>
      </c>
      <c r="N956" s="63" t="s">
        <v>86</v>
      </c>
      <c r="O956" s="73">
        <f>_xlfn.XLOOKUP(Supplier_Perf_Table[[#This Row],[Currency]],'Comments 2'!$C$4:$C$16,'Comments 2'!$D$4:$D$16)</f>
        <v>8.8999999999999996E-2</v>
      </c>
      <c r="P956" s="69">
        <f>IFERROR(Supplier_Perf_Table[[#This Row],[Unit_Cost]]*Supplier_Perf_Table[[#This Row],[Dollar Equivalent]],"")</f>
        <v>76.054949999999991</v>
      </c>
      <c r="Q956" s="75">
        <v>500</v>
      </c>
      <c r="R956" s="1">
        <v>427275</v>
      </c>
      <c r="S956" s="75">
        <f>Supplier_Perf_Table[[#This Row],[Unit_Cost]]*Supplier_Perf_Table[[#This Row],[Order_Quantity]]</f>
        <v>427275</v>
      </c>
      <c r="T956" s="75">
        <f>IFERROR(Supplier_Perf_Table[[#This Row],[Dollar Equivalent]]*Supplier_Perf_Table[[#This Row],[Ordered_Value]],"")</f>
        <v>38027.474999999999</v>
      </c>
      <c r="U956" s="75">
        <v>8</v>
      </c>
      <c r="V956" s="7">
        <v>1.6E-2</v>
      </c>
      <c r="W956" s="75">
        <v>17</v>
      </c>
      <c r="X956" s="55">
        <f>IFERROR(Supplier_Perf_Table[[#This Row],[Actual_Delivery_Date]]-Supplier_Perf_Table[[#This Row],[Order Date]],"")</f>
        <v>17</v>
      </c>
      <c r="Y956" s="75">
        <v>21</v>
      </c>
      <c r="Z956" s="56">
        <f>IFERROR(Supplier_Perf_Table[[#This Row],[Expected Delivery_Date]]-Supplier_Perf_Table[[#This Row],[Order Date]],"")</f>
        <v>21</v>
      </c>
      <c r="AA956" s="56">
        <f>Supplier_Perf_Table[[#This Row],[Calculated_Lead_Time2]]-Supplier_Perf_Table[[#This Row],[Calculated_Expected_Lead_Time]]</f>
        <v>-4</v>
      </c>
      <c r="AB956" s="75">
        <v>-4</v>
      </c>
      <c r="AC956" s="63" t="s">
        <v>270</v>
      </c>
      <c r="AD956" s="63" t="s">
        <v>40</v>
      </c>
      <c r="AE956" s="63" t="s">
        <v>3088</v>
      </c>
      <c r="AF956" s="63" t="s">
        <v>190</v>
      </c>
      <c r="AG956" s="63" t="s">
        <v>43</v>
      </c>
      <c r="AH956" s="63" t="s">
        <v>3112</v>
      </c>
      <c r="AI956" s="63" t="s">
        <v>191</v>
      </c>
      <c r="AJ956" s="63" t="s">
        <v>138</v>
      </c>
      <c r="AK956" s="83">
        <v>3.7</v>
      </c>
      <c r="AL956" s="63" t="s">
        <v>45</v>
      </c>
      <c r="AM956" s="63" t="s">
        <v>130</v>
      </c>
      <c r="AN956"/>
    </row>
    <row r="957" spans="1:40" ht="18" customHeight="1">
      <c r="A957" s="1" t="s">
        <v>2944</v>
      </c>
      <c r="B957" s="1" t="s">
        <v>2945</v>
      </c>
      <c r="C957" s="4">
        <v>46172</v>
      </c>
      <c r="D957" s="4">
        <v>46189</v>
      </c>
      <c r="E957" s="4">
        <v>46200</v>
      </c>
      <c r="F957" s="63" t="s">
        <v>142</v>
      </c>
      <c r="G957" s="63" t="s">
        <v>3843</v>
      </c>
      <c r="H957" s="63" t="s">
        <v>169</v>
      </c>
      <c r="I957" s="63" t="s">
        <v>178</v>
      </c>
      <c r="J957" s="63" t="s">
        <v>50</v>
      </c>
      <c r="K957" s="63" t="s">
        <v>2946</v>
      </c>
      <c r="L957" s="63" t="s">
        <v>52</v>
      </c>
      <c r="M957" s="69">
        <v>2644.58</v>
      </c>
      <c r="N957" s="63" t="s">
        <v>86</v>
      </c>
      <c r="O957" s="73">
        <f>_xlfn.XLOOKUP(Supplier_Perf_Table[[#This Row],[Currency]],'Comments 2'!$C$4:$C$16,'Comments 2'!$D$4:$D$16)</f>
        <v>8.8999999999999996E-2</v>
      </c>
      <c r="P957" s="69">
        <f>IFERROR(Supplier_Perf_Table[[#This Row],[Unit_Cost]]*Supplier_Perf_Table[[#This Row],[Dollar Equivalent]],"")</f>
        <v>235.36761999999999</v>
      </c>
      <c r="Q957" s="75">
        <v>100</v>
      </c>
      <c r="R957" s="1">
        <v>264458</v>
      </c>
      <c r="S957" s="75">
        <f>Supplier_Perf_Table[[#This Row],[Unit_Cost]]*Supplier_Perf_Table[[#This Row],[Order_Quantity]]</f>
        <v>264458</v>
      </c>
      <c r="T957" s="75">
        <f>IFERROR(Supplier_Perf_Table[[#This Row],[Dollar Equivalent]]*Supplier_Perf_Table[[#This Row],[Ordered_Value]],"")</f>
        <v>23536.761999999999</v>
      </c>
      <c r="U957" s="75">
        <v>113</v>
      </c>
      <c r="V957" s="7">
        <v>0</v>
      </c>
      <c r="W957" s="75">
        <v>28</v>
      </c>
      <c r="X957" s="55">
        <f>IFERROR(Supplier_Perf_Table[[#This Row],[Actual_Delivery_Date]]-Supplier_Perf_Table[[#This Row],[Order Date]],"")</f>
        <v>28</v>
      </c>
      <c r="Y957" s="75">
        <v>17</v>
      </c>
      <c r="Z957" s="56">
        <f>IFERROR(Supplier_Perf_Table[[#This Row],[Expected Delivery_Date]]-Supplier_Perf_Table[[#This Row],[Order Date]],"")</f>
        <v>17</v>
      </c>
      <c r="AA957" s="56">
        <f>Supplier_Perf_Table[[#This Row],[Calculated_Lead_Time2]]-Supplier_Perf_Table[[#This Row],[Calculated_Expected_Lead_Time]]</f>
        <v>11</v>
      </c>
      <c r="AB957" s="75">
        <v>11</v>
      </c>
      <c r="AC957" s="63" t="s">
        <v>135</v>
      </c>
      <c r="AD957" s="63" t="s">
        <v>40</v>
      </c>
      <c r="AE957" s="63" t="s">
        <v>41</v>
      </c>
      <c r="AF957" s="63" t="s">
        <v>212</v>
      </c>
      <c r="AG957" s="63" t="s">
        <v>43</v>
      </c>
      <c r="AH957" s="63" t="s">
        <v>174</v>
      </c>
      <c r="AI957" s="63" t="s">
        <v>137</v>
      </c>
      <c r="AJ957" s="63" t="s">
        <v>138</v>
      </c>
      <c r="AK957" s="83">
        <v>3.3</v>
      </c>
      <c r="AL957" s="63" t="s">
        <v>108</v>
      </c>
      <c r="AM957" s="63" t="s">
        <v>46</v>
      </c>
      <c r="AN957"/>
    </row>
    <row r="958" spans="1:40" ht="18" customHeight="1">
      <c r="A958" s="1" t="s">
        <v>2947</v>
      </c>
      <c r="B958" s="1" t="s">
        <v>2948</v>
      </c>
      <c r="C958" s="4">
        <v>46071</v>
      </c>
      <c r="D958" s="4">
        <v>46099</v>
      </c>
      <c r="E958" s="4">
        <v>46096</v>
      </c>
      <c r="F958" s="63" t="s">
        <v>118</v>
      </c>
      <c r="G958" s="63" t="s">
        <v>3842</v>
      </c>
      <c r="H958" s="63" t="s">
        <v>301</v>
      </c>
      <c r="I958" s="63" t="s">
        <v>178</v>
      </c>
      <c r="J958" s="63" t="s">
        <v>62</v>
      </c>
      <c r="K958" s="63" t="s">
        <v>2949</v>
      </c>
      <c r="L958" s="63" t="s">
        <v>225</v>
      </c>
      <c r="M958" s="69">
        <v>309.27</v>
      </c>
      <c r="N958" s="63" t="s">
        <v>53</v>
      </c>
      <c r="O958" s="73">
        <f>_xlfn.XLOOKUP(Supplier_Perf_Table[[#This Row],[Currency]],'Comments 2'!$C$4:$C$16,'Comments 2'!$D$4:$D$16)</f>
        <v>6.0999999999999999E-2</v>
      </c>
      <c r="P958" s="69">
        <f>IFERROR(Supplier_Perf_Table[[#This Row],[Unit_Cost]]*Supplier_Perf_Table[[#This Row],[Dollar Equivalent]],"")</f>
        <v>18.865469999999998</v>
      </c>
      <c r="Q958" s="75">
        <v>500</v>
      </c>
      <c r="R958" s="1">
        <v>154635</v>
      </c>
      <c r="S958" s="75">
        <f>Supplier_Perf_Table[[#This Row],[Unit_Cost]]*Supplier_Perf_Table[[#This Row],[Order_Quantity]]</f>
        <v>154635</v>
      </c>
      <c r="T958" s="75">
        <f>IFERROR(Supplier_Perf_Table[[#This Row],[Dollar Equivalent]]*Supplier_Perf_Table[[#This Row],[Ordered_Value]],"")</f>
        <v>9432.7350000000006</v>
      </c>
      <c r="U958" s="75">
        <v>9</v>
      </c>
      <c r="V958" s="7">
        <v>1.7999999999999999E-2</v>
      </c>
      <c r="W958" s="75">
        <v>25</v>
      </c>
      <c r="X958" s="55">
        <f>IFERROR(Supplier_Perf_Table[[#This Row],[Actual_Delivery_Date]]-Supplier_Perf_Table[[#This Row],[Order Date]],"")</f>
        <v>25</v>
      </c>
      <c r="Y958" s="75">
        <v>28</v>
      </c>
      <c r="Z958" s="56">
        <f>IFERROR(Supplier_Perf_Table[[#This Row],[Expected Delivery_Date]]-Supplier_Perf_Table[[#This Row],[Order Date]],"")</f>
        <v>28</v>
      </c>
      <c r="AA958" s="56">
        <f>Supplier_Perf_Table[[#This Row],[Calculated_Lead_Time2]]-Supplier_Perf_Table[[#This Row],[Calculated_Expected_Lead_Time]]</f>
        <v>-3</v>
      </c>
      <c r="AB958" s="75">
        <v>-3</v>
      </c>
      <c r="AC958" s="63" t="s">
        <v>87</v>
      </c>
      <c r="AD958" s="63" t="s">
        <v>40</v>
      </c>
      <c r="AE958" s="63" t="s">
        <v>41</v>
      </c>
      <c r="AF958" s="63" t="s">
        <v>106</v>
      </c>
      <c r="AG958" s="63" t="s">
        <v>173</v>
      </c>
      <c r="AH958" s="63" t="s">
        <v>136</v>
      </c>
      <c r="AI958" s="63" t="s">
        <v>56</v>
      </c>
      <c r="AJ958" s="63" t="s">
        <v>138</v>
      </c>
      <c r="AK958" s="83">
        <v>2.6</v>
      </c>
      <c r="AL958" s="63" t="s">
        <v>45</v>
      </c>
      <c r="AM958" s="63" t="s">
        <v>138</v>
      </c>
      <c r="AN958"/>
    </row>
    <row r="959" spans="1:40" ht="18" customHeight="1">
      <c r="A959" s="1" t="s">
        <v>2950</v>
      </c>
      <c r="B959" s="1" t="s">
        <v>2951</v>
      </c>
      <c r="C959" s="4">
        <v>46072</v>
      </c>
      <c r="D959" s="4">
        <v>46077</v>
      </c>
      <c r="E959" s="4">
        <v>46081</v>
      </c>
      <c r="F959" s="63" t="s">
        <v>151</v>
      </c>
      <c r="G959" s="63" t="s">
        <v>3844</v>
      </c>
      <c r="H959" s="63" t="s">
        <v>152</v>
      </c>
      <c r="I959" s="63" t="s">
        <v>92</v>
      </c>
      <c r="J959" s="63" t="s">
        <v>112</v>
      </c>
      <c r="K959" s="63" t="s">
        <v>2952</v>
      </c>
      <c r="L959" s="63" t="s">
        <v>229</v>
      </c>
      <c r="M959" s="69">
        <v>206.6</v>
      </c>
      <c r="N959" s="63" t="s">
        <v>65</v>
      </c>
      <c r="O959" s="73">
        <f>_xlfn.XLOOKUP(Supplier_Perf_Table[[#This Row],[Currency]],'Comments 2'!$C$4:$C$16,'Comments 2'!$D$4:$D$16)</f>
        <v>1</v>
      </c>
      <c r="P959" s="69">
        <f>IFERROR(Supplier_Perf_Table[[#This Row],[Unit_Cost]]*Supplier_Perf_Table[[#This Row],[Dollar Equivalent]],"")</f>
        <v>206.6</v>
      </c>
      <c r="Q959" s="75">
        <v>75</v>
      </c>
      <c r="R959" s="1">
        <v>15495</v>
      </c>
      <c r="S959" s="75">
        <f>Supplier_Perf_Table[[#This Row],[Unit_Cost]]*Supplier_Perf_Table[[#This Row],[Order_Quantity]]</f>
        <v>15495</v>
      </c>
      <c r="T959" s="75">
        <f>IFERROR(Supplier_Perf_Table[[#This Row],[Dollar Equivalent]]*Supplier_Perf_Table[[#This Row],[Ordered_Value]],"")</f>
        <v>15495</v>
      </c>
      <c r="U959" s="75">
        <v>3</v>
      </c>
      <c r="V959" s="7">
        <v>0.04</v>
      </c>
      <c r="W959" s="75">
        <v>9</v>
      </c>
      <c r="X959" s="55">
        <f>IFERROR(Supplier_Perf_Table[[#This Row],[Actual_Delivery_Date]]-Supplier_Perf_Table[[#This Row],[Order Date]],"")</f>
        <v>9</v>
      </c>
      <c r="Y959" s="75">
        <v>5</v>
      </c>
      <c r="Z959" s="56">
        <f>IFERROR(Supplier_Perf_Table[[#This Row],[Expected Delivery_Date]]-Supplier_Perf_Table[[#This Row],[Order Date]],"")</f>
        <v>5</v>
      </c>
      <c r="AA959" s="56">
        <f>Supplier_Perf_Table[[#This Row],[Calculated_Lead_Time2]]-Supplier_Perf_Table[[#This Row],[Calculated_Expected_Lead_Time]]</f>
        <v>4</v>
      </c>
      <c r="AB959" s="75"/>
      <c r="AC959" s="63" t="s">
        <v>135</v>
      </c>
      <c r="AD959" s="63" t="s">
        <v>40</v>
      </c>
      <c r="AE959" s="63" t="s">
        <v>105</v>
      </c>
      <c r="AF959" s="63" t="s">
        <v>3088</v>
      </c>
      <c r="AG959" s="63" t="s">
        <v>43</v>
      </c>
      <c r="AH959" s="63" t="s">
        <v>129</v>
      </c>
      <c r="AI959" s="63" t="s">
        <v>44</v>
      </c>
      <c r="AJ959" s="63" t="s">
        <v>138</v>
      </c>
      <c r="AK959" s="83">
        <v>4.0999999999999996</v>
      </c>
      <c r="AL959" s="63" t="s">
        <v>45</v>
      </c>
      <c r="AM959" s="63" t="s">
        <v>46</v>
      </c>
      <c r="AN959"/>
    </row>
    <row r="960" spans="1:40" ht="18" customHeight="1">
      <c r="A960" s="1" t="s">
        <v>2953</v>
      </c>
      <c r="B960" s="1" t="s">
        <v>2954</v>
      </c>
      <c r="C960" s="4">
        <v>46172</v>
      </c>
      <c r="D960" s="4">
        <v>46179</v>
      </c>
      <c r="E960" s="4">
        <v>46170</v>
      </c>
      <c r="F960" s="63" t="s">
        <v>151</v>
      </c>
      <c r="G960" s="63" t="s">
        <v>3844</v>
      </c>
      <c r="H960" s="63" t="s">
        <v>152</v>
      </c>
      <c r="I960" s="63" t="s">
        <v>120</v>
      </c>
      <c r="J960" s="63" t="s">
        <v>35</v>
      </c>
      <c r="K960" s="63" t="s">
        <v>2955</v>
      </c>
      <c r="L960" s="63" t="s">
        <v>85</v>
      </c>
      <c r="M960" s="69">
        <v>1541.67</v>
      </c>
      <c r="N960" s="63" t="s">
        <v>159</v>
      </c>
      <c r="O960" s="73">
        <f>_xlfn.XLOOKUP(Supplier_Perf_Table[[#This Row],[Currency]],'Comments 2'!$C$4:$C$16,'Comments 2'!$D$4:$D$16)</f>
        <v>7.2999999999999996E-4</v>
      </c>
      <c r="P960" s="69">
        <f>IFERROR(Supplier_Perf_Table[[#This Row],[Unit_Cost]]*Supplier_Perf_Table[[#This Row],[Dollar Equivalent]],"")</f>
        <v>1.1254191</v>
      </c>
      <c r="Q960" s="75">
        <v>100</v>
      </c>
      <c r="R960" s="1">
        <v>154167</v>
      </c>
      <c r="S960" s="75">
        <f>Supplier_Perf_Table[[#This Row],[Unit_Cost]]*Supplier_Perf_Table[[#This Row],[Order_Quantity]]</f>
        <v>154167</v>
      </c>
      <c r="T960" s="75">
        <f>IFERROR(Supplier_Perf_Table[[#This Row],[Dollar Equivalent]]*Supplier_Perf_Table[[#This Row],[Ordered_Value]],"")</f>
        <v>112.54190999999999</v>
      </c>
      <c r="U960" s="75">
        <v>0</v>
      </c>
      <c r="V960" s="7">
        <v>0</v>
      </c>
      <c r="W960" s="75">
        <v>-2</v>
      </c>
      <c r="X960" s="55">
        <f>IFERROR(Supplier_Perf_Table[[#This Row],[Actual_Delivery_Date]]-Supplier_Perf_Table[[#This Row],[Order Date]],"")</f>
        <v>-2</v>
      </c>
      <c r="Y960" s="75">
        <v>7</v>
      </c>
      <c r="Z960" s="56">
        <f>IFERROR(Supplier_Perf_Table[[#This Row],[Expected Delivery_Date]]-Supplier_Perf_Table[[#This Row],[Order Date]],"")</f>
        <v>7</v>
      </c>
      <c r="AA960" s="56">
        <f>Supplier_Perf_Table[[#This Row],[Calculated_Lead_Time2]]-Supplier_Perf_Table[[#This Row],[Calculated_Expected_Lead_Time]]</f>
        <v>-9</v>
      </c>
      <c r="AB960" s="75">
        <v>-9</v>
      </c>
      <c r="AC960" s="63" t="s">
        <v>362</v>
      </c>
      <c r="AD960" s="63" t="s">
        <v>40</v>
      </c>
      <c r="AE960" s="63" t="s">
        <v>105</v>
      </c>
      <c r="AF960" s="63" t="s">
        <v>106</v>
      </c>
      <c r="AG960" s="63" t="s">
        <v>173</v>
      </c>
      <c r="AH960" s="63" t="s">
        <v>88</v>
      </c>
      <c r="AI960" s="63" t="s">
        <v>147</v>
      </c>
      <c r="AJ960" s="63" t="s">
        <v>138</v>
      </c>
      <c r="AK960" s="83">
        <v>3</v>
      </c>
      <c r="AL960" s="63" t="s">
        <v>57</v>
      </c>
      <c r="AM960" s="63" t="s">
        <v>138</v>
      </c>
      <c r="AN960"/>
    </row>
    <row r="961" spans="1:40" ht="18" customHeight="1">
      <c r="A961" s="1" t="s">
        <v>2956</v>
      </c>
      <c r="B961" s="1" t="s">
        <v>2957</v>
      </c>
      <c r="C961" s="4">
        <v>46187</v>
      </c>
      <c r="D961" s="4">
        <v>46192</v>
      </c>
      <c r="E961" s="4">
        <v>46210</v>
      </c>
      <c r="F961" s="63" t="s">
        <v>162</v>
      </c>
      <c r="G961" s="63" t="s">
        <v>3847</v>
      </c>
      <c r="H961" s="63" t="s">
        <v>152</v>
      </c>
      <c r="I961" s="63" t="s">
        <v>178</v>
      </c>
      <c r="J961" s="63" t="s">
        <v>163</v>
      </c>
      <c r="K961" s="63" t="s">
        <v>2958</v>
      </c>
      <c r="L961" s="63" t="s">
        <v>269</v>
      </c>
      <c r="M961" s="69">
        <v>325.87</v>
      </c>
      <c r="N961" s="63" t="s">
        <v>104</v>
      </c>
      <c r="O961" s="73">
        <f>_xlfn.XLOOKUP(Supplier_Perf_Table[[#This Row],[Currency]],'Comments 2'!$C$4:$C$16,'Comments 2'!$D$4:$D$16)</f>
        <v>1.9E-2</v>
      </c>
      <c r="P961" s="69">
        <f>IFERROR(Supplier_Perf_Table[[#This Row],[Unit_Cost]]*Supplier_Perf_Table[[#This Row],[Dollar Equivalent]],"")</f>
        <v>6.1915300000000002</v>
      </c>
      <c r="Q961" s="75">
        <v>250</v>
      </c>
      <c r="R961" s="1">
        <v>81467.5</v>
      </c>
      <c r="S961" s="75">
        <f>Supplier_Perf_Table[[#This Row],[Unit_Cost]]*Supplier_Perf_Table[[#This Row],[Order_Quantity]]</f>
        <v>81467.5</v>
      </c>
      <c r="T961" s="75">
        <f>IFERROR(Supplier_Perf_Table[[#This Row],[Dollar Equivalent]]*Supplier_Perf_Table[[#This Row],[Ordered_Value]],"")</f>
        <v>1547.8824999999999</v>
      </c>
      <c r="U961" s="75">
        <v>4</v>
      </c>
      <c r="V961" s="7">
        <v>1.6E-2</v>
      </c>
      <c r="W961" s="75">
        <v>23</v>
      </c>
      <c r="X961" s="55">
        <f>IFERROR(Supplier_Perf_Table[[#This Row],[Actual_Delivery_Date]]-Supplier_Perf_Table[[#This Row],[Order Date]],"")</f>
        <v>23</v>
      </c>
      <c r="Y961" s="75">
        <v>5</v>
      </c>
      <c r="Z961" s="56">
        <f>IFERROR(Supplier_Perf_Table[[#This Row],[Expected Delivery_Date]]-Supplier_Perf_Table[[#This Row],[Order Date]],"")</f>
        <v>5</v>
      </c>
      <c r="AA961" s="56">
        <f>Supplier_Perf_Table[[#This Row],[Calculated_Lead_Time2]]-Supplier_Perf_Table[[#This Row],[Calculated_Expected_Lead_Time]]</f>
        <v>18</v>
      </c>
      <c r="AB961" s="75">
        <v>18</v>
      </c>
      <c r="AC961" s="63" t="s">
        <v>135</v>
      </c>
      <c r="AD961" s="63" t="s">
        <v>40</v>
      </c>
      <c r="AE961" s="63" t="s">
        <v>146</v>
      </c>
      <c r="AF961" s="63" t="s">
        <v>3088</v>
      </c>
      <c r="AG961" s="63" t="s">
        <v>54</v>
      </c>
      <c r="AH961" s="63" t="s">
        <v>88</v>
      </c>
      <c r="AI961" s="63" t="s">
        <v>44</v>
      </c>
      <c r="AJ961" s="63" t="s">
        <v>138</v>
      </c>
      <c r="AK961" s="83">
        <v>3.3</v>
      </c>
      <c r="AL961" s="63" t="s">
        <v>76</v>
      </c>
      <c r="AM961" s="63" t="s">
        <v>148</v>
      </c>
      <c r="AN961"/>
    </row>
    <row r="962" spans="1:40" ht="18" customHeight="1">
      <c r="A962" s="1" t="s">
        <v>2959</v>
      </c>
      <c r="B962" s="1" t="s">
        <v>2960</v>
      </c>
      <c r="C962" s="4">
        <v>46093</v>
      </c>
      <c r="D962" s="4">
        <v>46109</v>
      </c>
      <c r="E962" s="4">
        <v>46112</v>
      </c>
      <c r="F962" s="63" t="s">
        <v>80</v>
      </c>
      <c r="G962" s="63" t="s">
        <v>3839</v>
      </c>
      <c r="H962" s="63" t="s">
        <v>82</v>
      </c>
      <c r="I962" s="63" t="s">
        <v>178</v>
      </c>
      <c r="J962" s="63" t="s">
        <v>35</v>
      </c>
      <c r="K962" s="63" t="s">
        <v>594</v>
      </c>
      <c r="L962" s="63" t="s">
        <v>37</v>
      </c>
      <c r="M962" s="69">
        <v>1486.89</v>
      </c>
      <c r="N962" s="63" t="s">
        <v>159</v>
      </c>
      <c r="O962" s="73">
        <f>_xlfn.XLOOKUP(Supplier_Perf_Table[[#This Row],[Currency]],'Comments 2'!$C$4:$C$16,'Comments 2'!$D$4:$D$16)</f>
        <v>7.2999999999999996E-4</v>
      </c>
      <c r="P962" s="69">
        <f>IFERROR(Supplier_Perf_Table[[#This Row],[Unit_Cost]]*Supplier_Perf_Table[[#This Row],[Dollar Equivalent]],"")</f>
        <v>1.0854296999999999</v>
      </c>
      <c r="Q962" s="75">
        <v>500</v>
      </c>
      <c r="R962" s="1">
        <v>743445</v>
      </c>
      <c r="S962" s="75">
        <f>Supplier_Perf_Table[[#This Row],[Unit_Cost]]*Supplier_Perf_Table[[#This Row],[Order_Quantity]]</f>
        <v>743445</v>
      </c>
      <c r="T962" s="75">
        <f>IFERROR(Supplier_Perf_Table[[#This Row],[Dollar Equivalent]]*Supplier_Perf_Table[[#This Row],[Ordered_Value]],"")</f>
        <v>542.71484999999996</v>
      </c>
      <c r="U962" s="75">
        <v>8</v>
      </c>
      <c r="V962" s="7">
        <v>1.6E-2</v>
      </c>
      <c r="W962" s="75">
        <v>19</v>
      </c>
      <c r="X962" s="55">
        <f>IFERROR(Supplier_Perf_Table[[#This Row],[Actual_Delivery_Date]]-Supplier_Perf_Table[[#This Row],[Order Date]],"")</f>
        <v>19</v>
      </c>
      <c r="Y962" s="75">
        <v>16</v>
      </c>
      <c r="Z962" s="56">
        <f>IFERROR(Supplier_Perf_Table[[#This Row],[Expected Delivery_Date]]-Supplier_Perf_Table[[#This Row],[Order Date]],"")</f>
        <v>16</v>
      </c>
      <c r="AA962" s="56">
        <f>Supplier_Perf_Table[[#This Row],[Calculated_Lead_Time2]]-Supplier_Perf_Table[[#This Row],[Calculated_Expected_Lead_Time]]</f>
        <v>3</v>
      </c>
      <c r="AB962" s="75">
        <v>3</v>
      </c>
      <c r="AC962" s="63" t="s">
        <v>135</v>
      </c>
      <c r="AD962" s="63" t="s">
        <v>40</v>
      </c>
      <c r="AE962" s="63" t="s">
        <v>41</v>
      </c>
      <c r="AF962" s="63" t="s">
        <v>106</v>
      </c>
      <c r="AG962" s="63" t="s">
        <v>128</v>
      </c>
      <c r="AH962" s="63" t="s">
        <v>88</v>
      </c>
      <c r="AI962" s="63" t="s">
        <v>137</v>
      </c>
      <c r="AJ962" s="63" t="s">
        <v>138</v>
      </c>
      <c r="AK962" s="83">
        <v>3</v>
      </c>
      <c r="AL962" s="63" t="s">
        <v>57</v>
      </c>
      <c r="AM962" s="63" t="s">
        <v>46</v>
      </c>
      <c r="AN962"/>
    </row>
    <row r="963" spans="1:40" ht="18" customHeight="1">
      <c r="A963" s="1" t="s">
        <v>2961</v>
      </c>
      <c r="B963" s="1" t="s">
        <v>2962</v>
      </c>
      <c r="C963" s="4">
        <v>46024</v>
      </c>
      <c r="D963" s="4">
        <v>46037</v>
      </c>
      <c r="E963" s="4">
        <v>46040</v>
      </c>
      <c r="F963" s="63" t="s">
        <v>80</v>
      </c>
      <c r="G963" s="63" t="s">
        <v>3839</v>
      </c>
      <c r="H963" s="63" t="s">
        <v>82</v>
      </c>
      <c r="I963" s="63" t="s">
        <v>83</v>
      </c>
      <c r="J963" s="63" t="s">
        <v>35</v>
      </c>
      <c r="K963" s="63" t="s">
        <v>2963</v>
      </c>
      <c r="L963" s="63" t="s">
        <v>85</v>
      </c>
      <c r="M963" s="69">
        <v>1928.64</v>
      </c>
      <c r="N963" s="63" t="s">
        <v>86</v>
      </c>
      <c r="O963" s="73">
        <f>_xlfn.XLOOKUP(Supplier_Perf_Table[[#This Row],[Currency]],'Comments 2'!$C$4:$C$16,'Comments 2'!$D$4:$D$16)</f>
        <v>8.8999999999999996E-2</v>
      </c>
      <c r="P963" s="69">
        <f>IFERROR(Supplier_Perf_Table[[#This Row],[Unit_Cost]]*Supplier_Perf_Table[[#This Row],[Dollar Equivalent]],"")</f>
        <v>171.64895999999999</v>
      </c>
      <c r="Q963" s="75">
        <v>200</v>
      </c>
      <c r="R963" s="1">
        <v>385728</v>
      </c>
      <c r="S963" s="75">
        <f>Supplier_Perf_Table[[#This Row],[Unit_Cost]]*Supplier_Perf_Table[[#This Row],[Order_Quantity]]</f>
        <v>385728</v>
      </c>
      <c r="T963" s="75">
        <f>IFERROR(Supplier_Perf_Table[[#This Row],[Dollar Equivalent]]*Supplier_Perf_Table[[#This Row],[Ordered_Value]],"")</f>
        <v>34329.792000000001</v>
      </c>
      <c r="U963" s="75">
        <v>2</v>
      </c>
      <c r="V963" s="7">
        <v>0.01</v>
      </c>
      <c r="W963" s="75">
        <v>16</v>
      </c>
      <c r="X963" s="55">
        <f>IFERROR(Supplier_Perf_Table[[#This Row],[Actual_Delivery_Date]]-Supplier_Perf_Table[[#This Row],[Order Date]],"")</f>
        <v>16</v>
      </c>
      <c r="Y963" s="75">
        <v>13</v>
      </c>
      <c r="Z963" s="56">
        <f>IFERROR(Supplier_Perf_Table[[#This Row],[Expected Delivery_Date]]-Supplier_Perf_Table[[#This Row],[Order Date]],"")</f>
        <v>13</v>
      </c>
      <c r="AA963" s="56">
        <f>Supplier_Perf_Table[[#This Row],[Calculated_Lead_Time2]]-Supplier_Perf_Table[[#This Row],[Calculated_Expected_Lead_Time]]</f>
        <v>3</v>
      </c>
      <c r="AB963" s="75">
        <v>3</v>
      </c>
      <c r="AC963" s="63" t="s">
        <v>135</v>
      </c>
      <c r="AD963" s="63" t="s">
        <v>40</v>
      </c>
      <c r="AE963" s="63" t="s">
        <v>41</v>
      </c>
      <c r="AF963" s="63" t="s">
        <v>42</v>
      </c>
      <c r="AG963" s="63" t="s">
        <v>128</v>
      </c>
      <c r="AH963" s="63" t="s">
        <v>3112</v>
      </c>
      <c r="AI963" s="63" t="s">
        <v>56</v>
      </c>
      <c r="AJ963" s="63" t="s">
        <v>138</v>
      </c>
      <c r="AK963" s="83">
        <v>3.6</v>
      </c>
      <c r="AL963" s="63" t="s">
        <v>139</v>
      </c>
      <c r="AM963" s="63" t="s">
        <v>46</v>
      </c>
      <c r="AN963"/>
    </row>
    <row r="964" spans="1:40" ht="18" customHeight="1">
      <c r="A964" s="1" t="s">
        <v>2964</v>
      </c>
      <c r="B964" s="1" t="s">
        <v>2965</v>
      </c>
      <c r="C964" s="4">
        <v>46162</v>
      </c>
      <c r="D964" s="4">
        <v>46173</v>
      </c>
      <c r="E964" s="4">
        <v>46168</v>
      </c>
      <c r="F964" s="63" t="s">
        <v>60</v>
      </c>
      <c r="G964" s="63" t="s">
        <v>3837</v>
      </c>
      <c r="H964" s="63" t="s">
        <v>152</v>
      </c>
      <c r="I964" s="63" t="s">
        <v>178</v>
      </c>
      <c r="J964" s="63" t="s">
        <v>62</v>
      </c>
      <c r="K964" s="63" t="s">
        <v>2966</v>
      </c>
      <c r="L964" s="63" t="s">
        <v>122</v>
      </c>
      <c r="M964" s="69">
        <v>117.03</v>
      </c>
      <c r="N964" s="63" t="s">
        <v>159</v>
      </c>
      <c r="O964" s="73">
        <f>_xlfn.XLOOKUP(Supplier_Perf_Table[[#This Row],[Currency]],'Comments 2'!$C$4:$C$16,'Comments 2'!$D$4:$D$16)</f>
        <v>7.2999999999999996E-4</v>
      </c>
      <c r="P964" s="69">
        <f>IFERROR(Supplier_Perf_Table[[#This Row],[Unit_Cost]]*Supplier_Perf_Table[[#This Row],[Dollar Equivalent]],"")</f>
        <v>8.5431899999999991E-2</v>
      </c>
      <c r="Q964" s="75">
        <v>200</v>
      </c>
      <c r="R964" s="1">
        <v>23406</v>
      </c>
      <c r="S964" s="75">
        <f>Supplier_Perf_Table[[#This Row],[Unit_Cost]]*Supplier_Perf_Table[[#This Row],[Order_Quantity]]</f>
        <v>23406</v>
      </c>
      <c r="T964" s="75">
        <f>IFERROR(Supplier_Perf_Table[[#This Row],[Dollar Equivalent]]*Supplier_Perf_Table[[#This Row],[Ordered_Value]],"")</f>
        <v>17.086379999999998</v>
      </c>
      <c r="U964" s="75">
        <v>7</v>
      </c>
      <c r="V964" s="7">
        <v>3.5000000000000003E-2</v>
      </c>
      <c r="W964" s="75">
        <v>6</v>
      </c>
      <c r="X964" s="55">
        <f>IFERROR(Supplier_Perf_Table[[#This Row],[Actual_Delivery_Date]]-Supplier_Perf_Table[[#This Row],[Order Date]],"")</f>
        <v>6</v>
      </c>
      <c r="Y964" s="75">
        <v>11</v>
      </c>
      <c r="Z964" s="56">
        <f>IFERROR(Supplier_Perf_Table[[#This Row],[Expected Delivery_Date]]-Supplier_Perf_Table[[#This Row],[Order Date]],"")</f>
        <v>11</v>
      </c>
      <c r="AA964" s="56">
        <f>Supplier_Perf_Table[[#This Row],[Calculated_Lead_Time2]]-Supplier_Perf_Table[[#This Row],[Calculated_Expected_Lead_Time]]</f>
        <v>-5</v>
      </c>
      <c r="AB964" s="75">
        <v>-5</v>
      </c>
      <c r="AC964" s="63" t="s">
        <v>270</v>
      </c>
      <c r="AD964" s="63" t="s">
        <v>40</v>
      </c>
      <c r="AE964" s="63" t="s">
        <v>41</v>
      </c>
      <c r="AF964" s="63" t="s">
        <v>42</v>
      </c>
      <c r="AG964" s="63" t="s">
        <v>107</v>
      </c>
      <c r="AH964" s="63" t="s">
        <v>206</v>
      </c>
      <c r="AI964" s="63" t="s">
        <v>95</v>
      </c>
      <c r="AJ964" s="63" t="s">
        <v>138</v>
      </c>
      <c r="AK964" s="83">
        <v>2.7</v>
      </c>
      <c r="AL964" s="63" t="s">
        <v>184</v>
      </c>
      <c r="AM964" s="63" t="s">
        <v>138</v>
      </c>
      <c r="AN964"/>
    </row>
    <row r="965" spans="1:40" ht="18" customHeight="1">
      <c r="A965" s="1" t="s">
        <v>2967</v>
      </c>
      <c r="B965" s="1" t="s">
        <v>2968</v>
      </c>
      <c r="C965" s="4">
        <v>46068</v>
      </c>
      <c r="D965" s="4">
        <v>46079</v>
      </c>
      <c r="E965" s="4">
        <v>46073</v>
      </c>
      <c r="F965" s="63" t="s">
        <v>60</v>
      </c>
      <c r="G965" s="63" t="s">
        <v>3837</v>
      </c>
      <c r="H965" s="63" t="s">
        <v>152</v>
      </c>
      <c r="I965" s="63" t="s">
        <v>120</v>
      </c>
      <c r="J965" s="63" t="s">
        <v>62</v>
      </c>
      <c r="K965" s="63" t="s">
        <v>2969</v>
      </c>
      <c r="L965" s="63" t="s">
        <v>64</v>
      </c>
      <c r="M965" s="69">
        <v>376.46</v>
      </c>
      <c r="N965" s="63" t="s">
        <v>159</v>
      </c>
      <c r="O965" s="73">
        <f>_xlfn.XLOOKUP(Supplier_Perf_Table[[#This Row],[Currency]],'Comments 2'!$C$4:$C$16,'Comments 2'!$D$4:$D$16)</f>
        <v>7.2999999999999996E-4</v>
      </c>
      <c r="P965" s="69">
        <f>IFERROR(Supplier_Perf_Table[[#This Row],[Unit_Cost]]*Supplier_Perf_Table[[#This Row],[Dollar Equivalent]],"")</f>
        <v>0.27481579999999994</v>
      </c>
      <c r="Q965" s="75">
        <v>250</v>
      </c>
      <c r="R965" s="1">
        <v>94115</v>
      </c>
      <c r="S965" s="75">
        <f>Supplier_Perf_Table[[#This Row],[Unit_Cost]]*Supplier_Perf_Table[[#This Row],[Order_Quantity]]</f>
        <v>94115</v>
      </c>
      <c r="T965" s="75">
        <f>IFERROR(Supplier_Perf_Table[[#This Row],[Dollar Equivalent]]*Supplier_Perf_Table[[#This Row],[Ordered_Value]],"")</f>
        <v>68.703949999999992</v>
      </c>
      <c r="U965" s="75">
        <v>6</v>
      </c>
      <c r="V965" s="7">
        <v>2.4E-2</v>
      </c>
      <c r="W965" s="75" t="s">
        <v>3080</v>
      </c>
      <c r="X965" s="55">
        <f>IFERROR(Supplier_Perf_Table[[#This Row],[Actual_Delivery_Date]]-Supplier_Perf_Table[[#This Row],[Order Date]],"")</f>
        <v>5</v>
      </c>
      <c r="Y965" s="75">
        <v>11</v>
      </c>
      <c r="Z965" s="56">
        <f>IFERROR(Supplier_Perf_Table[[#This Row],[Expected Delivery_Date]]-Supplier_Perf_Table[[#This Row],[Order Date]],"")</f>
        <v>11</v>
      </c>
      <c r="AA965" s="56">
        <f>Supplier_Perf_Table[[#This Row],[Calculated_Lead_Time2]]-Supplier_Perf_Table[[#This Row],[Calculated_Expected_Lead_Time]]</f>
        <v>-6</v>
      </c>
      <c r="AB965" s="75">
        <v>-6</v>
      </c>
      <c r="AC965" s="63" t="s">
        <v>87</v>
      </c>
      <c r="AD965" s="63" t="s">
        <v>40</v>
      </c>
      <c r="AE965" s="63" t="s">
        <v>105</v>
      </c>
      <c r="AF965" s="63" t="s">
        <v>106</v>
      </c>
      <c r="AG965" s="63" t="s">
        <v>107</v>
      </c>
      <c r="AH965" s="63" t="s">
        <v>206</v>
      </c>
      <c r="AI965" s="63" t="s">
        <v>56</v>
      </c>
      <c r="AJ965" s="63" t="s">
        <v>138</v>
      </c>
      <c r="AK965" s="83">
        <v>2.7</v>
      </c>
      <c r="AL965" s="63" t="s">
        <v>45</v>
      </c>
      <c r="AM965" s="63" t="s">
        <v>138</v>
      </c>
      <c r="AN965"/>
    </row>
    <row r="966" spans="1:40" ht="18" customHeight="1">
      <c r="A966" s="1" t="s">
        <v>2970</v>
      </c>
      <c r="B966" s="1" t="s">
        <v>2971</v>
      </c>
      <c r="C966" s="4">
        <v>46118</v>
      </c>
      <c r="D966" s="4">
        <v>46136</v>
      </c>
      <c r="E966" s="4">
        <v>46138</v>
      </c>
      <c r="F966" s="63" t="s">
        <v>118</v>
      </c>
      <c r="G966" s="63" t="s">
        <v>3842</v>
      </c>
      <c r="H966" s="63" t="s">
        <v>301</v>
      </c>
      <c r="I966" s="63" t="s">
        <v>70</v>
      </c>
      <c r="J966" s="63" t="s">
        <v>62</v>
      </c>
      <c r="K966" s="63" t="s">
        <v>2972</v>
      </c>
      <c r="L966" s="63" t="s">
        <v>225</v>
      </c>
      <c r="M966" s="69">
        <v>682.24</v>
      </c>
      <c r="N966" s="63" t="s">
        <v>104</v>
      </c>
      <c r="O966" s="73">
        <f>_xlfn.XLOOKUP(Supplier_Perf_Table[[#This Row],[Currency]],'Comments 2'!$C$4:$C$16,'Comments 2'!$D$4:$D$16)</f>
        <v>1.9E-2</v>
      </c>
      <c r="P966" s="69">
        <f>IFERROR(Supplier_Perf_Table[[#This Row],[Unit_Cost]]*Supplier_Perf_Table[[#This Row],[Dollar Equivalent]],"")</f>
        <v>12.96256</v>
      </c>
      <c r="Q966" s="75">
        <v>200</v>
      </c>
      <c r="R966" s="1">
        <v>0</v>
      </c>
      <c r="S966" s="75">
        <f>Supplier_Perf_Table[[#This Row],[Unit_Cost]]*Supplier_Perf_Table[[#This Row],[Order_Quantity]]</f>
        <v>136448</v>
      </c>
      <c r="T966" s="75">
        <f>IFERROR(Supplier_Perf_Table[[#This Row],[Dollar Equivalent]]*Supplier_Perf_Table[[#This Row],[Ordered_Value]],"")</f>
        <v>0</v>
      </c>
      <c r="U966" s="75">
        <v>0</v>
      </c>
      <c r="V966" s="7">
        <v>0</v>
      </c>
      <c r="W966" s="75">
        <v>20</v>
      </c>
      <c r="X966" s="55">
        <f>IFERROR(Supplier_Perf_Table[[#This Row],[Actual_Delivery_Date]]-Supplier_Perf_Table[[#This Row],[Order Date]],"")</f>
        <v>20</v>
      </c>
      <c r="Y966" s="75">
        <v>18</v>
      </c>
      <c r="Z966" s="56">
        <f>IFERROR(Supplier_Perf_Table[[#This Row],[Expected Delivery_Date]]-Supplier_Perf_Table[[#This Row],[Order Date]],"")</f>
        <v>18</v>
      </c>
      <c r="AA966" s="56">
        <f>Supplier_Perf_Table[[#This Row],[Calculated_Lead_Time2]]-Supplier_Perf_Table[[#This Row],[Calculated_Expected_Lead_Time]]</f>
        <v>2</v>
      </c>
      <c r="AB966" s="75">
        <v>2</v>
      </c>
      <c r="AC966" s="63" t="s">
        <v>135</v>
      </c>
      <c r="AD966" s="63" t="s">
        <v>40</v>
      </c>
      <c r="AE966" s="63" t="s">
        <v>41</v>
      </c>
      <c r="AF966" s="63" t="s">
        <v>212</v>
      </c>
      <c r="AG966" s="63" t="s">
        <v>107</v>
      </c>
      <c r="AH966" s="63" t="s">
        <v>206</v>
      </c>
      <c r="AI966" s="63" t="s">
        <v>191</v>
      </c>
      <c r="AJ966" s="63" t="s">
        <v>138</v>
      </c>
      <c r="AK966" s="83">
        <v>3.6</v>
      </c>
      <c r="AL966" s="63" t="s">
        <v>45</v>
      </c>
      <c r="AM966" s="63" t="s">
        <v>46</v>
      </c>
      <c r="AN966"/>
    </row>
    <row r="967" spans="1:40" ht="18" customHeight="1">
      <c r="A967" s="1" t="s">
        <v>2973</v>
      </c>
      <c r="B967" s="1" t="s">
        <v>2974</v>
      </c>
      <c r="C967" s="4">
        <v>46036</v>
      </c>
      <c r="D967" s="4">
        <v>46057</v>
      </c>
      <c r="E967" s="4">
        <v>46056</v>
      </c>
      <c r="F967" s="63" t="s">
        <v>118</v>
      </c>
      <c r="G967" s="63" t="s">
        <v>3842</v>
      </c>
      <c r="H967" s="63" t="s">
        <v>301</v>
      </c>
      <c r="I967" s="63" t="s">
        <v>34</v>
      </c>
      <c r="J967" s="63" t="s">
        <v>112</v>
      </c>
      <c r="K967" s="63" t="s">
        <v>2975</v>
      </c>
      <c r="L967" s="63" t="s">
        <v>246</v>
      </c>
      <c r="M967" s="69">
        <v>388.62</v>
      </c>
      <c r="N967" s="63" t="s">
        <v>104</v>
      </c>
      <c r="O967" s="73">
        <f>_xlfn.XLOOKUP(Supplier_Perf_Table[[#This Row],[Currency]],'Comments 2'!$C$4:$C$16,'Comments 2'!$D$4:$D$16)</f>
        <v>1.9E-2</v>
      </c>
      <c r="P967" s="69">
        <f>IFERROR(Supplier_Perf_Table[[#This Row],[Unit_Cost]]*Supplier_Perf_Table[[#This Row],[Dollar Equivalent]],"")</f>
        <v>7.3837799999999998</v>
      </c>
      <c r="Q967" s="75">
        <v>2000</v>
      </c>
      <c r="R967" s="1">
        <v>777240</v>
      </c>
      <c r="S967" s="75">
        <f>Supplier_Perf_Table[[#This Row],[Unit_Cost]]*Supplier_Perf_Table[[#This Row],[Order_Quantity]]</f>
        <v>777240</v>
      </c>
      <c r="T967" s="75">
        <f>IFERROR(Supplier_Perf_Table[[#This Row],[Dollar Equivalent]]*Supplier_Perf_Table[[#This Row],[Ordered_Value]],"")</f>
        <v>14767.56</v>
      </c>
      <c r="U967" s="75">
        <v>26</v>
      </c>
      <c r="V967" s="7">
        <v>1.2999999999999999E-2</v>
      </c>
      <c r="W967" s="75">
        <v>20</v>
      </c>
      <c r="X967" s="55">
        <f>IFERROR(Supplier_Perf_Table[[#This Row],[Actual_Delivery_Date]]-Supplier_Perf_Table[[#This Row],[Order Date]],"")</f>
        <v>20</v>
      </c>
      <c r="Y967" s="75">
        <v>21</v>
      </c>
      <c r="Z967" s="56">
        <f>IFERROR(Supplier_Perf_Table[[#This Row],[Expected Delivery_Date]]-Supplier_Perf_Table[[#This Row],[Order Date]],"")</f>
        <v>21</v>
      </c>
      <c r="AA967" s="56">
        <f>Supplier_Perf_Table[[#This Row],[Calculated_Lead_Time2]]-Supplier_Perf_Table[[#This Row],[Calculated_Expected_Lead_Time]]</f>
        <v>-1</v>
      </c>
      <c r="AB967" s="75">
        <v>-1</v>
      </c>
      <c r="AC967" s="63" t="s">
        <v>87</v>
      </c>
      <c r="AD967" s="63" t="s">
        <v>40</v>
      </c>
      <c r="AE967" s="63" t="s">
        <v>3088</v>
      </c>
      <c r="AF967" s="63" t="s">
        <v>66</v>
      </c>
      <c r="AG967" s="63" t="s">
        <v>173</v>
      </c>
      <c r="AH967" s="63" t="s">
        <v>174</v>
      </c>
      <c r="AI967" s="63" t="s">
        <v>191</v>
      </c>
      <c r="AJ967" s="63" t="s">
        <v>138</v>
      </c>
      <c r="AK967" s="83">
        <v>2.5</v>
      </c>
      <c r="AL967" s="63" t="s">
        <v>108</v>
      </c>
      <c r="AM967" s="63" t="s">
        <v>130</v>
      </c>
      <c r="AN967"/>
    </row>
    <row r="968" spans="1:40" ht="18" customHeight="1">
      <c r="A968" s="1" t="s">
        <v>2976</v>
      </c>
      <c r="B968" s="1" t="s">
        <v>2977</v>
      </c>
      <c r="C968" s="4">
        <v>46185</v>
      </c>
      <c r="D968" s="4">
        <v>46199</v>
      </c>
      <c r="E968" s="4">
        <v>46193</v>
      </c>
      <c r="F968" s="63" t="s">
        <v>235</v>
      </c>
      <c r="G968" s="63" t="s">
        <v>3848</v>
      </c>
      <c r="H968" s="63" t="s">
        <v>479</v>
      </c>
      <c r="I968" s="63" t="s">
        <v>61</v>
      </c>
      <c r="J968" s="63" t="s">
        <v>71</v>
      </c>
      <c r="K968" s="63" t="s">
        <v>2978</v>
      </c>
      <c r="L968" s="63" t="s">
        <v>73</v>
      </c>
      <c r="M968" s="69">
        <v>661.67</v>
      </c>
      <c r="N968" s="63" t="s">
        <v>104</v>
      </c>
      <c r="O968" s="73">
        <f>_xlfn.XLOOKUP(Supplier_Perf_Table[[#This Row],[Currency]],'Comments 2'!$C$4:$C$16,'Comments 2'!$D$4:$D$16)</f>
        <v>1.9E-2</v>
      </c>
      <c r="P968" s="69">
        <f>IFERROR(Supplier_Perf_Table[[#This Row],[Unit_Cost]]*Supplier_Perf_Table[[#This Row],[Dollar Equivalent]],"")</f>
        <v>12.571729999999999</v>
      </c>
      <c r="Q968" s="75">
        <v>150</v>
      </c>
      <c r="R968" s="1">
        <v>99250.5</v>
      </c>
      <c r="S968" s="75">
        <f>Supplier_Perf_Table[[#This Row],[Unit_Cost]]*Supplier_Perf_Table[[#This Row],[Order_Quantity]]</f>
        <v>99250.5</v>
      </c>
      <c r="T968" s="75">
        <f>IFERROR(Supplier_Perf_Table[[#This Row],[Dollar Equivalent]]*Supplier_Perf_Table[[#This Row],[Ordered_Value]],"")</f>
        <v>1885.7594999999999</v>
      </c>
      <c r="U968" s="75">
        <v>6</v>
      </c>
      <c r="V968" s="7">
        <v>0.04</v>
      </c>
      <c r="W968" s="75">
        <v>8</v>
      </c>
      <c r="X968" s="55">
        <f>IFERROR(Supplier_Perf_Table[[#This Row],[Actual_Delivery_Date]]-Supplier_Perf_Table[[#This Row],[Order Date]],"")</f>
        <v>8</v>
      </c>
      <c r="Y968" s="75">
        <v>14</v>
      </c>
      <c r="Z968" s="56">
        <f>IFERROR(Supplier_Perf_Table[[#This Row],[Expected Delivery_Date]]-Supplier_Perf_Table[[#This Row],[Order Date]],"")</f>
        <v>14</v>
      </c>
      <c r="AA968" s="56">
        <f>Supplier_Perf_Table[[#This Row],[Calculated_Lead_Time2]]-Supplier_Perf_Table[[#This Row],[Calculated_Expected_Lead_Time]]</f>
        <v>-6</v>
      </c>
      <c r="AB968" s="75">
        <v>-6</v>
      </c>
      <c r="AC968" s="63" t="s">
        <v>270</v>
      </c>
      <c r="AD968" s="63" t="s">
        <v>40</v>
      </c>
      <c r="AE968" s="63" t="s">
        <v>41</v>
      </c>
      <c r="AF968" s="63" t="s">
        <v>212</v>
      </c>
      <c r="AG968" s="63" t="s">
        <v>107</v>
      </c>
      <c r="AH968" s="63" t="s">
        <v>3112</v>
      </c>
      <c r="AI968" s="63" t="s">
        <v>138</v>
      </c>
      <c r="AJ968" s="63" t="s">
        <v>138</v>
      </c>
      <c r="AK968" s="83">
        <v>4</v>
      </c>
      <c r="AL968" s="63" t="s">
        <v>139</v>
      </c>
      <c r="AM968" s="63" t="s">
        <v>138</v>
      </c>
      <c r="AN968"/>
    </row>
    <row r="969" spans="1:40" ht="18" customHeight="1">
      <c r="A969" s="1" t="s">
        <v>2979</v>
      </c>
      <c r="B969" s="1" t="s">
        <v>2980</v>
      </c>
      <c r="C969" s="4">
        <v>46069</v>
      </c>
      <c r="D969" s="4">
        <v>46090</v>
      </c>
      <c r="E969" s="4">
        <v>46085</v>
      </c>
      <c r="F969" s="63" t="s">
        <v>235</v>
      </c>
      <c r="G969" s="63" t="s">
        <v>3848</v>
      </c>
      <c r="H969" s="63" t="s">
        <v>479</v>
      </c>
      <c r="I969" s="63" t="s">
        <v>70</v>
      </c>
      <c r="J969" s="63" t="s">
        <v>71</v>
      </c>
      <c r="K969" s="63" t="s">
        <v>2981</v>
      </c>
      <c r="L969" s="63" t="s">
        <v>337</v>
      </c>
      <c r="M969" s="69">
        <v>798.67</v>
      </c>
      <c r="N969" s="63" t="s">
        <v>86</v>
      </c>
      <c r="O969" s="73">
        <f>_xlfn.XLOOKUP(Supplier_Perf_Table[[#This Row],[Currency]],'Comments 2'!$C$4:$C$16,'Comments 2'!$D$4:$D$16)</f>
        <v>8.8999999999999996E-2</v>
      </c>
      <c r="P969" s="69">
        <f>IFERROR(Supplier_Perf_Table[[#This Row],[Unit_Cost]]*Supplier_Perf_Table[[#This Row],[Dollar Equivalent]],"")</f>
        <v>71.08162999999999</v>
      </c>
      <c r="Q969" s="75">
        <v>2000</v>
      </c>
      <c r="R969" s="1">
        <v>1597340</v>
      </c>
      <c r="S969" s="75">
        <f>Supplier_Perf_Table[[#This Row],[Unit_Cost]]*Supplier_Perf_Table[[#This Row],[Order_Quantity]]</f>
        <v>1597340</v>
      </c>
      <c r="T969" s="75">
        <f>IFERROR(Supplier_Perf_Table[[#This Row],[Dollar Equivalent]]*Supplier_Perf_Table[[#This Row],[Ordered_Value]],"")</f>
        <v>142163.25999999998</v>
      </c>
      <c r="U969" s="75">
        <v>0</v>
      </c>
      <c r="V969" s="7">
        <v>0</v>
      </c>
      <c r="W969" s="75">
        <v>16</v>
      </c>
      <c r="X969" s="55">
        <f>IFERROR(Supplier_Perf_Table[[#This Row],[Actual_Delivery_Date]]-Supplier_Perf_Table[[#This Row],[Order Date]],"")</f>
        <v>16</v>
      </c>
      <c r="Y969" s="75">
        <v>21</v>
      </c>
      <c r="Z969" s="56">
        <f>IFERROR(Supplier_Perf_Table[[#This Row],[Expected Delivery_Date]]-Supplier_Perf_Table[[#This Row],[Order Date]],"")</f>
        <v>21</v>
      </c>
      <c r="AA969" s="56">
        <f>Supplier_Perf_Table[[#This Row],[Calculated_Lead_Time2]]-Supplier_Perf_Table[[#This Row],[Calculated_Expected_Lead_Time]]</f>
        <v>-5</v>
      </c>
      <c r="AB969" s="75">
        <v>-5</v>
      </c>
      <c r="AC969" s="63" t="s">
        <v>270</v>
      </c>
      <c r="AD969" s="63" t="s">
        <v>40</v>
      </c>
      <c r="AE969" s="63" t="s">
        <v>105</v>
      </c>
      <c r="AF969" s="63" t="s">
        <v>3088</v>
      </c>
      <c r="AG969" s="63" t="s">
        <v>128</v>
      </c>
      <c r="AH969" s="63" t="s">
        <v>88</v>
      </c>
      <c r="AI969" s="63" t="s">
        <v>138</v>
      </c>
      <c r="AJ969" s="63" t="s">
        <v>138</v>
      </c>
      <c r="AK969" s="83">
        <v>4.8</v>
      </c>
      <c r="AL969" s="63" t="s">
        <v>108</v>
      </c>
      <c r="AM969" s="63" t="s">
        <v>138</v>
      </c>
      <c r="AN969"/>
    </row>
    <row r="970" spans="1:40" ht="18" customHeight="1">
      <c r="A970" s="1" t="s">
        <v>2982</v>
      </c>
      <c r="B970" s="1" t="s">
        <v>2983</v>
      </c>
      <c r="C970" s="4">
        <v>46089</v>
      </c>
      <c r="D970" s="4">
        <v>46104</v>
      </c>
      <c r="E970" s="4">
        <v>46110</v>
      </c>
      <c r="F970" s="63" t="s">
        <v>69</v>
      </c>
      <c r="G970" s="63" t="s">
        <v>3838</v>
      </c>
      <c r="H970" s="63" t="s">
        <v>194</v>
      </c>
      <c r="I970" s="63" t="s">
        <v>178</v>
      </c>
      <c r="J970" s="63" t="s">
        <v>112</v>
      </c>
      <c r="K970" s="63" t="s">
        <v>2984</v>
      </c>
      <c r="L970" s="63" t="s">
        <v>114</v>
      </c>
      <c r="M970" s="69">
        <v>328.43</v>
      </c>
      <c r="N970" s="63" t="s">
        <v>65</v>
      </c>
      <c r="O970" s="73">
        <f>_xlfn.XLOOKUP(Supplier_Perf_Table[[#This Row],[Currency]],'Comments 2'!$C$4:$C$16,'Comments 2'!$D$4:$D$16)</f>
        <v>1</v>
      </c>
      <c r="P970" s="69">
        <f>IFERROR(Supplier_Perf_Table[[#This Row],[Unit_Cost]]*Supplier_Perf_Table[[#This Row],[Dollar Equivalent]],"")</f>
        <v>328.43</v>
      </c>
      <c r="Q970" s="75">
        <v>250</v>
      </c>
      <c r="R970" s="1">
        <v>82107.5</v>
      </c>
      <c r="S970" s="75">
        <f>Supplier_Perf_Table[[#This Row],[Unit_Cost]]*Supplier_Perf_Table[[#This Row],[Order_Quantity]]</f>
        <v>82107.5</v>
      </c>
      <c r="T970" s="75">
        <f>IFERROR(Supplier_Perf_Table[[#This Row],[Dollar Equivalent]]*Supplier_Perf_Table[[#This Row],[Ordered_Value]],"")</f>
        <v>82107.5</v>
      </c>
      <c r="U970" s="75">
        <v>3</v>
      </c>
      <c r="V970" s="7">
        <v>1.2E-2</v>
      </c>
      <c r="W970" s="75">
        <v>21</v>
      </c>
      <c r="X970" s="55">
        <f>IFERROR(Supplier_Perf_Table[[#This Row],[Actual_Delivery_Date]]-Supplier_Perf_Table[[#This Row],[Order Date]],"")</f>
        <v>21</v>
      </c>
      <c r="Y970" s="75">
        <v>15</v>
      </c>
      <c r="Z970" s="56">
        <f>IFERROR(Supplier_Perf_Table[[#This Row],[Expected Delivery_Date]]-Supplier_Perf_Table[[#This Row],[Order Date]],"")</f>
        <v>15</v>
      </c>
      <c r="AA970" s="56">
        <f>Supplier_Perf_Table[[#This Row],[Calculated_Lead_Time2]]-Supplier_Perf_Table[[#This Row],[Calculated_Expected_Lead_Time]]</f>
        <v>6</v>
      </c>
      <c r="AB970" s="75">
        <v>6</v>
      </c>
      <c r="AC970" s="63" t="s">
        <v>205</v>
      </c>
      <c r="AD970" s="63" t="s">
        <v>40</v>
      </c>
      <c r="AE970" s="63" t="s">
        <v>146</v>
      </c>
      <c r="AF970" s="63" t="s">
        <v>106</v>
      </c>
      <c r="AG970" s="63" t="s">
        <v>54</v>
      </c>
      <c r="AH970" s="63" t="s">
        <v>88</v>
      </c>
      <c r="AI970" s="63" t="s">
        <v>191</v>
      </c>
      <c r="AJ970" s="63" t="s">
        <v>138</v>
      </c>
      <c r="AK970" s="83">
        <v>3.3</v>
      </c>
      <c r="AL970" s="63" t="s">
        <v>139</v>
      </c>
      <c r="AM970" s="63" t="s">
        <v>148</v>
      </c>
      <c r="AN970"/>
    </row>
    <row r="971" spans="1:40" ht="18" customHeight="1">
      <c r="A971" s="1" t="s">
        <v>2985</v>
      </c>
      <c r="B971" s="1" t="s">
        <v>2986</v>
      </c>
      <c r="C971" s="4">
        <v>46129</v>
      </c>
      <c r="D971" s="4">
        <v>46148</v>
      </c>
      <c r="E971" s="4">
        <v>46144</v>
      </c>
      <c r="F971" s="63" t="s">
        <v>90</v>
      </c>
      <c r="G971" s="63" t="s">
        <v>3840</v>
      </c>
      <c r="H971" s="63" t="s">
        <v>133</v>
      </c>
      <c r="I971" s="63" t="s">
        <v>34</v>
      </c>
      <c r="J971" s="63" t="s">
        <v>71</v>
      </c>
      <c r="K971" s="63" t="s">
        <v>2987</v>
      </c>
      <c r="L971" s="63" t="s">
        <v>553</v>
      </c>
      <c r="M971" s="69">
        <v>113.66</v>
      </c>
      <c r="N971" s="63" t="s">
        <v>159</v>
      </c>
      <c r="O971" s="73">
        <f>_xlfn.XLOOKUP(Supplier_Perf_Table[[#This Row],[Currency]],'Comments 2'!$C$4:$C$16,'Comments 2'!$D$4:$D$16)</f>
        <v>7.2999999999999996E-4</v>
      </c>
      <c r="P971" s="69">
        <f>IFERROR(Supplier_Perf_Table[[#This Row],[Unit_Cost]]*Supplier_Perf_Table[[#This Row],[Dollar Equivalent]],"")</f>
        <v>8.2971799999999998E-2</v>
      </c>
      <c r="Q971" s="75">
        <v>100</v>
      </c>
      <c r="R971" s="1">
        <v>11366</v>
      </c>
      <c r="S971" s="75">
        <f>Supplier_Perf_Table[[#This Row],[Unit_Cost]]*Supplier_Perf_Table[[#This Row],[Order_Quantity]]</f>
        <v>11366</v>
      </c>
      <c r="T971" s="75">
        <f>IFERROR(Supplier_Perf_Table[[#This Row],[Dollar Equivalent]]*Supplier_Perf_Table[[#This Row],[Ordered_Value]],"")</f>
        <v>8.2971799999999991</v>
      </c>
      <c r="U971" s="75">
        <v>3</v>
      </c>
      <c r="V971" s="7">
        <v>0.03</v>
      </c>
      <c r="W971" s="75" t="s">
        <v>3080</v>
      </c>
      <c r="X971" s="55">
        <f>IFERROR(Supplier_Perf_Table[[#This Row],[Actual_Delivery_Date]]-Supplier_Perf_Table[[#This Row],[Order Date]],"")</f>
        <v>15</v>
      </c>
      <c r="Y971" s="75">
        <v>19</v>
      </c>
      <c r="Z971" s="56">
        <f>IFERROR(Supplier_Perf_Table[[#This Row],[Expected Delivery_Date]]-Supplier_Perf_Table[[#This Row],[Order Date]],"")</f>
        <v>19</v>
      </c>
      <c r="AA971" s="56">
        <f>Supplier_Perf_Table[[#This Row],[Calculated_Lead_Time2]]-Supplier_Perf_Table[[#This Row],[Calculated_Expected_Lead_Time]]</f>
        <v>-4</v>
      </c>
      <c r="AB971" s="75">
        <v>-4</v>
      </c>
      <c r="AC971" s="63" t="s">
        <v>87</v>
      </c>
      <c r="AD971" s="63" t="s">
        <v>40</v>
      </c>
      <c r="AE971" s="63" t="s">
        <v>105</v>
      </c>
      <c r="AF971" s="63" t="s">
        <v>42</v>
      </c>
      <c r="AG971" s="63" t="s">
        <v>54</v>
      </c>
      <c r="AH971" s="63" t="s">
        <v>174</v>
      </c>
      <c r="AI971" s="63" t="s">
        <v>44</v>
      </c>
      <c r="AJ971" s="63" t="s">
        <v>138</v>
      </c>
      <c r="AK971" s="83">
        <v>3</v>
      </c>
      <c r="AL971" s="63" t="s">
        <v>76</v>
      </c>
      <c r="AM971" s="63" t="s">
        <v>138</v>
      </c>
      <c r="AN971"/>
    </row>
    <row r="972" spans="1:40" ht="18" customHeight="1">
      <c r="A972" s="1" t="s">
        <v>2988</v>
      </c>
      <c r="B972" s="1" t="s">
        <v>2989</v>
      </c>
      <c r="C972" s="4">
        <v>46143</v>
      </c>
      <c r="D972" s="4">
        <v>46156</v>
      </c>
      <c r="E972" s="4">
        <v>46154</v>
      </c>
      <c r="F972" s="63" t="s">
        <v>69</v>
      </c>
      <c r="G972" s="63" t="s">
        <v>3838</v>
      </c>
      <c r="H972" s="63" t="s">
        <v>194</v>
      </c>
      <c r="I972" s="63" t="s">
        <v>83</v>
      </c>
      <c r="J972" s="63" t="s">
        <v>35</v>
      </c>
      <c r="K972" s="63" t="s">
        <v>2990</v>
      </c>
      <c r="L972" s="63" t="s">
        <v>180</v>
      </c>
      <c r="M972" s="69">
        <v>1953.24</v>
      </c>
      <c r="N972" s="63" t="s">
        <v>3078</v>
      </c>
      <c r="O972" s="73">
        <f>_xlfn.XLOOKUP(Supplier_Perf_Table[[#This Row],[Currency]],'Comments 2'!$C$4:$C$16,'Comments 2'!$D$4:$D$16)</f>
        <v>2.7E-4</v>
      </c>
      <c r="P972" s="69">
        <f>IFERROR(Supplier_Perf_Table[[#This Row],[Unit_Cost]]*Supplier_Perf_Table[[#This Row],[Dollar Equivalent]],"")</f>
        <v>0.52737480000000003</v>
      </c>
      <c r="Q972" s="75">
        <v>1000</v>
      </c>
      <c r="R972" s="1">
        <v>1953240</v>
      </c>
      <c r="S972" s="75">
        <f>Supplier_Perf_Table[[#This Row],[Unit_Cost]]*Supplier_Perf_Table[[#This Row],[Order_Quantity]]</f>
        <v>1953240</v>
      </c>
      <c r="T972" s="75">
        <f>IFERROR(Supplier_Perf_Table[[#This Row],[Dollar Equivalent]]*Supplier_Perf_Table[[#This Row],[Ordered_Value]],"")</f>
        <v>527.37480000000005</v>
      </c>
      <c r="U972" s="75">
        <v>48</v>
      </c>
      <c r="V972" s="7">
        <v>4.8000000000000001E-2</v>
      </c>
      <c r="W972" s="75" t="s">
        <v>3080</v>
      </c>
      <c r="X972" s="55">
        <f>IFERROR(Supplier_Perf_Table[[#This Row],[Actual_Delivery_Date]]-Supplier_Perf_Table[[#This Row],[Order Date]],"")</f>
        <v>11</v>
      </c>
      <c r="Y972" s="75" t="s">
        <v>3080</v>
      </c>
      <c r="Z972" s="56">
        <f>IFERROR(Supplier_Perf_Table[[#This Row],[Expected Delivery_Date]]-Supplier_Perf_Table[[#This Row],[Order Date]],"")</f>
        <v>13</v>
      </c>
      <c r="AA972" s="56">
        <f>Supplier_Perf_Table[[#This Row],[Calculated_Lead_Time2]]-Supplier_Perf_Table[[#This Row],[Calculated_Expected_Lead_Time]]</f>
        <v>-2</v>
      </c>
      <c r="AB972" s="75">
        <v>-2</v>
      </c>
      <c r="AC972" s="63" t="s">
        <v>87</v>
      </c>
      <c r="AD972" s="63" t="s">
        <v>74</v>
      </c>
      <c r="AE972" s="63" t="s">
        <v>41</v>
      </c>
      <c r="AF972" s="63" t="s">
        <v>190</v>
      </c>
      <c r="AG972" s="63" t="s">
        <v>107</v>
      </c>
      <c r="AH972" s="63" t="s">
        <v>88</v>
      </c>
      <c r="AI972" s="63" t="s">
        <v>147</v>
      </c>
      <c r="AJ972" s="63" t="s">
        <v>183</v>
      </c>
      <c r="AK972" s="83">
        <v>2.1</v>
      </c>
      <c r="AL972" s="63" t="s">
        <v>57</v>
      </c>
      <c r="AM972" s="63" t="s">
        <v>97</v>
      </c>
      <c r="AN972"/>
    </row>
    <row r="973" spans="1:40" ht="18" customHeight="1">
      <c r="A973" s="1" t="s">
        <v>2991</v>
      </c>
      <c r="B973" s="1" t="s">
        <v>2992</v>
      </c>
      <c r="C973" s="4">
        <v>46149</v>
      </c>
      <c r="D973" s="4">
        <v>46158</v>
      </c>
      <c r="E973" s="4">
        <v>46173</v>
      </c>
      <c r="F973" s="63" t="s">
        <v>69</v>
      </c>
      <c r="G973" s="63" t="s">
        <v>3838</v>
      </c>
      <c r="H973" s="63" t="s">
        <v>194</v>
      </c>
      <c r="I973" s="63" t="s">
        <v>92</v>
      </c>
      <c r="J973" s="63" t="s">
        <v>112</v>
      </c>
      <c r="K973" s="63" t="s">
        <v>2993</v>
      </c>
      <c r="L973" s="63" t="s">
        <v>114</v>
      </c>
      <c r="M973" s="69">
        <v>28.51</v>
      </c>
      <c r="N973" s="63" t="s">
        <v>53</v>
      </c>
      <c r="O973" s="73">
        <f>_xlfn.XLOOKUP(Supplier_Perf_Table[[#This Row],[Currency]],'Comments 2'!$C$4:$C$16,'Comments 2'!$D$4:$D$16)</f>
        <v>6.0999999999999999E-2</v>
      </c>
      <c r="P973" s="69">
        <f>IFERROR(Supplier_Perf_Table[[#This Row],[Unit_Cost]]*Supplier_Perf_Table[[#This Row],[Dollar Equivalent]],"")</f>
        <v>1.7391100000000002</v>
      </c>
      <c r="Q973" s="75">
        <v>200</v>
      </c>
      <c r="R973" s="1">
        <v>0</v>
      </c>
      <c r="S973" s="75">
        <f>Supplier_Perf_Table[[#This Row],[Unit_Cost]]*Supplier_Perf_Table[[#This Row],[Order_Quantity]]</f>
        <v>5702</v>
      </c>
      <c r="T973" s="75">
        <f>IFERROR(Supplier_Perf_Table[[#This Row],[Dollar Equivalent]]*Supplier_Perf_Table[[#This Row],[Ordered_Value]],"")</f>
        <v>0</v>
      </c>
      <c r="U973" s="75">
        <v>2</v>
      </c>
      <c r="V973" s="7">
        <v>0.01</v>
      </c>
      <c r="W973" s="75">
        <v>24</v>
      </c>
      <c r="X973" s="55">
        <f>IFERROR(Supplier_Perf_Table[[#This Row],[Actual_Delivery_Date]]-Supplier_Perf_Table[[#This Row],[Order Date]],"")</f>
        <v>24</v>
      </c>
      <c r="Y973" s="75">
        <v>9</v>
      </c>
      <c r="Z973" s="56">
        <f>IFERROR(Supplier_Perf_Table[[#This Row],[Expected Delivery_Date]]-Supplier_Perf_Table[[#This Row],[Order Date]],"")</f>
        <v>9</v>
      </c>
      <c r="AA973" s="56">
        <f>Supplier_Perf_Table[[#This Row],[Calculated_Lead_Time2]]-Supplier_Perf_Table[[#This Row],[Calculated_Expected_Lead_Time]]</f>
        <v>15</v>
      </c>
      <c r="AB973" s="75">
        <v>15</v>
      </c>
      <c r="AC973" s="63" t="s">
        <v>135</v>
      </c>
      <c r="AD973" s="63" t="s">
        <v>40</v>
      </c>
      <c r="AE973" s="63" t="s">
        <v>105</v>
      </c>
      <c r="AF973" s="63" t="s">
        <v>106</v>
      </c>
      <c r="AG973" s="63" t="s">
        <v>3088</v>
      </c>
      <c r="AH973" s="63" t="s">
        <v>174</v>
      </c>
      <c r="AI973" s="63" t="s">
        <v>44</v>
      </c>
      <c r="AJ973" s="63" t="s">
        <v>138</v>
      </c>
      <c r="AK973" s="83">
        <v>1.8</v>
      </c>
      <c r="AL973" s="63" t="s">
        <v>139</v>
      </c>
      <c r="AM973" s="63" t="s">
        <v>46</v>
      </c>
      <c r="AN973"/>
    </row>
    <row r="974" spans="1:40" ht="18" customHeight="1">
      <c r="A974" s="1" t="s">
        <v>2994</v>
      </c>
      <c r="B974" s="1" t="s">
        <v>2995</v>
      </c>
      <c r="C974" s="4">
        <v>46185</v>
      </c>
      <c r="D974" s="4">
        <v>46205</v>
      </c>
      <c r="E974" s="4">
        <v>46207</v>
      </c>
      <c r="F974" s="63" t="s">
        <v>256</v>
      </c>
      <c r="G974" s="63" t="s">
        <v>3849</v>
      </c>
      <c r="H974" s="63" t="s">
        <v>258</v>
      </c>
      <c r="I974" s="63" t="s">
        <v>92</v>
      </c>
      <c r="J974" s="63" t="s">
        <v>153</v>
      </c>
      <c r="K974" s="63" t="s">
        <v>2996</v>
      </c>
      <c r="L974" s="63" t="s">
        <v>204</v>
      </c>
      <c r="M974" s="69">
        <v>849.05</v>
      </c>
      <c r="N974" s="63" t="s">
        <v>53</v>
      </c>
      <c r="O974" s="73">
        <f>_xlfn.XLOOKUP(Supplier_Perf_Table[[#This Row],[Currency]],'Comments 2'!$C$4:$C$16,'Comments 2'!$D$4:$D$16)</f>
        <v>6.0999999999999999E-2</v>
      </c>
      <c r="P974" s="69">
        <f>IFERROR(Supplier_Perf_Table[[#This Row],[Unit_Cost]]*Supplier_Perf_Table[[#This Row],[Dollar Equivalent]],"")</f>
        <v>51.792049999999996</v>
      </c>
      <c r="Q974" s="75">
        <v>1000</v>
      </c>
      <c r="R974" s="1">
        <v>849050</v>
      </c>
      <c r="S974" s="75">
        <f>Supplier_Perf_Table[[#This Row],[Unit_Cost]]*Supplier_Perf_Table[[#This Row],[Order_Quantity]]</f>
        <v>849050</v>
      </c>
      <c r="T974" s="75">
        <f>IFERROR(Supplier_Perf_Table[[#This Row],[Dollar Equivalent]]*Supplier_Perf_Table[[#This Row],[Ordered_Value]],"")</f>
        <v>51792.049999999996</v>
      </c>
      <c r="U974" s="75">
        <v>73</v>
      </c>
      <c r="V974" s="7">
        <v>7.2999999999999995E-2</v>
      </c>
      <c r="W974" s="75">
        <v>22</v>
      </c>
      <c r="X974" s="55">
        <f>IFERROR(Supplier_Perf_Table[[#This Row],[Actual_Delivery_Date]]-Supplier_Perf_Table[[#This Row],[Order Date]],"")</f>
        <v>22</v>
      </c>
      <c r="Y974" s="75">
        <v>20</v>
      </c>
      <c r="Z974" s="56">
        <f>IFERROR(Supplier_Perf_Table[[#This Row],[Expected Delivery_Date]]-Supplier_Perf_Table[[#This Row],[Order Date]],"")</f>
        <v>20</v>
      </c>
      <c r="AA974" s="56">
        <f>Supplier_Perf_Table[[#This Row],[Calculated_Lead_Time2]]-Supplier_Perf_Table[[#This Row],[Calculated_Expected_Lead_Time]]</f>
        <v>2</v>
      </c>
      <c r="AB974" s="75">
        <v>2</v>
      </c>
      <c r="AC974" s="63" t="s">
        <v>135</v>
      </c>
      <c r="AD974" s="63" t="s">
        <v>366</v>
      </c>
      <c r="AE974" s="63" t="s">
        <v>3088</v>
      </c>
      <c r="AF974" s="63" t="s">
        <v>190</v>
      </c>
      <c r="AG974" s="63" t="s">
        <v>3088</v>
      </c>
      <c r="AH974" s="63" t="s">
        <v>3112</v>
      </c>
      <c r="AI974" s="63" t="s">
        <v>44</v>
      </c>
      <c r="AJ974" s="63" t="s">
        <v>75</v>
      </c>
      <c r="AK974" s="83">
        <v>1.7</v>
      </c>
      <c r="AL974" s="63" t="s">
        <v>115</v>
      </c>
      <c r="AM974" s="63" t="s">
        <v>185</v>
      </c>
      <c r="AN974"/>
    </row>
    <row r="975" spans="1:40" ht="18" customHeight="1">
      <c r="A975" s="1" t="s">
        <v>2997</v>
      </c>
      <c r="B975" s="1" t="s">
        <v>2998</v>
      </c>
      <c r="C975" s="4">
        <v>46195</v>
      </c>
      <c r="D975" s="4">
        <v>46209</v>
      </c>
      <c r="E975" s="4">
        <v>46215</v>
      </c>
      <c r="F975" s="63" t="s">
        <v>209</v>
      </c>
      <c r="G975" s="63" t="s">
        <v>3845</v>
      </c>
      <c r="H975" s="63" t="s">
        <v>316</v>
      </c>
      <c r="I975" s="63" t="s">
        <v>61</v>
      </c>
      <c r="J975" s="63" t="s">
        <v>153</v>
      </c>
      <c r="K975" s="63" t="s">
        <v>2999</v>
      </c>
      <c r="L975" s="63" t="s">
        <v>295</v>
      </c>
      <c r="M975" s="69">
        <v>669.73</v>
      </c>
      <c r="N975" s="63" t="s">
        <v>104</v>
      </c>
      <c r="O975" s="73">
        <f>_xlfn.XLOOKUP(Supplier_Perf_Table[[#This Row],[Currency]],'Comments 2'!$C$4:$C$16,'Comments 2'!$D$4:$D$16)</f>
        <v>1.9E-2</v>
      </c>
      <c r="P975" s="69">
        <f>IFERROR(Supplier_Perf_Table[[#This Row],[Unit_Cost]]*Supplier_Perf_Table[[#This Row],[Dollar Equivalent]],"")</f>
        <v>12.724869999999999</v>
      </c>
      <c r="Q975" s="75">
        <v>1000</v>
      </c>
      <c r="R975" s="1">
        <v>669730</v>
      </c>
      <c r="S975" s="75">
        <f>Supplier_Perf_Table[[#This Row],[Unit_Cost]]*Supplier_Perf_Table[[#This Row],[Order_Quantity]]</f>
        <v>669730</v>
      </c>
      <c r="T975" s="75">
        <f>IFERROR(Supplier_Perf_Table[[#This Row],[Dollar Equivalent]]*Supplier_Perf_Table[[#This Row],[Ordered_Value]],"")</f>
        <v>12724.869999999999</v>
      </c>
      <c r="U975" s="75">
        <v>45</v>
      </c>
      <c r="V975" s="7">
        <v>4.4999999999999998E-2</v>
      </c>
      <c r="W975" s="75">
        <v>20</v>
      </c>
      <c r="X975" s="55">
        <f>IFERROR(Supplier_Perf_Table[[#This Row],[Actual_Delivery_Date]]-Supplier_Perf_Table[[#This Row],[Order Date]],"")</f>
        <v>20</v>
      </c>
      <c r="Y975" s="75" t="s">
        <v>3080</v>
      </c>
      <c r="Z975" s="56">
        <f>IFERROR(Supplier_Perf_Table[[#This Row],[Expected Delivery_Date]]-Supplier_Perf_Table[[#This Row],[Order Date]],"")</f>
        <v>14</v>
      </c>
      <c r="AA975" s="56">
        <f>Supplier_Perf_Table[[#This Row],[Calculated_Lead_Time2]]-Supplier_Perf_Table[[#This Row],[Calculated_Expected_Lead_Time]]</f>
        <v>6</v>
      </c>
      <c r="AB975" s="75">
        <v>6</v>
      </c>
      <c r="AC975" s="63" t="s">
        <v>39</v>
      </c>
      <c r="AD975" s="63" t="s">
        <v>366</v>
      </c>
      <c r="AE975" s="63" t="s">
        <v>105</v>
      </c>
      <c r="AF975" s="63" t="s">
        <v>66</v>
      </c>
      <c r="AG975" s="63" t="s">
        <v>107</v>
      </c>
      <c r="AH975" s="63" t="s">
        <v>206</v>
      </c>
      <c r="AI975" s="63" t="s">
        <v>56</v>
      </c>
      <c r="AJ975" s="63" t="s">
        <v>373</v>
      </c>
      <c r="AK975" s="83">
        <v>3</v>
      </c>
      <c r="AL975" s="63" t="s">
        <v>139</v>
      </c>
      <c r="AM975" s="63" t="s">
        <v>77</v>
      </c>
      <c r="AN975"/>
    </row>
    <row r="976" spans="1:40" ht="18" customHeight="1">
      <c r="A976" s="1" t="s">
        <v>3000</v>
      </c>
      <c r="B976" s="1" t="s">
        <v>3001</v>
      </c>
      <c r="C976" s="4">
        <v>46133</v>
      </c>
      <c r="D976" s="4">
        <v>46143</v>
      </c>
      <c r="E976" s="4">
        <v>46145</v>
      </c>
      <c r="F976" s="63" t="s">
        <v>162</v>
      </c>
      <c r="G976" s="63" t="s">
        <v>3847</v>
      </c>
      <c r="H976" s="63" t="s">
        <v>152</v>
      </c>
      <c r="I976" s="63" t="s">
        <v>178</v>
      </c>
      <c r="J976" s="63" t="s">
        <v>163</v>
      </c>
      <c r="K976" s="63" t="s">
        <v>2017</v>
      </c>
      <c r="L976" s="63" t="s">
        <v>253</v>
      </c>
      <c r="M976" s="69">
        <v>1022.14</v>
      </c>
      <c r="N976" s="63" t="s">
        <v>159</v>
      </c>
      <c r="O976" s="73">
        <f>_xlfn.XLOOKUP(Supplier_Perf_Table[[#This Row],[Currency]],'Comments 2'!$C$4:$C$16,'Comments 2'!$D$4:$D$16)</f>
        <v>7.2999999999999996E-4</v>
      </c>
      <c r="P976" s="69">
        <f>IFERROR(Supplier_Perf_Table[[#This Row],[Unit_Cost]]*Supplier_Perf_Table[[#This Row],[Dollar Equivalent]],"")</f>
        <v>0.7461622</v>
      </c>
      <c r="Q976" s="75">
        <v>200</v>
      </c>
      <c r="R976" s="1">
        <v>204428</v>
      </c>
      <c r="S976" s="75">
        <f>Supplier_Perf_Table[[#This Row],[Unit_Cost]]*Supplier_Perf_Table[[#This Row],[Order_Quantity]]</f>
        <v>204428</v>
      </c>
      <c r="T976" s="75">
        <f>IFERROR(Supplier_Perf_Table[[#This Row],[Dollar Equivalent]]*Supplier_Perf_Table[[#This Row],[Ordered_Value]],"")</f>
        <v>149.23244</v>
      </c>
      <c r="U976" s="75">
        <v>4</v>
      </c>
      <c r="V976" s="7">
        <v>0.02</v>
      </c>
      <c r="W976" s="75">
        <v>12</v>
      </c>
      <c r="X976" s="55">
        <f>IFERROR(Supplier_Perf_Table[[#This Row],[Actual_Delivery_Date]]-Supplier_Perf_Table[[#This Row],[Order Date]],"")</f>
        <v>12</v>
      </c>
      <c r="Y976" s="75">
        <v>10</v>
      </c>
      <c r="Z976" s="56">
        <f>IFERROR(Supplier_Perf_Table[[#This Row],[Expected Delivery_Date]]-Supplier_Perf_Table[[#This Row],[Order Date]],"")</f>
        <v>10</v>
      </c>
      <c r="AA976" s="56">
        <f>Supplier_Perf_Table[[#This Row],[Calculated_Lead_Time2]]-Supplier_Perf_Table[[#This Row],[Calculated_Expected_Lead_Time]]</f>
        <v>2</v>
      </c>
      <c r="AB976" s="75">
        <v>2</v>
      </c>
      <c r="AC976" s="63" t="s">
        <v>135</v>
      </c>
      <c r="AD976" s="63" t="s">
        <v>40</v>
      </c>
      <c r="AE976" s="63" t="s">
        <v>41</v>
      </c>
      <c r="AF976" s="63" t="s">
        <v>212</v>
      </c>
      <c r="AG976" s="63" t="s">
        <v>43</v>
      </c>
      <c r="AH976" s="63" t="s">
        <v>206</v>
      </c>
      <c r="AI976" s="63" t="s">
        <v>137</v>
      </c>
      <c r="AJ976" s="63" t="s">
        <v>138</v>
      </c>
      <c r="AK976" s="83">
        <v>4.2</v>
      </c>
      <c r="AL976" s="63" t="s">
        <v>139</v>
      </c>
      <c r="AM976" s="63" t="s">
        <v>46</v>
      </c>
      <c r="AN976"/>
    </row>
    <row r="977" spans="1:40" ht="18" customHeight="1">
      <c r="A977" s="1" t="s">
        <v>3002</v>
      </c>
      <c r="B977" s="1" t="s">
        <v>3003</v>
      </c>
      <c r="C977" s="4">
        <v>46049</v>
      </c>
      <c r="D977" s="4">
        <v>46064</v>
      </c>
      <c r="E977" s="4">
        <v>46078</v>
      </c>
      <c r="F977" s="63" t="s">
        <v>235</v>
      </c>
      <c r="G977" s="63" t="s">
        <v>3848</v>
      </c>
      <c r="H977" s="63" t="s">
        <v>479</v>
      </c>
      <c r="I977" s="63" t="s">
        <v>34</v>
      </c>
      <c r="J977" s="63" t="s">
        <v>71</v>
      </c>
      <c r="K977" s="63" t="s">
        <v>3004</v>
      </c>
      <c r="L977" s="63" t="s">
        <v>553</v>
      </c>
      <c r="M977" s="69">
        <v>55.59</v>
      </c>
      <c r="N977" s="63" t="s">
        <v>38</v>
      </c>
      <c r="O977" s="73">
        <f>_xlfn.XLOOKUP(Supplier_Perf_Table[[#This Row],[Currency]],'Comments 2'!$C$4:$C$16,'Comments 2'!$D$4:$D$16)</f>
        <v>7.7000000000000002E-3</v>
      </c>
      <c r="P977" s="69">
        <f>IFERROR(Supplier_Perf_Table[[#This Row],[Unit_Cost]]*Supplier_Perf_Table[[#This Row],[Dollar Equivalent]],"")</f>
        <v>0.42804300000000006</v>
      </c>
      <c r="Q977" s="75">
        <v>50</v>
      </c>
      <c r="R977" s="1">
        <v>2779.5</v>
      </c>
      <c r="S977" s="75">
        <f>Supplier_Perf_Table[[#This Row],[Unit_Cost]]*Supplier_Perf_Table[[#This Row],[Order_Quantity]]</f>
        <v>2779.5</v>
      </c>
      <c r="T977" s="75">
        <f>IFERROR(Supplier_Perf_Table[[#This Row],[Dollar Equivalent]]*Supplier_Perf_Table[[#This Row],[Ordered_Value]],"")</f>
        <v>21.402150000000002</v>
      </c>
      <c r="U977" s="75">
        <v>2</v>
      </c>
      <c r="V977" s="7">
        <v>0.04</v>
      </c>
      <c r="W977" s="75">
        <v>29</v>
      </c>
      <c r="X977" s="55">
        <f>IFERROR(Supplier_Perf_Table[[#This Row],[Actual_Delivery_Date]]-Supplier_Perf_Table[[#This Row],[Order Date]],"")</f>
        <v>29</v>
      </c>
      <c r="Y977" s="75">
        <v>15</v>
      </c>
      <c r="Z977" s="56">
        <f>IFERROR(Supplier_Perf_Table[[#This Row],[Expected Delivery_Date]]-Supplier_Perf_Table[[#This Row],[Order Date]],"")</f>
        <v>15</v>
      </c>
      <c r="AA977" s="56">
        <f>Supplier_Perf_Table[[#This Row],[Calculated_Lead_Time2]]-Supplier_Perf_Table[[#This Row],[Calculated_Expected_Lead_Time]]</f>
        <v>14</v>
      </c>
      <c r="AB977" s="75">
        <v>14</v>
      </c>
      <c r="AC977" s="63" t="s">
        <v>135</v>
      </c>
      <c r="AD977" s="63" t="s">
        <v>40</v>
      </c>
      <c r="AE977" s="63" t="s">
        <v>127</v>
      </c>
      <c r="AF977" s="63" t="s">
        <v>42</v>
      </c>
      <c r="AG977" s="63" t="s">
        <v>43</v>
      </c>
      <c r="AH977" s="63" t="s">
        <v>3112</v>
      </c>
      <c r="AI977" s="63" t="s">
        <v>95</v>
      </c>
      <c r="AJ977" s="63" t="s">
        <v>138</v>
      </c>
      <c r="AK977" s="83">
        <v>1.5</v>
      </c>
      <c r="AL977" s="63" t="s">
        <v>45</v>
      </c>
      <c r="AM977" s="63" t="s">
        <v>148</v>
      </c>
      <c r="AN977"/>
    </row>
    <row r="978" spans="1:40" ht="18" customHeight="1">
      <c r="A978" s="1" t="s">
        <v>3005</v>
      </c>
      <c r="B978" s="1" t="s">
        <v>3006</v>
      </c>
      <c r="C978" s="4">
        <v>46083</v>
      </c>
      <c r="D978" s="4">
        <v>46100</v>
      </c>
      <c r="E978" s="4">
        <v>46104</v>
      </c>
      <c r="F978" s="63" t="s">
        <v>80</v>
      </c>
      <c r="G978" s="63" t="s">
        <v>3839</v>
      </c>
      <c r="H978" s="63" t="s">
        <v>82</v>
      </c>
      <c r="I978" s="63" t="s">
        <v>49</v>
      </c>
      <c r="J978" s="63" t="s">
        <v>35</v>
      </c>
      <c r="K978" s="63" t="s">
        <v>3007</v>
      </c>
      <c r="L978" s="63" t="s">
        <v>85</v>
      </c>
      <c r="M978" s="69">
        <v>3414.9</v>
      </c>
      <c r="N978" s="63" t="s">
        <v>159</v>
      </c>
      <c r="O978" s="73">
        <f>_xlfn.XLOOKUP(Supplier_Perf_Table[[#This Row],[Currency]],'Comments 2'!$C$4:$C$16,'Comments 2'!$D$4:$D$16)</f>
        <v>7.2999999999999996E-4</v>
      </c>
      <c r="P978" s="69">
        <f>IFERROR(Supplier_Perf_Table[[#This Row],[Unit_Cost]]*Supplier_Perf_Table[[#This Row],[Dollar Equivalent]],"")</f>
        <v>2.492877</v>
      </c>
      <c r="Q978" s="75">
        <v>750</v>
      </c>
      <c r="R978" s="1">
        <v>2561175</v>
      </c>
      <c r="S978" s="75">
        <f>Supplier_Perf_Table[[#This Row],[Unit_Cost]]*Supplier_Perf_Table[[#This Row],[Order_Quantity]]</f>
        <v>2561175</v>
      </c>
      <c r="T978" s="75">
        <f>IFERROR(Supplier_Perf_Table[[#This Row],[Dollar Equivalent]]*Supplier_Perf_Table[[#This Row],[Ordered_Value]],"")</f>
        <v>1869.6577499999999</v>
      </c>
      <c r="U978" s="75">
        <v>24</v>
      </c>
      <c r="V978" s="7">
        <v>3.2000000000000001E-2</v>
      </c>
      <c r="W978" s="75">
        <v>21</v>
      </c>
      <c r="X978" s="55">
        <f>IFERROR(Supplier_Perf_Table[[#This Row],[Actual_Delivery_Date]]-Supplier_Perf_Table[[#This Row],[Order Date]],"")</f>
        <v>21</v>
      </c>
      <c r="Y978" s="75">
        <v>17</v>
      </c>
      <c r="Z978" s="56">
        <f>IFERROR(Supplier_Perf_Table[[#This Row],[Expected Delivery_Date]]-Supplier_Perf_Table[[#This Row],[Order Date]],"")</f>
        <v>17</v>
      </c>
      <c r="AA978" s="56">
        <f>Supplier_Perf_Table[[#This Row],[Calculated_Lead_Time2]]-Supplier_Perf_Table[[#This Row],[Calculated_Expected_Lead_Time]]</f>
        <v>4</v>
      </c>
      <c r="AB978" s="75">
        <v>4</v>
      </c>
      <c r="AC978" s="63" t="s">
        <v>205</v>
      </c>
      <c r="AD978" s="63" t="s">
        <v>40</v>
      </c>
      <c r="AE978" s="63" t="s">
        <v>41</v>
      </c>
      <c r="AF978" s="63" t="s">
        <v>212</v>
      </c>
      <c r="AG978" s="63" t="s">
        <v>43</v>
      </c>
      <c r="AH978" s="63" t="s">
        <v>136</v>
      </c>
      <c r="AI978" s="63" t="s">
        <v>44</v>
      </c>
      <c r="AJ978" s="63" t="s">
        <v>138</v>
      </c>
      <c r="AK978" s="83">
        <v>3.4</v>
      </c>
      <c r="AL978" s="63" t="s">
        <v>76</v>
      </c>
      <c r="AM978" s="63" t="s">
        <v>46</v>
      </c>
      <c r="AN978"/>
    </row>
    <row r="979" spans="1:40" ht="18" customHeight="1">
      <c r="A979" s="1" t="s">
        <v>3008</v>
      </c>
      <c r="B979" s="1" t="s">
        <v>3009</v>
      </c>
      <c r="C979" s="4">
        <v>46132</v>
      </c>
      <c r="D979" s="4">
        <v>46138</v>
      </c>
      <c r="E979" s="4">
        <v>46140</v>
      </c>
      <c r="F979" s="63" t="s">
        <v>209</v>
      </c>
      <c r="G979" s="63" t="s">
        <v>3845</v>
      </c>
      <c r="H979" s="63" t="s">
        <v>133</v>
      </c>
      <c r="I979" s="63" t="s">
        <v>34</v>
      </c>
      <c r="J979" s="63" t="s">
        <v>62</v>
      </c>
      <c r="K979" s="63" t="s">
        <v>3010</v>
      </c>
      <c r="L979" s="63" t="s">
        <v>225</v>
      </c>
      <c r="M979" s="69">
        <v>839.91</v>
      </c>
      <c r="N979" s="63" t="s">
        <v>104</v>
      </c>
      <c r="O979" s="73">
        <f>_xlfn.XLOOKUP(Supplier_Perf_Table[[#This Row],[Currency]],'Comments 2'!$C$4:$C$16,'Comments 2'!$D$4:$D$16)</f>
        <v>1.9E-2</v>
      </c>
      <c r="P979" s="69">
        <f>IFERROR(Supplier_Perf_Table[[#This Row],[Unit_Cost]]*Supplier_Perf_Table[[#This Row],[Dollar Equivalent]],"")</f>
        <v>15.95829</v>
      </c>
      <c r="Q979" s="75">
        <v>75</v>
      </c>
      <c r="R979" s="1">
        <v>62993.25</v>
      </c>
      <c r="S979" s="75">
        <f>Supplier_Perf_Table[[#This Row],[Unit_Cost]]*Supplier_Perf_Table[[#This Row],[Order_Quantity]]</f>
        <v>62993.25</v>
      </c>
      <c r="T979" s="75">
        <f>IFERROR(Supplier_Perf_Table[[#This Row],[Dollar Equivalent]]*Supplier_Perf_Table[[#This Row],[Ordered_Value]],"")</f>
        <v>1196.87175</v>
      </c>
      <c r="U979" s="75">
        <v>2</v>
      </c>
      <c r="V979" s="7">
        <v>2.6700000000000002E-2</v>
      </c>
      <c r="W979" s="75">
        <v>8</v>
      </c>
      <c r="X979" s="55">
        <f>IFERROR(Supplier_Perf_Table[[#This Row],[Actual_Delivery_Date]]-Supplier_Perf_Table[[#This Row],[Order Date]],"")</f>
        <v>8</v>
      </c>
      <c r="Y979" s="75">
        <v>6</v>
      </c>
      <c r="Z979" s="56">
        <f>IFERROR(Supplier_Perf_Table[[#This Row],[Expected Delivery_Date]]-Supplier_Perf_Table[[#This Row],[Order Date]],"")</f>
        <v>6</v>
      </c>
      <c r="AA979" s="56">
        <f>Supplier_Perf_Table[[#This Row],[Calculated_Lead_Time2]]-Supplier_Perf_Table[[#This Row],[Calculated_Expected_Lead_Time]]</f>
        <v>2</v>
      </c>
      <c r="AB979" s="75">
        <v>2</v>
      </c>
      <c r="AC979" s="63" t="s">
        <v>135</v>
      </c>
      <c r="AD979" s="63" t="s">
        <v>40</v>
      </c>
      <c r="AE979" s="63" t="s">
        <v>41</v>
      </c>
      <c r="AF979" s="63" t="s">
        <v>106</v>
      </c>
      <c r="AG979" s="63" t="s">
        <v>54</v>
      </c>
      <c r="AH979" s="63" t="s">
        <v>129</v>
      </c>
      <c r="AI979" s="63" t="s">
        <v>191</v>
      </c>
      <c r="AJ979" s="63" t="s">
        <v>138</v>
      </c>
      <c r="AK979" s="83">
        <v>3.8</v>
      </c>
      <c r="AL979" s="63" t="s">
        <v>57</v>
      </c>
      <c r="AM979" s="63" t="s">
        <v>46</v>
      </c>
      <c r="AN979"/>
    </row>
    <row r="980" spans="1:40" ht="18" customHeight="1">
      <c r="A980" s="1" t="s">
        <v>3011</v>
      </c>
      <c r="B980" s="1" t="s">
        <v>3012</v>
      </c>
      <c r="C980" s="4">
        <v>46124</v>
      </c>
      <c r="D980" s="4">
        <v>46129</v>
      </c>
      <c r="E980" s="4">
        <v>46142</v>
      </c>
      <c r="F980" s="63" t="s">
        <v>162</v>
      </c>
      <c r="G980" s="63" t="s">
        <v>3847</v>
      </c>
      <c r="H980" s="63" t="s">
        <v>152</v>
      </c>
      <c r="I980" s="63" t="s">
        <v>83</v>
      </c>
      <c r="J980" s="63" t="s">
        <v>163</v>
      </c>
      <c r="K980" s="63" t="s">
        <v>796</v>
      </c>
      <c r="L980" s="63" t="s">
        <v>269</v>
      </c>
      <c r="M980" s="69">
        <v>1196.01</v>
      </c>
      <c r="N980" s="63" t="s">
        <v>159</v>
      </c>
      <c r="O980" s="73">
        <f>_xlfn.XLOOKUP(Supplier_Perf_Table[[#This Row],[Currency]],'Comments 2'!$C$4:$C$16,'Comments 2'!$D$4:$D$16)</f>
        <v>7.2999999999999996E-4</v>
      </c>
      <c r="P980" s="69">
        <f>IFERROR(Supplier_Perf_Table[[#This Row],[Unit_Cost]]*Supplier_Perf_Table[[#This Row],[Dollar Equivalent]],"")</f>
        <v>0.8730872999999999</v>
      </c>
      <c r="Q980" s="75">
        <v>750</v>
      </c>
      <c r="R980" s="1">
        <v>897007.5</v>
      </c>
      <c r="S980" s="75">
        <f>Supplier_Perf_Table[[#This Row],[Unit_Cost]]*Supplier_Perf_Table[[#This Row],[Order_Quantity]]</f>
        <v>897007.5</v>
      </c>
      <c r="T980" s="75">
        <f>IFERROR(Supplier_Perf_Table[[#This Row],[Dollar Equivalent]]*Supplier_Perf_Table[[#This Row],[Ordered_Value]],"")</f>
        <v>654.81547499999999</v>
      </c>
      <c r="U980" s="75">
        <v>0</v>
      </c>
      <c r="V980" s="7">
        <v>0</v>
      </c>
      <c r="W980" s="75">
        <v>18</v>
      </c>
      <c r="X980" s="55">
        <f>IFERROR(Supplier_Perf_Table[[#This Row],[Actual_Delivery_Date]]-Supplier_Perf_Table[[#This Row],[Order Date]],"")</f>
        <v>18</v>
      </c>
      <c r="Y980" s="75">
        <v>5</v>
      </c>
      <c r="Z980" s="56">
        <f>IFERROR(Supplier_Perf_Table[[#This Row],[Expected Delivery_Date]]-Supplier_Perf_Table[[#This Row],[Order Date]],"")</f>
        <v>5</v>
      </c>
      <c r="AA980" s="56">
        <f>Supplier_Perf_Table[[#This Row],[Calculated_Lead_Time2]]-Supplier_Perf_Table[[#This Row],[Calculated_Expected_Lead_Time]]</f>
        <v>13</v>
      </c>
      <c r="AB980" s="75">
        <v>13</v>
      </c>
      <c r="AC980" s="63" t="s">
        <v>135</v>
      </c>
      <c r="AD980" s="63" t="s">
        <v>40</v>
      </c>
      <c r="AE980" s="63" t="s">
        <v>41</v>
      </c>
      <c r="AF980" s="63" t="s">
        <v>3088</v>
      </c>
      <c r="AG980" s="63" t="s">
        <v>107</v>
      </c>
      <c r="AH980" s="63" t="s">
        <v>3112</v>
      </c>
      <c r="AI980" s="63" t="s">
        <v>95</v>
      </c>
      <c r="AJ980" s="63" t="s">
        <v>138</v>
      </c>
      <c r="AK980" s="83">
        <v>2.2999999999999998</v>
      </c>
      <c r="AL980" s="63" t="s">
        <v>184</v>
      </c>
      <c r="AM980" s="63" t="s">
        <v>46</v>
      </c>
      <c r="AN980"/>
    </row>
    <row r="981" spans="1:40" ht="18" customHeight="1">
      <c r="A981" s="1" t="s">
        <v>3013</v>
      </c>
      <c r="B981" s="1" t="s">
        <v>3014</v>
      </c>
      <c r="C981" s="4">
        <v>46140</v>
      </c>
      <c r="D981" s="4">
        <v>46160</v>
      </c>
      <c r="E981" s="4">
        <v>46165</v>
      </c>
      <c r="F981" s="63" t="s">
        <v>32</v>
      </c>
      <c r="G981" s="63" t="s">
        <v>3835</v>
      </c>
      <c r="H981" s="63" t="s">
        <v>177</v>
      </c>
      <c r="I981" s="63" t="s">
        <v>70</v>
      </c>
      <c r="J981" s="63" t="s">
        <v>35</v>
      </c>
      <c r="K981" s="63" t="s">
        <v>3015</v>
      </c>
      <c r="L981" s="63" t="s">
        <v>85</v>
      </c>
      <c r="M981" s="69">
        <v>2816.82</v>
      </c>
      <c r="N981" s="63" t="s">
        <v>38</v>
      </c>
      <c r="O981" s="73">
        <f>_xlfn.XLOOKUP(Supplier_Perf_Table[[#This Row],[Currency]],'Comments 2'!$C$4:$C$16,'Comments 2'!$D$4:$D$16)</f>
        <v>7.7000000000000002E-3</v>
      </c>
      <c r="P981" s="69">
        <f>IFERROR(Supplier_Perf_Table[[#This Row],[Unit_Cost]]*Supplier_Perf_Table[[#This Row],[Dollar Equivalent]],"")</f>
        <v>21.689514000000003</v>
      </c>
      <c r="Q981" s="75">
        <v>200</v>
      </c>
      <c r="R981" s="1">
        <v>563364</v>
      </c>
      <c r="S981" s="75">
        <f>Supplier_Perf_Table[[#This Row],[Unit_Cost]]*Supplier_Perf_Table[[#This Row],[Order_Quantity]]</f>
        <v>563364</v>
      </c>
      <c r="T981" s="75">
        <f>IFERROR(Supplier_Perf_Table[[#This Row],[Dollar Equivalent]]*Supplier_Perf_Table[[#This Row],[Ordered_Value]],"")</f>
        <v>4337.9027999999998</v>
      </c>
      <c r="U981" s="75">
        <v>0</v>
      </c>
      <c r="V981" s="7">
        <v>0</v>
      </c>
      <c r="W981" s="75">
        <v>25</v>
      </c>
      <c r="X981" s="55">
        <f>IFERROR(Supplier_Perf_Table[[#This Row],[Actual_Delivery_Date]]-Supplier_Perf_Table[[#This Row],[Order Date]],"")</f>
        <v>25</v>
      </c>
      <c r="Y981" s="75">
        <v>20</v>
      </c>
      <c r="Z981" s="56">
        <f>IFERROR(Supplier_Perf_Table[[#This Row],[Expected Delivery_Date]]-Supplier_Perf_Table[[#This Row],[Order Date]],"")</f>
        <v>20</v>
      </c>
      <c r="AA981" s="56">
        <f>Supplier_Perf_Table[[#This Row],[Calculated_Lead_Time2]]-Supplier_Perf_Table[[#This Row],[Calculated_Expected_Lead_Time]]</f>
        <v>5</v>
      </c>
      <c r="AB981" s="75">
        <v>5</v>
      </c>
      <c r="AC981" s="63" t="s">
        <v>135</v>
      </c>
      <c r="AD981" s="63" t="s">
        <v>40</v>
      </c>
      <c r="AE981" s="63" t="s">
        <v>3088</v>
      </c>
      <c r="AF981" s="63" t="s">
        <v>42</v>
      </c>
      <c r="AG981" s="63" t="s">
        <v>43</v>
      </c>
      <c r="AH981" s="63" t="s">
        <v>129</v>
      </c>
      <c r="AI981" s="63" t="s">
        <v>44</v>
      </c>
      <c r="AJ981" s="63" t="s">
        <v>138</v>
      </c>
      <c r="AK981" s="83">
        <v>4</v>
      </c>
      <c r="AL981" s="63" t="s">
        <v>57</v>
      </c>
      <c r="AM981" s="63" t="s">
        <v>148</v>
      </c>
      <c r="AN981"/>
    </row>
    <row r="982" spans="1:40" ht="18" customHeight="1">
      <c r="A982" s="1" t="s">
        <v>3016</v>
      </c>
      <c r="B982" s="1" t="s">
        <v>3017</v>
      </c>
      <c r="C982" s="4">
        <v>46051</v>
      </c>
      <c r="D982" s="4">
        <v>46066</v>
      </c>
      <c r="E982" s="4">
        <v>46068</v>
      </c>
      <c r="F982" s="63" t="s">
        <v>235</v>
      </c>
      <c r="G982" s="63" t="s">
        <v>3848</v>
      </c>
      <c r="H982" s="63" t="s">
        <v>479</v>
      </c>
      <c r="I982" s="63" t="s">
        <v>61</v>
      </c>
      <c r="J982" s="63" t="s">
        <v>71</v>
      </c>
      <c r="K982" s="63" t="s">
        <v>3018</v>
      </c>
      <c r="L982" s="63" t="s">
        <v>238</v>
      </c>
      <c r="M982" s="69">
        <v>725.34</v>
      </c>
      <c r="N982" s="63" t="s">
        <v>53</v>
      </c>
      <c r="O982" s="73">
        <f>_xlfn.XLOOKUP(Supplier_Perf_Table[[#This Row],[Currency]],'Comments 2'!$C$4:$C$16,'Comments 2'!$D$4:$D$16)</f>
        <v>6.0999999999999999E-2</v>
      </c>
      <c r="P982" s="69">
        <f>IFERROR(Supplier_Perf_Table[[#This Row],[Unit_Cost]]*Supplier_Perf_Table[[#This Row],[Dollar Equivalent]],"")</f>
        <v>44.245739999999998</v>
      </c>
      <c r="Q982" s="75">
        <v>1000</v>
      </c>
      <c r="R982" s="1">
        <v>725340</v>
      </c>
      <c r="S982" s="75">
        <f>Supplier_Perf_Table[[#This Row],[Unit_Cost]]*Supplier_Perf_Table[[#This Row],[Order_Quantity]]</f>
        <v>725340</v>
      </c>
      <c r="T982" s="75">
        <f>IFERROR(Supplier_Perf_Table[[#This Row],[Dollar Equivalent]]*Supplier_Perf_Table[[#This Row],[Ordered_Value]],"")</f>
        <v>44245.74</v>
      </c>
      <c r="U982" s="75">
        <v>32</v>
      </c>
      <c r="V982" s="7">
        <v>3.2000000000000001E-2</v>
      </c>
      <c r="W982" s="75">
        <v>17</v>
      </c>
      <c r="X982" s="55">
        <f>IFERROR(Supplier_Perf_Table[[#This Row],[Actual_Delivery_Date]]-Supplier_Perf_Table[[#This Row],[Order Date]],"")</f>
        <v>17</v>
      </c>
      <c r="Y982" s="75">
        <v>15</v>
      </c>
      <c r="Z982" s="56">
        <f>IFERROR(Supplier_Perf_Table[[#This Row],[Expected Delivery_Date]]-Supplier_Perf_Table[[#This Row],[Order Date]],"")</f>
        <v>15</v>
      </c>
      <c r="AA982" s="56">
        <f>Supplier_Perf_Table[[#This Row],[Calculated_Lead_Time2]]-Supplier_Perf_Table[[#This Row],[Calculated_Expected_Lead_Time]]</f>
        <v>2</v>
      </c>
      <c r="AB982" s="75">
        <v>2</v>
      </c>
      <c r="AC982" s="63" t="s">
        <v>135</v>
      </c>
      <c r="AD982" s="63" t="s">
        <v>3088</v>
      </c>
      <c r="AE982" s="63" t="s">
        <v>105</v>
      </c>
      <c r="AF982" s="63" t="s">
        <v>212</v>
      </c>
      <c r="AG982" s="63" t="s">
        <v>54</v>
      </c>
      <c r="AH982" s="63" t="s">
        <v>55</v>
      </c>
      <c r="AI982" s="63" t="s">
        <v>147</v>
      </c>
      <c r="AJ982" s="63" t="s">
        <v>138</v>
      </c>
      <c r="AK982" s="83">
        <v>4.7</v>
      </c>
      <c r="AL982" s="63" t="s">
        <v>57</v>
      </c>
      <c r="AM982" s="63" t="s">
        <v>46</v>
      </c>
      <c r="AN982"/>
    </row>
    <row r="983" spans="1:40" ht="18" customHeight="1">
      <c r="A983" s="1" t="s">
        <v>3019</v>
      </c>
      <c r="B983" s="1" t="s">
        <v>3020</v>
      </c>
      <c r="C983" s="4">
        <v>46140</v>
      </c>
      <c r="D983" s="4">
        <v>46146</v>
      </c>
      <c r="E983" s="4">
        <v>46147</v>
      </c>
      <c r="F983" s="63" t="s">
        <v>151</v>
      </c>
      <c r="G983" s="63" t="s">
        <v>3844</v>
      </c>
      <c r="H983" s="63" t="s">
        <v>152</v>
      </c>
      <c r="I983" s="63" t="s">
        <v>120</v>
      </c>
      <c r="J983" s="63" t="s">
        <v>112</v>
      </c>
      <c r="K983" s="63" t="s">
        <v>3021</v>
      </c>
      <c r="L983" s="63" t="s">
        <v>114</v>
      </c>
      <c r="M983" s="69">
        <v>693.11</v>
      </c>
      <c r="N983" s="63" t="s">
        <v>65</v>
      </c>
      <c r="O983" s="73">
        <f>_xlfn.XLOOKUP(Supplier_Perf_Table[[#This Row],[Currency]],'Comments 2'!$C$4:$C$16,'Comments 2'!$D$4:$D$16)</f>
        <v>1</v>
      </c>
      <c r="P983" s="69">
        <f>IFERROR(Supplier_Perf_Table[[#This Row],[Unit_Cost]]*Supplier_Perf_Table[[#This Row],[Dollar Equivalent]],"")</f>
        <v>693.11</v>
      </c>
      <c r="Q983" s="75">
        <v>200</v>
      </c>
      <c r="R983" s="1">
        <v>138622</v>
      </c>
      <c r="S983" s="75">
        <f>Supplier_Perf_Table[[#This Row],[Unit_Cost]]*Supplier_Perf_Table[[#This Row],[Order_Quantity]]</f>
        <v>138622</v>
      </c>
      <c r="T983" s="75">
        <f>IFERROR(Supplier_Perf_Table[[#This Row],[Dollar Equivalent]]*Supplier_Perf_Table[[#This Row],[Ordered_Value]],"")</f>
        <v>138622</v>
      </c>
      <c r="U983" s="75">
        <v>0</v>
      </c>
      <c r="V983" s="7">
        <v>0</v>
      </c>
      <c r="W983" s="75">
        <v>7</v>
      </c>
      <c r="X983" s="55">
        <f>IFERROR(Supplier_Perf_Table[[#This Row],[Actual_Delivery_Date]]-Supplier_Perf_Table[[#This Row],[Order Date]],"")</f>
        <v>7</v>
      </c>
      <c r="Y983" s="75">
        <v>6</v>
      </c>
      <c r="Z983" s="56">
        <f>IFERROR(Supplier_Perf_Table[[#This Row],[Expected Delivery_Date]]-Supplier_Perf_Table[[#This Row],[Order Date]],"")</f>
        <v>6</v>
      </c>
      <c r="AA983" s="56">
        <f>Supplier_Perf_Table[[#This Row],[Calculated_Lead_Time2]]-Supplier_Perf_Table[[#This Row],[Calculated_Expected_Lead_Time]]</f>
        <v>1</v>
      </c>
      <c r="AB983" s="75">
        <v>1</v>
      </c>
      <c r="AC983" s="63" t="s">
        <v>135</v>
      </c>
      <c r="AD983" s="63" t="s">
        <v>40</v>
      </c>
      <c r="AE983" s="63" t="s">
        <v>105</v>
      </c>
      <c r="AF983" s="63" t="s">
        <v>106</v>
      </c>
      <c r="AG983" s="63" t="s">
        <v>43</v>
      </c>
      <c r="AH983" s="63" t="s">
        <v>88</v>
      </c>
      <c r="AI983" s="63" t="s">
        <v>95</v>
      </c>
      <c r="AJ983" s="63" t="s">
        <v>138</v>
      </c>
      <c r="AK983" s="83">
        <v>3.4</v>
      </c>
      <c r="AL983" s="63" t="s">
        <v>76</v>
      </c>
      <c r="AM983" s="63" t="s">
        <v>46</v>
      </c>
      <c r="AN983"/>
    </row>
    <row r="984" spans="1:40" ht="18" customHeight="1">
      <c r="A984" s="1" t="s">
        <v>3022</v>
      </c>
      <c r="B984" s="1" t="s">
        <v>3023</v>
      </c>
      <c r="C984" s="4">
        <v>46109</v>
      </c>
      <c r="D984" s="4">
        <v>46133</v>
      </c>
      <c r="E984" s="4">
        <v>46119</v>
      </c>
      <c r="F984" s="63" t="s">
        <v>90</v>
      </c>
      <c r="G984" s="63" t="s">
        <v>3840</v>
      </c>
      <c r="H984" s="63" t="s">
        <v>133</v>
      </c>
      <c r="I984" s="63" t="s">
        <v>83</v>
      </c>
      <c r="J984" s="63" t="s">
        <v>71</v>
      </c>
      <c r="K984" s="63" t="s">
        <v>3024</v>
      </c>
      <c r="L984" s="63" t="s">
        <v>337</v>
      </c>
      <c r="M984" s="69">
        <v>611.08000000000004</v>
      </c>
      <c r="N984" s="63" t="s">
        <v>159</v>
      </c>
      <c r="O984" s="73">
        <f>_xlfn.XLOOKUP(Supplier_Perf_Table[[#This Row],[Currency]],'Comments 2'!$C$4:$C$16,'Comments 2'!$D$4:$D$16)</f>
        <v>7.2999999999999996E-4</v>
      </c>
      <c r="P984" s="69">
        <f>IFERROR(Supplier_Perf_Table[[#This Row],[Unit_Cost]]*Supplier_Perf_Table[[#This Row],[Dollar Equivalent]],"")</f>
        <v>0.4460884</v>
      </c>
      <c r="Q984" s="75">
        <v>50</v>
      </c>
      <c r="R984" s="1">
        <v>30554</v>
      </c>
      <c r="S984" s="75">
        <f>Supplier_Perf_Table[[#This Row],[Unit_Cost]]*Supplier_Perf_Table[[#This Row],[Order_Quantity]]</f>
        <v>30554.000000000004</v>
      </c>
      <c r="T984" s="75">
        <f>IFERROR(Supplier_Perf_Table[[#This Row],[Dollar Equivalent]]*Supplier_Perf_Table[[#This Row],[Ordered_Value]],"")</f>
        <v>22.30442</v>
      </c>
      <c r="U984" s="75">
        <v>0</v>
      </c>
      <c r="V984" s="7">
        <v>0</v>
      </c>
      <c r="W984" s="75">
        <v>10</v>
      </c>
      <c r="X984" s="55">
        <f>IFERROR(Supplier_Perf_Table[[#This Row],[Actual_Delivery_Date]]-Supplier_Perf_Table[[#This Row],[Order Date]],"")</f>
        <v>10</v>
      </c>
      <c r="Y984" s="75">
        <v>24</v>
      </c>
      <c r="Z984" s="56">
        <f>IFERROR(Supplier_Perf_Table[[#This Row],[Expected Delivery_Date]]-Supplier_Perf_Table[[#This Row],[Order Date]],"")</f>
        <v>24</v>
      </c>
      <c r="AA984" s="56">
        <f>Supplier_Perf_Table[[#This Row],[Calculated_Lead_Time2]]-Supplier_Perf_Table[[#This Row],[Calculated_Expected_Lead_Time]]</f>
        <v>-14</v>
      </c>
      <c r="AB984" s="75">
        <v>-14</v>
      </c>
      <c r="AC984" s="63" t="s">
        <v>270</v>
      </c>
      <c r="AD984" s="63" t="s">
        <v>40</v>
      </c>
      <c r="AE984" s="63" t="s">
        <v>127</v>
      </c>
      <c r="AF984" s="63" t="s">
        <v>106</v>
      </c>
      <c r="AG984" s="63" t="s">
        <v>173</v>
      </c>
      <c r="AH984" s="63" t="s">
        <v>206</v>
      </c>
      <c r="AI984" s="63" t="s">
        <v>56</v>
      </c>
      <c r="AJ984" s="63" t="s">
        <v>138</v>
      </c>
      <c r="AK984" s="83">
        <v>4.0999999999999996</v>
      </c>
      <c r="AL984" s="63" t="s">
        <v>57</v>
      </c>
      <c r="AM984" s="63" t="s">
        <v>130</v>
      </c>
      <c r="AN984"/>
    </row>
    <row r="985" spans="1:40" ht="18" customHeight="1">
      <c r="A985" s="1" t="s">
        <v>3025</v>
      </c>
      <c r="B985" s="1" t="s">
        <v>3026</v>
      </c>
      <c r="C985" s="4">
        <v>46097</v>
      </c>
      <c r="D985" s="4">
        <v>46112</v>
      </c>
      <c r="E985" s="4">
        <v>46114</v>
      </c>
      <c r="F985" s="63" t="s">
        <v>256</v>
      </c>
      <c r="G985" s="63" t="s">
        <v>3849</v>
      </c>
      <c r="H985" s="63" t="s">
        <v>258</v>
      </c>
      <c r="I985" s="63" t="s">
        <v>241</v>
      </c>
      <c r="J985" s="63" t="s">
        <v>153</v>
      </c>
      <c r="K985" s="63" t="s">
        <v>3027</v>
      </c>
      <c r="L985" s="63" t="s">
        <v>295</v>
      </c>
      <c r="M985" s="69">
        <v>678.17</v>
      </c>
      <c r="N985" s="63" t="s">
        <v>104</v>
      </c>
      <c r="O985" s="73">
        <f>_xlfn.XLOOKUP(Supplier_Perf_Table[[#This Row],[Currency]],'Comments 2'!$C$4:$C$16,'Comments 2'!$D$4:$D$16)</f>
        <v>1.9E-2</v>
      </c>
      <c r="P985" s="69">
        <f>IFERROR(Supplier_Perf_Table[[#This Row],[Unit_Cost]]*Supplier_Perf_Table[[#This Row],[Dollar Equivalent]],"")</f>
        <v>12.885229999999998</v>
      </c>
      <c r="Q985" s="75">
        <v>500</v>
      </c>
      <c r="R985" s="1">
        <v>339085</v>
      </c>
      <c r="S985" s="75">
        <f>Supplier_Perf_Table[[#This Row],[Unit_Cost]]*Supplier_Perf_Table[[#This Row],[Order_Quantity]]</f>
        <v>339085</v>
      </c>
      <c r="T985" s="75">
        <f>IFERROR(Supplier_Perf_Table[[#This Row],[Dollar Equivalent]]*Supplier_Perf_Table[[#This Row],[Ordered_Value]],"")</f>
        <v>6442.6149999999998</v>
      </c>
      <c r="U985" s="75">
        <v>15</v>
      </c>
      <c r="V985" s="7">
        <v>0.03</v>
      </c>
      <c r="W985" s="75">
        <v>17</v>
      </c>
      <c r="X985" s="55">
        <f>IFERROR(Supplier_Perf_Table[[#This Row],[Actual_Delivery_Date]]-Supplier_Perf_Table[[#This Row],[Order Date]],"")</f>
        <v>17</v>
      </c>
      <c r="Y985" s="75">
        <v>15</v>
      </c>
      <c r="Z985" s="56">
        <f>IFERROR(Supplier_Perf_Table[[#This Row],[Expected Delivery_Date]]-Supplier_Perf_Table[[#This Row],[Order Date]],"")</f>
        <v>15</v>
      </c>
      <c r="AA985" s="56">
        <f>Supplier_Perf_Table[[#This Row],[Calculated_Lead_Time2]]-Supplier_Perf_Table[[#This Row],[Calculated_Expected_Lead_Time]]</f>
        <v>2</v>
      </c>
      <c r="AB985" s="75">
        <v>2</v>
      </c>
      <c r="AC985" s="63" t="s">
        <v>166</v>
      </c>
      <c r="AD985" s="63" t="s">
        <v>40</v>
      </c>
      <c r="AE985" s="63" t="s">
        <v>105</v>
      </c>
      <c r="AF985" s="63" t="s">
        <v>106</v>
      </c>
      <c r="AG985" s="63" t="s">
        <v>128</v>
      </c>
      <c r="AH985" s="63" t="s">
        <v>3112</v>
      </c>
      <c r="AI985" s="63" t="s">
        <v>138</v>
      </c>
      <c r="AJ985" s="63" t="s">
        <v>138</v>
      </c>
      <c r="AK985" s="83">
        <v>2.9</v>
      </c>
      <c r="AL985" s="63" t="s">
        <v>139</v>
      </c>
      <c r="AM985" s="63" t="s">
        <v>46</v>
      </c>
      <c r="AN985"/>
    </row>
    <row r="986" spans="1:40" ht="18" customHeight="1">
      <c r="A986" s="1" t="s">
        <v>3028</v>
      </c>
      <c r="B986" s="1" t="s">
        <v>3029</v>
      </c>
      <c r="C986" s="4">
        <v>46053</v>
      </c>
      <c r="D986" s="4">
        <v>46074</v>
      </c>
      <c r="E986" s="4">
        <v>46067</v>
      </c>
      <c r="F986" s="63" t="s">
        <v>256</v>
      </c>
      <c r="G986" s="63" t="s">
        <v>3849</v>
      </c>
      <c r="H986" s="63" t="s">
        <v>258</v>
      </c>
      <c r="I986" s="63" t="s">
        <v>34</v>
      </c>
      <c r="J986" s="63" t="s">
        <v>153</v>
      </c>
      <c r="K986" s="63" t="s">
        <v>3030</v>
      </c>
      <c r="L986" s="63" t="s">
        <v>318</v>
      </c>
      <c r="M986" s="69">
        <v>640.59</v>
      </c>
      <c r="N986" s="63" t="s">
        <v>65</v>
      </c>
      <c r="O986" s="73">
        <f>_xlfn.XLOOKUP(Supplier_Perf_Table[[#This Row],[Currency]],'Comments 2'!$C$4:$C$16,'Comments 2'!$D$4:$D$16)</f>
        <v>1</v>
      </c>
      <c r="P986" s="69">
        <f>IFERROR(Supplier_Perf_Table[[#This Row],[Unit_Cost]]*Supplier_Perf_Table[[#This Row],[Dollar Equivalent]],"")</f>
        <v>640.59</v>
      </c>
      <c r="Q986" s="75" t="s">
        <v>3080</v>
      </c>
      <c r="R986" s="1">
        <v>480442.5</v>
      </c>
      <c r="S986" s="75" t="e">
        <f>Supplier_Perf_Table[[#This Row],[Unit_Cost]]*Supplier_Perf_Table[[#This Row],[Order_Quantity]]</f>
        <v>#VALUE!</v>
      </c>
      <c r="T986" s="75">
        <f>IFERROR(Supplier_Perf_Table[[#This Row],[Dollar Equivalent]]*Supplier_Perf_Table[[#This Row],[Ordered_Value]],"")</f>
        <v>480442.5</v>
      </c>
      <c r="U986" s="75">
        <v>10</v>
      </c>
      <c r="V986" s="7">
        <v>1.3299999999999999E-2</v>
      </c>
      <c r="W986" s="75">
        <v>14</v>
      </c>
      <c r="X986" s="55">
        <f>IFERROR(Supplier_Perf_Table[[#This Row],[Actual_Delivery_Date]]-Supplier_Perf_Table[[#This Row],[Order Date]],"")</f>
        <v>14</v>
      </c>
      <c r="Y986" s="75">
        <v>21</v>
      </c>
      <c r="Z986" s="56">
        <f>IFERROR(Supplier_Perf_Table[[#This Row],[Expected Delivery_Date]]-Supplier_Perf_Table[[#This Row],[Order Date]],"")</f>
        <v>21</v>
      </c>
      <c r="AA986" s="56">
        <f>Supplier_Perf_Table[[#This Row],[Calculated_Lead_Time2]]-Supplier_Perf_Table[[#This Row],[Calculated_Expected_Lead_Time]]</f>
        <v>-7</v>
      </c>
      <c r="AB986" s="75">
        <v>-7</v>
      </c>
      <c r="AC986" s="63" t="s">
        <v>270</v>
      </c>
      <c r="AD986" s="63" t="s">
        <v>40</v>
      </c>
      <c r="AE986" s="63" t="s">
        <v>41</v>
      </c>
      <c r="AF986" s="63" t="s">
        <v>66</v>
      </c>
      <c r="AG986" s="63" t="s">
        <v>128</v>
      </c>
      <c r="AH986" s="63" t="s">
        <v>3112</v>
      </c>
      <c r="AI986" s="63" t="s">
        <v>137</v>
      </c>
      <c r="AJ986" s="63" t="s">
        <v>138</v>
      </c>
      <c r="AK986" s="83">
        <v>2.2999999999999998</v>
      </c>
      <c r="AL986" s="63" t="s">
        <v>184</v>
      </c>
      <c r="AM986" s="63" t="s">
        <v>138</v>
      </c>
      <c r="AN986"/>
    </row>
    <row r="987" spans="1:40" ht="18" customHeight="1">
      <c r="A987" s="1" t="s">
        <v>3031</v>
      </c>
      <c r="B987" s="1" t="s">
        <v>3032</v>
      </c>
      <c r="C987" s="4">
        <v>46042</v>
      </c>
      <c r="D987" s="4">
        <v>46052</v>
      </c>
      <c r="E987" s="4">
        <v>46062</v>
      </c>
      <c r="F987" s="63" t="s">
        <v>48</v>
      </c>
      <c r="G987" s="63" t="s">
        <v>3836</v>
      </c>
      <c r="H987" s="63" t="s">
        <v>102</v>
      </c>
      <c r="I987" s="63" t="s">
        <v>120</v>
      </c>
      <c r="J987" s="63" t="s">
        <v>50</v>
      </c>
      <c r="K987" s="63" t="s">
        <v>3033</v>
      </c>
      <c r="L987" s="63" t="s">
        <v>52</v>
      </c>
      <c r="M987" s="69">
        <v>1099.05</v>
      </c>
      <c r="N987" s="63" t="s">
        <v>53</v>
      </c>
      <c r="O987" s="73">
        <f>_xlfn.XLOOKUP(Supplier_Perf_Table[[#This Row],[Currency]],'Comments 2'!$C$4:$C$16,'Comments 2'!$D$4:$D$16)</f>
        <v>6.0999999999999999E-2</v>
      </c>
      <c r="P987" s="69">
        <f>IFERROR(Supplier_Perf_Table[[#This Row],[Unit_Cost]]*Supplier_Perf_Table[[#This Row],[Dollar Equivalent]],"")</f>
        <v>67.042049999999989</v>
      </c>
      <c r="Q987" s="75">
        <v>500</v>
      </c>
      <c r="R987" s="1">
        <v>549525</v>
      </c>
      <c r="S987" s="75">
        <f>Supplier_Perf_Table[[#This Row],[Unit_Cost]]*Supplier_Perf_Table[[#This Row],[Order_Quantity]]</f>
        <v>549525</v>
      </c>
      <c r="T987" s="75">
        <f>IFERROR(Supplier_Perf_Table[[#This Row],[Dollar Equivalent]]*Supplier_Perf_Table[[#This Row],[Ordered_Value]],"")</f>
        <v>33521.025000000001</v>
      </c>
      <c r="U987" s="75">
        <v>7</v>
      </c>
      <c r="V987" s="7">
        <v>1.4E-2</v>
      </c>
      <c r="W987" s="75">
        <v>20</v>
      </c>
      <c r="X987" s="55">
        <f>IFERROR(Supplier_Perf_Table[[#This Row],[Actual_Delivery_Date]]-Supplier_Perf_Table[[#This Row],[Order Date]],"")</f>
        <v>20</v>
      </c>
      <c r="Y987" s="75">
        <v>10</v>
      </c>
      <c r="Z987" s="56">
        <f>IFERROR(Supplier_Perf_Table[[#This Row],[Expected Delivery_Date]]-Supplier_Perf_Table[[#This Row],[Order Date]],"")</f>
        <v>10</v>
      </c>
      <c r="AA987" s="56">
        <f>Supplier_Perf_Table[[#This Row],[Calculated_Lead_Time2]]-Supplier_Perf_Table[[#This Row],[Calculated_Expected_Lead_Time]]</f>
        <v>10</v>
      </c>
      <c r="AB987" s="75">
        <v>10</v>
      </c>
      <c r="AC987" s="63" t="s">
        <v>39</v>
      </c>
      <c r="AD987" s="63" t="s">
        <v>40</v>
      </c>
      <c r="AE987" s="63" t="s">
        <v>105</v>
      </c>
      <c r="AF987" s="63" t="s">
        <v>106</v>
      </c>
      <c r="AG987" s="63" t="s">
        <v>128</v>
      </c>
      <c r="AH987" s="63" t="s">
        <v>3112</v>
      </c>
      <c r="AI987" s="63" t="s">
        <v>137</v>
      </c>
      <c r="AJ987" s="63" t="s">
        <v>138</v>
      </c>
      <c r="AK987" s="83">
        <v>1.2</v>
      </c>
      <c r="AL987" s="63" t="s">
        <v>184</v>
      </c>
      <c r="AM987" s="63" t="s">
        <v>46</v>
      </c>
      <c r="AN987"/>
    </row>
    <row r="988" spans="1:40" ht="18" customHeight="1">
      <c r="A988" s="1" t="s">
        <v>3034</v>
      </c>
      <c r="B988" s="1" t="s">
        <v>3035</v>
      </c>
      <c r="C988" s="4">
        <v>46122</v>
      </c>
      <c r="D988" s="4">
        <v>46133</v>
      </c>
      <c r="E988" s="4">
        <v>46129</v>
      </c>
      <c r="F988" s="63" t="s">
        <v>215</v>
      </c>
      <c r="G988" s="63" t="s">
        <v>3846</v>
      </c>
      <c r="H988" s="63" t="s">
        <v>152</v>
      </c>
      <c r="I988" s="63" t="s">
        <v>34</v>
      </c>
      <c r="J988" s="63" t="s">
        <v>71</v>
      </c>
      <c r="K988" s="63" t="s">
        <v>3036</v>
      </c>
      <c r="L988" s="63" t="s">
        <v>337</v>
      </c>
      <c r="M988" s="69">
        <v>220.34</v>
      </c>
      <c r="N988" s="63" t="s">
        <v>53</v>
      </c>
      <c r="O988" s="73">
        <f>_xlfn.XLOOKUP(Supplier_Perf_Table[[#This Row],[Currency]],'Comments 2'!$C$4:$C$16,'Comments 2'!$D$4:$D$16)</f>
        <v>6.0999999999999999E-2</v>
      </c>
      <c r="P988" s="69">
        <f>IFERROR(Supplier_Perf_Table[[#This Row],[Unit_Cost]]*Supplier_Perf_Table[[#This Row],[Dollar Equivalent]],"")</f>
        <v>13.44074</v>
      </c>
      <c r="Q988" s="75">
        <v>250</v>
      </c>
      <c r="R988" s="1">
        <v>55085</v>
      </c>
      <c r="S988" s="75">
        <f>Supplier_Perf_Table[[#This Row],[Unit_Cost]]*Supplier_Perf_Table[[#This Row],[Order_Quantity]]</f>
        <v>55085</v>
      </c>
      <c r="T988" s="75">
        <f>IFERROR(Supplier_Perf_Table[[#This Row],[Dollar Equivalent]]*Supplier_Perf_Table[[#This Row],[Ordered_Value]],"")</f>
        <v>3360.1849999999999</v>
      </c>
      <c r="U988" s="75">
        <v>7</v>
      </c>
      <c r="V988" s="7">
        <v>2.8000000000000001E-2</v>
      </c>
      <c r="W988" s="75">
        <v>7</v>
      </c>
      <c r="X988" s="55">
        <f>IFERROR(Supplier_Perf_Table[[#This Row],[Actual_Delivery_Date]]-Supplier_Perf_Table[[#This Row],[Order Date]],"")</f>
        <v>7</v>
      </c>
      <c r="Y988" s="75">
        <v>11</v>
      </c>
      <c r="Z988" s="56">
        <f>IFERROR(Supplier_Perf_Table[[#This Row],[Expected Delivery_Date]]-Supplier_Perf_Table[[#This Row],[Order Date]],"")</f>
        <v>11</v>
      </c>
      <c r="AA988" s="56">
        <f>Supplier_Perf_Table[[#This Row],[Calculated_Lead_Time2]]-Supplier_Perf_Table[[#This Row],[Calculated_Expected_Lead_Time]]</f>
        <v>-4</v>
      </c>
      <c r="AB988" s="75">
        <v>-4</v>
      </c>
      <c r="AC988" s="63" t="s">
        <v>87</v>
      </c>
      <c r="AD988" s="63" t="s">
        <v>40</v>
      </c>
      <c r="AE988" s="63" t="s">
        <v>146</v>
      </c>
      <c r="AF988" s="63" t="s">
        <v>106</v>
      </c>
      <c r="AG988" s="63" t="s">
        <v>43</v>
      </c>
      <c r="AH988" s="63" t="s">
        <v>174</v>
      </c>
      <c r="AI988" s="63" t="s">
        <v>191</v>
      </c>
      <c r="AJ988" s="63" t="s">
        <v>138</v>
      </c>
      <c r="AK988" s="83">
        <v>3.4</v>
      </c>
      <c r="AL988" s="63" t="s">
        <v>57</v>
      </c>
      <c r="AM988" s="63" t="s">
        <v>130</v>
      </c>
      <c r="AN988"/>
    </row>
    <row r="989" spans="1:40" ht="18" customHeight="1">
      <c r="A989" s="1" t="s">
        <v>3037</v>
      </c>
      <c r="B989" s="1" t="s">
        <v>3038</v>
      </c>
      <c r="C989" s="4">
        <v>46150</v>
      </c>
      <c r="D989" s="4">
        <v>46164</v>
      </c>
      <c r="E989" s="4">
        <v>46164</v>
      </c>
      <c r="F989" s="63" t="s">
        <v>69</v>
      </c>
      <c r="G989" s="63" t="s">
        <v>3838</v>
      </c>
      <c r="H989" s="63" t="s">
        <v>194</v>
      </c>
      <c r="I989" s="63" t="s">
        <v>49</v>
      </c>
      <c r="J989" s="63" t="s">
        <v>112</v>
      </c>
      <c r="K989" s="63" t="s">
        <v>3039</v>
      </c>
      <c r="L989" s="63" t="s">
        <v>229</v>
      </c>
      <c r="M989" s="69">
        <v>754.54</v>
      </c>
      <c r="N989" s="63" t="s">
        <v>104</v>
      </c>
      <c r="O989" s="73">
        <f>_xlfn.XLOOKUP(Supplier_Perf_Table[[#This Row],[Currency]],'Comments 2'!$C$4:$C$16,'Comments 2'!$D$4:$D$16)</f>
        <v>1.9E-2</v>
      </c>
      <c r="P989" s="69">
        <f>IFERROR(Supplier_Perf_Table[[#This Row],[Unit_Cost]]*Supplier_Perf_Table[[#This Row],[Dollar Equivalent]],"")</f>
        <v>14.336259999999999</v>
      </c>
      <c r="Q989" s="75">
        <v>75</v>
      </c>
      <c r="R989" s="1">
        <v>56590.5</v>
      </c>
      <c r="S989" s="75">
        <f>Supplier_Perf_Table[[#This Row],[Unit_Cost]]*Supplier_Perf_Table[[#This Row],[Order_Quantity]]</f>
        <v>56590.5</v>
      </c>
      <c r="T989" s="75">
        <f>IFERROR(Supplier_Perf_Table[[#This Row],[Dollar Equivalent]]*Supplier_Perf_Table[[#This Row],[Ordered_Value]],"")</f>
        <v>1075.2194999999999</v>
      </c>
      <c r="U989" s="75">
        <v>4</v>
      </c>
      <c r="V989" s="7">
        <v>5.33E-2</v>
      </c>
      <c r="W989" s="75">
        <v>14</v>
      </c>
      <c r="X989" s="55">
        <f>IFERROR(Supplier_Perf_Table[[#This Row],[Actual_Delivery_Date]]-Supplier_Perf_Table[[#This Row],[Order Date]],"")</f>
        <v>14</v>
      </c>
      <c r="Y989" s="75">
        <v>14</v>
      </c>
      <c r="Z989" s="56">
        <f>IFERROR(Supplier_Perf_Table[[#This Row],[Expected Delivery_Date]]-Supplier_Perf_Table[[#This Row],[Order Date]],"")</f>
        <v>14</v>
      </c>
      <c r="AA989" s="56">
        <f>Supplier_Perf_Table[[#This Row],[Calculated_Lead_Time2]]-Supplier_Perf_Table[[#This Row],[Calculated_Expected_Lead_Time]]</f>
        <v>0</v>
      </c>
      <c r="AB989" s="75">
        <v>0</v>
      </c>
      <c r="AC989" s="63" t="s">
        <v>87</v>
      </c>
      <c r="AD989" s="63" t="s">
        <v>366</v>
      </c>
      <c r="AE989" s="63" t="s">
        <v>105</v>
      </c>
      <c r="AF989" s="63" t="s">
        <v>3088</v>
      </c>
      <c r="AG989" s="63" t="s">
        <v>43</v>
      </c>
      <c r="AH989" s="63" t="s">
        <v>3112</v>
      </c>
      <c r="AI989" s="63" t="s">
        <v>56</v>
      </c>
      <c r="AJ989" s="63" t="s">
        <v>183</v>
      </c>
      <c r="AK989" s="83">
        <v>1.7</v>
      </c>
      <c r="AL989" s="63" t="s">
        <v>184</v>
      </c>
      <c r="AM989" s="63" t="s">
        <v>97</v>
      </c>
      <c r="AN989"/>
    </row>
    <row r="990" spans="1:40" ht="18" customHeight="1">
      <c r="A990" s="1" t="s">
        <v>3040</v>
      </c>
      <c r="B990" s="1" t="s">
        <v>3041</v>
      </c>
      <c r="C990" s="4">
        <v>46159</v>
      </c>
      <c r="D990" s="4">
        <v>46176</v>
      </c>
      <c r="E990" s="4">
        <v>46180</v>
      </c>
      <c r="F990" s="63" t="s">
        <v>256</v>
      </c>
      <c r="G990" s="63" t="s">
        <v>3849</v>
      </c>
      <c r="H990" s="63" t="s">
        <v>258</v>
      </c>
      <c r="I990" s="63" t="s">
        <v>83</v>
      </c>
      <c r="J990" s="63" t="s">
        <v>153</v>
      </c>
      <c r="K990" s="63" t="s">
        <v>3042</v>
      </c>
      <c r="L990" s="63" t="s">
        <v>318</v>
      </c>
      <c r="M990" s="69">
        <v>486.68</v>
      </c>
      <c r="N990" s="63" t="s">
        <v>38</v>
      </c>
      <c r="O990" s="73">
        <f>_xlfn.XLOOKUP(Supplier_Perf_Table[[#This Row],[Currency]],'Comments 2'!$C$4:$C$16,'Comments 2'!$D$4:$D$16)</f>
        <v>7.7000000000000002E-3</v>
      </c>
      <c r="P990" s="69">
        <f>IFERROR(Supplier_Perf_Table[[#This Row],[Unit_Cost]]*Supplier_Perf_Table[[#This Row],[Dollar Equivalent]],"")</f>
        <v>3.747436</v>
      </c>
      <c r="Q990" s="75">
        <v>300</v>
      </c>
      <c r="R990" s="1">
        <v>146004</v>
      </c>
      <c r="S990" s="75">
        <f>Supplier_Perf_Table[[#This Row],[Unit_Cost]]*Supplier_Perf_Table[[#This Row],[Order_Quantity]]</f>
        <v>146004</v>
      </c>
      <c r="T990" s="75">
        <f>IFERROR(Supplier_Perf_Table[[#This Row],[Dollar Equivalent]]*Supplier_Perf_Table[[#This Row],[Ordered_Value]],"")</f>
        <v>1124.2308</v>
      </c>
      <c r="U990" s="75">
        <v>11</v>
      </c>
      <c r="V990" s="7">
        <v>3.6700000000000003E-2</v>
      </c>
      <c r="W990" s="75">
        <v>21</v>
      </c>
      <c r="X990" s="55">
        <f>IFERROR(Supplier_Perf_Table[[#This Row],[Actual_Delivery_Date]]-Supplier_Perf_Table[[#This Row],[Order Date]],"")</f>
        <v>21</v>
      </c>
      <c r="Y990" s="75">
        <v>17</v>
      </c>
      <c r="Z990" s="56">
        <f>IFERROR(Supplier_Perf_Table[[#This Row],[Expected Delivery_Date]]-Supplier_Perf_Table[[#This Row],[Order Date]],"")</f>
        <v>17</v>
      </c>
      <c r="AA990" s="56">
        <f>Supplier_Perf_Table[[#This Row],[Calculated_Lead_Time2]]-Supplier_Perf_Table[[#This Row],[Calculated_Expected_Lead_Time]]</f>
        <v>4</v>
      </c>
      <c r="AB990" s="75">
        <v>4</v>
      </c>
      <c r="AC990" s="63" t="s">
        <v>135</v>
      </c>
      <c r="AD990" s="63" t="s">
        <v>40</v>
      </c>
      <c r="AE990" s="63" t="s">
        <v>105</v>
      </c>
      <c r="AF990" s="63" t="s">
        <v>3088</v>
      </c>
      <c r="AG990" s="63" t="s">
        <v>3088</v>
      </c>
      <c r="AH990" s="63" t="s">
        <v>129</v>
      </c>
      <c r="AI990" s="63" t="s">
        <v>147</v>
      </c>
      <c r="AJ990" s="63" t="s">
        <v>138</v>
      </c>
      <c r="AK990" s="83">
        <v>4.9000000000000004</v>
      </c>
      <c r="AL990" s="63" t="s">
        <v>184</v>
      </c>
      <c r="AM990" s="63" t="s">
        <v>46</v>
      </c>
      <c r="AN990"/>
    </row>
    <row r="991" spans="1:40" ht="18" customHeight="1">
      <c r="A991" s="1" t="s">
        <v>3043</v>
      </c>
      <c r="B991" s="1" t="s">
        <v>3044</v>
      </c>
      <c r="C991" s="4">
        <v>46193</v>
      </c>
      <c r="D991" s="4">
        <v>46208</v>
      </c>
      <c r="E991" s="4">
        <v>46217</v>
      </c>
      <c r="F991" s="63" t="s">
        <v>80</v>
      </c>
      <c r="G991" s="63" t="s">
        <v>3839</v>
      </c>
      <c r="H991" s="63" t="s">
        <v>82</v>
      </c>
      <c r="I991" s="63" t="s">
        <v>49</v>
      </c>
      <c r="J991" s="63" t="s">
        <v>35</v>
      </c>
      <c r="K991" s="63" t="s">
        <v>3045</v>
      </c>
      <c r="L991" s="63" t="s">
        <v>200</v>
      </c>
      <c r="M991" s="69">
        <v>1193.6099999999999</v>
      </c>
      <c r="N991" s="63" t="s">
        <v>159</v>
      </c>
      <c r="O991" s="73">
        <f>_xlfn.XLOOKUP(Supplier_Perf_Table[[#This Row],[Currency]],'Comments 2'!$C$4:$C$16,'Comments 2'!$D$4:$D$16)</f>
        <v>7.2999999999999996E-4</v>
      </c>
      <c r="P991" s="69">
        <f>IFERROR(Supplier_Perf_Table[[#This Row],[Unit_Cost]]*Supplier_Perf_Table[[#This Row],[Dollar Equivalent]],"")</f>
        <v>0.87133529999999992</v>
      </c>
      <c r="Q991" s="75">
        <v>150</v>
      </c>
      <c r="R991" s="1">
        <v>179041.5</v>
      </c>
      <c r="S991" s="75">
        <f>Supplier_Perf_Table[[#This Row],[Unit_Cost]]*Supplier_Perf_Table[[#This Row],[Order_Quantity]]</f>
        <v>179041.49999999997</v>
      </c>
      <c r="T991" s="75">
        <f>IFERROR(Supplier_Perf_Table[[#This Row],[Dollar Equivalent]]*Supplier_Perf_Table[[#This Row],[Ordered_Value]],"")</f>
        <v>130.70029499999998</v>
      </c>
      <c r="U991" s="75">
        <v>-1</v>
      </c>
      <c r="V991" s="7">
        <v>1.3299999999999999E-2</v>
      </c>
      <c r="W991" s="75">
        <v>24</v>
      </c>
      <c r="X991" s="55">
        <f>IFERROR(Supplier_Perf_Table[[#This Row],[Actual_Delivery_Date]]-Supplier_Perf_Table[[#This Row],[Order Date]],"")</f>
        <v>24</v>
      </c>
      <c r="Y991" s="75">
        <v>15</v>
      </c>
      <c r="Z991" s="56">
        <f>IFERROR(Supplier_Perf_Table[[#This Row],[Expected Delivery_Date]]-Supplier_Perf_Table[[#This Row],[Order Date]],"")</f>
        <v>15</v>
      </c>
      <c r="AA991" s="56">
        <f>Supplier_Perf_Table[[#This Row],[Calculated_Lead_Time2]]-Supplier_Perf_Table[[#This Row],[Calculated_Expected_Lead_Time]]</f>
        <v>9</v>
      </c>
      <c r="AB991" s="75">
        <v>9</v>
      </c>
      <c r="AC991" s="63" t="s">
        <v>39</v>
      </c>
      <c r="AD991" s="63" t="s">
        <v>40</v>
      </c>
      <c r="AE991" s="63" t="s">
        <v>105</v>
      </c>
      <c r="AF991" s="63" t="s">
        <v>3088</v>
      </c>
      <c r="AG991" s="63" t="s">
        <v>173</v>
      </c>
      <c r="AH991" s="63" t="s">
        <v>3112</v>
      </c>
      <c r="AI991" s="63" t="s">
        <v>191</v>
      </c>
      <c r="AJ991" s="63" t="s">
        <v>138</v>
      </c>
      <c r="AK991" s="83">
        <v>3.2</v>
      </c>
      <c r="AL991" s="63" t="s">
        <v>108</v>
      </c>
      <c r="AM991" s="63" t="s">
        <v>46</v>
      </c>
      <c r="AN991"/>
    </row>
    <row r="992" spans="1:40" ht="18" customHeight="1">
      <c r="A992" s="1" t="s">
        <v>3046</v>
      </c>
      <c r="B992" s="1" t="s">
        <v>3047</v>
      </c>
      <c r="C992" s="4">
        <v>46196</v>
      </c>
      <c r="D992" s="4">
        <v>46207</v>
      </c>
      <c r="E992" s="4">
        <v>46213</v>
      </c>
      <c r="F992" s="63" t="s">
        <v>209</v>
      </c>
      <c r="G992" s="63" t="s">
        <v>3845</v>
      </c>
      <c r="H992" s="63" t="s">
        <v>316</v>
      </c>
      <c r="I992" s="63" t="s">
        <v>61</v>
      </c>
      <c r="J992" s="63" t="s">
        <v>153</v>
      </c>
      <c r="K992" s="63" t="s">
        <v>3048</v>
      </c>
      <c r="L992" s="63" t="s">
        <v>155</v>
      </c>
      <c r="M992" s="69">
        <v>471.5</v>
      </c>
      <c r="N992" s="63" t="s">
        <v>38</v>
      </c>
      <c r="O992" s="73">
        <f>_xlfn.XLOOKUP(Supplier_Perf_Table[[#This Row],[Currency]],'Comments 2'!$C$4:$C$16,'Comments 2'!$D$4:$D$16)</f>
        <v>7.7000000000000002E-3</v>
      </c>
      <c r="P992" s="69">
        <f>IFERROR(Supplier_Perf_Table[[#This Row],[Unit_Cost]]*Supplier_Perf_Table[[#This Row],[Dollar Equivalent]],"")</f>
        <v>3.6305499999999999</v>
      </c>
      <c r="Q992" s="75">
        <v>100</v>
      </c>
      <c r="R992" s="1">
        <v>47150</v>
      </c>
      <c r="S992" s="75">
        <f>Supplier_Perf_Table[[#This Row],[Unit_Cost]]*Supplier_Perf_Table[[#This Row],[Order_Quantity]]</f>
        <v>47150</v>
      </c>
      <c r="T992" s="75">
        <f>IFERROR(Supplier_Perf_Table[[#This Row],[Dollar Equivalent]]*Supplier_Perf_Table[[#This Row],[Ordered_Value]],"")</f>
        <v>363.05500000000001</v>
      </c>
      <c r="U992" s="75">
        <v>4</v>
      </c>
      <c r="V992" s="7">
        <v>0.04</v>
      </c>
      <c r="W992" s="75">
        <v>17</v>
      </c>
      <c r="X992" s="55">
        <f>IFERROR(Supplier_Perf_Table[[#This Row],[Actual_Delivery_Date]]-Supplier_Perf_Table[[#This Row],[Order Date]],"")</f>
        <v>17</v>
      </c>
      <c r="Y992" s="75">
        <v>11</v>
      </c>
      <c r="Z992" s="56">
        <f>IFERROR(Supplier_Perf_Table[[#This Row],[Expected Delivery_Date]]-Supplier_Perf_Table[[#This Row],[Order Date]],"")</f>
        <v>11</v>
      </c>
      <c r="AA992" s="56">
        <f>Supplier_Perf_Table[[#This Row],[Calculated_Lead_Time2]]-Supplier_Perf_Table[[#This Row],[Calculated_Expected_Lead_Time]]</f>
        <v>6</v>
      </c>
      <c r="AB992" s="75">
        <v>6</v>
      </c>
      <c r="AC992" s="63" t="s">
        <v>39</v>
      </c>
      <c r="AD992" s="63" t="s">
        <v>40</v>
      </c>
      <c r="AE992" s="63" t="s">
        <v>41</v>
      </c>
      <c r="AF992" s="63" t="s">
        <v>212</v>
      </c>
      <c r="AG992" s="63" t="s">
        <v>173</v>
      </c>
      <c r="AH992" s="63" t="s">
        <v>88</v>
      </c>
      <c r="AI992" s="63" t="s">
        <v>138</v>
      </c>
      <c r="AJ992" s="63" t="s">
        <v>138</v>
      </c>
      <c r="AK992" s="83">
        <v>1.5</v>
      </c>
      <c r="AL992" s="63" t="s">
        <v>57</v>
      </c>
      <c r="AM992" s="63" t="s">
        <v>46</v>
      </c>
      <c r="AN992"/>
    </row>
    <row r="993" spans="1:40" ht="18" customHeight="1">
      <c r="A993" s="1" t="s">
        <v>3049</v>
      </c>
      <c r="B993" s="1" t="s">
        <v>3050</v>
      </c>
      <c r="C993" s="4">
        <v>46113</v>
      </c>
      <c r="D993" s="4">
        <v>46132</v>
      </c>
      <c r="E993" s="4">
        <v>46131</v>
      </c>
      <c r="F993" s="63" t="s">
        <v>235</v>
      </c>
      <c r="G993" s="63" t="s">
        <v>3848</v>
      </c>
      <c r="H993" s="63" t="s">
        <v>102</v>
      </c>
      <c r="I993" s="63" t="s">
        <v>120</v>
      </c>
      <c r="J993" s="63" t="s">
        <v>50</v>
      </c>
      <c r="K993" s="63" t="s">
        <v>3051</v>
      </c>
      <c r="L993" s="63" t="s">
        <v>145</v>
      </c>
      <c r="M993" s="69">
        <v>3088.91</v>
      </c>
      <c r="N993" s="63" t="s">
        <v>38</v>
      </c>
      <c r="O993" s="73">
        <f>_xlfn.XLOOKUP(Supplier_Perf_Table[[#This Row],[Currency]],'Comments 2'!$C$4:$C$16,'Comments 2'!$D$4:$D$16)</f>
        <v>7.7000000000000002E-3</v>
      </c>
      <c r="P993" s="69">
        <f>IFERROR(Supplier_Perf_Table[[#This Row],[Unit_Cost]]*Supplier_Perf_Table[[#This Row],[Dollar Equivalent]],"")</f>
        <v>23.784607000000001</v>
      </c>
      <c r="Q993" s="75">
        <v>50</v>
      </c>
      <c r="R993" s="1">
        <v>154445.5</v>
      </c>
      <c r="S993" s="75">
        <f>Supplier_Perf_Table[[#This Row],[Unit_Cost]]*Supplier_Perf_Table[[#This Row],[Order_Quantity]]</f>
        <v>154445.5</v>
      </c>
      <c r="T993" s="75">
        <f>IFERROR(Supplier_Perf_Table[[#This Row],[Dollar Equivalent]]*Supplier_Perf_Table[[#This Row],[Ordered_Value]],"")</f>
        <v>1189.23035</v>
      </c>
      <c r="U993" s="75">
        <v>1</v>
      </c>
      <c r="V993" s="7">
        <v>0.02</v>
      </c>
      <c r="W993" s="75">
        <v>18</v>
      </c>
      <c r="X993" s="55">
        <f>IFERROR(Supplier_Perf_Table[[#This Row],[Actual_Delivery_Date]]-Supplier_Perf_Table[[#This Row],[Order Date]],"")</f>
        <v>18</v>
      </c>
      <c r="Y993" s="75">
        <v>19</v>
      </c>
      <c r="Z993" s="56">
        <f>IFERROR(Supplier_Perf_Table[[#This Row],[Expected Delivery_Date]]-Supplier_Perf_Table[[#This Row],[Order Date]],"")</f>
        <v>19</v>
      </c>
      <c r="AA993" s="56">
        <f>Supplier_Perf_Table[[#This Row],[Calculated_Lead_Time2]]-Supplier_Perf_Table[[#This Row],[Calculated_Expected_Lead_Time]]</f>
        <v>-1</v>
      </c>
      <c r="AB993" s="75">
        <v>-1</v>
      </c>
      <c r="AC993" s="63" t="s">
        <v>87</v>
      </c>
      <c r="AD993" s="63" t="s">
        <v>40</v>
      </c>
      <c r="AE993" s="63" t="s">
        <v>105</v>
      </c>
      <c r="AF993" s="63" t="s">
        <v>106</v>
      </c>
      <c r="AG993" s="63" t="s">
        <v>3088</v>
      </c>
      <c r="AH993" s="63" t="s">
        <v>136</v>
      </c>
      <c r="AI993" s="63" t="s">
        <v>137</v>
      </c>
      <c r="AJ993" s="63" t="s">
        <v>138</v>
      </c>
      <c r="AK993" s="83">
        <v>4</v>
      </c>
      <c r="AL993" s="63" t="s">
        <v>108</v>
      </c>
      <c r="AM993" s="63" t="s">
        <v>138</v>
      </c>
      <c r="AN993"/>
    </row>
    <row r="994" spans="1:40" ht="18" customHeight="1">
      <c r="A994" s="1" t="s">
        <v>3052</v>
      </c>
      <c r="B994" s="1" t="s">
        <v>3053</v>
      </c>
      <c r="C994" s="4">
        <v>46132</v>
      </c>
      <c r="D994" s="4">
        <v>46143</v>
      </c>
      <c r="E994" s="4">
        <v>46143</v>
      </c>
      <c r="F994" s="63" t="s">
        <v>162</v>
      </c>
      <c r="G994" s="63" t="s">
        <v>3847</v>
      </c>
      <c r="H994" s="63" t="s">
        <v>152</v>
      </c>
      <c r="I994" s="63" t="s">
        <v>34</v>
      </c>
      <c r="J994" s="63" t="s">
        <v>163</v>
      </c>
      <c r="K994" s="63" t="s">
        <v>3054</v>
      </c>
      <c r="L994" s="63" t="s">
        <v>171</v>
      </c>
      <c r="M994" s="69">
        <v>425.9</v>
      </c>
      <c r="N994" s="63" t="s">
        <v>159</v>
      </c>
      <c r="O994" s="73">
        <f>_xlfn.XLOOKUP(Supplier_Perf_Table[[#This Row],[Currency]],'Comments 2'!$C$4:$C$16,'Comments 2'!$D$4:$D$16)</f>
        <v>7.2999999999999996E-4</v>
      </c>
      <c r="P994" s="69">
        <f>IFERROR(Supplier_Perf_Table[[#This Row],[Unit_Cost]]*Supplier_Perf_Table[[#This Row],[Dollar Equivalent]],"")</f>
        <v>0.31090699999999999</v>
      </c>
      <c r="Q994" s="75">
        <v>100</v>
      </c>
      <c r="R994" s="1">
        <v>42590</v>
      </c>
      <c r="S994" s="75">
        <f>Supplier_Perf_Table[[#This Row],[Unit_Cost]]*Supplier_Perf_Table[[#This Row],[Order_Quantity]]</f>
        <v>42590</v>
      </c>
      <c r="T994" s="75">
        <f>IFERROR(Supplier_Perf_Table[[#This Row],[Dollar Equivalent]]*Supplier_Perf_Table[[#This Row],[Ordered_Value]],"")</f>
        <v>31.090699999999998</v>
      </c>
      <c r="U994" s="75">
        <v>0</v>
      </c>
      <c r="V994" s="7">
        <v>0</v>
      </c>
      <c r="W994" s="75">
        <v>11</v>
      </c>
      <c r="X994" s="55">
        <f>IFERROR(Supplier_Perf_Table[[#This Row],[Actual_Delivery_Date]]-Supplier_Perf_Table[[#This Row],[Order Date]],"")</f>
        <v>11</v>
      </c>
      <c r="Y994" s="75">
        <v>11</v>
      </c>
      <c r="Z994" s="56">
        <f>IFERROR(Supplier_Perf_Table[[#This Row],[Expected Delivery_Date]]-Supplier_Perf_Table[[#This Row],[Order Date]],"")</f>
        <v>11</v>
      </c>
      <c r="AA994" s="56">
        <f>Supplier_Perf_Table[[#This Row],[Calculated_Lead_Time2]]-Supplier_Perf_Table[[#This Row],[Calculated_Expected_Lead_Time]]</f>
        <v>0</v>
      </c>
      <c r="AB994" s="75">
        <v>0</v>
      </c>
      <c r="AC994" s="63" t="s">
        <v>87</v>
      </c>
      <c r="AD994" s="63" t="s">
        <v>40</v>
      </c>
      <c r="AE994" s="63" t="s">
        <v>105</v>
      </c>
      <c r="AF994" s="63" t="s">
        <v>212</v>
      </c>
      <c r="AG994" s="63" t="s">
        <v>43</v>
      </c>
      <c r="AH994" s="63" t="s">
        <v>206</v>
      </c>
      <c r="AI994" s="63" t="s">
        <v>138</v>
      </c>
      <c r="AJ994" s="63" t="s">
        <v>138</v>
      </c>
      <c r="AK994" s="83">
        <v>4.4000000000000004</v>
      </c>
      <c r="AL994" s="63" t="s">
        <v>139</v>
      </c>
      <c r="AM994" s="63" t="s">
        <v>138</v>
      </c>
      <c r="AN994"/>
    </row>
    <row r="995" spans="1:40" ht="18" customHeight="1">
      <c r="A995" s="1" t="s">
        <v>3055</v>
      </c>
      <c r="B995" s="1" t="s">
        <v>3056</v>
      </c>
      <c r="C995" s="4">
        <v>46084</v>
      </c>
      <c r="D995" s="4">
        <v>46101</v>
      </c>
      <c r="E995" s="4">
        <v>46105</v>
      </c>
      <c r="F995" s="63" t="s">
        <v>235</v>
      </c>
      <c r="G995" s="63" t="s">
        <v>3848</v>
      </c>
      <c r="H995" s="63" t="s">
        <v>479</v>
      </c>
      <c r="I995" s="63" t="s">
        <v>120</v>
      </c>
      <c r="J995" s="63" t="s">
        <v>62</v>
      </c>
      <c r="K995" s="63" t="s">
        <v>3057</v>
      </c>
      <c r="L995" s="63" t="s">
        <v>64</v>
      </c>
      <c r="M995" s="69">
        <v>793.68</v>
      </c>
      <c r="N995" s="63" t="s">
        <v>53</v>
      </c>
      <c r="O995" s="73">
        <f>_xlfn.XLOOKUP(Supplier_Perf_Table[[#This Row],[Currency]],'Comments 2'!$C$4:$C$16,'Comments 2'!$D$4:$D$16)</f>
        <v>6.0999999999999999E-2</v>
      </c>
      <c r="P995" s="69">
        <f>IFERROR(Supplier_Perf_Table[[#This Row],[Unit_Cost]]*Supplier_Perf_Table[[#This Row],[Dollar Equivalent]],"")</f>
        <v>48.414479999999998</v>
      </c>
      <c r="Q995" s="75">
        <v>300</v>
      </c>
      <c r="R995" s="1">
        <v>238104</v>
      </c>
      <c r="S995" s="75">
        <f>Supplier_Perf_Table[[#This Row],[Unit_Cost]]*Supplier_Perf_Table[[#This Row],[Order_Quantity]]</f>
        <v>238103.99999999997</v>
      </c>
      <c r="T995" s="75">
        <f>IFERROR(Supplier_Perf_Table[[#This Row],[Dollar Equivalent]]*Supplier_Perf_Table[[#This Row],[Ordered_Value]],"")</f>
        <v>14524.343999999999</v>
      </c>
      <c r="U995" s="75">
        <v>10</v>
      </c>
      <c r="V995" s="7">
        <v>3.3300000000000003E-2</v>
      </c>
      <c r="W995" s="75">
        <v>21</v>
      </c>
      <c r="X995" s="55">
        <f>IFERROR(Supplier_Perf_Table[[#This Row],[Actual_Delivery_Date]]-Supplier_Perf_Table[[#This Row],[Order Date]],"")</f>
        <v>21</v>
      </c>
      <c r="Y995" s="75">
        <v>17</v>
      </c>
      <c r="Z995" s="56">
        <f>IFERROR(Supplier_Perf_Table[[#This Row],[Expected Delivery_Date]]-Supplier_Perf_Table[[#This Row],[Order Date]],"")</f>
        <v>17</v>
      </c>
      <c r="AA995" s="56">
        <f>Supplier_Perf_Table[[#This Row],[Calculated_Lead_Time2]]-Supplier_Perf_Table[[#This Row],[Calculated_Expected_Lead_Time]]</f>
        <v>4</v>
      </c>
      <c r="AB995" s="75">
        <v>4</v>
      </c>
      <c r="AC995" s="63" t="s">
        <v>135</v>
      </c>
      <c r="AD995" s="63" t="s">
        <v>40</v>
      </c>
      <c r="AE995" s="63" t="s">
        <v>41</v>
      </c>
      <c r="AF995" s="63" t="s">
        <v>3088</v>
      </c>
      <c r="AG995" s="63" t="s">
        <v>43</v>
      </c>
      <c r="AH995" s="63" t="s">
        <v>3112</v>
      </c>
      <c r="AI995" s="63" t="s">
        <v>138</v>
      </c>
      <c r="AJ995" s="63" t="s">
        <v>138</v>
      </c>
      <c r="AK995" s="83">
        <v>2.9</v>
      </c>
      <c r="AL995" s="63" t="s">
        <v>115</v>
      </c>
      <c r="AM995" s="63" t="s">
        <v>46</v>
      </c>
      <c r="AN995"/>
    </row>
    <row r="996" spans="1:40" ht="18" customHeight="1">
      <c r="A996" s="1" t="s">
        <v>3058</v>
      </c>
      <c r="B996" s="1" t="s">
        <v>3059</v>
      </c>
      <c r="C996" s="4">
        <v>46156</v>
      </c>
      <c r="D996" s="4">
        <v>46168</v>
      </c>
      <c r="E996" s="4">
        <v>46171</v>
      </c>
      <c r="F996" s="63" t="s">
        <v>215</v>
      </c>
      <c r="G996" s="63" t="s">
        <v>3846</v>
      </c>
      <c r="H996" s="63" t="s">
        <v>152</v>
      </c>
      <c r="I996" s="63" t="s">
        <v>241</v>
      </c>
      <c r="J996" s="63" t="s">
        <v>112</v>
      </c>
      <c r="K996" s="63" t="s">
        <v>3060</v>
      </c>
      <c r="L996" s="63" t="s">
        <v>114</v>
      </c>
      <c r="M996" s="69">
        <v>526.98</v>
      </c>
      <c r="N996" s="63" t="s">
        <v>104</v>
      </c>
      <c r="O996" s="73">
        <f>_xlfn.XLOOKUP(Supplier_Perf_Table[[#This Row],[Currency]],'Comments 2'!$C$4:$C$16,'Comments 2'!$D$4:$D$16)</f>
        <v>1.9E-2</v>
      </c>
      <c r="P996" s="69">
        <f>IFERROR(Supplier_Perf_Table[[#This Row],[Unit_Cost]]*Supplier_Perf_Table[[#This Row],[Dollar Equivalent]],"")</f>
        <v>10.01262</v>
      </c>
      <c r="Q996" s="75">
        <v>750</v>
      </c>
      <c r="R996" s="1">
        <v>395235</v>
      </c>
      <c r="S996" s="75">
        <f>Supplier_Perf_Table[[#This Row],[Unit_Cost]]*Supplier_Perf_Table[[#This Row],[Order_Quantity]]</f>
        <v>395235</v>
      </c>
      <c r="T996" s="75">
        <f>IFERROR(Supplier_Perf_Table[[#This Row],[Dollar Equivalent]]*Supplier_Perf_Table[[#This Row],[Ordered_Value]],"")</f>
        <v>7509.4650000000001</v>
      </c>
      <c r="U996" s="75">
        <v>13</v>
      </c>
      <c r="V996" s="7">
        <v>1.7299999999999999E-2</v>
      </c>
      <c r="W996" s="75">
        <v>15</v>
      </c>
      <c r="X996" s="55">
        <f>IFERROR(Supplier_Perf_Table[[#This Row],[Actual_Delivery_Date]]-Supplier_Perf_Table[[#This Row],[Order Date]],"")</f>
        <v>15</v>
      </c>
      <c r="Y996" s="75">
        <v>12</v>
      </c>
      <c r="Z996" s="56">
        <f>IFERROR(Supplier_Perf_Table[[#This Row],[Expected Delivery_Date]]-Supplier_Perf_Table[[#This Row],[Order Date]],"")</f>
        <v>12</v>
      </c>
      <c r="AA996" s="56">
        <f>Supplier_Perf_Table[[#This Row],[Calculated_Lead_Time2]]-Supplier_Perf_Table[[#This Row],[Calculated_Expected_Lead_Time]]</f>
        <v>3</v>
      </c>
      <c r="AB996" s="75">
        <v>3</v>
      </c>
      <c r="AC996" s="63" t="s">
        <v>166</v>
      </c>
      <c r="AD996" s="63" t="s">
        <v>40</v>
      </c>
      <c r="AE996" s="63" t="s">
        <v>105</v>
      </c>
      <c r="AF996" s="63" t="s">
        <v>66</v>
      </c>
      <c r="AG996" s="63" t="s">
        <v>3088</v>
      </c>
      <c r="AH996" s="63" t="s">
        <v>55</v>
      </c>
      <c r="AI996" s="63" t="s">
        <v>95</v>
      </c>
      <c r="AJ996" s="63" t="s">
        <v>138</v>
      </c>
      <c r="AK996" s="83">
        <v>2.2999999999999998</v>
      </c>
      <c r="AL996" s="63" t="s">
        <v>139</v>
      </c>
      <c r="AM996" s="63" t="s">
        <v>46</v>
      </c>
      <c r="AN996"/>
    </row>
    <row r="997" spans="1:40" ht="18" customHeight="1">
      <c r="A997" s="1" t="s">
        <v>3061</v>
      </c>
      <c r="B997" s="1" t="s">
        <v>3062</v>
      </c>
      <c r="C997" s="4">
        <v>46102</v>
      </c>
      <c r="D997" s="4">
        <v>46121</v>
      </c>
      <c r="E997" s="4">
        <v>46128</v>
      </c>
      <c r="F997" s="63" t="s">
        <v>256</v>
      </c>
      <c r="G997" s="63" t="s">
        <v>3849</v>
      </c>
      <c r="H997" s="63" t="s">
        <v>258</v>
      </c>
      <c r="I997" s="63" t="s">
        <v>241</v>
      </c>
      <c r="J997" s="63" t="s">
        <v>153</v>
      </c>
      <c r="K997" s="63" t="s">
        <v>513</v>
      </c>
      <c r="L997" s="63" t="s">
        <v>318</v>
      </c>
      <c r="M997" s="69">
        <v>498.69</v>
      </c>
      <c r="N997" s="63" t="s">
        <v>159</v>
      </c>
      <c r="O997" s="73">
        <f>_xlfn.XLOOKUP(Supplier_Perf_Table[[#This Row],[Currency]],'Comments 2'!$C$4:$C$16,'Comments 2'!$D$4:$D$16)</f>
        <v>7.2999999999999996E-4</v>
      </c>
      <c r="P997" s="69">
        <f>IFERROR(Supplier_Perf_Table[[#This Row],[Unit_Cost]]*Supplier_Perf_Table[[#This Row],[Dollar Equivalent]],"")</f>
        <v>0.36404369999999997</v>
      </c>
      <c r="Q997" s="75">
        <v>150</v>
      </c>
      <c r="R997" s="1">
        <v>74803.5</v>
      </c>
      <c r="S997" s="75">
        <f>Supplier_Perf_Table[[#This Row],[Unit_Cost]]*Supplier_Perf_Table[[#This Row],[Order_Quantity]]</f>
        <v>74803.5</v>
      </c>
      <c r="T997" s="75">
        <f>IFERROR(Supplier_Perf_Table[[#This Row],[Dollar Equivalent]]*Supplier_Perf_Table[[#This Row],[Ordered_Value]],"")</f>
        <v>54.606555</v>
      </c>
      <c r="U997" s="75">
        <v>8</v>
      </c>
      <c r="V997" s="7">
        <v>5.33E-2</v>
      </c>
      <c r="W997" s="75">
        <v>26</v>
      </c>
      <c r="X997" s="55">
        <f>IFERROR(Supplier_Perf_Table[[#This Row],[Actual_Delivery_Date]]-Supplier_Perf_Table[[#This Row],[Order Date]],"")</f>
        <v>26</v>
      </c>
      <c r="Y997" s="75">
        <v>19</v>
      </c>
      <c r="Z997" s="56">
        <f>IFERROR(Supplier_Perf_Table[[#This Row],[Expected Delivery_Date]]-Supplier_Perf_Table[[#This Row],[Order Date]],"")</f>
        <v>19</v>
      </c>
      <c r="AA997" s="56">
        <f>Supplier_Perf_Table[[#This Row],[Calculated_Lead_Time2]]-Supplier_Perf_Table[[#This Row],[Calculated_Expected_Lead_Time]]</f>
        <v>7</v>
      </c>
      <c r="AB997" s="75">
        <v>7</v>
      </c>
      <c r="AC997" s="63" t="s">
        <v>39</v>
      </c>
      <c r="AD997" s="63" t="s">
        <v>74</v>
      </c>
      <c r="AE997" s="63" t="s">
        <v>105</v>
      </c>
      <c r="AF997" s="63" t="s">
        <v>3088</v>
      </c>
      <c r="AG997" s="63" t="s">
        <v>3088</v>
      </c>
      <c r="AH997" s="63" t="s">
        <v>174</v>
      </c>
      <c r="AI997" s="63" t="s">
        <v>95</v>
      </c>
      <c r="AJ997" s="63" t="s">
        <v>75</v>
      </c>
      <c r="AK997" s="83">
        <v>1</v>
      </c>
      <c r="AL997" s="63" t="s">
        <v>184</v>
      </c>
      <c r="AM997" s="63" t="s">
        <v>77</v>
      </c>
      <c r="AN997"/>
    </row>
    <row r="998" spans="1:40" ht="18" customHeight="1">
      <c r="A998" s="1" t="s">
        <v>3063</v>
      </c>
      <c r="B998" s="1" t="s">
        <v>3064</v>
      </c>
      <c r="C998" s="4">
        <v>46190</v>
      </c>
      <c r="D998" s="4">
        <v>46207</v>
      </c>
      <c r="E998" s="4">
        <v>46216</v>
      </c>
      <c r="F998" s="63" t="s">
        <v>142</v>
      </c>
      <c r="G998" s="63" t="s">
        <v>3843</v>
      </c>
      <c r="H998" s="63" t="s">
        <v>169</v>
      </c>
      <c r="I998" s="63" t="s">
        <v>49</v>
      </c>
      <c r="J998" s="63" t="s">
        <v>50</v>
      </c>
      <c r="K998" s="63" t="s">
        <v>3065</v>
      </c>
      <c r="L998" s="63" t="s">
        <v>145</v>
      </c>
      <c r="M998" s="69" t="s">
        <v>3080</v>
      </c>
      <c r="N998" s="63" t="s">
        <v>65</v>
      </c>
      <c r="O998" s="73">
        <f>_xlfn.XLOOKUP(Supplier_Perf_Table[[#This Row],[Currency]],'Comments 2'!$C$4:$C$16,'Comments 2'!$D$4:$D$16)</f>
        <v>1</v>
      </c>
      <c r="P998" s="69" t="str">
        <f>IFERROR(Supplier_Perf_Table[[#This Row],[Unit_Cost]]*Supplier_Perf_Table[[#This Row],[Dollar Equivalent]],"")</f>
        <v/>
      </c>
      <c r="Q998" s="75">
        <v>750</v>
      </c>
      <c r="R998" s="1">
        <v>64140</v>
      </c>
      <c r="S998" s="75" t="e">
        <f>Supplier_Perf_Table[[#This Row],[Unit_Cost]]*Supplier_Perf_Table[[#This Row],[Order_Quantity]]</f>
        <v>#VALUE!</v>
      </c>
      <c r="T998" s="75">
        <f>IFERROR(Supplier_Perf_Table[[#This Row],[Dollar Equivalent]]*Supplier_Perf_Table[[#This Row],[Ordered_Value]],"")</f>
        <v>64140</v>
      </c>
      <c r="U998" s="75">
        <v>25</v>
      </c>
      <c r="V998" s="7">
        <v>3.3300000000000003E-2</v>
      </c>
      <c r="W998" s="75">
        <v>26</v>
      </c>
      <c r="X998" s="55">
        <f>IFERROR(Supplier_Perf_Table[[#This Row],[Actual_Delivery_Date]]-Supplier_Perf_Table[[#This Row],[Order Date]],"")</f>
        <v>26</v>
      </c>
      <c r="Y998" s="75">
        <v>17</v>
      </c>
      <c r="Z998" s="56">
        <f>IFERROR(Supplier_Perf_Table[[#This Row],[Expected Delivery_Date]]-Supplier_Perf_Table[[#This Row],[Order Date]],"")</f>
        <v>17</v>
      </c>
      <c r="AA998" s="56">
        <f>Supplier_Perf_Table[[#This Row],[Calculated_Lead_Time2]]-Supplier_Perf_Table[[#This Row],[Calculated_Expected_Lead_Time]]</f>
        <v>9</v>
      </c>
      <c r="AB998" s="75">
        <v>9</v>
      </c>
      <c r="AC998" s="63" t="s">
        <v>39</v>
      </c>
      <c r="AD998" s="63" t="s">
        <v>40</v>
      </c>
      <c r="AE998" s="63" t="s">
        <v>41</v>
      </c>
      <c r="AF998" s="63" t="s">
        <v>3088</v>
      </c>
      <c r="AG998" s="63" t="s">
        <v>173</v>
      </c>
      <c r="AH998" s="63" t="s">
        <v>136</v>
      </c>
      <c r="AI998" s="63" t="s">
        <v>137</v>
      </c>
      <c r="AJ998" s="63" t="s">
        <v>138</v>
      </c>
      <c r="AK998" s="83">
        <v>2.2000000000000002</v>
      </c>
      <c r="AL998" s="63" t="s">
        <v>139</v>
      </c>
      <c r="AM998" s="63" t="s">
        <v>386</v>
      </c>
      <c r="AN998"/>
    </row>
    <row r="999" spans="1:40" ht="18" customHeight="1">
      <c r="A999" s="1" t="s">
        <v>3066</v>
      </c>
      <c r="B999" s="1" t="s">
        <v>3067</v>
      </c>
      <c r="C999" s="4">
        <v>46067</v>
      </c>
      <c r="D999" s="4">
        <v>46084</v>
      </c>
      <c r="E999" s="4">
        <v>46085</v>
      </c>
      <c r="F999" s="63" t="s">
        <v>118</v>
      </c>
      <c r="G999" s="63" t="s">
        <v>3842</v>
      </c>
      <c r="H999" s="63" t="s">
        <v>301</v>
      </c>
      <c r="I999" s="63" t="s">
        <v>241</v>
      </c>
      <c r="J999" s="63" t="s">
        <v>153</v>
      </c>
      <c r="K999" s="63" t="s">
        <v>3068</v>
      </c>
      <c r="L999" s="63" t="s">
        <v>295</v>
      </c>
      <c r="M999" s="69">
        <v>517.76</v>
      </c>
      <c r="N999" s="63" t="s">
        <v>104</v>
      </c>
      <c r="O999" s="73">
        <f>_xlfn.XLOOKUP(Supplier_Perf_Table[[#This Row],[Currency]],'Comments 2'!$C$4:$C$16,'Comments 2'!$D$4:$D$16)</f>
        <v>1.9E-2</v>
      </c>
      <c r="P999" s="69">
        <f>IFERROR(Supplier_Perf_Table[[#This Row],[Unit_Cost]]*Supplier_Perf_Table[[#This Row],[Dollar Equivalent]],"")</f>
        <v>9.8374399999999991</v>
      </c>
      <c r="Q999" s="75">
        <v>2000</v>
      </c>
      <c r="R999" s="1">
        <v>1035520</v>
      </c>
      <c r="S999" s="75">
        <f>Supplier_Perf_Table[[#This Row],[Unit_Cost]]*Supplier_Perf_Table[[#This Row],[Order_Quantity]]</f>
        <v>1035520</v>
      </c>
      <c r="T999" s="75">
        <f>IFERROR(Supplier_Perf_Table[[#This Row],[Dollar Equivalent]]*Supplier_Perf_Table[[#This Row],[Ordered_Value]],"")</f>
        <v>19674.88</v>
      </c>
      <c r="U999" s="75">
        <v>0</v>
      </c>
      <c r="V999" s="7">
        <v>0</v>
      </c>
      <c r="W999" s="75">
        <v>18</v>
      </c>
      <c r="X999" s="55">
        <f>IFERROR(Supplier_Perf_Table[[#This Row],[Actual_Delivery_Date]]-Supplier_Perf_Table[[#This Row],[Order Date]],"")</f>
        <v>18</v>
      </c>
      <c r="Y999" s="75">
        <v>17</v>
      </c>
      <c r="Z999" s="56">
        <f>IFERROR(Supplier_Perf_Table[[#This Row],[Expected Delivery_Date]]-Supplier_Perf_Table[[#This Row],[Order Date]],"")</f>
        <v>17</v>
      </c>
      <c r="AA999" s="56">
        <f>Supplier_Perf_Table[[#This Row],[Calculated_Lead_Time2]]-Supplier_Perf_Table[[#This Row],[Calculated_Expected_Lead_Time]]</f>
        <v>1</v>
      </c>
      <c r="AB999" s="75">
        <v>1</v>
      </c>
      <c r="AC999" s="63" t="s">
        <v>135</v>
      </c>
      <c r="AD999" s="63" t="s">
        <v>40</v>
      </c>
      <c r="AE999" s="63" t="s">
        <v>105</v>
      </c>
      <c r="AF999" s="63" t="s">
        <v>190</v>
      </c>
      <c r="AG999" s="63" t="s">
        <v>173</v>
      </c>
      <c r="AH999" s="63" t="s">
        <v>174</v>
      </c>
      <c r="AI999" s="63" t="s">
        <v>147</v>
      </c>
      <c r="AJ999" s="63" t="s">
        <v>138</v>
      </c>
      <c r="AK999" s="83">
        <v>2.2000000000000002</v>
      </c>
      <c r="AL999" s="63" t="s">
        <v>76</v>
      </c>
      <c r="AM999" s="63" t="s">
        <v>46</v>
      </c>
      <c r="AN999"/>
    </row>
    <row r="1000" spans="1:40" ht="18" customHeight="1">
      <c r="A1000" s="1" t="s">
        <v>3069</v>
      </c>
      <c r="B1000" s="1" t="s">
        <v>3070</v>
      </c>
      <c r="C1000" s="4">
        <v>46137</v>
      </c>
      <c r="D1000" s="4">
        <v>46157</v>
      </c>
      <c r="E1000" s="4">
        <v>46159</v>
      </c>
      <c r="F1000" s="63" t="s">
        <v>118</v>
      </c>
      <c r="G1000" s="63" t="s">
        <v>3842</v>
      </c>
      <c r="H1000" s="63" t="s">
        <v>301</v>
      </c>
      <c r="I1000" s="63" t="s">
        <v>83</v>
      </c>
      <c r="J1000" s="63" t="s">
        <v>62</v>
      </c>
      <c r="K1000" s="63" t="s">
        <v>3071</v>
      </c>
      <c r="L1000" s="63" t="s">
        <v>94</v>
      </c>
      <c r="M1000" s="69">
        <v>237.5</v>
      </c>
      <c r="N1000" s="63" t="s">
        <v>38</v>
      </c>
      <c r="O1000" s="73">
        <f>_xlfn.XLOOKUP(Supplier_Perf_Table[[#This Row],[Currency]],'Comments 2'!$C$4:$C$16,'Comments 2'!$D$4:$D$16)</f>
        <v>7.7000000000000002E-3</v>
      </c>
      <c r="P1000" s="69">
        <f>IFERROR(Supplier_Perf_Table[[#This Row],[Unit_Cost]]*Supplier_Perf_Table[[#This Row],[Dollar Equivalent]],"")</f>
        <v>1.8287500000000001</v>
      </c>
      <c r="Q1000" s="75">
        <v>300</v>
      </c>
      <c r="R1000" s="1">
        <v>71250</v>
      </c>
      <c r="S1000" s="75">
        <f>Supplier_Perf_Table[[#This Row],[Unit_Cost]]*Supplier_Perf_Table[[#This Row],[Order_Quantity]]</f>
        <v>71250</v>
      </c>
      <c r="T1000" s="75">
        <f>IFERROR(Supplier_Perf_Table[[#This Row],[Dollar Equivalent]]*Supplier_Perf_Table[[#This Row],[Ordered_Value]],"")</f>
        <v>548.625</v>
      </c>
      <c r="U1000" s="75">
        <v>16</v>
      </c>
      <c r="V1000" s="7">
        <v>5.33E-2</v>
      </c>
      <c r="W1000" s="75">
        <v>22</v>
      </c>
      <c r="X1000" s="55">
        <f>IFERROR(Supplier_Perf_Table[[#This Row],[Actual_Delivery_Date]]-Supplier_Perf_Table[[#This Row],[Order Date]],"")</f>
        <v>22</v>
      </c>
      <c r="Y1000" s="75">
        <v>20</v>
      </c>
      <c r="Z1000" s="56">
        <f>IFERROR(Supplier_Perf_Table[[#This Row],[Expected Delivery_Date]]-Supplier_Perf_Table[[#This Row],[Order Date]],"")</f>
        <v>20</v>
      </c>
      <c r="AA1000" s="56">
        <f>Supplier_Perf_Table[[#This Row],[Calculated_Lead_Time2]]-Supplier_Perf_Table[[#This Row],[Calculated_Expected_Lead_Time]]</f>
        <v>2</v>
      </c>
      <c r="AB1000" s="75">
        <v>2</v>
      </c>
      <c r="AC1000" s="63" t="s">
        <v>135</v>
      </c>
      <c r="AD1000" s="63" t="s">
        <v>366</v>
      </c>
      <c r="AE1000" s="63" t="s">
        <v>3088</v>
      </c>
      <c r="AF1000" s="63" t="s">
        <v>3088</v>
      </c>
      <c r="AG1000" s="63" t="s">
        <v>54</v>
      </c>
      <c r="AH1000" s="63" t="s">
        <v>88</v>
      </c>
      <c r="AI1000" s="63" t="s">
        <v>95</v>
      </c>
      <c r="AJ1000" s="63" t="s">
        <v>283</v>
      </c>
      <c r="AK1000" s="83">
        <v>3.4</v>
      </c>
      <c r="AL1000" s="63" t="s">
        <v>115</v>
      </c>
      <c r="AM1000" s="63" t="s">
        <v>185</v>
      </c>
      <c r="AN1000"/>
    </row>
    <row r="1001" spans="1:40" ht="18" customHeight="1">
      <c r="A1001" s="1" t="s">
        <v>3072</v>
      </c>
      <c r="B1001" s="1" t="s">
        <v>3073</v>
      </c>
      <c r="C1001" s="4">
        <v>46171</v>
      </c>
      <c r="D1001" s="4">
        <v>46189</v>
      </c>
      <c r="E1001" s="4">
        <v>46191</v>
      </c>
      <c r="F1001" s="63" t="s">
        <v>48</v>
      </c>
      <c r="G1001" s="63" t="s">
        <v>3836</v>
      </c>
      <c r="H1001" s="63" t="s">
        <v>102</v>
      </c>
      <c r="I1001" s="63" t="s">
        <v>241</v>
      </c>
      <c r="J1001" s="63" t="s">
        <v>50</v>
      </c>
      <c r="K1001" s="63" t="s">
        <v>1476</v>
      </c>
      <c r="L1001" s="63" t="s">
        <v>145</v>
      </c>
      <c r="M1001" s="69">
        <v>2315.4</v>
      </c>
      <c r="N1001" s="63" t="s">
        <v>291</v>
      </c>
      <c r="O1001" s="73">
        <f>_xlfn.XLOOKUP(Supplier_Perf_Table[[#This Row],[Currency]],'Comments 2'!$C$4:$C$16,'Comments 2'!$D$4:$D$16)</f>
        <v>7.2999999999999996E-4</v>
      </c>
      <c r="P1001" s="69">
        <f>IFERROR(Supplier_Perf_Table[[#This Row],[Unit_Cost]]*Supplier_Perf_Table[[#This Row],[Dollar Equivalent]],"")</f>
        <v>1.690242</v>
      </c>
      <c r="Q1001" s="75">
        <v>300</v>
      </c>
      <c r="R1001" s="1">
        <v>694620</v>
      </c>
      <c r="S1001" s="75">
        <f>Supplier_Perf_Table[[#This Row],[Unit_Cost]]*Supplier_Perf_Table[[#This Row],[Order_Quantity]]</f>
        <v>694620</v>
      </c>
      <c r="T1001" s="75">
        <f>IFERROR(Supplier_Perf_Table[[#This Row],[Dollar Equivalent]]*Supplier_Perf_Table[[#This Row],[Ordered_Value]],"")</f>
        <v>507.07259999999997</v>
      </c>
      <c r="U1001" s="75">
        <v>0</v>
      </c>
      <c r="V1001" s="7">
        <v>0</v>
      </c>
      <c r="W1001" s="75">
        <v>20</v>
      </c>
      <c r="X1001" s="55">
        <f>IFERROR(Supplier_Perf_Table[[#This Row],[Actual_Delivery_Date]]-Supplier_Perf_Table[[#This Row],[Order Date]],"")</f>
        <v>20</v>
      </c>
      <c r="Y1001" s="75">
        <v>18</v>
      </c>
      <c r="Z1001" s="56">
        <f>IFERROR(Supplier_Perf_Table[[#This Row],[Expected Delivery_Date]]-Supplier_Perf_Table[[#This Row],[Order Date]],"")</f>
        <v>18</v>
      </c>
      <c r="AA1001" s="56">
        <f>Supplier_Perf_Table[[#This Row],[Calculated_Lead_Time2]]-Supplier_Perf_Table[[#This Row],[Calculated_Expected_Lead_Time]]</f>
        <v>2</v>
      </c>
      <c r="AB1001" s="75">
        <v>2</v>
      </c>
      <c r="AC1001" s="63" t="s">
        <v>135</v>
      </c>
      <c r="AD1001" s="63" t="s">
        <v>40</v>
      </c>
      <c r="AE1001" s="63" t="s">
        <v>105</v>
      </c>
      <c r="AF1001" s="63" t="s">
        <v>66</v>
      </c>
      <c r="AG1001" s="63" t="s">
        <v>128</v>
      </c>
      <c r="AH1001" s="63" t="s">
        <v>3112</v>
      </c>
      <c r="AI1001" s="63" t="s">
        <v>147</v>
      </c>
      <c r="AJ1001" s="63" t="s">
        <v>138</v>
      </c>
      <c r="AK1001" s="83">
        <v>2.5</v>
      </c>
      <c r="AL1001" s="63" t="s">
        <v>108</v>
      </c>
      <c r="AM1001" s="63" t="s">
        <v>46</v>
      </c>
      <c r="AN1001"/>
    </row>
  </sheetData>
  <sortState xmlns:xlrd2="http://schemas.microsoft.com/office/spreadsheetml/2017/richdata2" ref="C1004:E1040">
    <sortCondition ref="E1004:E1040"/>
  </sortState>
  <phoneticPr fontId="4" type="noConversion"/>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DE09E-D591-4364-A4F1-51F6770DEEA6}">
  <dimension ref="A1:AG1002"/>
  <sheetViews>
    <sheetView topLeftCell="T874" workbookViewId="0">
      <selection activeCell="B891" sqref="B891"/>
    </sheetView>
  </sheetViews>
  <sheetFormatPr defaultColWidth="12.6640625" defaultRowHeight="15" customHeight="1"/>
  <cols>
    <col min="1" max="2" width="15" customWidth="1"/>
    <col min="3" max="3" width="18" customWidth="1"/>
    <col min="4" max="5" width="18" style="84" customWidth="1"/>
    <col min="6" max="6" width="12" customWidth="1"/>
    <col min="7" max="7" width="24" customWidth="1"/>
    <col min="8" max="10" width="18" customWidth="1"/>
    <col min="11" max="11" width="14" customWidth="1"/>
    <col min="12" max="12" width="28" customWidth="1"/>
    <col min="13" max="13" width="12" customWidth="1"/>
    <col min="14" max="14" width="10" customWidth="1"/>
    <col min="15" max="15" width="14" customWidth="1"/>
    <col min="16" max="16" width="15" customWidth="1"/>
    <col min="17" max="19" width="14" customWidth="1"/>
    <col min="20" max="24" width="18" customWidth="1"/>
    <col min="25" max="27" width="16" customWidth="1"/>
    <col min="28" max="28" width="12" customWidth="1"/>
    <col min="29" max="29" width="22" customWidth="1"/>
    <col min="30" max="30" width="14" customWidth="1"/>
    <col min="31" max="31" width="18" customWidth="1"/>
    <col min="32" max="32" width="36" customWidth="1"/>
  </cols>
  <sheetData>
    <row r="1" spans="1:33" s="3" customFormat="1" ht="37.5" customHeight="1">
      <c r="A1" s="2" t="s">
        <v>0</v>
      </c>
      <c r="B1" s="2" t="s">
        <v>1</v>
      </c>
      <c r="C1" s="2" t="s">
        <v>3316</v>
      </c>
      <c r="D1" s="5" t="s">
        <v>3317</v>
      </c>
      <c r="E1" s="5" t="s">
        <v>2</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3" t="s">
        <v>3318</v>
      </c>
    </row>
    <row r="2" spans="1:33" ht="18" customHeight="1">
      <c r="A2" s="1" t="s">
        <v>30</v>
      </c>
      <c r="B2" s="1" t="s">
        <v>31</v>
      </c>
      <c r="C2" s="4">
        <v>46081</v>
      </c>
      <c r="D2" s="4">
        <v>46101</v>
      </c>
      <c r="E2" s="4">
        <v>46111</v>
      </c>
      <c r="F2" s="1" t="s">
        <v>32</v>
      </c>
      <c r="G2" s="1" t="s">
        <v>33</v>
      </c>
      <c r="H2" s="1" t="s">
        <v>3319</v>
      </c>
      <c r="I2" s="1" t="s">
        <v>34</v>
      </c>
      <c r="J2" s="1" t="s">
        <v>35</v>
      </c>
      <c r="K2" s="1" t="s">
        <v>36</v>
      </c>
      <c r="L2" s="1" t="s">
        <v>37</v>
      </c>
      <c r="M2" s="1">
        <v>353.52</v>
      </c>
      <c r="N2" s="1" t="s">
        <v>38</v>
      </c>
      <c r="O2" s="1">
        <v>1500</v>
      </c>
      <c r="P2" s="1">
        <v>530280</v>
      </c>
      <c r="Q2" s="1">
        <v>41</v>
      </c>
      <c r="R2" s="7">
        <v>2.7300000000000001E-2</v>
      </c>
      <c r="S2" s="1"/>
      <c r="T2" s="1">
        <v>20</v>
      </c>
      <c r="U2" s="1">
        <v>10</v>
      </c>
      <c r="V2" s="1" t="s">
        <v>39</v>
      </c>
      <c r="W2" s="1" t="s">
        <v>40</v>
      </c>
      <c r="X2" s="1" t="s">
        <v>41</v>
      </c>
      <c r="Y2" s="1" t="s">
        <v>42</v>
      </c>
      <c r="Z2" s="1" t="s">
        <v>43</v>
      </c>
      <c r="AA2" s="1"/>
      <c r="AB2" s="1" t="s">
        <v>44</v>
      </c>
      <c r="AC2" s="1"/>
      <c r="AD2" s="1">
        <v>2.2000000000000002</v>
      </c>
      <c r="AE2" s="1" t="s">
        <v>45</v>
      </c>
      <c r="AF2" s="1" t="s">
        <v>46</v>
      </c>
      <c r="AG2" t="s">
        <v>3320</v>
      </c>
    </row>
    <row r="3" spans="1:33" ht="18" customHeight="1">
      <c r="A3" s="1" t="s">
        <v>30</v>
      </c>
      <c r="B3" s="1" t="s">
        <v>47</v>
      </c>
      <c r="C3" s="4">
        <v>46066</v>
      </c>
      <c r="D3" s="4"/>
      <c r="E3" s="4">
        <v>46082</v>
      </c>
      <c r="F3" s="1" t="s">
        <v>48</v>
      </c>
      <c r="G3" s="1" t="s">
        <v>3321</v>
      </c>
      <c r="H3" s="1" t="s">
        <v>3322</v>
      </c>
      <c r="I3" s="1" t="s">
        <v>49</v>
      </c>
      <c r="J3" s="1" t="s">
        <v>50</v>
      </c>
      <c r="K3" s="1" t="s">
        <v>51</v>
      </c>
      <c r="L3" s="1" t="s">
        <v>52</v>
      </c>
      <c r="M3" s="1">
        <v>24.24</v>
      </c>
      <c r="N3" s="1" t="s">
        <v>53</v>
      </c>
      <c r="O3" s="1">
        <v>100</v>
      </c>
      <c r="P3" s="1">
        <v>2424</v>
      </c>
      <c r="Q3" s="1">
        <v>0</v>
      </c>
      <c r="R3" s="7">
        <v>0</v>
      </c>
      <c r="S3" s="1">
        <v>16</v>
      </c>
      <c r="T3" s="1">
        <v>13</v>
      </c>
      <c r="U3" s="1">
        <v>3</v>
      </c>
      <c r="V3" s="1" t="s">
        <v>3323</v>
      </c>
      <c r="W3" s="1" t="s">
        <v>40</v>
      </c>
      <c r="X3" s="1" t="s">
        <v>3324</v>
      </c>
      <c r="Y3" s="1"/>
      <c r="Z3" s="1" t="s">
        <v>54</v>
      </c>
      <c r="AA3" s="1" t="s">
        <v>55</v>
      </c>
      <c r="AB3" s="1" t="s">
        <v>56</v>
      </c>
      <c r="AC3" s="1"/>
      <c r="AD3" s="1">
        <v>5</v>
      </c>
      <c r="AE3" s="1" t="s">
        <v>57</v>
      </c>
      <c r="AF3" s="1" t="s">
        <v>46</v>
      </c>
      <c r="AG3" t="s">
        <v>3325</v>
      </c>
    </row>
    <row r="4" spans="1:33" ht="18" customHeight="1">
      <c r="A4" s="1" t="s">
        <v>58</v>
      </c>
      <c r="B4" s="1" t="s">
        <v>59</v>
      </c>
      <c r="C4" s="4">
        <v>46151</v>
      </c>
      <c r="D4" s="4">
        <v>46160</v>
      </c>
      <c r="E4" s="4">
        <v>46165</v>
      </c>
      <c r="F4" s="1" t="s">
        <v>60</v>
      </c>
      <c r="G4" s="1" t="s">
        <v>3326</v>
      </c>
      <c r="H4" s="1" t="s">
        <v>3327</v>
      </c>
      <c r="I4" s="1" t="s">
        <v>61</v>
      </c>
      <c r="J4" s="1" t="s">
        <v>62</v>
      </c>
      <c r="K4" s="1" t="s">
        <v>63</v>
      </c>
      <c r="L4" s="1" t="s">
        <v>64</v>
      </c>
      <c r="M4" s="1">
        <v>690.99</v>
      </c>
      <c r="N4" s="1" t="s">
        <v>65</v>
      </c>
      <c r="O4" s="1">
        <v>300</v>
      </c>
      <c r="P4" s="1">
        <v>207297</v>
      </c>
      <c r="Q4" s="1">
        <v>5</v>
      </c>
      <c r="R4" s="7">
        <v>1.67E-2</v>
      </c>
      <c r="S4" s="1">
        <v>14</v>
      </c>
      <c r="T4" s="1">
        <v>9</v>
      </c>
      <c r="U4" s="1">
        <v>5</v>
      </c>
      <c r="V4" s="1" t="s">
        <v>3328</v>
      </c>
      <c r="W4" s="1" t="s">
        <v>40</v>
      </c>
      <c r="X4" s="1" t="s">
        <v>3329</v>
      </c>
      <c r="Y4" s="1" t="s">
        <v>66</v>
      </c>
      <c r="Z4" s="1" t="s">
        <v>3330</v>
      </c>
      <c r="AA4" s="1"/>
      <c r="AB4" s="1" t="s">
        <v>44</v>
      </c>
      <c r="AC4" s="1"/>
      <c r="AD4" s="1">
        <v>4.9000000000000004</v>
      </c>
      <c r="AE4" s="1" t="s">
        <v>45</v>
      </c>
      <c r="AF4" s="1" t="s">
        <v>46</v>
      </c>
    </row>
    <row r="5" spans="1:33" ht="18" hidden="1" customHeight="1">
      <c r="A5" s="1" t="s">
        <v>67</v>
      </c>
      <c r="B5" s="1" t="s">
        <v>68</v>
      </c>
      <c r="C5" s="4">
        <v>46127</v>
      </c>
      <c r="D5" s="1">
        <v>46139</v>
      </c>
      <c r="E5" s="1">
        <v>46147</v>
      </c>
      <c r="F5" s="1" t="s">
        <v>69</v>
      </c>
      <c r="G5" s="1" t="s">
        <v>3331</v>
      </c>
      <c r="H5" s="1" t="s">
        <v>3332</v>
      </c>
      <c r="I5" s="1" t="s">
        <v>70</v>
      </c>
      <c r="J5" s="1" t="s">
        <v>71</v>
      </c>
      <c r="K5" s="1" t="s">
        <v>72</v>
      </c>
      <c r="L5" s="1" t="s">
        <v>73</v>
      </c>
      <c r="M5" s="1">
        <v>375.45</v>
      </c>
      <c r="N5" s="1" t="s">
        <v>65</v>
      </c>
      <c r="O5" s="1">
        <v>1000</v>
      </c>
      <c r="P5" s="1">
        <v>375450</v>
      </c>
      <c r="Q5" s="1">
        <v>49</v>
      </c>
      <c r="R5" s="7">
        <v>4.9000000000000002E-2</v>
      </c>
      <c r="S5" s="1">
        <v>-5</v>
      </c>
      <c r="T5" s="1">
        <v>12</v>
      </c>
      <c r="U5" s="1"/>
      <c r="V5" s="1" t="s">
        <v>39</v>
      </c>
      <c r="W5" s="1" t="s">
        <v>74</v>
      </c>
      <c r="X5" s="1" t="s">
        <v>41</v>
      </c>
      <c r="Y5" s="1" t="s">
        <v>66</v>
      </c>
      <c r="Z5" s="1" t="s">
        <v>3333</v>
      </c>
      <c r="AA5" s="1"/>
      <c r="AB5" s="1" t="s">
        <v>44</v>
      </c>
      <c r="AC5" s="1" t="s">
        <v>75</v>
      </c>
      <c r="AD5" s="1">
        <v>3.3</v>
      </c>
      <c r="AE5" s="1" t="s">
        <v>76</v>
      </c>
      <c r="AF5" s="1" t="s">
        <v>77</v>
      </c>
    </row>
    <row r="6" spans="1:33" ht="18" customHeight="1">
      <c r="A6" s="1" t="s">
        <v>78</v>
      </c>
      <c r="B6" s="1" t="s">
        <v>79</v>
      </c>
      <c r="C6" s="4">
        <v>46178</v>
      </c>
      <c r="D6" s="4">
        <v>46191</v>
      </c>
      <c r="E6" s="4">
        <v>46185</v>
      </c>
      <c r="F6" s="1" t="s">
        <v>80</v>
      </c>
      <c r="G6" s="1" t="s">
        <v>81</v>
      </c>
      <c r="H6" s="1" t="s">
        <v>82</v>
      </c>
      <c r="I6" s="1" t="s">
        <v>83</v>
      </c>
      <c r="J6" s="1" t="s">
        <v>35</v>
      </c>
      <c r="K6" s="1" t="s">
        <v>84</v>
      </c>
      <c r="L6" s="1" t="s">
        <v>85</v>
      </c>
      <c r="M6" s="1">
        <v>2996.25</v>
      </c>
      <c r="N6" s="1" t="s">
        <v>86</v>
      </c>
      <c r="O6" s="1">
        <v>75</v>
      </c>
      <c r="P6" s="1">
        <v>224718.75</v>
      </c>
      <c r="Q6" s="1">
        <v>0</v>
      </c>
      <c r="R6" s="7">
        <v>0</v>
      </c>
      <c r="S6" s="1">
        <v>7</v>
      </c>
      <c r="T6" s="1">
        <v>13</v>
      </c>
      <c r="U6" s="1">
        <v>-6</v>
      </c>
      <c r="V6" s="1" t="s">
        <v>87</v>
      </c>
      <c r="W6" s="1" t="s">
        <v>40</v>
      </c>
      <c r="X6" s="1" t="s">
        <v>3329</v>
      </c>
      <c r="Y6" s="1" t="s">
        <v>3334</v>
      </c>
      <c r="Z6" s="1"/>
      <c r="AA6" s="1" t="s">
        <v>88</v>
      </c>
      <c r="AB6" s="1" t="s">
        <v>56</v>
      </c>
      <c r="AC6" s="1"/>
      <c r="AD6" s="1">
        <v>3.4</v>
      </c>
      <c r="AE6" s="1" t="s">
        <v>76</v>
      </c>
      <c r="AF6" s="1"/>
    </row>
    <row r="7" spans="1:33" ht="18" hidden="1" customHeight="1">
      <c r="A7" s="1" t="s">
        <v>67</v>
      </c>
      <c r="B7" s="1" t="s">
        <v>89</v>
      </c>
      <c r="C7" s="4" t="s">
        <v>3335</v>
      </c>
      <c r="D7" s="1">
        <v>46163</v>
      </c>
      <c r="E7" s="1">
        <v>46160</v>
      </c>
      <c r="F7" s="1" t="s">
        <v>90</v>
      </c>
      <c r="G7" s="1" t="s">
        <v>91</v>
      </c>
      <c r="H7" s="1" t="s">
        <v>3336</v>
      </c>
      <c r="I7" s="1" t="s">
        <v>92</v>
      </c>
      <c r="J7" s="1" t="s">
        <v>62</v>
      </c>
      <c r="K7" s="1" t="s">
        <v>93</v>
      </c>
      <c r="L7" s="1" t="s">
        <v>94</v>
      </c>
      <c r="M7" s="1">
        <v>224.15</v>
      </c>
      <c r="N7" s="1" t="s">
        <v>38</v>
      </c>
      <c r="O7" s="1">
        <v>1000</v>
      </c>
      <c r="P7" s="1">
        <v>224150</v>
      </c>
      <c r="Q7" s="1">
        <v>70</v>
      </c>
      <c r="R7" s="7">
        <v>7.0000000000000007E-2</v>
      </c>
      <c r="S7" s="1">
        <v>11</v>
      </c>
      <c r="T7" s="1">
        <v>14</v>
      </c>
      <c r="U7" s="1">
        <v>-3</v>
      </c>
      <c r="V7" s="1" t="s">
        <v>3337</v>
      </c>
      <c r="W7" s="1" t="s">
        <v>74</v>
      </c>
      <c r="X7" s="1" t="s">
        <v>41</v>
      </c>
      <c r="Y7" s="1" t="s">
        <v>66</v>
      </c>
      <c r="Z7" s="1" t="s">
        <v>43</v>
      </c>
      <c r="AA7" s="1" t="s">
        <v>88</v>
      </c>
      <c r="AB7" s="1" t="s">
        <v>95</v>
      </c>
      <c r="AC7" s="1" t="s">
        <v>96</v>
      </c>
      <c r="AD7" s="1">
        <v>1.8</v>
      </c>
      <c r="AE7" s="1" t="s">
        <v>76</v>
      </c>
      <c r="AF7" s="1" t="s">
        <v>97</v>
      </c>
    </row>
    <row r="8" spans="1:33" ht="18" customHeight="1">
      <c r="A8" s="1" t="s">
        <v>98</v>
      </c>
      <c r="B8" s="1" t="s">
        <v>99</v>
      </c>
      <c r="C8" s="4">
        <v>46120</v>
      </c>
      <c r="D8" s="4">
        <v>46137</v>
      </c>
      <c r="E8" s="4">
        <v>46142</v>
      </c>
      <c r="F8" s="1" t="s">
        <v>100</v>
      </c>
      <c r="G8" s="1" t="s">
        <v>101</v>
      </c>
      <c r="H8" s="1" t="s">
        <v>102</v>
      </c>
      <c r="I8" s="1" t="s">
        <v>34</v>
      </c>
      <c r="J8" s="1" t="s">
        <v>50</v>
      </c>
      <c r="K8" s="1" t="s">
        <v>103</v>
      </c>
      <c r="L8" s="1" t="s">
        <v>52</v>
      </c>
      <c r="M8" s="1">
        <v>3665.29</v>
      </c>
      <c r="N8" s="1" t="s">
        <v>104</v>
      </c>
      <c r="O8" s="1">
        <v>1000</v>
      </c>
      <c r="P8" s="1">
        <v>3665290</v>
      </c>
      <c r="Q8" s="1">
        <v>14</v>
      </c>
      <c r="R8" s="7">
        <v>1.4E-2</v>
      </c>
      <c r="S8" s="1">
        <v>22</v>
      </c>
      <c r="T8" s="1">
        <v>17</v>
      </c>
      <c r="U8" s="1">
        <v>5</v>
      </c>
      <c r="V8" s="1" t="s">
        <v>39</v>
      </c>
      <c r="W8" s="1" t="s">
        <v>40</v>
      </c>
      <c r="X8" s="1" t="s">
        <v>105</v>
      </c>
      <c r="Y8" s="1" t="s">
        <v>106</v>
      </c>
      <c r="Z8" s="1" t="s">
        <v>107</v>
      </c>
      <c r="AA8" s="1" t="s">
        <v>88</v>
      </c>
      <c r="AB8" s="1" t="s">
        <v>95</v>
      </c>
      <c r="AC8" s="1"/>
      <c r="AD8" s="1">
        <v>3.4</v>
      </c>
      <c r="AE8" s="1" t="s">
        <v>108</v>
      </c>
      <c r="AF8" s="1" t="s">
        <v>46</v>
      </c>
    </row>
    <row r="9" spans="1:33" ht="18" customHeight="1">
      <c r="A9" s="1" t="s">
        <v>109</v>
      </c>
      <c r="B9" s="1" t="s">
        <v>110</v>
      </c>
      <c r="C9" s="4">
        <v>46097</v>
      </c>
      <c r="D9" s="4">
        <v>46113</v>
      </c>
      <c r="E9" s="4">
        <v>46098</v>
      </c>
      <c r="F9" s="1" t="s">
        <v>69</v>
      </c>
      <c r="G9" s="1" t="s">
        <v>111</v>
      </c>
      <c r="H9" s="1" t="s">
        <v>3338</v>
      </c>
      <c r="I9" s="1" t="s">
        <v>83</v>
      </c>
      <c r="J9" s="1" t="s">
        <v>112</v>
      </c>
      <c r="K9" s="1" t="s">
        <v>113</v>
      </c>
      <c r="L9" s="1" t="s">
        <v>114</v>
      </c>
      <c r="M9" s="1">
        <v>719.98</v>
      </c>
      <c r="N9" s="1" t="s">
        <v>104</v>
      </c>
      <c r="O9" s="1">
        <v>1000</v>
      </c>
      <c r="P9" s="1">
        <v>719980</v>
      </c>
      <c r="Q9" s="1">
        <v>32</v>
      </c>
      <c r="R9" s="7">
        <v>3.2000000000000001E-2</v>
      </c>
      <c r="S9" s="1">
        <v>1</v>
      </c>
      <c r="T9" s="1">
        <v>16</v>
      </c>
      <c r="U9" s="1">
        <v>-15</v>
      </c>
      <c r="V9" s="1" t="s">
        <v>87</v>
      </c>
      <c r="W9" s="1" t="s">
        <v>40</v>
      </c>
      <c r="X9" s="1" t="s">
        <v>41</v>
      </c>
      <c r="Y9" s="1"/>
      <c r="Z9" s="1" t="s">
        <v>54</v>
      </c>
      <c r="AA9" s="1" t="s">
        <v>88</v>
      </c>
      <c r="AB9" s="1" t="s">
        <v>95</v>
      </c>
      <c r="AC9" s="1"/>
      <c r="AD9" s="1">
        <v>2.9</v>
      </c>
      <c r="AE9" s="1" t="s">
        <v>115</v>
      </c>
      <c r="AF9" s="1"/>
    </row>
    <row r="10" spans="1:33" ht="18" customHeight="1">
      <c r="A10" s="1" t="s">
        <v>116</v>
      </c>
      <c r="B10" s="1" t="s">
        <v>117</v>
      </c>
      <c r="C10" s="4" t="s">
        <v>3339</v>
      </c>
      <c r="D10" s="4">
        <v>46087</v>
      </c>
      <c r="E10" s="4">
        <v>46085</v>
      </c>
      <c r="F10" s="1" t="s">
        <v>118</v>
      </c>
      <c r="G10" s="1" t="s">
        <v>119</v>
      </c>
      <c r="H10" s="1" t="s">
        <v>3340</v>
      </c>
      <c r="I10" s="1" t="s">
        <v>120</v>
      </c>
      <c r="J10" s="1" t="s">
        <v>62</v>
      </c>
      <c r="K10" s="1" t="s">
        <v>121</v>
      </c>
      <c r="L10" s="1" t="s">
        <v>122</v>
      </c>
      <c r="M10" s="1">
        <v>200.24</v>
      </c>
      <c r="N10" s="1" t="s">
        <v>65</v>
      </c>
      <c r="O10" s="1">
        <v>-500</v>
      </c>
      <c r="P10" s="1">
        <v>100120</v>
      </c>
      <c r="Q10" s="1">
        <v>13</v>
      </c>
      <c r="R10" s="7">
        <v>2.5999999999999999E-2</v>
      </c>
      <c r="S10" s="1">
        <v>16</v>
      </c>
      <c r="T10" s="1">
        <v>18</v>
      </c>
      <c r="U10" s="1">
        <v>-2</v>
      </c>
      <c r="V10" s="1" t="s">
        <v>87</v>
      </c>
      <c r="W10" s="1" t="s">
        <v>40</v>
      </c>
      <c r="X10" s="1" t="s">
        <v>41</v>
      </c>
      <c r="Y10" s="1" t="s">
        <v>66</v>
      </c>
      <c r="Z10" s="1" t="s">
        <v>3333</v>
      </c>
      <c r="AA10" s="1" t="s">
        <v>3341</v>
      </c>
      <c r="AB10" s="1" t="s">
        <v>44</v>
      </c>
      <c r="AC10" s="1"/>
      <c r="AD10" s="1">
        <v>4.5999999999999996</v>
      </c>
      <c r="AE10" s="1" t="s">
        <v>76</v>
      </c>
      <c r="AF10" s="1"/>
    </row>
    <row r="11" spans="1:33" ht="18" customHeight="1">
      <c r="A11" s="1" t="s">
        <v>123</v>
      </c>
      <c r="B11" s="1" t="s">
        <v>124</v>
      </c>
      <c r="C11" s="4">
        <v>46167</v>
      </c>
      <c r="D11" s="4">
        <v>46180</v>
      </c>
      <c r="E11" s="4" t="s">
        <v>3342</v>
      </c>
      <c r="F11" s="1" t="s">
        <v>100</v>
      </c>
      <c r="G11" s="1" t="s">
        <v>3343</v>
      </c>
      <c r="H11" s="1" t="s">
        <v>102</v>
      </c>
      <c r="I11" s="1" t="s">
        <v>120</v>
      </c>
      <c r="J11" s="1" t="s">
        <v>50</v>
      </c>
      <c r="K11" s="1" t="s">
        <v>125</v>
      </c>
      <c r="L11" s="1" t="s">
        <v>126</v>
      </c>
      <c r="M11" s="1">
        <v>3659.46</v>
      </c>
      <c r="N11" s="1" t="s">
        <v>38</v>
      </c>
      <c r="O11" s="1" t="s">
        <v>3344</v>
      </c>
      <c r="P11" s="1" t="s">
        <v>3345</v>
      </c>
      <c r="Q11" s="1">
        <v>7</v>
      </c>
      <c r="R11" s="7">
        <v>2.3300000000000001E-2</v>
      </c>
      <c r="S11" s="1">
        <v>13</v>
      </c>
      <c r="T11" s="1">
        <v>13</v>
      </c>
      <c r="U11" s="1">
        <v>0</v>
      </c>
      <c r="V11" s="1" t="s">
        <v>87</v>
      </c>
      <c r="W11" s="1" t="s">
        <v>40</v>
      </c>
      <c r="X11" s="1" t="s">
        <v>127</v>
      </c>
      <c r="Y11" s="1"/>
      <c r="Z11" s="1" t="s">
        <v>128</v>
      </c>
      <c r="AA11" s="1" t="s">
        <v>129</v>
      </c>
      <c r="AB11" s="1" t="s">
        <v>56</v>
      </c>
      <c r="AC11" s="1"/>
      <c r="AD11" s="1">
        <v>2.2000000000000002</v>
      </c>
      <c r="AE11" s="1" t="s">
        <v>45</v>
      </c>
      <c r="AF11" s="1" t="s">
        <v>130</v>
      </c>
    </row>
    <row r="12" spans="1:33" ht="18" hidden="1" customHeight="1">
      <c r="A12" s="1" t="s">
        <v>131</v>
      </c>
      <c r="B12" s="1" t="s">
        <v>132</v>
      </c>
      <c r="C12" s="4">
        <v>46041</v>
      </c>
      <c r="D12" s="1">
        <v>46057</v>
      </c>
      <c r="E12" s="1">
        <v>46058</v>
      </c>
      <c r="F12" s="1" t="s">
        <v>90</v>
      </c>
      <c r="G12" s="1" t="s">
        <v>3346</v>
      </c>
      <c r="H12" s="1" t="s">
        <v>133</v>
      </c>
      <c r="I12" s="1" t="s">
        <v>70</v>
      </c>
      <c r="J12" s="1" t="s">
        <v>71</v>
      </c>
      <c r="K12" s="1" t="s">
        <v>134</v>
      </c>
      <c r="L12" s="1" t="s">
        <v>73</v>
      </c>
      <c r="M12" s="1">
        <v>361.63</v>
      </c>
      <c r="N12" s="1" t="s">
        <v>65</v>
      </c>
      <c r="O12" s="1">
        <v>2000</v>
      </c>
      <c r="P12" s="1">
        <v>723260</v>
      </c>
      <c r="Q12" s="1">
        <v>102</v>
      </c>
      <c r="R12" s="7">
        <v>5.0999999999999997E-2</v>
      </c>
      <c r="S12" s="1">
        <v>17</v>
      </c>
      <c r="T12" s="1">
        <v>16</v>
      </c>
      <c r="U12" s="1">
        <v>1</v>
      </c>
      <c r="V12" s="1" t="s">
        <v>135</v>
      </c>
      <c r="W12" s="1" t="s">
        <v>74</v>
      </c>
      <c r="X12" s="1" t="s">
        <v>41</v>
      </c>
      <c r="Y12" s="1" t="s">
        <v>3334</v>
      </c>
      <c r="Z12" s="1" t="s">
        <v>54</v>
      </c>
      <c r="AA12" s="1" t="s">
        <v>136</v>
      </c>
      <c r="AB12" s="1" t="s">
        <v>137</v>
      </c>
      <c r="AC12" s="1" t="s">
        <v>96</v>
      </c>
      <c r="AD12" s="1" t="s">
        <v>138</v>
      </c>
      <c r="AE12" s="1" t="s">
        <v>139</v>
      </c>
      <c r="AF12" s="1" t="s">
        <v>77</v>
      </c>
    </row>
    <row r="13" spans="1:33" ht="18" customHeight="1">
      <c r="A13" s="1" t="s">
        <v>140</v>
      </c>
      <c r="B13" s="1" t="s">
        <v>141</v>
      </c>
      <c r="C13" s="4">
        <v>46094</v>
      </c>
      <c r="D13" s="4">
        <v>46111</v>
      </c>
      <c r="E13" s="4" t="s">
        <v>3347</v>
      </c>
      <c r="F13" s="1" t="s">
        <v>142</v>
      </c>
      <c r="G13" s="1" t="s">
        <v>143</v>
      </c>
      <c r="H13" s="1"/>
      <c r="I13" s="1" t="s">
        <v>92</v>
      </c>
      <c r="J13" s="1" t="s">
        <v>50</v>
      </c>
      <c r="K13" s="1" t="s">
        <v>144</v>
      </c>
      <c r="L13" s="1" t="s">
        <v>145</v>
      </c>
      <c r="M13" s="1">
        <v>2943</v>
      </c>
      <c r="N13" s="1" t="s">
        <v>38</v>
      </c>
      <c r="O13" s="1" t="s">
        <v>3348</v>
      </c>
      <c r="P13" s="1">
        <v>147150</v>
      </c>
      <c r="Q13" s="1">
        <v>0</v>
      </c>
      <c r="R13" s="7">
        <v>0</v>
      </c>
      <c r="S13" s="1">
        <v>22</v>
      </c>
      <c r="T13" s="1">
        <v>17</v>
      </c>
      <c r="U13" s="1">
        <v>5</v>
      </c>
      <c r="V13" s="1" t="s">
        <v>39</v>
      </c>
      <c r="W13" s="1" t="s">
        <v>40</v>
      </c>
      <c r="X13" s="1" t="s">
        <v>146</v>
      </c>
      <c r="Y13" s="1" t="s">
        <v>3334</v>
      </c>
      <c r="Z13" s="1" t="s">
        <v>107</v>
      </c>
      <c r="AA13" s="1" t="s">
        <v>55</v>
      </c>
      <c r="AB13" s="1" t="s">
        <v>147</v>
      </c>
      <c r="AC13" s="1"/>
      <c r="AD13" s="1">
        <v>4.5</v>
      </c>
      <c r="AE13" s="1" t="s">
        <v>115</v>
      </c>
      <c r="AF13" s="1" t="s">
        <v>148</v>
      </c>
    </row>
    <row r="14" spans="1:33" ht="18" customHeight="1">
      <c r="A14" s="1" t="s">
        <v>149</v>
      </c>
      <c r="B14" s="1" t="s">
        <v>150</v>
      </c>
      <c r="C14" s="4" t="s">
        <v>3349</v>
      </c>
      <c r="D14" s="4">
        <v>46184</v>
      </c>
      <c r="E14" s="4" t="s">
        <v>3350</v>
      </c>
      <c r="F14" s="1" t="s">
        <v>151</v>
      </c>
      <c r="G14" s="1" t="s">
        <v>3351</v>
      </c>
      <c r="H14" s="1" t="s">
        <v>152</v>
      </c>
      <c r="I14" s="1" t="s">
        <v>120</v>
      </c>
      <c r="J14" s="1" t="s">
        <v>153</v>
      </c>
      <c r="K14" s="1" t="s">
        <v>154</v>
      </c>
      <c r="L14" s="1" t="s">
        <v>155</v>
      </c>
      <c r="M14" s="1">
        <v>719.52</v>
      </c>
      <c r="N14" s="1" t="s">
        <v>53</v>
      </c>
      <c r="O14" s="1">
        <v>1000</v>
      </c>
      <c r="P14" s="1">
        <v>719520</v>
      </c>
      <c r="Q14" s="1">
        <v>1</v>
      </c>
      <c r="R14" s="7">
        <v>1E-3</v>
      </c>
      <c r="S14" s="1">
        <v>6</v>
      </c>
      <c r="T14" s="1">
        <v>7</v>
      </c>
      <c r="U14" s="1"/>
      <c r="V14" s="1" t="s">
        <v>3352</v>
      </c>
      <c r="W14" s="1" t="s">
        <v>40</v>
      </c>
      <c r="X14" s="1" t="s">
        <v>146</v>
      </c>
      <c r="Y14" s="1"/>
      <c r="Z14" s="1" t="s">
        <v>54</v>
      </c>
      <c r="AA14" s="1" t="s">
        <v>55</v>
      </c>
      <c r="AB14" s="1" t="s">
        <v>95</v>
      </c>
      <c r="AC14" s="1"/>
      <c r="AD14" s="1">
        <v>3.3</v>
      </c>
      <c r="AE14" s="1" t="s">
        <v>108</v>
      </c>
      <c r="AF14" s="1" t="s">
        <v>130</v>
      </c>
    </row>
    <row r="15" spans="1:33" ht="18" customHeight="1">
      <c r="A15" s="1" t="s">
        <v>156</v>
      </c>
      <c r="B15" s="1" t="s">
        <v>157</v>
      </c>
      <c r="C15" s="4">
        <v>46165</v>
      </c>
      <c r="D15" s="4">
        <v>46172</v>
      </c>
      <c r="E15" s="4">
        <v>46173</v>
      </c>
      <c r="F15" s="1" t="s">
        <v>151</v>
      </c>
      <c r="G15" s="1" t="s">
        <v>3353</v>
      </c>
      <c r="H15" s="1" t="s">
        <v>3354</v>
      </c>
      <c r="I15" s="1" t="s">
        <v>61</v>
      </c>
      <c r="J15" s="1" t="s">
        <v>153</v>
      </c>
      <c r="K15" s="1" t="s">
        <v>158</v>
      </c>
      <c r="L15" s="1" t="s">
        <v>155</v>
      </c>
      <c r="M15" s="1">
        <v>286.22000000000003</v>
      </c>
      <c r="N15" s="1" t="s">
        <v>159</v>
      </c>
      <c r="O15" s="1">
        <v>150</v>
      </c>
      <c r="P15" s="1">
        <v>42933</v>
      </c>
      <c r="Q15" s="1">
        <v>2</v>
      </c>
      <c r="R15" s="7">
        <v>1.3299999999999999E-2</v>
      </c>
      <c r="S15" s="1">
        <v>8</v>
      </c>
      <c r="T15" s="1">
        <v>7</v>
      </c>
      <c r="U15" s="1">
        <v>1</v>
      </c>
      <c r="V15" s="1" t="s">
        <v>135</v>
      </c>
      <c r="W15" s="1" t="s">
        <v>40</v>
      </c>
      <c r="X15" s="1" t="s">
        <v>41</v>
      </c>
      <c r="Y15" s="1" t="s">
        <v>3334</v>
      </c>
      <c r="Z15" s="1" t="s">
        <v>3330</v>
      </c>
      <c r="AA15" s="1" t="s">
        <v>88</v>
      </c>
      <c r="AB15" s="1" t="s">
        <v>95</v>
      </c>
      <c r="AC15" s="1"/>
      <c r="AD15" s="1">
        <v>4.2</v>
      </c>
      <c r="AE15" s="1" t="s">
        <v>139</v>
      </c>
      <c r="AF15" s="1" t="s">
        <v>46</v>
      </c>
    </row>
    <row r="16" spans="1:33" ht="18" customHeight="1">
      <c r="A16" s="1" t="s">
        <v>160</v>
      </c>
      <c r="B16" s="1" t="s">
        <v>161</v>
      </c>
      <c r="C16" s="4">
        <v>46195</v>
      </c>
      <c r="D16" s="4">
        <v>46197</v>
      </c>
      <c r="E16" s="4" t="s">
        <v>3355</v>
      </c>
      <c r="F16" s="1" t="s">
        <v>162</v>
      </c>
      <c r="G16" s="1" t="s">
        <v>3356</v>
      </c>
      <c r="H16" s="1" t="s">
        <v>3354</v>
      </c>
      <c r="I16" s="1" t="s">
        <v>83</v>
      </c>
      <c r="J16" s="1" t="s">
        <v>163</v>
      </c>
      <c r="K16" s="1" t="s">
        <v>164</v>
      </c>
      <c r="L16" s="1" t="s">
        <v>165</v>
      </c>
      <c r="M16" s="1">
        <v>997.52</v>
      </c>
      <c r="N16" s="1" t="s">
        <v>86</v>
      </c>
      <c r="O16" s="1">
        <v>2000</v>
      </c>
      <c r="P16" s="1">
        <v>1995040</v>
      </c>
      <c r="Q16" s="1">
        <v>31</v>
      </c>
      <c r="R16" s="7">
        <v>1.55E-2</v>
      </c>
      <c r="S16" s="1">
        <v>4</v>
      </c>
      <c r="T16" s="1">
        <v>2</v>
      </c>
      <c r="U16" s="1">
        <v>2</v>
      </c>
      <c r="V16" s="1" t="s">
        <v>166</v>
      </c>
      <c r="W16" s="1" t="s">
        <v>40</v>
      </c>
      <c r="X16" s="1"/>
      <c r="Y16" s="1" t="s">
        <v>66</v>
      </c>
      <c r="Z16" s="1" t="s">
        <v>43</v>
      </c>
      <c r="AA16" s="1" t="s">
        <v>55</v>
      </c>
      <c r="AB16" s="1"/>
      <c r="AC16" s="1"/>
      <c r="AD16" s="1">
        <v>4</v>
      </c>
      <c r="AE16" s="1" t="s">
        <v>115</v>
      </c>
      <c r="AF16" s="1" t="s">
        <v>148</v>
      </c>
    </row>
    <row r="17" spans="1:32" ht="18" customHeight="1">
      <c r="A17" s="1" t="s">
        <v>167</v>
      </c>
      <c r="B17" s="1" t="s">
        <v>168</v>
      </c>
      <c r="C17" s="4">
        <v>46159</v>
      </c>
      <c r="D17" s="4">
        <v>46177</v>
      </c>
      <c r="E17" s="4" t="s">
        <v>3357</v>
      </c>
      <c r="F17" s="1" t="s">
        <v>142</v>
      </c>
      <c r="G17" s="1" t="s">
        <v>143</v>
      </c>
      <c r="H17" s="1" t="s">
        <v>169</v>
      </c>
      <c r="I17" s="1" t="s">
        <v>70</v>
      </c>
      <c r="J17" s="1" t="s">
        <v>163</v>
      </c>
      <c r="K17" s="1" t="s">
        <v>170</v>
      </c>
      <c r="L17" s="1" t="s">
        <v>171</v>
      </c>
      <c r="M17" s="1">
        <v>1754.18</v>
      </c>
      <c r="N17" s="1" t="s">
        <v>172</v>
      </c>
      <c r="O17" s="1">
        <v>200</v>
      </c>
      <c r="P17" s="1">
        <v>350836</v>
      </c>
      <c r="Q17" s="1">
        <v>6</v>
      </c>
      <c r="R17" s="7">
        <v>0.03</v>
      </c>
      <c r="S17" s="1" t="s">
        <v>3358</v>
      </c>
      <c r="T17" s="1">
        <v>18</v>
      </c>
      <c r="U17" s="1">
        <v>6</v>
      </c>
      <c r="V17" s="1" t="s">
        <v>39</v>
      </c>
      <c r="W17" s="1" t="s">
        <v>40</v>
      </c>
      <c r="X17" s="1" t="s">
        <v>127</v>
      </c>
      <c r="Y17" s="1" t="s">
        <v>42</v>
      </c>
      <c r="Z17" s="1" t="s">
        <v>173</v>
      </c>
      <c r="AA17" s="1" t="s">
        <v>174</v>
      </c>
      <c r="AB17" s="1" t="s">
        <v>95</v>
      </c>
      <c r="AC17" s="1"/>
      <c r="AD17" s="1">
        <v>2.1</v>
      </c>
      <c r="AE17" s="1" t="s">
        <v>115</v>
      </c>
      <c r="AF17" s="1" t="s">
        <v>148</v>
      </c>
    </row>
    <row r="18" spans="1:32" ht="18" customHeight="1">
      <c r="A18" s="1" t="s">
        <v>175</v>
      </c>
      <c r="B18" s="1" t="s">
        <v>176</v>
      </c>
      <c r="C18" s="4">
        <v>46163</v>
      </c>
      <c r="D18" s="4">
        <v>46177</v>
      </c>
      <c r="E18" s="4">
        <v>46183</v>
      </c>
      <c r="F18" s="1" t="s">
        <v>32</v>
      </c>
      <c r="G18" s="1" t="s">
        <v>3359</v>
      </c>
      <c r="H18" s="1" t="s">
        <v>177</v>
      </c>
      <c r="I18" s="1" t="s">
        <v>178</v>
      </c>
      <c r="J18" s="1" t="s">
        <v>35</v>
      </c>
      <c r="K18" s="1" t="s">
        <v>179</v>
      </c>
      <c r="L18" s="1" t="s">
        <v>180</v>
      </c>
      <c r="M18" s="1">
        <v>2499.94</v>
      </c>
      <c r="N18" s="1" t="s">
        <v>86</v>
      </c>
      <c r="O18" s="1" t="s">
        <v>3360</v>
      </c>
      <c r="P18" s="1">
        <v>499988</v>
      </c>
      <c r="Q18" s="1">
        <v>5</v>
      </c>
      <c r="R18" s="7">
        <v>2.5000000000000001E-2</v>
      </c>
      <c r="S18" s="1">
        <v>20</v>
      </c>
      <c r="T18" s="1">
        <v>14</v>
      </c>
      <c r="U18" s="1">
        <v>6</v>
      </c>
      <c r="V18" s="1" t="s">
        <v>39</v>
      </c>
      <c r="W18" s="1" t="s">
        <v>40</v>
      </c>
      <c r="X18" s="1" t="s">
        <v>105</v>
      </c>
      <c r="Y18" s="1" t="s">
        <v>66</v>
      </c>
      <c r="Z18" s="1" t="s">
        <v>107</v>
      </c>
      <c r="AA18" s="1" t="s">
        <v>174</v>
      </c>
      <c r="AB18" s="1" t="s">
        <v>95</v>
      </c>
      <c r="AC18" s="1"/>
      <c r="AD18" s="1">
        <v>2.5</v>
      </c>
      <c r="AE18" s="1" t="s">
        <v>115</v>
      </c>
      <c r="AF18" s="1" t="s">
        <v>46</v>
      </c>
    </row>
    <row r="19" spans="1:32" ht="18" hidden="1" customHeight="1">
      <c r="A19" s="1" t="s">
        <v>131</v>
      </c>
      <c r="B19" s="1" t="s">
        <v>181</v>
      </c>
      <c r="C19" s="4">
        <v>46079</v>
      </c>
      <c r="D19" s="1"/>
      <c r="E19" s="1">
        <v>46092</v>
      </c>
      <c r="F19" s="1" t="s">
        <v>69</v>
      </c>
      <c r="G19" s="1" t="s">
        <v>111</v>
      </c>
      <c r="H19" s="1" t="s">
        <v>3332</v>
      </c>
      <c r="I19" s="1" t="s">
        <v>120</v>
      </c>
      <c r="J19" s="1" t="s">
        <v>35</v>
      </c>
      <c r="K19" s="1" t="s">
        <v>182</v>
      </c>
      <c r="L19" s="1" t="s">
        <v>85</v>
      </c>
      <c r="M19" s="1">
        <v>375.4</v>
      </c>
      <c r="N19" s="1" t="s">
        <v>65</v>
      </c>
      <c r="O19" s="1">
        <v>200</v>
      </c>
      <c r="P19" s="1">
        <v>75080</v>
      </c>
      <c r="Q19" s="1">
        <v>11</v>
      </c>
      <c r="R19" s="7">
        <v>5.5E-2</v>
      </c>
      <c r="S19" s="1">
        <v>13</v>
      </c>
      <c r="T19" s="1">
        <v>12</v>
      </c>
      <c r="U19" s="1">
        <v>1</v>
      </c>
      <c r="V19" s="1" t="s">
        <v>3323</v>
      </c>
      <c r="W19" s="1" t="s">
        <v>74</v>
      </c>
      <c r="X19" s="1" t="s">
        <v>146</v>
      </c>
      <c r="Y19" s="1" t="s">
        <v>42</v>
      </c>
      <c r="Z19" s="1" t="s">
        <v>54</v>
      </c>
      <c r="AA19" s="1" t="s">
        <v>3341</v>
      </c>
      <c r="AB19" s="1" t="s">
        <v>95</v>
      </c>
      <c r="AC19" s="1" t="s">
        <v>183</v>
      </c>
      <c r="AD19" s="1">
        <v>1.5</v>
      </c>
      <c r="AE19" s="1" t="s">
        <v>184</v>
      </c>
      <c r="AF19" s="1" t="s">
        <v>185</v>
      </c>
    </row>
    <row r="20" spans="1:32" ht="18" customHeight="1">
      <c r="A20" s="1" t="s">
        <v>186</v>
      </c>
      <c r="B20" s="1" t="s">
        <v>187</v>
      </c>
      <c r="C20" s="4">
        <v>46045</v>
      </c>
      <c r="D20" s="4">
        <v>46056</v>
      </c>
      <c r="E20" s="4">
        <v>46057</v>
      </c>
      <c r="F20" s="1" t="s">
        <v>100</v>
      </c>
      <c r="G20" s="1" t="s">
        <v>3343</v>
      </c>
      <c r="H20" s="1" t="s">
        <v>3361</v>
      </c>
      <c r="I20" s="1" t="s">
        <v>70</v>
      </c>
      <c r="J20" s="1" t="s">
        <v>50</v>
      </c>
      <c r="K20" s="1" t="s">
        <v>188</v>
      </c>
      <c r="L20" s="1" t="s">
        <v>189</v>
      </c>
      <c r="M20" s="1">
        <v>3315.83</v>
      </c>
      <c r="N20" s="1" t="s">
        <v>65</v>
      </c>
      <c r="O20" s="1">
        <v>50</v>
      </c>
      <c r="P20" s="1">
        <v>165791.5</v>
      </c>
      <c r="Q20" s="1">
        <v>0</v>
      </c>
      <c r="R20" s="7">
        <v>0</v>
      </c>
      <c r="S20" s="1">
        <v>12</v>
      </c>
      <c r="T20" s="1">
        <v>11</v>
      </c>
      <c r="U20" s="1">
        <v>1</v>
      </c>
      <c r="V20" s="1" t="s">
        <v>3323</v>
      </c>
      <c r="W20" s="1" t="s">
        <v>40</v>
      </c>
      <c r="X20" s="1" t="s">
        <v>3324</v>
      </c>
      <c r="Y20" s="1" t="s">
        <v>190</v>
      </c>
      <c r="Z20" s="1"/>
      <c r="AA20" s="1" t="s">
        <v>129</v>
      </c>
      <c r="AB20" s="1" t="s">
        <v>191</v>
      </c>
      <c r="AC20" s="1"/>
      <c r="AD20" s="1">
        <v>2.2000000000000002</v>
      </c>
      <c r="AE20" s="1" t="s">
        <v>139</v>
      </c>
      <c r="AF20" s="1" t="s">
        <v>46</v>
      </c>
    </row>
    <row r="21" spans="1:32" ht="18" customHeight="1">
      <c r="A21" s="1" t="s">
        <v>192</v>
      </c>
      <c r="B21" s="1" t="s">
        <v>193</v>
      </c>
      <c r="C21" s="4">
        <v>46073</v>
      </c>
      <c r="D21" s="4">
        <v>46082</v>
      </c>
      <c r="E21" s="4">
        <v>46086</v>
      </c>
      <c r="F21" s="1"/>
      <c r="G21" s="1" t="s">
        <v>3362</v>
      </c>
      <c r="H21" s="1" t="s">
        <v>194</v>
      </c>
      <c r="I21" s="1" t="s">
        <v>34</v>
      </c>
      <c r="J21" s="1" t="s">
        <v>35</v>
      </c>
      <c r="K21" s="1" t="s">
        <v>195</v>
      </c>
      <c r="L21" s="1" t="s">
        <v>85</v>
      </c>
      <c r="M21" s="1">
        <v>1685.89</v>
      </c>
      <c r="N21" s="1" t="s">
        <v>38</v>
      </c>
      <c r="O21" s="1">
        <v>750</v>
      </c>
      <c r="P21" s="1">
        <v>1264417.5</v>
      </c>
      <c r="Q21" s="1">
        <v>17</v>
      </c>
      <c r="R21" s="7">
        <v>2.2700000000000001E-2</v>
      </c>
      <c r="S21" s="1">
        <v>13</v>
      </c>
      <c r="T21" s="1">
        <v>9</v>
      </c>
      <c r="U21" s="1">
        <v>4</v>
      </c>
      <c r="V21" s="1" t="s">
        <v>39</v>
      </c>
      <c r="W21" s="1" t="s">
        <v>40</v>
      </c>
      <c r="X21" s="1" t="s">
        <v>127</v>
      </c>
      <c r="Y21" s="1" t="s">
        <v>106</v>
      </c>
      <c r="Z21" s="1" t="s">
        <v>43</v>
      </c>
      <c r="AA21" s="1" t="s">
        <v>129</v>
      </c>
      <c r="AB21" s="1" t="s">
        <v>147</v>
      </c>
      <c r="AC21" s="1"/>
      <c r="AD21" s="1">
        <v>4.8</v>
      </c>
      <c r="AE21" s="1" t="s">
        <v>57</v>
      </c>
      <c r="AF21" s="1" t="s">
        <v>196</v>
      </c>
    </row>
    <row r="22" spans="1:32" ht="18" customHeight="1">
      <c r="A22" s="1" t="s">
        <v>197</v>
      </c>
      <c r="B22" s="1" t="s">
        <v>198</v>
      </c>
      <c r="C22" s="4" t="s">
        <v>3363</v>
      </c>
      <c r="D22" s="4">
        <v>46107</v>
      </c>
      <c r="E22" s="4">
        <v>46099</v>
      </c>
      <c r="F22" s="1" t="s">
        <v>69</v>
      </c>
      <c r="G22" s="1" t="s">
        <v>3331</v>
      </c>
      <c r="H22" s="1" t="s">
        <v>3332</v>
      </c>
      <c r="I22" s="1" t="s">
        <v>120</v>
      </c>
      <c r="J22" s="1" t="s">
        <v>35</v>
      </c>
      <c r="K22" s="1" t="s">
        <v>199</v>
      </c>
      <c r="L22" s="1" t="s">
        <v>200</v>
      </c>
      <c r="M22" s="1">
        <v>1181.69</v>
      </c>
      <c r="N22" s="1" t="s">
        <v>104</v>
      </c>
      <c r="O22" s="1">
        <v>500</v>
      </c>
      <c r="P22" s="1">
        <v>590845</v>
      </c>
      <c r="Q22" s="1">
        <v>6</v>
      </c>
      <c r="R22" s="7">
        <v>1.2E-2</v>
      </c>
      <c r="S22" s="1">
        <v>4</v>
      </c>
      <c r="T22" s="1">
        <v>12</v>
      </c>
      <c r="U22" s="1">
        <v>-8</v>
      </c>
      <c r="V22" s="1" t="s">
        <v>3352</v>
      </c>
      <c r="W22" s="1" t="s">
        <v>40</v>
      </c>
      <c r="X22" s="1" t="s">
        <v>105</v>
      </c>
      <c r="Y22" s="1"/>
      <c r="Z22" s="1" t="s">
        <v>128</v>
      </c>
      <c r="AA22" s="1" t="s">
        <v>136</v>
      </c>
      <c r="AB22" s="1"/>
      <c r="AC22" s="1"/>
      <c r="AD22" s="1">
        <v>2.9</v>
      </c>
      <c r="AE22" s="1" t="s">
        <v>139</v>
      </c>
      <c r="AF22" s="1"/>
    </row>
    <row r="23" spans="1:32" ht="18" customHeight="1">
      <c r="A23" s="1" t="s">
        <v>201</v>
      </c>
      <c r="B23" s="1" t="s">
        <v>202</v>
      </c>
      <c r="C23" s="4" t="s">
        <v>3363</v>
      </c>
      <c r="D23" s="4">
        <v>46125</v>
      </c>
      <c r="E23" s="4"/>
      <c r="F23" s="1" t="s">
        <v>100</v>
      </c>
      <c r="G23" s="1" t="s">
        <v>101</v>
      </c>
      <c r="H23" s="1" t="s">
        <v>102</v>
      </c>
      <c r="I23" s="1" t="s">
        <v>92</v>
      </c>
      <c r="J23" s="1" t="s">
        <v>153</v>
      </c>
      <c r="K23" s="1" t="s">
        <v>203</v>
      </c>
      <c r="L23" s="1" t="s">
        <v>204</v>
      </c>
      <c r="M23" s="1"/>
      <c r="N23" s="1" t="s">
        <v>38</v>
      </c>
      <c r="O23" s="1">
        <v>750</v>
      </c>
      <c r="P23" s="1">
        <v>359227.5</v>
      </c>
      <c r="Q23" s="1"/>
      <c r="R23" s="7">
        <v>0</v>
      </c>
      <c r="S23" s="1">
        <v>26</v>
      </c>
      <c r="T23" s="1">
        <v>14</v>
      </c>
      <c r="U23" s="1">
        <v>12</v>
      </c>
      <c r="V23" s="1" t="s">
        <v>205</v>
      </c>
      <c r="W23" s="1" t="s">
        <v>40</v>
      </c>
      <c r="X23" s="1" t="s">
        <v>105</v>
      </c>
      <c r="Y23" s="1" t="s">
        <v>106</v>
      </c>
      <c r="Z23" s="1" t="s">
        <v>54</v>
      </c>
      <c r="AA23" s="1" t="s">
        <v>206</v>
      </c>
      <c r="AB23" s="1" t="s">
        <v>191</v>
      </c>
      <c r="AC23" s="1"/>
      <c r="AD23" s="1">
        <v>1.6</v>
      </c>
      <c r="AE23" s="1" t="s">
        <v>139</v>
      </c>
      <c r="AF23" s="1" t="s">
        <v>46</v>
      </c>
    </row>
    <row r="24" spans="1:32" ht="18" customHeight="1">
      <c r="A24" s="1" t="s">
        <v>207</v>
      </c>
      <c r="B24" s="1" t="s">
        <v>208</v>
      </c>
      <c r="C24" s="4">
        <v>46082</v>
      </c>
      <c r="D24" s="4">
        <v>46093</v>
      </c>
      <c r="E24" s="4" t="s">
        <v>3364</v>
      </c>
      <c r="F24" s="1" t="s">
        <v>209</v>
      </c>
      <c r="G24" s="1" t="s">
        <v>210</v>
      </c>
      <c r="H24" s="1" t="s">
        <v>3365</v>
      </c>
      <c r="I24" s="1" t="s">
        <v>70</v>
      </c>
      <c r="J24" s="1" t="s">
        <v>153</v>
      </c>
      <c r="K24" s="1" t="s">
        <v>211</v>
      </c>
      <c r="L24" s="1" t="s">
        <v>155</v>
      </c>
      <c r="M24" s="1" t="s">
        <v>3366</v>
      </c>
      <c r="N24" s="1" t="s">
        <v>86</v>
      </c>
      <c r="O24" s="1">
        <v>150</v>
      </c>
      <c r="P24" s="1">
        <v>29196</v>
      </c>
      <c r="Q24" s="1">
        <v>2</v>
      </c>
      <c r="R24" s="7">
        <v>1.3299999999999999E-2</v>
      </c>
      <c r="S24" s="1" t="s">
        <v>3367</v>
      </c>
      <c r="T24" s="1">
        <v>11</v>
      </c>
      <c r="U24" s="1">
        <v>11</v>
      </c>
      <c r="V24" s="1" t="s">
        <v>3328</v>
      </c>
      <c r="W24" s="1" t="s">
        <v>40</v>
      </c>
      <c r="X24" s="1"/>
      <c r="Y24" s="1" t="s">
        <v>212</v>
      </c>
      <c r="Z24" s="1" t="s">
        <v>43</v>
      </c>
      <c r="AA24" s="1"/>
      <c r="AB24" s="1" t="s">
        <v>95</v>
      </c>
      <c r="AC24" s="1"/>
      <c r="AD24" s="1">
        <v>3</v>
      </c>
      <c r="AE24" s="1" t="s">
        <v>76</v>
      </c>
      <c r="AF24" s="1" t="s">
        <v>148</v>
      </c>
    </row>
    <row r="25" spans="1:32" ht="18" customHeight="1">
      <c r="A25" s="1" t="s">
        <v>213</v>
      </c>
      <c r="B25" s="1" t="s">
        <v>214</v>
      </c>
      <c r="C25" s="4">
        <v>46067</v>
      </c>
      <c r="D25" s="4">
        <v>46070</v>
      </c>
      <c r="E25" s="4" t="s">
        <v>3368</v>
      </c>
      <c r="F25" s="1" t="s">
        <v>215</v>
      </c>
      <c r="G25" s="1" t="s">
        <v>216</v>
      </c>
      <c r="H25" s="1" t="s">
        <v>152</v>
      </c>
      <c r="I25" s="1" t="s">
        <v>34</v>
      </c>
      <c r="J25" s="1" t="s">
        <v>112</v>
      </c>
      <c r="K25" s="1" t="s">
        <v>217</v>
      </c>
      <c r="L25" s="1" t="s">
        <v>218</v>
      </c>
      <c r="M25" s="1">
        <v>439.15</v>
      </c>
      <c r="N25" s="1" t="s">
        <v>86</v>
      </c>
      <c r="O25" s="1">
        <v>1500</v>
      </c>
      <c r="P25" s="1">
        <v>658725</v>
      </c>
      <c r="Q25" s="1">
        <v>15</v>
      </c>
      <c r="R25" s="7">
        <v>0.01</v>
      </c>
      <c r="S25" s="1">
        <v>8</v>
      </c>
      <c r="T25" s="1">
        <v>3</v>
      </c>
      <c r="U25" s="1">
        <v>5</v>
      </c>
      <c r="V25" s="1" t="s">
        <v>205</v>
      </c>
      <c r="W25" s="1" t="s">
        <v>40</v>
      </c>
      <c r="X25" s="1"/>
      <c r="Y25" s="1" t="s">
        <v>66</v>
      </c>
      <c r="Z25" s="1"/>
      <c r="AA25" s="1" t="s">
        <v>55</v>
      </c>
      <c r="AB25" s="1"/>
      <c r="AC25" s="1"/>
      <c r="AD25" s="1">
        <v>2.7</v>
      </c>
      <c r="AE25" s="1" t="s">
        <v>76</v>
      </c>
      <c r="AF25" s="1" t="s">
        <v>148</v>
      </c>
    </row>
    <row r="26" spans="1:32" ht="18" customHeight="1">
      <c r="A26" s="1" t="s">
        <v>219</v>
      </c>
      <c r="B26" s="1" t="s">
        <v>220</v>
      </c>
      <c r="C26" s="4">
        <v>46141</v>
      </c>
      <c r="D26" s="4">
        <v>46155</v>
      </c>
      <c r="E26" s="4">
        <v>46163</v>
      </c>
      <c r="F26" s="1" t="s">
        <v>118</v>
      </c>
      <c r="G26" s="1" t="s">
        <v>119</v>
      </c>
      <c r="H26" s="1" t="s">
        <v>3340</v>
      </c>
      <c r="I26" s="1" t="s">
        <v>70</v>
      </c>
      <c r="J26" s="1" t="s">
        <v>62</v>
      </c>
      <c r="K26" s="1" t="s">
        <v>221</v>
      </c>
      <c r="L26" s="1" t="s">
        <v>64</v>
      </c>
      <c r="M26" s="1">
        <v>747.31</v>
      </c>
      <c r="N26" s="1" t="s">
        <v>159</v>
      </c>
      <c r="O26" s="1">
        <v>1000</v>
      </c>
      <c r="P26" s="1">
        <v>747310</v>
      </c>
      <c r="Q26" s="1">
        <v>14</v>
      </c>
      <c r="R26" s="7">
        <v>1.4E-2</v>
      </c>
      <c r="S26" s="1">
        <v>22</v>
      </c>
      <c r="T26" s="1">
        <v>14</v>
      </c>
      <c r="U26" s="1">
        <v>8</v>
      </c>
      <c r="V26" s="1" t="s">
        <v>205</v>
      </c>
      <c r="W26" s="1" t="s">
        <v>40</v>
      </c>
      <c r="X26" s="1" t="s">
        <v>3329</v>
      </c>
      <c r="Y26" s="1" t="s">
        <v>190</v>
      </c>
      <c r="Z26" s="1" t="s">
        <v>54</v>
      </c>
      <c r="AA26" s="1" t="s">
        <v>174</v>
      </c>
      <c r="AB26" s="1"/>
      <c r="AC26" s="1"/>
      <c r="AD26" s="1">
        <v>2.9</v>
      </c>
      <c r="AE26" s="1" t="s">
        <v>184</v>
      </c>
      <c r="AF26" s="1" t="s">
        <v>46</v>
      </c>
    </row>
    <row r="27" spans="1:32" ht="18" customHeight="1">
      <c r="A27" s="1" t="s">
        <v>222</v>
      </c>
      <c r="B27" s="1" t="s">
        <v>223</v>
      </c>
      <c r="C27" s="4">
        <v>46049</v>
      </c>
      <c r="D27" s="4"/>
      <c r="E27" s="4">
        <v>46073</v>
      </c>
      <c r="F27" s="1" t="s">
        <v>118</v>
      </c>
      <c r="G27" s="1"/>
      <c r="H27" s="1" t="s">
        <v>3369</v>
      </c>
      <c r="I27" s="1" t="s">
        <v>61</v>
      </c>
      <c r="J27" s="1" t="s">
        <v>62</v>
      </c>
      <c r="K27" s="1" t="s">
        <v>224</v>
      </c>
      <c r="L27" s="1" t="s">
        <v>225</v>
      </c>
      <c r="M27" s="1">
        <v>765.07</v>
      </c>
      <c r="N27" s="1" t="s">
        <v>38</v>
      </c>
      <c r="O27" s="1">
        <v>500</v>
      </c>
      <c r="P27" s="1">
        <v>382535</v>
      </c>
      <c r="Q27" s="1">
        <v>6</v>
      </c>
      <c r="R27" s="7">
        <v>1.2E-2</v>
      </c>
      <c r="S27" s="1">
        <v>24</v>
      </c>
      <c r="T27" s="1">
        <v>19</v>
      </c>
      <c r="U27" s="1">
        <v>5</v>
      </c>
      <c r="V27" s="1" t="s">
        <v>3328</v>
      </c>
      <c r="W27" s="1" t="s">
        <v>40</v>
      </c>
      <c r="X27" s="1" t="s">
        <v>105</v>
      </c>
      <c r="Y27" s="1"/>
      <c r="Z27" s="1"/>
      <c r="AA27" s="1" t="s">
        <v>129</v>
      </c>
      <c r="AB27" s="1" t="s">
        <v>44</v>
      </c>
      <c r="AC27" s="1"/>
      <c r="AD27" s="1">
        <v>2.4</v>
      </c>
      <c r="AE27" s="1" t="s">
        <v>108</v>
      </c>
      <c r="AF27" s="1" t="s">
        <v>46</v>
      </c>
    </row>
    <row r="28" spans="1:32" ht="18" customHeight="1">
      <c r="A28" s="1" t="s">
        <v>226</v>
      </c>
      <c r="B28" s="1" t="s">
        <v>227</v>
      </c>
      <c r="C28" s="4" t="s">
        <v>3370</v>
      </c>
      <c r="D28" s="4">
        <v>46126</v>
      </c>
      <c r="E28" s="4">
        <v>46128</v>
      </c>
      <c r="F28" s="1" t="s">
        <v>215</v>
      </c>
      <c r="G28" s="1" t="s">
        <v>216</v>
      </c>
      <c r="H28" s="1" t="s">
        <v>152</v>
      </c>
      <c r="I28" s="1" t="s">
        <v>70</v>
      </c>
      <c r="J28" s="1" t="s">
        <v>112</v>
      </c>
      <c r="K28" s="1" t="s">
        <v>228</v>
      </c>
      <c r="L28" s="1" t="s">
        <v>229</v>
      </c>
      <c r="M28" s="1">
        <v>601.05999999999995</v>
      </c>
      <c r="N28" s="1" t="s">
        <v>53</v>
      </c>
      <c r="O28" s="1">
        <v>100</v>
      </c>
      <c r="P28" s="1">
        <v>60106</v>
      </c>
      <c r="Q28" s="1">
        <v>2</v>
      </c>
      <c r="R28" s="7">
        <v>0.02</v>
      </c>
      <c r="S28" s="1">
        <v>11</v>
      </c>
      <c r="T28" s="1">
        <v>9</v>
      </c>
      <c r="U28" s="1">
        <v>2</v>
      </c>
      <c r="V28" s="1" t="s">
        <v>166</v>
      </c>
      <c r="W28" s="1" t="s">
        <v>40</v>
      </c>
      <c r="X28" s="1" t="s">
        <v>3324</v>
      </c>
      <c r="Y28" s="1"/>
      <c r="Z28" s="1" t="s">
        <v>128</v>
      </c>
      <c r="AA28" s="1" t="s">
        <v>136</v>
      </c>
      <c r="AB28" s="1" t="s">
        <v>191</v>
      </c>
      <c r="AC28" s="1"/>
      <c r="AD28" s="1">
        <v>4.7</v>
      </c>
      <c r="AE28" s="1" t="s">
        <v>45</v>
      </c>
      <c r="AF28" s="1" t="s">
        <v>46</v>
      </c>
    </row>
    <row r="29" spans="1:32" ht="18" customHeight="1">
      <c r="A29" s="1" t="s">
        <v>230</v>
      </c>
      <c r="B29" s="1" t="s">
        <v>231</v>
      </c>
      <c r="C29" s="4">
        <v>46166</v>
      </c>
      <c r="D29" s="4">
        <v>46184</v>
      </c>
      <c r="E29" s="4">
        <v>46173</v>
      </c>
      <c r="F29" s="1" t="s">
        <v>48</v>
      </c>
      <c r="G29" s="1" t="s">
        <v>232</v>
      </c>
      <c r="H29" s="1" t="s">
        <v>3361</v>
      </c>
      <c r="I29" s="1" t="s">
        <v>120</v>
      </c>
      <c r="J29" s="1" t="s">
        <v>50</v>
      </c>
      <c r="K29" s="1" t="s">
        <v>233</v>
      </c>
      <c r="L29" s="1" t="s">
        <v>52</v>
      </c>
      <c r="M29" s="1">
        <v>719.17</v>
      </c>
      <c r="N29" s="1" t="s">
        <v>65</v>
      </c>
      <c r="O29" s="1">
        <v>500</v>
      </c>
      <c r="P29" s="1">
        <v>359585</v>
      </c>
      <c r="Q29" s="1">
        <v>2</v>
      </c>
      <c r="R29" s="7">
        <v>4.0000000000000001E-3</v>
      </c>
      <c r="S29" s="1">
        <v>7</v>
      </c>
      <c r="T29" s="1"/>
      <c r="U29" s="1">
        <v>-11</v>
      </c>
      <c r="V29" s="1" t="s">
        <v>3337</v>
      </c>
      <c r="W29" s="1" t="s">
        <v>40</v>
      </c>
      <c r="X29" s="1" t="s">
        <v>41</v>
      </c>
      <c r="Y29" s="1" t="s">
        <v>66</v>
      </c>
      <c r="Z29" s="1" t="s">
        <v>3330</v>
      </c>
      <c r="AA29" s="1" t="s">
        <v>136</v>
      </c>
      <c r="AB29" s="1" t="s">
        <v>44</v>
      </c>
      <c r="AC29" s="1"/>
      <c r="AD29" s="1">
        <v>3.6</v>
      </c>
      <c r="AE29" s="1" t="s">
        <v>57</v>
      </c>
      <c r="AF29" s="1"/>
    </row>
    <row r="30" spans="1:32" ht="18" customHeight="1">
      <c r="A30" s="1" t="s">
        <v>116</v>
      </c>
      <c r="B30" s="1" t="s">
        <v>234</v>
      </c>
      <c r="C30" s="4">
        <v>46128</v>
      </c>
      <c r="D30" s="4">
        <v>46138</v>
      </c>
      <c r="E30" s="4">
        <v>46141</v>
      </c>
      <c r="F30" s="1" t="s">
        <v>235</v>
      </c>
      <c r="G30" s="1" t="s">
        <v>236</v>
      </c>
      <c r="H30" s="1" t="s">
        <v>3371</v>
      </c>
      <c r="I30" s="1" t="s">
        <v>61</v>
      </c>
      <c r="J30" s="1" t="s">
        <v>71</v>
      </c>
      <c r="K30" s="1" t="s">
        <v>237</v>
      </c>
      <c r="L30" s="1" t="s">
        <v>238</v>
      </c>
      <c r="M30" s="1">
        <v>230.96</v>
      </c>
      <c r="N30" s="1" t="s">
        <v>159</v>
      </c>
      <c r="O30" s="1">
        <v>750</v>
      </c>
      <c r="P30" s="1" t="s">
        <v>3372</v>
      </c>
      <c r="Q30" s="1">
        <v>17</v>
      </c>
      <c r="R30" s="7">
        <v>2.2700000000000001E-2</v>
      </c>
      <c r="S30" s="1">
        <v>13</v>
      </c>
      <c r="T30" s="1">
        <v>10</v>
      </c>
      <c r="U30" s="1">
        <v>3</v>
      </c>
      <c r="V30" s="1" t="s">
        <v>135</v>
      </c>
      <c r="W30" s="1" t="s">
        <v>40</v>
      </c>
      <c r="X30" s="1" t="s">
        <v>105</v>
      </c>
      <c r="Y30" s="1" t="s">
        <v>3334</v>
      </c>
      <c r="Z30" s="1" t="s">
        <v>3333</v>
      </c>
      <c r="AA30" s="1" t="s">
        <v>129</v>
      </c>
      <c r="AB30" s="1" t="s">
        <v>95</v>
      </c>
      <c r="AC30" s="1"/>
      <c r="AD30" s="1">
        <v>3.9</v>
      </c>
      <c r="AE30" s="1" t="s">
        <v>76</v>
      </c>
      <c r="AF30" s="1" t="s">
        <v>46</v>
      </c>
    </row>
    <row r="31" spans="1:32" ht="18" customHeight="1">
      <c r="A31" s="1" t="s">
        <v>239</v>
      </c>
      <c r="B31" s="1" t="s">
        <v>240</v>
      </c>
      <c r="C31" s="4">
        <v>46078</v>
      </c>
      <c r="D31" s="4">
        <v>46090</v>
      </c>
      <c r="E31" s="4">
        <v>46086</v>
      </c>
      <c r="F31" s="1" t="s">
        <v>60</v>
      </c>
      <c r="G31" s="1" t="s">
        <v>3326</v>
      </c>
      <c r="H31" s="1" t="s">
        <v>152</v>
      </c>
      <c r="I31" s="1" t="s">
        <v>241</v>
      </c>
      <c r="J31" s="1" t="s">
        <v>62</v>
      </c>
      <c r="K31" s="1" t="s">
        <v>242</v>
      </c>
      <c r="L31" s="1" t="s">
        <v>122</v>
      </c>
      <c r="M31" s="1">
        <v>606.01</v>
      </c>
      <c r="N31" s="1" t="s">
        <v>104</v>
      </c>
      <c r="O31" s="1">
        <v>75</v>
      </c>
      <c r="P31" s="1">
        <v>45450.75</v>
      </c>
      <c r="Q31" s="1">
        <v>0</v>
      </c>
      <c r="R31" s="7">
        <v>0</v>
      </c>
      <c r="S31" s="1">
        <v>8</v>
      </c>
      <c r="T31" s="1">
        <v>12</v>
      </c>
      <c r="U31" s="1">
        <v>-4</v>
      </c>
      <c r="V31" s="1" t="s">
        <v>87</v>
      </c>
      <c r="W31" s="1" t="s">
        <v>40</v>
      </c>
      <c r="X31" s="1" t="s">
        <v>3329</v>
      </c>
      <c r="Y31" s="1" t="s">
        <v>190</v>
      </c>
      <c r="Z31" s="1" t="s">
        <v>173</v>
      </c>
      <c r="AA31" s="1" t="s">
        <v>129</v>
      </c>
      <c r="AB31" s="1" t="s">
        <v>147</v>
      </c>
      <c r="AC31" s="1"/>
      <c r="AD31" s="1">
        <v>3.9</v>
      </c>
      <c r="AE31" s="1" t="s">
        <v>115</v>
      </c>
      <c r="AF31" s="1"/>
    </row>
    <row r="32" spans="1:32" ht="18" customHeight="1">
      <c r="A32" s="1" t="s">
        <v>192</v>
      </c>
      <c r="B32" s="1" t="s">
        <v>243</v>
      </c>
      <c r="C32" s="4">
        <v>46134</v>
      </c>
      <c r="D32" s="4">
        <v>46141</v>
      </c>
      <c r="E32" s="4">
        <v>46134</v>
      </c>
      <c r="F32" s="1" t="s">
        <v>151</v>
      </c>
      <c r="G32" s="1" t="s">
        <v>244</v>
      </c>
      <c r="H32" s="1" t="s">
        <v>152</v>
      </c>
      <c r="I32" s="1" t="s">
        <v>92</v>
      </c>
      <c r="J32" s="1" t="s">
        <v>112</v>
      </c>
      <c r="K32" s="1" t="s">
        <v>245</v>
      </c>
      <c r="L32" s="1" t="s">
        <v>246</v>
      </c>
      <c r="M32" s="1">
        <v>604.62</v>
      </c>
      <c r="N32" s="1" t="s">
        <v>53</v>
      </c>
      <c r="O32" s="1">
        <v>-2000</v>
      </c>
      <c r="P32" s="1">
        <v>1209240</v>
      </c>
      <c r="Q32" s="1">
        <v>26</v>
      </c>
      <c r="R32" s="7">
        <v>1.2999999999999999E-2</v>
      </c>
      <c r="S32" s="1">
        <v>0</v>
      </c>
      <c r="T32" s="1">
        <v>7</v>
      </c>
      <c r="U32" s="1">
        <v>-7</v>
      </c>
      <c r="V32" s="1" t="s">
        <v>3337</v>
      </c>
      <c r="W32" s="1" t="s">
        <v>40</v>
      </c>
      <c r="X32" s="1" t="s">
        <v>127</v>
      </c>
      <c r="Y32" s="1"/>
      <c r="Z32" s="1" t="s">
        <v>3333</v>
      </c>
      <c r="AA32" s="1" t="s">
        <v>136</v>
      </c>
      <c r="AB32" s="1" t="s">
        <v>95</v>
      </c>
      <c r="AC32" s="1"/>
      <c r="AD32" s="1">
        <v>2.5</v>
      </c>
      <c r="AE32" s="1" t="s">
        <v>57</v>
      </c>
      <c r="AF32" s="1" t="s">
        <v>130</v>
      </c>
    </row>
    <row r="33" spans="1:32" ht="18" customHeight="1">
      <c r="A33" s="1" t="s">
        <v>247</v>
      </c>
      <c r="B33" s="1" t="s">
        <v>248</v>
      </c>
      <c r="C33" s="4">
        <v>46187</v>
      </c>
      <c r="D33" s="4">
        <v>46198</v>
      </c>
      <c r="E33" s="4" t="s">
        <v>3373</v>
      </c>
      <c r="F33" s="1" t="s">
        <v>235</v>
      </c>
      <c r="G33" s="1" t="s">
        <v>236</v>
      </c>
      <c r="H33" s="1" t="s">
        <v>3374</v>
      </c>
      <c r="I33" s="1" t="s">
        <v>241</v>
      </c>
      <c r="J33" s="1" t="s">
        <v>153</v>
      </c>
      <c r="K33" s="1" t="s">
        <v>249</v>
      </c>
      <c r="L33" s="1" t="s">
        <v>204</v>
      </c>
      <c r="M33" s="1">
        <v>139.41</v>
      </c>
      <c r="N33" s="1" t="s">
        <v>159</v>
      </c>
      <c r="O33" s="1">
        <v>75</v>
      </c>
      <c r="P33" s="1">
        <v>10455.75</v>
      </c>
      <c r="Q33" s="1">
        <v>0</v>
      </c>
      <c r="R33" s="7">
        <v>0</v>
      </c>
      <c r="S33" s="1">
        <v>13</v>
      </c>
      <c r="T33" s="1">
        <v>11</v>
      </c>
      <c r="U33" s="1">
        <v>2</v>
      </c>
      <c r="V33" s="1" t="s">
        <v>3323</v>
      </c>
      <c r="W33" s="1" t="s">
        <v>40</v>
      </c>
      <c r="X33" s="1" t="s">
        <v>3329</v>
      </c>
      <c r="Y33" s="1" t="s">
        <v>42</v>
      </c>
      <c r="Z33" s="1" t="s">
        <v>54</v>
      </c>
      <c r="AA33" s="1" t="s">
        <v>3341</v>
      </c>
      <c r="AB33" s="1" t="s">
        <v>95</v>
      </c>
      <c r="AC33" s="1"/>
      <c r="AD33" s="1">
        <v>2.5</v>
      </c>
      <c r="AE33" s="1" t="s">
        <v>45</v>
      </c>
      <c r="AF33" s="1" t="s">
        <v>46</v>
      </c>
    </row>
    <row r="34" spans="1:32" ht="18" customHeight="1">
      <c r="A34" s="1" t="s">
        <v>250</v>
      </c>
      <c r="B34" s="1" t="s">
        <v>251</v>
      </c>
      <c r="C34" s="4">
        <v>46023</v>
      </c>
      <c r="D34" s="4">
        <v>46027</v>
      </c>
      <c r="E34" s="4">
        <v>46046</v>
      </c>
      <c r="F34" s="1" t="s">
        <v>162</v>
      </c>
      <c r="G34" s="1" t="s">
        <v>3356</v>
      </c>
      <c r="H34" s="1" t="s">
        <v>152</v>
      </c>
      <c r="I34" s="1" t="s">
        <v>49</v>
      </c>
      <c r="J34" s="1" t="s">
        <v>163</v>
      </c>
      <c r="K34" s="1" t="s">
        <v>252</v>
      </c>
      <c r="L34" s="1" t="s">
        <v>253</v>
      </c>
      <c r="M34" s="1">
        <v>1980.29</v>
      </c>
      <c r="N34" s="1" t="s">
        <v>53</v>
      </c>
      <c r="O34" s="1">
        <v>150</v>
      </c>
      <c r="P34" s="1">
        <v>297043.5</v>
      </c>
      <c r="Q34" s="1">
        <v>0</v>
      </c>
      <c r="R34" s="7">
        <v>0</v>
      </c>
      <c r="S34" s="1">
        <v>23</v>
      </c>
      <c r="T34" s="1">
        <v>4</v>
      </c>
      <c r="U34" s="1">
        <v>19</v>
      </c>
      <c r="V34" s="1" t="s">
        <v>3328</v>
      </c>
      <c r="W34" s="1" t="s">
        <v>40</v>
      </c>
      <c r="X34" s="1" t="s">
        <v>105</v>
      </c>
      <c r="Y34" s="1" t="s">
        <v>66</v>
      </c>
      <c r="Z34" s="1" t="s">
        <v>43</v>
      </c>
      <c r="AA34" s="1" t="s">
        <v>206</v>
      </c>
      <c r="AB34" s="1" t="s">
        <v>95</v>
      </c>
      <c r="AC34" s="1"/>
      <c r="AD34" s="1">
        <v>2.9</v>
      </c>
      <c r="AE34" s="1" t="s">
        <v>76</v>
      </c>
      <c r="AF34" s="1" t="s">
        <v>46</v>
      </c>
    </row>
    <row r="35" spans="1:32" ht="18" customHeight="1">
      <c r="A35" s="1" t="s">
        <v>254</v>
      </c>
      <c r="B35" s="1" t="s">
        <v>255</v>
      </c>
      <c r="C35" s="4" t="s">
        <v>3375</v>
      </c>
      <c r="D35" s="4">
        <v>46100</v>
      </c>
      <c r="E35" s="4">
        <v>46105</v>
      </c>
      <c r="F35" s="1" t="s">
        <v>256</v>
      </c>
      <c r="G35" s="1" t="s">
        <v>257</v>
      </c>
      <c r="H35" s="1" t="s">
        <v>258</v>
      </c>
      <c r="I35" s="1" t="s">
        <v>241</v>
      </c>
      <c r="J35" s="1" t="s">
        <v>71</v>
      </c>
      <c r="K35" s="1" t="s">
        <v>259</v>
      </c>
      <c r="L35" s="1" t="s">
        <v>238</v>
      </c>
      <c r="M35" s="1">
        <v>84.39</v>
      </c>
      <c r="N35" s="1" t="s">
        <v>159</v>
      </c>
      <c r="O35" s="1">
        <v>200</v>
      </c>
      <c r="P35" s="1">
        <v>16878</v>
      </c>
      <c r="Q35" s="1">
        <v>6</v>
      </c>
      <c r="R35" s="7">
        <v>0.03</v>
      </c>
      <c r="S35" s="1" t="s">
        <v>3376</v>
      </c>
      <c r="T35" s="1">
        <v>10</v>
      </c>
      <c r="U35" s="1">
        <v>5</v>
      </c>
      <c r="V35" s="1" t="s">
        <v>3328</v>
      </c>
      <c r="W35" s="1" t="s">
        <v>40</v>
      </c>
      <c r="X35" s="1" t="s">
        <v>105</v>
      </c>
      <c r="Y35" s="1" t="s">
        <v>106</v>
      </c>
      <c r="Z35" s="1" t="s">
        <v>128</v>
      </c>
      <c r="AA35" s="1" t="s">
        <v>136</v>
      </c>
      <c r="AB35" s="1" t="s">
        <v>191</v>
      </c>
      <c r="AC35" s="1"/>
      <c r="AD35" s="1">
        <v>3.8</v>
      </c>
      <c r="AE35" s="1" t="s">
        <v>45</v>
      </c>
      <c r="AF35" s="1" t="s">
        <v>46</v>
      </c>
    </row>
    <row r="36" spans="1:32" ht="18" customHeight="1">
      <c r="A36" s="1" t="s">
        <v>260</v>
      </c>
      <c r="B36" s="1" t="s">
        <v>261</v>
      </c>
      <c r="C36" s="4">
        <v>46183</v>
      </c>
      <c r="D36" s="4">
        <v>46198</v>
      </c>
      <c r="E36" s="4" t="s">
        <v>3377</v>
      </c>
      <c r="F36" s="1" t="s">
        <v>69</v>
      </c>
      <c r="G36" s="1" t="s">
        <v>111</v>
      </c>
      <c r="H36" s="1" t="s">
        <v>3338</v>
      </c>
      <c r="I36" s="1" t="s">
        <v>241</v>
      </c>
      <c r="J36" s="1" t="s">
        <v>62</v>
      </c>
      <c r="K36" s="1" t="s">
        <v>262</v>
      </c>
      <c r="L36" s="1" t="s">
        <v>225</v>
      </c>
      <c r="M36" s="1">
        <v>159.74</v>
      </c>
      <c r="N36" s="1" t="s">
        <v>159</v>
      </c>
      <c r="O36" s="1">
        <v>250</v>
      </c>
      <c r="P36" s="1">
        <v>39935</v>
      </c>
      <c r="Q36" s="1">
        <v>7</v>
      </c>
      <c r="R36" s="7">
        <v>2.8000000000000001E-2</v>
      </c>
      <c r="S36" s="1">
        <v>18</v>
      </c>
      <c r="T36" s="1">
        <v>15</v>
      </c>
      <c r="U36" s="1">
        <v>3</v>
      </c>
      <c r="V36" s="1" t="s">
        <v>135</v>
      </c>
      <c r="W36" s="1" t="s">
        <v>40</v>
      </c>
      <c r="X36" s="1" t="s">
        <v>41</v>
      </c>
      <c r="Y36" s="1" t="s">
        <v>42</v>
      </c>
      <c r="Z36" s="1"/>
      <c r="AA36" s="1" t="s">
        <v>55</v>
      </c>
      <c r="AB36" s="1" t="s">
        <v>56</v>
      </c>
      <c r="AC36" s="1"/>
      <c r="AD36" s="1">
        <v>3.3</v>
      </c>
      <c r="AE36" s="1" t="s">
        <v>57</v>
      </c>
      <c r="AF36" s="1" t="s">
        <v>46</v>
      </c>
    </row>
    <row r="37" spans="1:32" ht="18" hidden="1" customHeight="1">
      <c r="A37" s="1" t="s">
        <v>263</v>
      </c>
      <c r="B37" s="1" t="s">
        <v>264</v>
      </c>
      <c r="C37" s="4">
        <v>46149</v>
      </c>
      <c r="D37" s="1">
        <v>46164</v>
      </c>
      <c r="E37" s="1" t="s">
        <v>3378</v>
      </c>
      <c r="F37" s="1" t="s">
        <v>100</v>
      </c>
      <c r="G37" s="1" t="s">
        <v>3343</v>
      </c>
      <c r="H37" s="1" t="s">
        <v>102</v>
      </c>
      <c r="I37" s="1" t="s">
        <v>241</v>
      </c>
      <c r="J37" s="1" t="s">
        <v>50</v>
      </c>
      <c r="K37" s="1" t="s">
        <v>265</v>
      </c>
      <c r="L37" s="1" t="s">
        <v>145</v>
      </c>
      <c r="M37" s="1">
        <v>529.21</v>
      </c>
      <c r="N37" s="1" t="s">
        <v>159</v>
      </c>
      <c r="O37" s="1">
        <v>50</v>
      </c>
      <c r="P37" s="1"/>
      <c r="Q37" s="1">
        <v>4</v>
      </c>
      <c r="R37" s="7">
        <v>0.08</v>
      </c>
      <c r="S37" s="1" t="s">
        <v>3379</v>
      </c>
      <c r="T37" s="1"/>
      <c r="U37" s="1" t="s">
        <v>3380</v>
      </c>
      <c r="V37" s="1" t="s">
        <v>39</v>
      </c>
      <c r="W37" s="1" t="s">
        <v>74</v>
      </c>
      <c r="X37" s="1" t="s">
        <v>146</v>
      </c>
      <c r="Y37" s="1"/>
      <c r="Z37" s="1" t="s">
        <v>128</v>
      </c>
      <c r="AA37" s="1" t="s">
        <v>55</v>
      </c>
      <c r="AB37" s="1"/>
      <c r="AC37" s="1" t="s">
        <v>96</v>
      </c>
      <c r="AD37" s="1">
        <v>1.5</v>
      </c>
      <c r="AE37" s="1" t="s">
        <v>108</v>
      </c>
      <c r="AF37" s="1" t="s">
        <v>185</v>
      </c>
    </row>
    <row r="38" spans="1:32" ht="18" customHeight="1">
      <c r="A38" s="1" t="s">
        <v>266</v>
      </c>
      <c r="B38" s="1" t="s">
        <v>267</v>
      </c>
      <c r="C38" s="4" t="s">
        <v>3381</v>
      </c>
      <c r="D38" s="4">
        <v>46118</v>
      </c>
      <c r="E38" s="4">
        <v>46114</v>
      </c>
      <c r="F38" s="1" t="s">
        <v>162</v>
      </c>
      <c r="G38" s="1" t="s">
        <v>3382</v>
      </c>
      <c r="H38" s="1" t="s">
        <v>3327</v>
      </c>
      <c r="I38" s="1" t="s">
        <v>34</v>
      </c>
      <c r="J38" s="1" t="s">
        <v>163</v>
      </c>
      <c r="K38" s="1" t="s">
        <v>268</v>
      </c>
      <c r="L38" s="1" t="s">
        <v>269</v>
      </c>
      <c r="M38" s="1">
        <v>-952.66</v>
      </c>
      <c r="N38" s="1" t="s">
        <v>65</v>
      </c>
      <c r="O38" s="1">
        <v>1500</v>
      </c>
      <c r="P38" s="1">
        <v>1428990</v>
      </c>
      <c r="Q38" s="1">
        <v>30</v>
      </c>
      <c r="R38" s="7">
        <v>0.02</v>
      </c>
      <c r="S38" s="1">
        <v>0</v>
      </c>
      <c r="T38" s="1">
        <v>4</v>
      </c>
      <c r="U38" s="1">
        <v>-4</v>
      </c>
      <c r="V38" s="1" t="s">
        <v>270</v>
      </c>
      <c r="W38" s="1" t="s">
        <v>40</v>
      </c>
      <c r="X38" s="1" t="s">
        <v>41</v>
      </c>
      <c r="Y38" s="1" t="s">
        <v>190</v>
      </c>
      <c r="Z38" s="1" t="s">
        <v>107</v>
      </c>
      <c r="AA38" s="1" t="s">
        <v>88</v>
      </c>
      <c r="AB38" s="1" t="s">
        <v>147</v>
      </c>
      <c r="AC38" s="1"/>
      <c r="AD38" s="1">
        <v>3</v>
      </c>
      <c r="AE38" s="1" t="s">
        <v>184</v>
      </c>
      <c r="AF38" s="1"/>
    </row>
    <row r="39" spans="1:32" ht="18" customHeight="1">
      <c r="A39" s="1" t="s">
        <v>271</v>
      </c>
      <c r="B39" s="1" t="s">
        <v>272</v>
      </c>
      <c r="C39" s="4">
        <v>46119</v>
      </c>
      <c r="D39" s="4">
        <v>46134</v>
      </c>
      <c r="E39" s="4">
        <v>46142</v>
      </c>
      <c r="F39" s="1" t="s">
        <v>100</v>
      </c>
      <c r="G39" s="1" t="s">
        <v>3343</v>
      </c>
      <c r="H39" s="1" t="s">
        <v>3361</v>
      </c>
      <c r="I39" s="1" t="s">
        <v>70</v>
      </c>
      <c r="J39" s="1" t="s">
        <v>50</v>
      </c>
      <c r="K39" s="1" t="s">
        <v>273</v>
      </c>
      <c r="L39" s="1" t="s">
        <v>52</v>
      </c>
      <c r="M39" s="1">
        <v>885.65</v>
      </c>
      <c r="N39" s="1" t="s">
        <v>53</v>
      </c>
      <c r="O39" s="1">
        <v>500</v>
      </c>
      <c r="P39" s="1">
        <v>442825</v>
      </c>
      <c r="Q39" s="1">
        <v>8</v>
      </c>
      <c r="R39" s="7">
        <v>1.6E-2</v>
      </c>
      <c r="S39" s="1">
        <v>23</v>
      </c>
      <c r="T39" s="1">
        <v>15</v>
      </c>
      <c r="U39" s="1">
        <v>8</v>
      </c>
      <c r="V39" s="1" t="s">
        <v>205</v>
      </c>
      <c r="W39" s="1" t="s">
        <v>40</v>
      </c>
      <c r="X39" s="1" t="s">
        <v>105</v>
      </c>
      <c r="Y39" s="1" t="s">
        <v>106</v>
      </c>
      <c r="Z39" s="1" t="s">
        <v>107</v>
      </c>
      <c r="AA39" s="1" t="s">
        <v>174</v>
      </c>
      <c r="AB39" s="1"/>
      <c r="AC39" s="1"/>
      <c r="AD39" s="1">
        <v>1.6</v>
      </c>
      <c r="AE39" s="1" t="s">
        <v>57</v>
      </c>
      <c r="AF39" s="1" t="s">
        <v>46</v>
      </c>
    </row>
    <row r="40" spans="1:32" ht="18" hidden="1" customHeight="1">
      <c r="A40" s="1" t="s">
        <v>274</v>
      </c>
      <c r="B40" s="1" t="s">
        <v>275</v>
      </c>
      <c r="C40" s="4">
        <v>46152</v>
      </c>
      <c r="D40" s="1">
        <v>46158</v>
      </c>
      <c r="E40" s="1">
        <v>46163</v>
      </c>
      <c r="F40" s="1" t="s">
        <v>162</v>
      </c>
      <c r="G40" s="1" t="s">
        <v>3383</v>
      </c>
      <c r="H40" s="1" t="s">
        <v>3354</v>
      </c>
      <c r="I40" s="1" t="s">
        <v>120</v>
      </c>
      <c r="J40" s="1" t="s">
        <v>163</v>
      </c>
      <c r="K40" s="1" t="s">
        <v>276</v>
      </c>
      <c r="L40" s="1" t="s">
        <v>165</v>
      </c>
      <c r="M40" s="1">
        <v>3265.48</v>
      </c>
      <c r="N40" s="1" t="s">
        <v>65</v>
      </c>
      <c r="O40" s="1">
        <v>500</v>
      </c>
      <c r="P40" s="1">
        <v>1632740</v>
      </c>
      <c r="Q40" s="1">
        <v>25</v>
      </c>
      <c r="R40" s="7">
        <v>0.05</v>
      </c>
      <c r="S40" s="1">
        <v>11</v>
      </c>
      <c r="T40" s="1">
        <v>6</v>
      </c>
      <c r="U40" s="1">
        <v>5</v>
      </c>
      <c r="V40" s="1" t="s">
        <v>3328</v>
      </c>
      <c r="W40" s="1" t="s">
        <v>3384</v>
      </c>
      <c r="X40" s="1"/>
      <c r="Y40" s="1" t="s">
        <v>66</v>
      </c>
      <c r="Z40" s="1" t="s">
        <v>128</v>
      </c>
      <c r="AA40" s="1"/>
      <c r="AB40" s="1" t="s">
        <v>147</v>
      </c>
      <c r="AC40" s="1" t="s">
        <v>75</v>
      </c>
      <c r="AD40" s="1">
        <v>-1</v>
      </c>
      <c r="AE40" s="1" t="s">
        <v>45</v>
      </c>
      <c r="AF40" s="1" t="s">
        <v>185</v>
      </c>
    </row>
    <row r="41" spans="1:32" ht="18" customHeight="1">
      <c r="A41" s="1" t="s">
        <v>277</v>
      </c>
      <c r="B41" s="1" t="s">
        <v>278</v>
      </c>
      <c r="C41" s="4" t="s">
        <v>3385</v>
      </c>
      <c r="D41" s="4"/>
      <c r="E41" s="4" t="s">
        <v>3386</v>
      </c>
      <c r="F41" s="1" t="s">
        <v>48</v>
      </c>
      <c r="G41" s="1" t="s">
        <v>232</v>
      </c>
      <c r="H41" s="1" t="s">
        <v>3322</v>
      </c>
      <c r="I41" s="1" t="s">
        <v>61</v>
      </c>
      <c r="J41" s="1" t="s">
        <v>50</v>
      </c>
      <c r="K41" s="1" t="s">
        <v>279</v>
      </c>
      <c r="L41" s="1" t="s">
        <v>52</v>
      </c>
      <c r="M41" s="1">
        <v>530.05999999999995</v>
      </c>
      <c r="N41" s="1" t="s">
        <v>86</v>
      </c>
      <c r="O41" s="1">
        <v>250</v>
      </c>
      <c r="P41" s="1">
        <v>132515</v>
      </c>
      <c r="Q41" s="1">
        <v>7</v>
      </c>
      <c r="R41" s="7">
        <v>2.8000000000000001E-2</v>
      </c>
      <c r="S41" s="1">
        <v>20</v>
      </c>
      <c r="T41" s="1">
        <v>13</v>
      </c>
      <c r="U41" s="1">
        <v>7</v>
      </c>
      <c r="V41" s="1" t="s">
        <v>3328</v>
      </c>
      <c r="W41" s="1" t="s">
        <v>40</v>
      </c>
      <c r="X41" s="1" t="s">
        <v>3329</v>
      </c>
      <c r="Y41" s="1" t="s">
        <v>42</v>
      </c>
      <c r="Z41" s="1" t="s">
        <v>3333</v>
      </c>
      <c r="AA41" s="1"/>
      <c r="AB41" s="1" t="s">
        <v>147</v>
      </c>
      <c r="AC41" s="1"/>
      <c r="AD41" s="1">
        <v>2.2000000000000002</v>
      </c>
      <c r="AE41" s="1" t="s">
        <v>76</v>
      </c>
      <c r="AF41" s="1" t="s">
        <v>46</v>
      </c>
    </row>
    <row r="42" spans="1:32" ht="18" hidden="1" customHeight="1">
      <c r="A42" s="1" t="s">
        <v>280</v>
      </c>
      <c r="B42" s="1" t="s">
        <v>281</v>
      </c>
      <c r="C42" s="4" t="s">
        <v>3387</v>
      </c>
      <c r="D42" s="1">
        <v>46205</v>
      </c>
      <c r="E42" s="1" t="s">
        <v>3388</v>
      </c>
      <c r="F42" s="1" t="s">
        <v>90</v>
      </c>
      <c r="G42" s="1" t="s">
        <v>91</v>
      </c>
      <c r="H42" s="1" t="s">
        <v>3336</v>
      </c>
      <c r="I42" s="1" t="s">
        <v>178</v>
      </c>
      <c r="J42" s="1" t="s">
        <v>71</v>
      </c>
      <c r="K42" s="1" t="s">
        <v>282</v>
      </c>
      <c r="L42" s="1" t="s">
        <v>73</v>
      </c>
      <c r="M42" s="1">
        <v>785.86</v>
      </c>
      <c r="N42" s="1" t="s">
        <v>104</v>
      </c>
      <c r="O42" s="1">
        <v>500</v>
      </c>
      <c r="P42" s="1">
        <v>392930</v>
      </c>
      <c r="Q42" s="1">
        <v>26</v>
      </c>
      <c r="R42" s="7">
        <v>5.1999999999999998E-2</v>
      </c>
      <c r="S42" s="1">
        <v>17</v>
      </c>
      <c r="T42" s="1">
        <v>17</v>
      </c>
      <c r="U42" s="1">
        <v>0</v>
      </c>
      <c r="V42" s="1" t="s">
        <v>3352</v>
      </c>
      <c r="W42" s="1" t="s">
        <v>3384</v>
      </c>
      <c r="X42" s="1" t="s">
        <v>127</v>
      </c>
      <c r="Y42" s="1" t="s">
        <v>190</v>
      </c>
      <c r="Z42" s="1"/>
      <c r="AA42" s="1" t="s">
        <v>88</v>
      </c>
      <c r="AB42" s="1"/>
      <c r="AC42" s="1" t="s">
        <v>283</v>
      </c>
      <c r="AD42" s="1">
        <v>1.2</v>
      </c>
      <c r="AE42" s="1" t="s">
        <v>108</v>
      </c>
      <c r="AF42" s="1" t="s">
        <v>284</v>
      </c>
    </row>
    <row r="43" spans="1:32" ht="18" customHeight="1">
      <c r="A43" s="1" t="s">
        <v>285</v>
      </c>
      <c r="B43" s="1" t="s">
        <v>286</v>
      </c>
      <c r="C43" s="4">
        <v>46168</v>
      </c>
      <c r="D43" s="4">
        <v>46172</v>
      </c>
      <c r="E43" s="4">
        <v>46180</v>
      </c>
      <c r="F43" s="1" t="s">
        <v>151</v>
      </c>
      <c r="G43" s="1" t="s">
        <v>3353</v>
      </c>
      <c r="H43" s="1" t="s">
        <v>152</v>
      </c>
      <c r="I43" s="1" t="s">
        <v>92</v>
      </c>
      <c r="J43" s="1" t="s">
        <v>112</v>
      </c>
      <c r="K43" s="1" t="s">
        <v>287</v>
      </c>
      <c r="L43" s="1" t="s">
        <v>114</v>
      </c>
      <c r="M43" s="1"/>
      <c r="N43" s="1" t="s">
        <v>86</v>
      </c>
      <c r="O43" s="1"/>
      <c r="P43" s="1">
        <v>11792</v>
      </c>
      <c r="Q43" s="1">
        <v>0</v>
      </c>
      <c r="R43" s="7">
        <v>0</v>
      </c>
      <c r="S43" s="1">
        <v>12</v>
      </c>
      <c r="T43" s="1">
        <v>4</v>
      </c>
      <c r="U43" s="1"/>
      <c r="V43" s="1" t="s">
        <v>3328</v>
      </c>
      <c r="W43" s="1" t="s">
        <v>40</v>
      </c>
      <c r="X43" s="1" t="s">
        <v>3324</v>
      </c>
      <c r="Y43" s="1" t="s">
        <v>190</v>
      </c>
      <c r="Z43" s="1" t="s">
        <v>3330</v>
      </c>
      <c r="AA43" s="1" t="s">
        <v>88</v>
      </c>
      <c r="AB43" s="1"/>
      <c r="AC43" s="1"/>
      <c r="AD43" s="1">
        <v>3.3</v>
      </c>
      <c r="AE43" s="1" t="s">
        <v>57</v>
      </c>
      <c r="AF43" s="1" t="s">
        <v>46</v>
      </c>
    </row>
    <row r="44" spans="1:32" ht="18" customHeight="1">
      <c r="A44" s="1" t="s">
        <v>288</v>
      </c>
      <c r="B44" s="1" t="s">
        <v>289</v>
      </c>
      <c r="C44" s="4">
        <v>46174</v>
      </c>
      <c r="D44" s="4">
        <v>46194</v>
      </c>
      <c r="E44" s="4"/>
      <c r="F44" s="1" t="s">
        <v>90</v>
      </c>
      <c r="G44" s="1" t="s">
        <v>91</v>
      </c>
      <c r="H44" s="1" t="s">
        <v>3336</v>
      </c>
      <c r="I44" s="1" t="s">
        <v>70</v>
      </c>
      <c r="J44" s="1" t="s">
        <v>71</v>
      </c>
      <c r="K44" s="1" t="s">
        <v>290</v>
      </c>
      <c r="L44" s="1" t="s">
        <v>238</v>
      </c>
      <c r="M44" s="1">
        <v>72.87</v>
      </c>
      <c r="N44" s="1" t="s">
        <v>291</v>
      </c>
      <c r="O44" s="1">
        <v>750</v>
      </c>
      <c r="P44" s="1">
        <v>54652.5</v>
      </c>
      <c r="Q44" s="1">
        <v>30</v>
      </c>
      <c r="R44" s="7">
        <v>0.04</v>
      </c>
      <c r="S44" s="1">
        <v>27</v>
      </c>
      <c r="T44" s="1">
        <v>20</v>
      </c>
      <c r="U44" s="1">
        <v>7</v>
      </c>
      <c r="V44" s="1" t="s">
        <v>39</v>
      </c>
      <c r="W44" s="1" t="s">
        <v>40</v>
      </c>
      <c r="X44" s="1" t="s">
        <v>127</v>
      </c>
      <c r="Y44" s="1" t="s">
        <v>3334</v>
      </c>
      <c r="Z44" s="1" t="s">
        <v>173</v>
      </c>
      <c r="AA44" s="1" t="s">
        <v>136</v>
      </c>
      <c r="AB44" s="1" t="s">
        <v>44</v>
      </c>
      <c r="AC44" s="1"/>
      <c r="AD44" s="1">
        <v>1.4</v>
      </c>
      <c r="AE44" s="1" t="s">
        <v>57</v>
      </c>
      <c r="AF44" s="1" t="s">
        <v>148</v>
      </c>
    </row>
    <row r="45" spans="1:32" ht="18" hidden="1" customHeight="1">
      <c r="A45" s="1" t="s">
        <v>292</v>
      </c>
      <c r="B45" s="1" t="s">
        <v>293</v>
      </c>
      <c r="C45" s="4">
        <v>46073</v>
      </c>
      <c r="D45" s="1">
        <v>46084</v>
      </c>
      <c r="E45" s="1">
        <v>46077</v>
      </c>
      <c r="F45" s="1" t="s">
        <v>209</v>
      </c>
      <c r="G45" s="1" t="s">
        <v>3389</v>
      </c>
      <c r="H45" s="1" t="s">
        <v>3390</v>
      </c>
      <c r="I45" s="1" t="s">
        <v>70</v>
      </c>
      <c r="J45" s="1" t="s">
        <v>153</v>
      </c>
      <c r="K45" s="1" t="s">
        <v>294</v>
      </c>
      <c r="L45" s="1" t="s">
        <v>295</v>
      </c>
      <c r="M45" s="1">
        <v>79.2</v>
      </c>
      <c r="N45" s="1" t="s">
        <v>38</v>
      </c>
      <c r="O45" s="1">
        <v>750</v>
      </c>
      <c r="P45" s="1">
        <v>59400</v>
      </c>
      <c r="Q45" s="1">
        <v>36</v>
      </c>
      <c r="R45" s="7">
        <v>4.8000000000000001E-2</v>
      </c>
      <c r="S45" s="1">
        <v>4</v>
      </c>
      <c r="T45" s="1">
        <v>11</v>
      </c>
      <c r="U45" s="1">
        <v>-7</v>
      </c>
      <c r="V45" s="1" t="s">
        <v>3352</v>
      </c>
      <c r="W45" s="1" t="s">
        <v>74</v>
      </c>
      <c r="X45" s="1" t="s">
        <v>105</v>
      </c>
      <c r="Y45" s="1" t="s">
        <v>66</v>
      </c>
      <c r="Z45" s="1" t="s">
        <v>107</v>
      </c>
      <c r="AA45" s="1" t="s">
        <v>174</v>
      </c>
      <c r="AB45" s="1" t="s">
        <v>95</v>
      </c>
      <c r="AC45" s="1" t="s">
        <v>96</v>
      </c>
      <c r="AD45" s="1">
        <v>1.7</v>
      </c>
      <c r="AE45" s="1" t="s">
        <v>184</v>
      </c>
      <c r="AF45" s="1" t="s">
        <v>97</v>
      </c>
    </row>
    <row r="46" spans="1:32" ht="18" customHeight="1">
      <c r="A46" s="1" t="s">
        <v>296</v>
      </c>
      <c r="B46" s="1" t="s">
        <v>297</v>
      </c>
      <c r="C46" s="4">
        <v>46148</v>
      </c>
      <c r="D46" s="4">
        <v>46166</v>
      </c>
      <c r="E46" s="4">
        <v>46180</v>
      </c>
      <c r="F46" s="1" t="s">
        <v>142</v>
      </c>
      <c r="G46" s="1" t="s">
        <v>3391</v>
      </c>
      <c r="H46" s="1" t="s">
        <v>3392</v>
      </c>
      <c r="I46" s="1" t="s">
        <v>49</v>
      </c>
      <c r="J46" s="1" t="s">
        <v>50</v>
      </c>
      <c r="K46" s="1" t="s">
        <v>298</v>
      </c>
      <c r="L46" s="1" t="s">
        <v>52</v>
      </c>
      <c r="M46" s="1">
        <v>2231.9299999999998</v>
      </c>
      <c r="N46" s="1" t="s">
        <v>53</v>
      </c>
      <c r="O46" s="1">
        <v>500</v>
      </c>
      <c r="P46" s="1">
        <v>1115965</v>
      </c>
      <c r="Q46" s="1">
        <v>4</v>
      </c>
      <c r="R46" s="7">
        <v>8.0000000000000002E-3</v>
      </c>
      <c r="S46" s="1">
        <v>32</v>
      </c>
      <c r="T46" s="1">
        <v>18</v>
      </c>
      <c r="U46" s="1">
        <v>14</v>
      </c>
      <c r="V46" s="1" t="s">
        <v>205</v>
      </c>
      <c r="W46" s="1" t="s">
        <v>40</v>
      </c>
      <c r="X46" s="1" t="s">
        <v>146</v>
      </c>
      <c r="Y46" s="1" t="s">
        <v>3334</v>
      </c>
      <c r="Z46" s="1"/>
      <c r="AA46" s="1" t="s">
        <v>136</v>
      </c>
      <c r="AB46" s="1" t="s">
        <v>44</v>
      </c>
      <c r="AC46" s="1"/>
      <c r="AD46" s="1">
        <v>2</v>
      </c>
      <c r="AE46" s="1" t="s">
        <v>45</v>
      </c>
      <c r="AF46" s="1" t="s">
        <v>148</v>
      </c>
    </row>
    <row r="47" spans="1:32" ht="18" customHeight="1">
      <c r="A47" s="1" t="s">
        <v>299</v>
      </c>
      <c r="B47" s="1" t="s">
        <v>300</v>
      </c>
      <c r="C47" s="4">
        <v>46059</v>
      </c>
      <c r="D47" s="4">
        <v>46082</v>
      </c>
      <c r="E47" s="4"/>
      <c r="F47" s="1" t="s">
        <v>118</v>
      </c>
      <c r="G47" s="1" t="s">
        <v>3393</v>
      </c>
      <c r="H47" s="1" t="s">
        <v>301</v>
      </c>
      <c r="I47" s="1" t="s">
        <v>241</v>
      </c>
      <c r="J47" s="1" t="s">
        <v>62</v>
      </c>
      <c r="K47" s="1" t="s">
        <v>302</v>
      </c>
      <c r="L47" s="1" t="s">
        <v>94</v>
      </c>
      <c r="M47" s="1">
        <v>211.15</v>
      </c>
      <c r="N47" s="1" t="s">
        <v>53</v>
      </c>
      <c r="O47" s="1">
        <v>2000</v>
      </c>
      <c r="P47" s="1">
        <v>422300</v>
      </c>
      <c r="Q47" s="1">
        <v>9</v>
      </c>
      <c r="R47" s="7">
        <v>4.4999999999999997E-3</v>
      </c>
      <c r="S47" s="1"/>
      <c r="T47" s="1">
        <v>23</v>
      </c>
      <c r="U47" s="1">
        <v>10</v>
      </c>
      <c r="V47" s="1" t="s">
        <v>205</v>
      </c>
      <c r="W47" s="1" t="s">
        <v>40</v>
      </c>
      <c r="X47" s="1" t="s">
        <v>3324</v>
      </c>
      <c r="Y47" s="1" t="s">
        <v>212</v>
      </c>
      <c r="Z47" s="1" t="s">
        <v>43</v>
      </c>
      <c r="AA47" s="1" t="s">
        <v>88</v>
      </c>
      <c r="AB47" s="1" t="s">
        <v>56</v>
      </c>
      <c r="AC47" s="1"/>
      <c r="AD47" s="1">
        <v>1.7</v>
      </c>
      <c r="AE47" s="1" t="s">
        <v>139</v>
      </c>
      <c r="AF47" s="1" t="s">
        <v>46</v>
      </c>
    </row>
    <row r="48" spans="1:32" ht="18" customHeight="1">
      <c r="A48" s="1" t="s">
        <v>303</v>
      </c>
      <c r="B48" s="1" t="s">
        <v>304</v>
      </c>
      <c r="C48" s="4">
        <v>46045</v>
      </c>
      <c r="D48" s="4">
        <v>46063</v>
      </c>
      <c r="E48" s="4" t="s">
        <v>3394</v>
      </c>
      <c r="F48" s="1" t="s">
        <v>32</v>
      </c>
      <c r="G48" s="1" t="s">
        <v>3359</v>
      </c>
      <c r="H48" s="1" t="s">
        <v>3395</v>
      </c>
      <c r="I48" s="1" t="s">
        <v>178</v>
      </c>
      <c r="J48" s="1" t="s">
        <v>50</v>
      </c>
      <c r="K48" s="1" t="s">
        <v>305</v>
      </c>
      <c r="L48" s="1" t="s">
        <v>189</v>
      </c>
      <c r="M48" s="1">
        <v>2274.23</v>
      </c>
      <c r="N48" s="1" t="s">
        <v>53</v>
      </c>
      <c r="O48" s="1">
        <v>200</v>
      </c>
      <c r="P48" s="1">
        <v>454846</v>
      </c>
      <c r="Q48" s="1">
        <v>0</v>
      </c>
      <c r="R48" s="7">
        <v>0</v>
      </c>
      <c r="S48" s="1">
        <v>26</v>
      </c>
      <c r="T48" s="1">
        <v>18</v>
      </c>
      <c r="U48" s="1"/>
      <c r="V48" s="1" t="s">
        <v>3328</v>
      </c>
      <c r="W48" s="1" t="s">
        <v>40</v>
      </c>
      <c r="X48" s="1" t="s">
        <v>105</v>
      </c>
      <c r="Y48" s="1" t="s">
        <v>42</v>
      </c>
      <c r="Z48" s="1"/>
      <c r="AA48" s="1" t="s">
        <v>3341</v>
      </c>
      <c r="AB48" s="1"/>
      <c r="AC48" s="1"/>
      <c r="AD48" s="1">
        <v>2</v>
      </c>
      <c r="AE48" s="1" t="s">
        <v>57</v>
      </c>
      <c r="AF48" s="1" t="s">
        <v>46</v>
      </c>
    </row>
    <row r="49" spans="1:32" ht="18" hidden="1" customHeight="1">
      <c r="A49" s="1" t="s">
        <v>306</v>
      </c>
      <c r="B49" s="1" t="s">
        <v>307</v>
      </c>
      <c r="C49" s="4">
        <v>46032</v>
      </c>
      <c r="D49" s="1">
        <v>46049</v>
      </c>
      <c r="E49" s="1" t="s">
        <v>3396</v>
      </c>
      <c r="F49" s="1" t="s">
        <v>48</v>
      </c>
      <c r="G49" s="1" t="s">
        <v>3321</v>
      </c>
      <c r="H49" s="1" t="s">
        <v>3361</v>
      </c>
      <c r="I49" s="1" t="s">
        <v>83</v>
      </c>
      <c r="J49" s="1" t="s">
        <v>112</v>
      </c>
      <c r="K49" s="1" t="s">
        <v>308</v>
      </c>
      <c r="L49" s="1" t="s">
        <v>218</v>
      </c>
      <c r="M49" s="1">
        <v>111.49</v>
      </c>
      <c r="N49" s="1" t="s">
        <v>104</v>
      </c>
      <c r="O49" s="1">
        <v>750</v>
      </c>
      <c r="P49" s="1">
        <v>83617.5</v>
      </c>
      <c r="Q49" s="1">
        <v>32</v>
      </c>
      <c r="R49" s="7">
        <v>4.2700000000000002E-2</v>
      </c>
      <c r="S49" s="1">
        <v>21</v>
      </c>
      <c r="T49" s="1">
        <v>17</v>
      </c>
      <c r="U49" s="1">
        <v>4</v>
      </c>
      <c r="V49" s="1" t="s">
        <v>205</v>
      </c>
      <c r="W49" s="1" t="s">
        <v>74</v>
      </c>
      <c r="X49" s="1" t="s">
        <v>3324</v>
      </c>
      <c r="Y49" s="1" t="s">
        <v>66</v>
      </c>
      <c r="Z49" s="1" t="s">
        <v>54</v>
      </c>
      <c r="AA49" s="1" t="s">
        <v>129</v>
      </c>
      <c r="AB49" s="1" t="s">
        <v>44</v>
      </c>
      <c r="AC49" s="1" t="s">
        <v>75</v>
      </c>
      <c r="AD49" s="1">
        <v>3.2</v>
      </c>
      <c r="AE49" s="1" t="s">
        <v>45</v>
      </c>
      <c r="AF49" s="1" t="s">
        <v>77</v>
      </c>
    </row>
    <row r="50" spans="1:32" ht="18" customHeight="1">
      <c r="A50" s="1" t="s">
        <v>116</v>
      </c>
      <c r="B50" s="1" t="s">
        <v>309</v>
      </c>
      <c r="C50" s="4" t="s">
        <v>3397</v>
      </c>
      <c r="D50" s="4">
        <v>46147</v>
      </c>
      <c r="E50" s="4">
        <v>46147</v>
      </c>
      <c r="F50" s="1" t="s">
        <v>162</v>
      </c>
      <c r="G50" s="1" t="s">
        <v>3382</v>
      </c>
      <c r="H50" s="1" t="s">
        <v>152</v>
      </c>
      <c r="I50" s="1" t="s">
        <v>49</v>
      </c>
      <c r="J50" s="1" t="s">
        <v>35</v>
      </c>
      <c r="K50" s="1" t="s">
        <v>310</v>
      </c>
      <c r="L50" s="1" t="s">
        <v>180</v>
      </c>
      <c r="M50" s="1">
        <v>247.1</v>
      </c>
      <c r="N50" s="1" t="s">
        <v>53</v>
      </c>
      <c r="O50" s="1" t="s">
        <v>3398</v>
      </c>
      <c r="P50" s="1">
        <v>18532.5</v>
      </c>
      <c r="Q50" s="1">
        <v>1</v>
      </c>
      <c r="R50" s="7">
        <v>1.3299999999999999E-2</v>
      </c>
      <c r="S50" s="1">
        <v>9</v>
      </c>
      <c r="T50" s="1">
        <v>9</v>
      </c>
      <c r="U50" s="1">
        <v>0</v>
      </c>
      <c r="V50" s="1" t="s">
        <v>270</v>
      </c>
      <c r="W50" s="1" t="s">
        <v>40</v>
      </c>
      <c r="X50" s="1" t="s">
        <v>127</v>
      </c>
      <c r="Y50" s="1" t="s">
        <v>42</v>
      </c>
      <c r="Z50" s="1" t="s">
        <v>3333</v>
      </c>
      <c r="AA50" s="1" t="s">
        <v>136</v>
      </c>
      <c r="AB50" s="1" t="s">
        <v>44</v>
      </c>
      <c r="AC50" s="1"/>
      <c r="AD50" s="1">
        <v>3.8</v>
      </c>
      <c r="AE50" s="1" t="s">
        <v>76</v>
      </c>
      <c r="AF50" s="1" t="s">
        <v>130</v>
      </c>
    </row>
    <row r="51" spans="1:32" ht="18" customHeight="1">
      <c r="A51" s="1" t="s">
        <v>311</v>
      </c>
      <c r="B51" s="1" t="s">
        <v>312</v>
      </c>
      <c r="C51" s="4" t="s">
        <v>3399</v>
      </c>
      <c r="D51" s="4" t="s">
        <v>3400</v>
      </c>
      <c r="E51" s="4">
        <v>46202</v>
      </c>
      <c r="F51" s="1" t="s">
        <v>209</v>
      </c>
      <c r="G51" s="1" t="s">
        <v>210</v>
      </c>
      <c r="H51" s="1" t="s">
        <v>3365</v>
      </c>
      <c r="I51" s="1" t="s">
        <v>120</v>
      </c>
      <c r="J51" s="1" t="s">
        <v>112</v>
      </c>
      <c r="K51" s="1" t="s">
        <v>313</v>
      </c>
      <c r="L51" s="1" t="s">
        <v>114</v>
      </c>
      <c r="M51" s="1">
        <v>496.7</v>
      </c>
      <c r="N51" s="1" t="s">
        <v>104</v>
      </c>
      <c r="O51" s="1">
        <v>75</v>
      </c>
      <c r="P51" s="1">
        <v>37252.5</v>
      </c>
      <c r="Q51" s="1">
        <v>0</v>
      </c>
      <c r="R51" s="7">
        <v>0</v>
      </c>
      <c r="S51" s="1">
        <v>11</v>
      </c>
      <c r="T51" s="1">
        <v>14</v>
      </c>
      <c r="U51" s="1">
        <v>-3</v>
      </c>
      <c r="V51" s="1" t="s">
        <v>87</v>
      </c>
      <c r="W51" s="1" t="s">
        <v>40</v>
      </c>
      <c r="X51" s="1"/>
      <c r="Y51" s="1" t="s">
        <v>66</v>
      </c>
      <c r="Z51" s="1" t="s">
        <v>128</v>
      </c>
      <c r="AA51" s="1" t="s">
        <v>3341</v>
      </c>
      <c r="AB51" s="1" t="s">
        <v>44</v>
      </c>
      <c r="AC51" s="1"/>
      <c r="AD51" s="1">
        <v>3.3</v>
      </c>
      <c r="AE51" s="1" t="s">
        <v>57</v>
      </c>
      <c r="AF51" s="1" t="s">
        <v>130</v>
      </c>
    </row>
    <row r="52" spans="1:32" ht="18" customHeight="1">
      <c r="A52" s="1" t="s">
        <v>314</v>
      </c>
      <c r="B52" s="1" t="s">
        <v>315</v>
      </c>
      <c r="C52" s="4" t="s">
        <v>3401</v>
      </c>
      <c r="D52" s="4">
        <v>46061</v>
      </c>
      <c r="E52" s="4">
        <v>46065</v>
      </c>
      <c r="F52" s="1" t="s">
        <v>209</v>
      </c>
      <c r="G52" s="1" t="s">
        <v>3389</v>
      </c>
      <c r="H52" s="1" t="s">
        <v>316</v>
      </c>
      <c r="I52" s="1" t="s">
        <v>49</v>
      </c>
      <c r="J52" s="1" t="s">
        <v>153</v>
      </c>
      <c r="K52" s="1" t="s">
        <v>317</v>
      </c>
      <c r="L52" s="1" t="s">
        <v>318</v>
      </c>
      <c r="M52" s="1">
        <v>672.03</v>
      </c>
      <c r="N52" s="1" t="s">
        <v>65</v>
      </c>
      <c r="O52" s="1">
        <v>200</v>
      </c>
      <c r="P52" s="1" t="s">
        <v>3402</v>
      </c>
      <c r="Q52" s="1">
        <v>3</v>
      </c>
      <c r="R52" s="7">
        <v>1.4999999999999999E-2</v>
      </c>
      <c r="S52" s="1">
        <v>12</v>
      </c>
      <c r="T52" s="1">
        <v>8</v>
      </c>
      <c r="U52" s="1">
        <v>4</v>
      </c>
      <c r="V52" s="1" t="s">
        <v>39</v>
      </c>
      <c r="W52" s="1" t="s">
        <v>40</v>
      </c>
      <c r="X52" s="1" t="s">
        <v>105</v>
      </c>
      <c r="Y52" s="1" t="s">
        <v>106</v>
      </c>
      <c r="Z52" s="1" t="s">
        <v>128</v>
      </c>
      <c r="AA52" s="1" t="s">
        <v>136</v>
      </c>
      <c r="AB52" s="1" t="s">
        <v>137</v>
      </c>
      <c r="AC52" s="1"/>
      <c r="AD52" s="1">
        <v>2.6</v>
      </c>
      <c r="AE52" s="1" t="s">
        <v>57</v>
      </c>
      <c r="AF52" s="1" t="s">
        <v>46</v>
      </c>
    </row>
    <row r="53" spans="1:32" ht="18" customHeight="1">
      <c r="A53" s="1" t="s">
        <v>319</v>
      </c>
      <c r="B53" s="1" t="s">
        <v>320</v>
      </c>
      <c r="C53" s="4">
        <v>46191</v>
      </c>
      <c r="D53" s="4"/>
      <c r="E53" s="4">
        <v>46197</v>
      </c>
      <c r="F53" s="1" t="s">
        <v>69</v>
      </c>
      <c r="G53" s="1" t="s">
        <v>3362</v>
      </c>
      <c r="H53" s="1" t="s">
        <v>3332</v>
      </c>
      <c r="I53" s="1" t="s">
        <v>92</v>
      </c>
      <c r="J53" s="1" t="s">
        <v>112</v>
      </c>
      <c r="K53" s="1" t="s">
        <v>321</v>
      </c>
      <c r="L53" s="1" t="s">
        <v>218</v>
      </c>
      <c r="M53" s="1">
        <v>766.08</v>
      </c>
      <c r="N53" s="1" t="s">
        <v>104</v>
      </c>
      <c r="O53" s="1">
        <v>75</v>
      </c>
      <c r="P53" s="1">
        <v>57456</v>
      </c>
      <c r="Q53" s="1">
        <v>0</v>
      </c>
      <c r="R53" s="7">
        <v>0</v>
      </c>
      <c r="S53" s="1">
        <v>6</v>
      </c>
      <c r="T53" s="1">
        <v>10</v>
      </c>
      <c r="U53" s="1">
        <v>-4</v>
      </c>
      <c r="V53" s="1" t="s">
        <v>3337</v>
      </c>
      <c r="W53" s="1" t="s">
        <v>40</v>
      </c>
      <c r="X53" s="1" t="s">
        <v>3329</v>
      </c>
      <c r="Y53" s="1" t="s">
        <v>3334</v>
      </c>
      <c r="Z53" s="1" t="s">
        <v>43</v>
      </c>
      <c r="AA53" s="1" t="s">
        <v>206</v>
      </c>
      <c r="AB53" s="1" t="s">
        <v>44</v>
      </c>
      <c r="AC53" s="1"/>
      <c r="AD53" s="1">
        <v>3.9</v>
      </c>
      <c r="AE53" s="1" t="s">
        <v>57</v>
      </c>
      <c r="AF53" s="1"/>
    </row>
    <row r="54" spans="1:32" ht="18" customHeight="1">
      <c r="A54" s="1" t="s">
        <v>322</v>
      </c>
      <c r="B54" s="1" t="s">
        <v>323</v>
      </c>
      <c r="C54" s="4">
        <v>46035</v>
      </c>
      <c r="D54" s="4"/>
      <c r="E54" s="4"/>
      <c r="F54" s="1" t="s">
        <v>90</v>
      </c>
      <c r="G54" s="1" t="s">
        <v>91</v>
      </c>
      <c r="H54" s="1" t="s">
        <v>3336</v>
      </c>
      <c r="I54" s="1" t="s">
        <v>83</v>
      </c>
      <c r="J54" s="1" t="s">
        <v>71</v>
      </c>
      <c r="K54" s="1" t="s">
        <v>324</v>
      </c>
      <c r="L54" s="1" t="s">
        <v>73</v>
      </c>
      <c r="M54" s="1">
        <v>651.67999999999995</v>
      </c>
      <c r="N54" s="1" t="s">
        <v>38</v>
      </c>
      <c r="O54" s="1">
        <v>75</v>
      </c>
      <c r="P54" s="1">
        <v>48876</v>
      </c>
      <c r="Q54" s="1">
        <v>0</v>
      </c>
      <c r="R54" s="7">
        <v>0</v>
      </c>
      <c r="S54" s="1"/>
      <c r="T54" s="1">
        <v>18</v>
      </c>
      <c r="U54" s="1">
        <v>11</v>
      </c>
      <c r="V54" s="1" t="s">
        <v>39</v>
      </c>
      <c r="W54" s="1" t="s">
        <v>40</v>
      </c>
      <c r="X54" s="1" t="s">
        <v>127</v>
      </c>
      <c r="Y54" s="1" t="s">
        <v>66</v>
      </c>
      <c r="Z54" s="1" t="s">
        <v>43</v>
      </c>
      <c r="AA54" s="1" t="s">
        <v>3341</v>
      </c>
      <c r="AB54" s="1" t="s">
        <v>56</v>
      </c>
      <c r="AC54" s="1"/>
      <c r="AD54" s="1">
        <v>3.3</v>
      </c>
      <c r="AE54" s="1" t="s">
        <v>139</v>
      </c>
      <c r="AF54" s="1" t="s">
        <v>148</v>
      </c>
    </row>
    <row r="55" spans="1:32" ht="18" customHeight="1">
      <c r="A55" s="1" t="s">
        <v>325</v>
      </c>
      <c r="B55" s="1" t="s">
        <v>326</v>
      </c>
      <c r="C55" s="4">
        <v>46106</v>
      </c>
      <c r="D55" s="4" t="s">
        <v>3403</v>
      </c>
      <c r="E55" s="4" t="s">
        <v>3404</v>
      </c>
      <c r="F55" s="1" t="s">
        <v>151</v>
      </c>
      <c r="G55" s="1" t="s">
        <v>244</v>
      </c>
      <c r="H55" s="1" t="s">
        <v>3327</v>
      </c>
      <c r="I55" s="1" t="s">
        <v>49</v>
      </c>
      <c r="J55" s="1" t="s">
        <v>112</v>
      </c>
      <c r="K55" s="1" t="s">
        <v>327</v>
      </c>
      <c r="L55" s="1" t="s">
        <v>218</v>
      </c>
      <c r="M55" s="1">
        <v>193.09</v>
      </c>
      <c r="N55" s="1" t="s">
        <v>104</v>
      </c>
      <c r="O55" s="1">
        <v>500</v>
      </c>
      <c r="P55" s="1">
        <v>96545</v>
      </c>
      <c r="Q55" s="1">
        <v>0</v>
      </c>
      <c r="R55" s="7">
        <v>0</v>
      </c>
      <c r="S55" s="1">
        <v>12</v>
      </c>
      <c r="T55" s="1">
        <v>7</v>
      </c>
      <c r="U55" s="1">
        <v>5</v>
      </c>
      <c r="V55" s="1" t="s">
        <v>205</v>
      </c>
      <c r="W55" s="1" t="s">
        <v>40</v>
      </c>
      <c r="X55" s="1"/>
      <c r="Y55" s="1" t="s">
        <v>106</v>
      </c>
      <c r="Z55" s="1" t="s">
        <v>3330</v>
      </c>
      <c r="AA55" s="1" t="s">
        <v>129</v>
      </c>
      <c r="AB55" s="1" t="s">
        <v>137</v>
      </c>
      <c r="AC55" s="1"/>
      <c r="AD55" s="1">
        <v>4.2</v>
      </c>
      <c r="AE55" s="1" t="s">
        <v>115</v>
      </c>
      <c r="AF55" s="1" t="s">
        <v>148</v>
      </c>
    </row>
    <row r="56" spans="1:32" ht="18" customHeight="1">
      <c r="A56" s="1" t="s">
        <v>328</v>
      </c>
      <c r="B56" s="1" t="s">
        <v>329</v>
      </c>
      <c r="C56" s="4">
        <v>46098</v>
      </c>
      <c r="D56" s="4">
        <v>46115</v>
      </c>
      <c r="E56" s="4">
        <v>46124</v>
      </c>
      <c r="F56" s="1" t="s">
        <v>142</v>
      </c>
      <c r="G56" s="1" t="s">
        <v>143</v>
      </c>
      <c r="H56" s="1" t="s">
        <v>3405</v>
      </c>
      <c r="I56" s="1" t="s">
        <v>178</v>
      </c>
      <c r="J56" s="1" t="s">
        <v>153</v>
      </c>
      <c r="K56" s="1" t="s">
        <v>330</v>
      </c>
      <c r="L56" s="1" t="s">
        <v>155</v>
      </c>
      <c r="M56" s="1">
        <v>745.01</v>
      </c>
      <c r="N56" s="1" t="s">
        <v>53</v>
      </c>
      <c r="O56" s="1">
        <v>150</v>
      </c>
      <c r="P56" s="1">
        <v>111751.5</v>
      </c>
      <c r="Q56" s="1"/>
      <c r="R56" s="7">
        <v>6.7000000000000002E-3</v>
      </c>
      <c r="S56" s="1" t="s">
        <v>3406</v>
      </c>
      <c r="T56" s="1">
        <v>17</v>
      </c>
      <c r="U56" s="1">
        <v>9</v>
      </c>
      <c r="V56" s="1" t="s">
        <v>39</v>
      </c>
      <c r="W56" s="1" t="s">
        <v>40</v>
      </c>
      <c r="X56" s="1"/>
      <c r="Y56" s="1"/>
      <c r="Z56" s="1" t="s">
        <v>107</v>
      </c>
      <c r="AA56" s="1" t="s">
        <v>174</v>
      </c>
      <c r="AB56" s="1" t="s">
        <v>95</v>
      </c>
      <c r="AC56" s="1"/>
      <c r="AD56" s="1">
        <v>2.9</v>
      </c>
      <c r="AE56" s="1" t="s">
        <v>57</v>
      </c>
      <c r="AF56" s="1" t="s">
        <v>148</v>
      </c>
    </row>
    <row r="57" spans="1:32" ht="18" customHeight="1">
      <c r="A57" s="1" t="s">
        <v>331</v>
      </c>
      <c r="B57" s="1" t="s">
        <v>332</v>
      </c>
      <c r="C57" s="4">
        <v>46155</v>
      </c>
      <c r="D57" s="4">
        <v>46175</v>
      </c>
      <c r="E57" s="4">
        <v>46183</v>
      </c>
      <c r="F57" s="1" t="s">
        <v>118</v>
      </c>
      <c r="G57" s="1" t="s">
        <v>3393</v>
      </c>
      <c r="H57" s="1" t="s">
        <v>3407</v>
      </c>
      <c r="I57" s="1" t="s">
        <v>61</v>
      </c>
      <c r="J57" s="1" t="s">
        <v>62</v>
      </c>
      <c r="K57" s="1" t="s">
        <v>333</v>
      </c>
      <c r="L57" s="1" t="s">
        <v>122</v>
      </c>
      <c r="M57" s="1">
        <v>408.48</v>
      </c>
      <c r="N57" s="1" t="s">
        <v>86</v>
      </c>
      <c r="O57" s="1">
        <v>1000</v>
      </c>
      <c r="P57" s="1">
        <v>408480</v>
      </c>
      <c r="Q57" s="1">
        <v>1016</v>
      </c>
      <c r="R57" s="7">
        <v>1.4E-2</v>
      </c>
      <c r="S57" s="1">
        <v>28</v>
      </c>
      <c r="T57" s="1">
        <v>20</v>
      </c>
      <c r="U57" s="1">
        <v>8</v>
      </c>
      <c r="V57" s="1" t="s">
        <v>39</v>
      </c>
      <c r="W57" s="1" t="s">
        <v>40</v>
      </c>
      <c r="X57" s="1"/>
      <c r="Y57" s="1" t="s">
        <v>212</v>
      </c>
      <c r="Z57" s="1" t="s">
        <v>3330</v>
      </c>
      <c r="AA57" s="1" t="s">
        <v>55</v>
      </c>
      <c r="AB57" s="1" t="s">
        <v>56</v>
      </c>
      <c r="AC57" s="1"/>
      <c r="AD57" s="1">
        <v>1.8</v>
      </c>
      <c r="AE57" s="1" t="s">
        <v>139</v>
      </c>
      <c r="AF57" s="1" t="s">
        <v>148</v>
      </c>
    </row>
    <row r="58" spans="1:32" ht="18" hidden="1" customHeight="1">
      <c r="A58" s="1" t="s">
        <v>334</v>
      </c>
      <c r="B58" s="1" t="s">
        <v>335</v>
      </c>
      <c r="C58" s="4">
        <v>46189</v>
      </c>
      <c r="D58" s="1">
        <v>46201</v>
      </c>
      <c r="E58" s="1">
        <v>46212</v>
      </c>
      <c r="F58" s="1" t="s">
        <v>215</v>
      </c>
      <c r="G58" s="1" t="s">
        <v>216</v>
      </c>
      <c r="H58" s="1" t="s">
        <v>3408</v>
      </c>
      <c r="I58" s="1" t="s">
        <v>83</v>
      </c>
      <c r="J58" s="1" t="s">
        <v>71</v>
      </c>
      <c r="K58" s="1" t="s">
        <v>336</v>
      </c>
      <c r="L58" s="1" t="s">
        <v>337</v>
      </c>
      <c r="M58" s="1">
        <v>507.98</v>
      </c>
      <c r="N58" s="1" t="s">
        <v>86</v>
      </c>
      <c r="O58" s="1">
        <v>50</v>
      </c>
      <c r="P58" s="1">
        <v>25399</v>
      </c>
      <c r="Q58" s="1">
        <v>3</v>
      </c>
      <c r="R58" s="7">
        <v>0.06</v>
      </c>
      <c r="S58" s="1">
        <v>23</v>
      </c>
      <c r="T58" s="1">
        <v>12</v>
      </c>
      <c r="U58" s="1">
        <v>11</v>
      </c>
      <c r="V58" s="1" t="s">
        <v>3328</v>
      </c>
      <c r="W58" s="1" t="s">
        <v>74</v>
      </c>
      <c r="X58" s="1" t="s">
        <v>105</v>
      </c>
      <c r="Y58" s="1" t="s">
        <v>3334</v>
      </c>
      <c r="Z58" s="1" t="s">
        <v>128</v>
      </c>
      <c r="AA58" s="1" t="s">
        <v>174</v>
      </c>
      <c r="AB58" s="1"/>
      <c r="AC58" s="1" t="s">
        <v>283</v>
      </c>
      <c r="AD58" s="1">
        <v>3.4</v>
      </c>
      <c r="AE58" s="1" t="s">
        <v>57</v>
      </c>
      <c r="AF58" s="1" t="s">
        <v>77</v>
      </c>
    </row>
    <row r="59" spans="1:32" ht="18" customHeight="1">
      <c r="A59" s="1" t="s">
        <v>338</v>
      </c>
      <c r="B59" s="1" t="s">
        <v>339</v>
      </c>
      <c r="C59" s="4" t="s">
        <v>3409</v>
      </c>
      <c r="D59" s="4">
        <v>46112</v>
      </c>
      <c r="E59" s="4">
        <v>46111</v>
      </c>
      <c r="F59" s="1" t="s">
        <v>48</v>
      </c>
      <c r="G59" s="1" t="s">
        <v>232</v>
      </c>
      <c r="H59" s="1" t="s">
        <v>3322</v>
      </c>
      <c r="I59" s="1" t="s">
        <v>92</v>
      </c>
      <c r="J59" s="1" t="s">
        <v>62</v>
      </c>
      <c r="K59" s="1" t="s">
        <v>340</v>
      </c>
      <c r="L59" s="1" t="s">
        <v>94</v>
      </c>
      <c r="M59" s="1">
        <v>510.27</v>
      </c>
      <c r="N59" s="1" t="s">
        <v>104</v>
      </c>
      <c r="O59" s="1">
        <v>1000</v>
      </c>
      <c r="P59" s="1">
        <v>510270</v>
      </c>
      <c r="Q59" s="1">
        <v>10</v>
      </c>
      <c r="R59" s="7">
        <v>0.01</v>
      </c>
      <c r="S59" s="1">
        <v>10</v>
      </c>
      <c r="T59" s="1">
        <v>11</v>
      </c>
      <c r="U59" s="1">
        <v>-1</v>
      </c>
      <c r="V59" s="1" t="s">
        <v>87</v>
      </c>
      <c r="W59" s="1" t="s">
        <v>40</v>
      </c>
      <c r="X59" s="1" t="s">
        <v>146</v>
      </c>
      <c r="Y59" s="1" t="s">
        <v>42</v>
      </c>
      <c r="Z59" s="1" t="s">
        <v>107</v>
      </c>
      <c r="AA59" s="1" t="s">
        <v>88</v>
      </c>
      <c r="AB59" s="1" t="s">
        <v>147</v>
      </c>
      <c r="AC59" s="1"/>
      <c r="AD59" s="1">
        <v>4.8</v>
      </c>
      <c r="AE59" s="1" t="s">
        <v>139</v>
      </c>
      <c r="AF59" s="1" t="s">
        <v>130</v>
      </c>
    </row>
    <row r="60" spans="1:32" ht="18" hidden="1" customHeight="1">
      <c r="A60" s="1" t="s">
        <v>341</v>
      </c>
      <c r="B60" s="1" t="s">
        <v>342</v>
      </c>
      <c r="C60" s="4">
        <v>46150</v>
      </c>
      <c r="D60" s="1">
        <v>46162</v>
      </c>
      <c r="E60" s="1">
        <v>46169</v>
      </c>
      <c r="F60" s="1" t="s">
        <v>256</v>
      </c>
      <c r="G60" s="1" t="s">
        <v>257</v>
      </c>
      <c r="H60" s="1" t="s">
        <v>3410</v>
      </c>
      <c r="I60" s="1" t="s">
        <v>83</v>
      </c>
      <c r="J60" s="1" t="s">
        <v>62</v>
      </c>
      <c r="K60" s="1" t="s">
        <v>343</v>
      </c>
      <c r="L60" s="1" t="s">
        <v>122</v>
      </c>
      <c r="M60" s="1">
        <v>509.27</v>
      </c>
      <c r="N60" s="1" t="s">
        <v>53</v>
      </c>
      <c r="O60" s="1">
        <v>750</v>
      </c>
      <c r="P60" s="1">
        <v>381952.5</v>
      </c>
      <c r="Q60" s="1">
        <v>56</v>
      </c>
      <c r="R60" s="7">
        <v>7.4700000000000003E-2</v>
      </c>
      <c r="S60" s="1">
        <v>19</v>
      </c>
      <c r="T60" s="1">
        <v>12</v>
      </c>
      <c r="U60" s="1">
        <v>7</v>
      </c>
      <c r="V60" s="1" t="s">
        <v>39</v>
      </c>
      <c r="W60" s="1" t="s">
        <v>3384</v>
      </c>
      <c r="X60" s="1" t="s">
        <v>41</v>
      </c>
      <c r="Y60" s="1" t="s">
        <v>190</v>
      </c>
      <c r="Z60" s="1" t="s">
        <v>128</v>
      </c>
      <c r="AA60" s="1" t="s">
        <v>136</v>
      </c>
      <c r="AB60" s="1" t="s">
        <v>44</v>
      </c>
      <c r="AC60" s="1" t="s">
        <v>283</v>
      </c>
      <c r="AD60" s="1">
        <v>1.3</v>
      </c>
      <c r="AE60" s="1" t="s">
        <v>76</v>
      </c>
      <c r="AF60" s="1" t="s">
        <v>77</v>
      </c>
    </row>
    <row r="61" spans="1:32" ht="18" customHeight="1">
      <c r="A61" s="1" t="s">
        <v>344</v>
      </c>
      <c r="B61" s="1" t="s">
        <v>345</v>
      </c>
      <c r="C61" s="4" t="s">
        <v>3411</v>
      </c>
      <c r="D61" s="4">
        <v>46113</v>
      </c>
      <c r="E61" s="4">
        <v>46116</v>
      </c>
      <c r="F61" s="1"/>
      <c r="G61" s="1" t="s">
        <v>244</v>
      </c>
      <c r="H61" s="1" t="s">
        <v>3327</v>
      </c>
      <c r="I61" s="1" t="s">
        <v>61</v>
      </c>
      <c r="J61" s="1" t="s">
        <v>112</v>
      </c>
      <c r="K61" s="1" t="s">
        <v>346</v>
      </c>
      <c r="L61" s="1" t="s">
        <v>246</v>
      </c>
      <c r="M61" s="1" t="s">
        <v>3412</v>
      </c>
      <c r="N61" s="1" t="s">
        <v>159</v>
      </c>
      <c r="O61" s="1">
        <v>75</v>
      </c>
      <c r="P61" s="1">
        <v>52005.75</v>
      </c>
      <c r="Q61" s="1">
        <v>1</v>
      </c>
      <c r="R61" s="7">
        <v>1.3299999999999999E-2</v>
      </c>
      <c r="S61" s="1">
        <v>8</v>
      </c>
      <c r="T61" s="1">
        <v>5</v>
      </c>
      <c r="U61" s="1">
        <v>3</v>
      </c>
      <c r="V61" s="1" t="s">
        <v>166</v>
      </c>
      <c r="W61" s="1" t="s">
        <v>40</v>
      </c>
      <c r="X61" s="1" t="s">
        <v>127</v>
      </c>
      <c r="Y61" s="1" t="s">
        <v>42</v>
      </c>
      <c r="Z61" s="1" t="s">
        <v>128</v>
      </c>
      <c r="AA61" s="1" t="s">
        <v>55</v>
      </c>
      <c r="AB61" s="1" t="s">
        <v>147</v>
      </c>
      <c r="AC61" s="1"/>
      <c r="AD61" s="1">
        <v>3.7</v>
      </c>
      <c r="AE61" s="1" t="s">
        <v>184</v>
      </c>
      <c r="AF61" s="1" t="s">
        <v>196</v>
      </c>
    </row>
    <row r="62" spans="1:32" ht="18" customHeight="1">
      <c r="A62" s="1" t="s">
        <v>347</v>
      </c>
      <c r="B62" s="1" t="s">
        <v>348</v>
      </c>
      <c r="C62" s="4">
        <v>46187</v>
      </c>
      <c r="D62" s="4">
        <v>46204</v>
      </c>
      <c r="E62" s="4">
        <v>46199</v>
      </c>
      <c r="F62" s="1" t="s">
        <v>100</v>
      </c>
      <c r="G62" s="1" t="s">
        <v>3343</v>
      </c>
      <c r="H62" s="1" t="s">
        <v>102</v>
      </c>
      <c r="I62" s="1" t="s">
        <v>70</v>
      </c>
      <c r="J62" s="1" t="s">
        <v>50</v>
      </c>
      <c r="K62" s="1" t="s">
        <v>349</v>
      </c>
      <c r="L62" s="1" t="s">
        <v>145</v>
      </c>
      <c r="M62" s="1">
        <v>947.08</v>
      </c>
      <c r="N62" s="1" t="s">
        <v>38</v>
      </c>
      <c r="O62" s="1">
        <v>1000</v>
      </c>
      <c r="P62" s="1">
        <v>0</v>
      </c>
      <c r="Q62" s="1">
        <v>0</v>
      </c>
      <c r="R62" s="7">
        <v>0</v>
      </c>
      <c r="S62" s="1">
        <v>12</v>
      </c>
      <c r="T62" s="1"/>
      <c r="U62" s="1"/>
      <c r="V62" s="1" t="s">
        <v>3352</v>
      </c>
      <c r="W62" s="1" t="s">
        <v>40</v>
      </c>
      <c r="X62" s="1" t="s">
        <v>146</v>
      </c>
      <c r="Y62" s="1" t="s">
        <v>3334</v>
      </c>
      <c r="Z62" s="1" t="s">
        <v>3330</v>
      </c>
      <c r="AA62" s="1" t="s">
        <v>3341</v>
      </c>
      <c r="AB62" s="1" t="s">
        <v>147</v>
      </c>
      <c r="AC62" s="1"/>
      <c r="AD62" s="1">
        <v>4.0999999999999996</v>
      </c>
      <c r="AE62" s="1" t="s">
        <v>115</v>
      </c>
      <c r="AF62" s="1" t="s">
        <v>130</v>
      </c>
    </row>
    <row r="63" spans="1:32" ht="18" customHeight="1">
      <c r="A63" s="1" t="s">
        <v>350</v>
      </c>
      <c r="B63" s="1" t="s">
        <v>351</v>
      </c>
      <c r="C63" s="4">
        <v>46135</v>
      </c>
      <c r="D63" s="4">
        <v>46144</v>
      </c>
      <c r="E63" s="4">
        <v>46158</v>
      </c>
      <c r="F63" s="1" t="s">
        <v>80</v>
      </c>
      <c r="G63" s="1" t="s">
        <v>3413</v>
      </c>
      <c r="H63" s="1" t="s">
        <v>3414</v>
      </c>
      <c r="I63" s="1" t="s">
        <v>120</v>
      </c>
      <c r="J63" s="1" t="s">
        <v>153</v>
      </c>
      <c r="K63" s="1" t="s">
        <v>352</v>
      </c>
      <c r="L63" s="1" t="s">
        <v>318</v>
      </c>
      <c r="M63" s="1">
        <v>515.38</v>
      </c>
      <c r="N63" s="1" t="s">
        <v>159</v>
      </c>
      <c r="O63" s="1">
        <v>500</v>
      </c>
      <c r="P63" s="1">
        <v>257690</v>
      </c>
      <c r="Q63" s="1">
        <v>7</v>
      </c>
      <c r="R63" s="7">
        <v>1.4E-2</v>
      </c>
      <c r="S63" s="1">
        <v>23</v>
      </c>
      <c r="T63" s="1">
        <v>9</v>
      </c>
      <c r="U63" s="1">
        <v>14</v>
      </c>
      <c r="V63" s="1" t="s">
        <v>205</v>
      </c>
      <c r="W63" s="1" t="s">
        <v>40</v>
      </c>
      <c r="X63" s="1" t="s">
        <v>146</v>
      </c>
      <c r="Y63" s="1" t="s">
        <v>42</v>
      </c>
      <c r="Z63" s="1"/>
      <c r="AA63" s="1" t="s">
        <v>136</v>
      </c>
      <c r="AB63" s="1" t="s">
        <v>95</v>
      </c>
      <c r="AC63" s="1"/>
      <c r="AD63" s="1">
        <v>1.6</v>
      </c>
      <c r="AE63" s="1" t="s">
        <v>115</v>
      </c>
      <c r="AF63" s="1" t="s">
        <v>148</v>
      </c>
    </row>
    <row r="64" spans="1:32" ht="18" customHeight="1">
      <c r="A64" s="1" t="s">
        <v>353</v>
      </c>
      <c r="B64" s="1" t="s">
        <v>354</v>
      </c>
      <c r="C64" s="4">
        <v>46089</v>
      </c>
      <c r="D64" s="4">
        <v>46101</v>
      </c>
      <c r="E64" s="4">
        <v>46093</v>
      </c>
      <c r="F64" s="1" t="s">
        <v>215</v>
      </c>
      <c r="G64" s="1" t="s">
        <v>3415</v>
      </c>
      <c r="H64" s="1" t="s">
        <v>3408</v>
      </c>
      <c r="I64" s="1" t="s">
        <v>120</v>
      </c>
      <c r="J64" s="1" t="s">
        <v>112</v>
      </c>
      <c r="K64" s="1" t="s">
        <v>355</v>
      </c>
      <c r="L64" s="1" t="s">
        <v>229</v>
      </c>
      <c r="M64" s="1">
        <v>611.26</v>
      </c>
      <c r="N64" s="1" t="s">
        <v>38</v>
      </c>
      <c r="O64" s="1">
        <v>2000</v>
      </c>
      <c r="P64" s="1">
        <v>1222520</v>
      </c>
      <c r="Q64" s="1">
        <v>64</v>
      </c>
      <c r="R64" s="7">
        <v>3.2000000000000001E-2</v>
      </c>
      <c r="S64" s="1">
        <v>4</v>
      </c>
      <c r="T64" s="1">
        <v>12</v>
      </c>
      <c r="U64" s="1">
        <v>-8</v>
      </c>
      <c r="V64" s="1" t="s">
        <v>270</v>
      </c>
      <c r="W64" s="1" t="s">
        <v>40</v>
      </c>
      <c r="X64" s="1" t="s">
        <v>3329</v>
      </c>
      <c r="Y64" s="1" t="s">
        <v>212</v>
      </c>
      <c r="Z64" s="1" t="s">
        <v>3333</v>
      </c>
      <c r="AA64" s="1" t="s">
        <v>174</v>
      </c>
      <c r="AB64" s="1" t="s">
        <v>95</v>
      </c>
      <c r="AC64" s="1"/>
      <c r="AD64" s="1">
        <v>2.2000000000000002</v>
      </c>
      <c r="AE64" s="1" t="s">
        <v>76</v>
      </c>
      <c r="AF64" s="1"/>
    </row>
    <row r="65" spans="1:32" ht="18" customHeight="1">
      <c r="A65" s="1" t="s">
        <v>356</v>
      </c>
      <c r="B65" s="1" t="s">
        <v>357</v>
      </c>
      <c r="C65" s="4">
        <v>46085</v>
      </c>
      <c r="D65" s="4">
        <v>46106</v>
      </c>
      <c r="E65" s="4" t="s">
        <v>3411</v>
      </c>
      <c r="F65" s="1" t="s">
        <v>118</v>
      </c>
      <c r="G65" s="1" t="s">
        <v>119</v>
      </c>
      <c r="H65" s="1" t="s">
        <v>3407</v>
      </c>
      <c r="I65" s="1" t="s">
        <v>34</v>
      </c>
      <c r="J65" s="1" t="s">
        <v>163</v>
      </c>
      <c r="K65" s="1" t="s">
        <v>358</v>
      </c>
      <c r="L65" s="1" t="s">
        <v>269</v>
      </c>
      <c r="M65" s="1">
        <v>2046.47</v>
      </c>
      <c r="N65" s="1" t="s">
        <v>53</v>
      </c>
      <c r="O65" s="1">
        <v>750</v>
      </c>
      <c r="P65" s="1">
        <v>1534852.5</v>
      </c>
      <c r="Q65" s="1">
        <v>24</v>
      </c>
      <c r="R65" s="7">
        <v>3.2000000000000001E-2</v>
      </c>
      <c r="S65" s="1">
        <v>23</v>
      </c>
      <c r="T65" s="1">
        <v>21</v>
      </c>
      <c r="U65" s="1">
        <v>2</v>
      </c>
      <c r="V65" s="1" t="s">
        <v>166</v>
      </c>
      <c r="W65" s="1" t="s">
        <v>40</v>
      </c>
      <c r="X65" s="1" t="s">
        <v>127</v>
      </c>
      <c r="Y65" s="1" t="s">
        <v>212</v>
      </c>
      <c r="Z65" s="1" t="s">
        <v>173</v>
      </c>
      <c r="AA65" s="1" t="s">
        <v>206</v>
      </c>
      <c r="AB65" s="1" t="s">
        <v>56</v>
      </c>
      <c r="AC65" s="1"/>
      <c r="AD65" s="1">
        <v>3.8</v>
      </c>
      <c r="AE65" s="1" t="s">
        <v>57</v>
      </c>
      <c r="AF65" s="1" t="s">
        <v>148</v>
      </c>
    </row>
    <row r="66" spans="1:32" ht="18" customHeight="1">
      <c r="A66" s="1" t="s">
        <v>359</v>
      </c>
      <c r="B66" s="1" t="s">
        <v>360</v>
      </c>
      <c r="C66" s="4" t="s">
        <v>3416</v>
      </c>
      <c r="D66" s="4">
        <v>46105</v>
      </c>
      <c r="E66" s="4" t="s">
        <v>3417</v>
      </c>
      <c r="F66" s="1" t="s">
        <v>215</v>
      </c>
      <c r="G66" s="1" t="s">
        <v>216</v>
      </c>
      <c r="H66" s="1" t="s">
        <v>152</v>
      </c>
      <c r="I66" s="1" t="s">
        <v>83</v>
      </c>
      <c r="J66" s="1" t="s">
        <v>112</v>
      </c>
      <c r="K66" s="1" t="s">
        <v>361</v>
      </c>
      <c r="L66" s="1" t="s">
        <v>218</v>
      </c>
      <c r="M66" s="1">
        <v>454.03</v>
      </c>
      <c r="N66" s="1" t="s">
        <v>86</v>
      </c>
      <c r="O66" s="1">
        <v>1500</v>
      </c>
      <c r="P66" s="1">
        <v>681045</v>
      </c>
      <c r="Q66" s="1">
        <v>35</v>
      </c>
      <c r="R66" s="7">
        <v>2.3300000000000001E-2</v>
      </c>
      <c r="S66" s="1">
        <v>-1</v>
      </c>
      <c r="T66" s="1">
        <v>9</v>
      </c>
      <c r="U66" s="1">
        <v>-10</v>
      </c>
      <c r="V66" s="1" t="s">
        <v>362</v>
      </c>
      <c r="W66" s="1" t="s">
        <v>40</v>
      </c>
      <c r="X66" s="1" t="s">
        <v>3324</v>
      </c>
      <c r="Y66" s="1" t="s">
        <v>66</v>
      </c>
      <c r="Z66" s="1" t="s">
        <v>54</v>
      </c>
      <c r="AA66" s="1" t="s">
        <v>88</v>
      </c>
      <c r="AB66" s="1" t="s">
        <v>95</v>
      </c>
      <c r="AC66" s="1"/>
      <c r="AD66" s="1">
        <v>3.6</v>
      </c>
      <c r="AE66" s="1" t="s">
        <v>139</v>
      </c>
      <c r="AF66" s="1"/>
    </row>
    <row r="67" spans="1:32" ht="18" hidden="1" customHeight="1">
      <c r="A67" s="1" t="s">
        <v>363</v>
      </c>
      <c r="B67" s="1" t="s">
        <v>364</v>
      </c>
      <c r="C67" s="4">
        <v>46071</v>
      </c>
      <c r="D67" s="1"/>
      <c r="E67" s="1">
        <v>46081</v>
      </c>
      <c r="F67" s="1" t="s">
        <v>162</v>
      </c>
      <c r="G67" s="1" t="s">
        <v>3383</v>
      </c>
      <c r="H67" s="1" t="s">
        <v>3327</v>
      </c>
      <c r="I67" s="1" t="s">
        <v>92</v>
      </c>
      <c r="J67" s="1" t="s">
        <v>163</v>
      </c>
      <c r="K67" s="1" t="s">
        <v>365</v>
      </c>
      <c r="L67" s="1" t="s">
        <v>253</v>
      </c>
      <c r="M67" s="1">
        <v>3062.64</v>
      </c>
      <c r="N67" s="1" t="s">
        <v>159</v>
      </c>
      <c r="O67" s="1">
        <v>300</v>
      </c>
      <c r="P67" s="1">
        <v>918792</v>
      </c>
      <c r="Q67" s="1">
        <v>15</v>
      </c>
      <c r="R67" s="7">
        <v>0.05</v>
      </c>
      <c r="S67" s="1">
        <v>10</v>
      </c>
      <c r="T67" s="1">
        <v>6</v>
      </c>
      <c r="U67" s="1">
        <v>4</v>
      </c>
      <c r="V67" s="1" t="s">
        <v>39</v>
      </c>
      <c r="W67" s="1" t="s">
        <v>366</v>
      </c>
      <c r="X67" s="1" t="s">
        <v>105</v>
      </c>
      <c r="Y67" s="1" t="s">
        <v>106</v>
      </c>
      <c r="Z67" s="1" t="s">
        <v>3330</v>
      </c>
      <c r="AA67" s="1" t="s">
        <v>206</v>
      </c>
      <c r="AB67" s="1" t="s">
        <v>44</v>
      </c>
      <c r="AC67" s="1" t="s">
        <v>183</v>
      </c>
      <c r="AD67" s="1">
        <v>1.2</v>
      </c>
      <c r="AE67" s="1" t="s">
        <v>115</v>
      </c>
      <c r="AF67" s="1" t="s">
        <v>77</v>
      </c>
    </row>
    <row r="68" spans="1:32" ht="18" customHeight="1">
      <c r="A68" s="1" t="s">
        <v>367</v>
      </c>
      <c r="B68" s="1" t="s">
        <v>368</v>
      </c>
      <c r="C68" s="4">
        <v>46137</v>
      </c>
      <c r="D68" s="4">
        <v>46155</v>
      </c>
      <c r="E68" s="4" t="s">
        <v>3418</v>
      </c>
      <c r="F68" s="1" t="s">
        <v>256</v>
      </c>
      <c r="G68" s="1" t="s">
        <v>3419</v>
      </c>
      <c r="H68" s="1" t="s">
        <v>3420</v>
      </c>
      <c r="I68" s="1" t="s">
        <v>70</v>
      </c>
      <c r="J68" s="1" t="s">
        <v>153</v>
      </c>
      <c r="K68" s="1" t="s">
        <v>369</v>
      </c>
      <c r="L68" s="1" t="s">
        <v>155</v>
      </c>
      <c r="M68" s="1">
        <v>492.51</v>
      </c>
      <c r="N68" s="1" t="s">
        <v>53</v>
      </c>
      <c r="O68" s="1">
        <v>200</v>
      </c>
      <c r="P68" s="1"/>
      <c r="Q68" s="1">
        <v>8</v>
      </c>
      <c r="R68" s="7">
        <v>0.04</v>
      </c>
      <c r="S68" s="1">
        <v>14</v>
      </c>
      <c r="T68" s="1">
        <v>18</v>
      </c>
      <c r="U68" s="1">
        <v>-4</v>
      </c>
      <c r="V68" s="1" t="s">
        <v>87</v>
      </c>
      <c r="W68" s="1" t="s">
        <v>40</v>
      </c>
      <c r="X68" s="1" t="s">
        <v>146</v>
      </c>
      <c r="Y68" s="1" t="s">
        <v>3334</v>
      </c>
      <c r="Z68" s="1" t="s">
        <v>3333</v>
      </c>
      <c r="AA68" s="1" t="s">
        <v>206</v>
      </c>
      <c r="AB68" s="1" t="s">
        <v>56</v>
      </c>
      <c r="AC68" s="1"/>
      <c r="AD68" s="1"/>
      <c r="AE68" s="1" t="s">
        <v>76</v>
      </c>
      <c r="AF68" s="1" t="s">
        <v>130</v>
      </c>
    </row>
    <row r="69" spans="1:32" ht="18" hidden="1" customHeight="1">
      <c r="A69" s="1" t="s">
        <v>370</v>
      </c>
      <c r="B69" s="1" t="s">
        <v>371</v>
      </c>
      <c r="C69" s="4">
        <v>46090</v>
      </c>
      <c r="D69" s="1" t="s">
        <v>3421</v>
      </c>
      <c r="E69" s="1">
        <v>46118</v>
      </c>
      <c r="F69" s="1" t="s">
        <v>32</v>
      </c>
      <c r="G69" s="1" t="s">
        <v>3422</v>
      </c>
      <c r="H69" s="1" t="s">
        <v>3395</v>
      </c>
      <c r="I69" s="1" t="s">
        <v>120</v>
      </c>
      <c r="J69" s="1" t="s">
        <v>50</v>
      </c>
      <c r="K69" s="1" t="s">
        <v>372</v>
      </c>
      <c r="L69" s="1" t="s">
        <v>145</v>
      </c>
      <c r="M69" s="1">
        <v>1944.57</v>
      </c>
      <c r="N69" s="1" t="s">
        <v>65</v>
      </c>
      <c r="O69" s="1">
        <v>750</v>
      </c>
      <c r="P69" s="1">
        <v>1458427.5</v>
      </c>
      <c r="Q69" s="1">
        <v>62</v>
      </c>
      <c r="R69" s="7">
        <v>8.2699999999999996E-2</v>
      </c>
      <c r="S69" s="1">
        <v>28</v>
      </c>
      <c r="T69" s="1">
        <v>14</v>
      </c>
      <c r="U69" s="1">
        <v>14</v>
      </c>
      <c r="V69" s="1" t="s">
        <v>205</v>
      </c>
      <c r="W69" s="1" t="s">
        <v>3384</v>
      </c>
      <c r="X69" s="1" t="s">
        <v>127</v>
      </c>
      <c r="Y69" s="1" t="s">
        <v>190</v>
      </c>
      <c r="Z69" s="1" t="s">
        <v>54</v>
      </c>
      <c r="AA69" s="1" t="s">
        <v>88</v>
      </c>
      <c r="AB69" s="1"/>
      <c r="AC69" s="1" t="s">
        <v>373</v>
      </c>
      <c r="AD69" s="1">
        <v>3.2</v>
      </c>
      <c r="AE69" s="1" t="s">
        <v>57</v>
      </c>
      <c r="AF69" s="1" t="s">
        <v>185</v>
      </c>
    </row>
    <row r="70" spans="1:32" ht="18" customHeight="1">
      <c r="A70" s="1" t="s">
        <v>374</v>
      </c>
      <c r="B70" s="1" t="s">
        <v>375</v>
      </c>
      <c r="C70" s="4" t="s">
        <v>3406</v>
      </c>
      <c r="D70" s="4">
        <v>46167</v>
      </c>
      <c r="E70" s="4">
        <v>46173</v>
      </c>
      <c r="F70" s="1" t="s">
        <v>69</v>
      </c>
      <c r="G70" s="1" t="s">
        <v>3362</v>
      </c>
      <c r="H70" s="1" t="s">
        <v>3332</v>
      </c>
      <c r="I70" s="1" t="s">
        <v>92</v>
      </c>
      <c r="J70" s="1" t="s">
        <v>71</v>
      </c>
      <c r="K70" s="1" t="s">
        <v>376</v>
      </c>
      <c r="L70" s="1" t="s">
        <v>337</v>
      </c>
      <c r="M70" s="1">
        <v>654.76</v>
      </c>
      <c r="N70" s="1" t="s">
        <v>38</v>
      </c>
      <c r="O70" s="1">
        <v>75</v>
      </c>
      <c r="P70" s="1">
        <v>49107</v>
      </c>
      <c r="Q70" s="1">
        <v>0</v>
      </c>
      <c r="R70" s="7">
        <v>0</v>
      </c>
      <c r="S70" s="1">
        <v>11</v>
      </c>
      <c r="T70" s="1">
        <v>5</v>
      </c>
      <c r="U70" s="1">
        <v>6</v>
      </c>
      <c r="V70" s="1" t="s">
        <v>3328</v>
      </c>
      <c r="W70" s="1" t="s">
        <v>40</v>
      </c>
      <c r="X70" s="1" t="s">
        <v>105</v>
      </c>
      <c r="Y70" s="1" t="s">
        <v>66</v>
      </c>
      <c r="Z70" s="1" t="s">
        <v>54</v>
      </c>
      <c r="AA70" s="1" t="s">
        <v>88</v>
      </c>
      <c r="AB70" s="1" t="s">
        <v>95</v>
      </c>
      <c r="AC70" s="1"/>
      <c r="AD70" s="1">
        <v>2.4</v>
      </c>
      <c r="AE70" s="1" t="s">
        <v>139</v>
      </c>
      <c r="AF70" s="1" t="s">
        <v>46</v>
      </c>
    </row>
    <row r="71" spans="1:32" ht="18" hidden="1" customHeight="1">
      <c r="A71" s="1" t="s">
        <v>377</v>
      </c>
      <c r="B71" s="1" t="s">
        <v>378</v>
      </c>
      <c r="C71" s="4" t="s">
        <v>3423</v>
      </c>
      <c r="D71" s="1">
        <v>46135</v>
      </c>
      <c r="E71" s="1" t="s">
        <v>3397</v>
      </c>
      <c r="F71" s="1" t="s">
        <v>118</v>
      </c>
      <c r="G71" s="1" t="s">
        <v>119</v>
      </c>
      <c r="H71" s="1" t="s">
        <v>3369</v>
      </c>
      <c r="I71" s="1" t="s">
        <v>178</v>
      </c>
      <c r="J71" s="1" t="s">
        <v>163</v>
      </c>
      <c r="K71" s="1" t="s">
        <v>379</v>
      </c>
      <c r="L71" s="1" t="s">
        <v>269</v>
      </c>
      <c r="M71" s="1">
        <v>1111.1400000000001</v>
      </c>
      <c r="N71" s="1" t="s">
        <v>159</v>
      </c>
      <c r="O71" s="1">
        <v>150</v>
      </c>
      <c r="P71" s="1">
        <v>166671</v>
      </c>
      <c r="Q71" s="1">
        <v>8</v>
      </c>
      <c r="R71" s="7">
        <v>5.33E-2</v>
      </c>
      <c r="S71" s="1">
        <v>22</v>
      </c>
      <c r="T71" s="1">
        <v>19</v>
      </c>
      <c r="U71" s="1">
        <v>3</v>
      </c>
      <c r="V71" s="1" t="s">
        <v>166</v>
      </c>
      <c r="W71" s="1" t="s">
        <v>74</v>
      </c>
      <c r="X71" s="1" t="s">
        <v>41</v>
      </c>
      <c r="Y71" s="1" t="s">
        <v>66</v>
      </c>
      <c r="Z71" s="1" t="s">
        <v>3333</v>
      </c>
      <c r="AA71" s="1" t="s">
        <v>88</v>
      </c>
      <c r="AB71" s="1" t="s">
        <v>56</v>
      </c>
      <c r="AC71" s="1" t="s">
        <v>96</v>
      </c>
      <c r="AD71" s="1">
        <v>2.1</v>
      </c>
      <c r="AE71" s="1" t="s">
        <v>76</v>
      </c>
      <c r="AF71" s="1" t="s">
        <v>77</v>
      </c>
    </row>
    <row r="72" spans="1:32" ht="18" customHeight="1">
      <c r="A72" s="1" t="s">
        <v>380</v>
      </c>
      <c r="B72" s="1" t="s">
        <v>381</v>
      </c>
      <c r="C72" s="4">
        <v>46120</v>
      </c>
      <c r="D72" s="4">
        <v>46127</v>
      </c>
      <c r="E72" s="4">
        <v>46129</v>
      </c>
      <c r="F72" s="1" t="s">
        <v>162</v>
      </c>
      <c r="G72" s="1" t="s">
        <v>3383</v>
      </c>
      <c r="H72" s="1" t="s">
        <v>3354</v>
      </c>
      <c r="I72" s="1" t="s">
        <v>34</v>
      </c>
      <c r="J72" s="1" t="s">
        <v>62</v>
      </c>
      <c r="K72" s="1" t="s">
        <v>382</v>
      </c>
      <c r="L72" s="1" t="s">
        <v>94</v>
      </c>
      <c r="M72" s="1">
        <v>566.91</v>
      </c>
      <c r="N72" s="1" t="s">
        <v>104</v>
      </c>
      <c r="O72" s="1">
        <v>1000</v>
      </c>
      <c r="P72" s="1">
        <v>566910</v>
      </c>
      <c r="Q72" s="1">
        <v>13</v>
      </c>
      <c r="R72" s="7">
        <v>1.2999999999999999E-2</v>
      </c>
      <c r="S72" s="1">
        <v>9</v>
      </c>
      <c r="T72" s="1">
        <v>7</v>
      </c>
      <c r="U72" s="1">
        <v>2</v>
      </c>
      <c r="V72" s="1" t="s">
        <v>3323</v>
      </c>
      <c r="W72" s="1" t="s">
        <v>40</v>
      </c>
      <c r="X72" s="1" t="s">
        <v>105</v>
      </c>
      <c r="Y72" s="1" t="s">
        <v>66</v>
      </c>
      <c r="Z72" s="1" t="s">
        <v>3333</v>
      </c>
      <c r="AA72" s="1" t="s">
        <v>206</v>
      </c>
      <c r="AB72" s="1" t="s">
        <v>56</v>
      </c>
      <c r="AC72" s="1"/>
      <c r="AD72" s="1">
        <v>4.7</v>
      </c>
      <c r="AE72" s="1" t="s">
        <v>184</v>
      </c>
      <c r="AF72" s="1" t="s">
        <v>46</v>
      </c>
    </row>
    <row r="73" spans="1:32" ht="18" customHeight="1">
      <c r="A73" s="1" t="s">
        <v>383</v>
      </c>
      <c r="B73" s="1" t="s">
        <v>384</v>
      </c>
      <c r="C73" s="4" t="s">
        <v>3424</v>
      </c>
      <c r="D73" s="4">
        <v>46088</v>
      </c>
      <c r="E73" s="4">
        <v>46094</v>
      </c>
      <c r="F73" s="1"/>
      <c r="G73" s="1" t="s">
        <v>81</v>
      </c>
      <c r="H73" s="1" t="s">
        <v>82</v>
      </c>
      <c r="I73" s="1" t="s">
        <v>241</v>
      </c>
      <c r="J73" s="1" t="s">
        <v>153</v>
      </c>
      <c r="K73" s="1" t="s">
        <v>385</v>
      </c>
      <c r="L73" s="1" t="s">
        <v>295</v>
      </c>
      <c r="M73" s="1">
        <v>220.12</v>
      </c>
      <c r="N73" s="1" t="s">
        <v>65</v>
      </c>
      <c r="O73" s="1">
        <v>200</v>
      </c>
      <c r="P73" s="1">
        <v>0</v>
      </c>
      <c r="Q73" s="1">
        <v>0</v>
      </c>
      <c r="R73" s="7">
        <v>0</v>
      </c>
      <c r="S73" s="1">
        <v>20</v>
      </c>
      <c r="T73" s="1">
        <v>14</v>
      </c>
      <c r="U73" s="1">
        <v>6</v>
      </c>
      <c r="V73" s="1" t="s">
        <v>205</v>
      </c>
      <c r="W73" s="1" t="s">
        <v>40</v>
      </c>
      <c r="X73" s="1" t="s">
        <v>105</v>
      </c>
      <c r="Y73" s="1" t="s">
        <v>190</v>
      </c>
      <c r="Z73" s="1" t="s">
        <v>54</v>
      </c>
      <c r="AA73" s="1" t="s">
        <v>206</v>
      </c>
      <c r="AB73" s="1" t="s">
        <v>191</v>
      </c>
      <c r="AC73" s="1"/>
      <c r="AD73" s="1">
        <v>2.6</v>
      </c>
      <c r="AE73" s="1" t="s">
        <v>57</v>
      </c>
      <c r="AF73" s="1" t="s">
        <v>386</v>
      </c>
    </row>
    <row r="74" spans="1:32" ht="18" customHeight="1">
      <c r="A74" s="1" t="s">
        <v>387</v>
      </c>
      <c r="B74" s="1" t="s">
        <v>388</v>
      </c>
      <c r="C74" s="4">
        <v>46074</v>
      </c>
      <c r="D74" s="4">
        <v>46081</v>
      </c>
      <c r="E74" s="4">
        <v>46083</v>
      </c>
      <c r="F74" s="1" t="s">
        <v>215</v>
      </c>
      <c r="G74" s="1" t="s">
        <v>216</v>
      </c>
      <c r="H74" s="1" t="s">
        <v>3354</v>
      </c>
      <c r="I74" s="1" t="s">
        <v>92</v>
      </c>
      <c r="J74" s="1" t="s">
        <v>163</v>
      </c>
      <c r="K74" s="1" t="s">
        <v>389</v>
      </c>
      <c r="L74" s="1" t="s">
        <v>253</v>
      </c>
      <c r="M74" s="1">
        <v>926.37</v>
      </c>
      <c r="N74" s="1" t="s">
        <v>86</v>
      </c>
      <c r="O74" s="1">
        <v>750</v>
      </c>
      <c r="P74" s="1">
        <v>694777.5</v>
      </c>
      <c r="Q74" s="1">
        <v>11</v>
      </c>
      <c r="R74" s="7">
        <v>1.47E-2</v>
      </c>
      <c r="S74" s="1">
        <v>9</v>
      </c>
      <c r="T74" s="1">
        <v>7</v>
      </c>
      <c r="U74" s="1">
        <v>2</v>
      </c>
      <c r="V74" s="1" t="s">
        <v>166</v>
      </c>
      <c r="W74" s="1" t="s">
        <v>40</v>
      </c>
      <c r="X74" s="1" t="s">
        <v>105</v>
      </c>
      <c r="Y74" s="1" t="s">
        <v>66</v>
      </c>
      <c r="Z74" s="1"/>
      <c r="AA74" s="1" t="s">
        <v>55</v>
      </c>
      <c r="AB74" s="1" t="s">
        <v>191</v>
      </c>
      <c r="AC74" s="1"/>
      <c r="AD74" s="1">
        <v>3.8</v>
      </c>
      <c r="AE74" s="1" t="s">
        <v>57</v>
      </c>
      <c r="AF74" s="1" t="s">
        <v>46</v>
      </c>
    </row>
    <row r="75" spans="1:32" ht="18" hidden="1" customHeight="1">
      <c r="A75" s="1" t="s">
        <v>390</v>
      </c>
      <c r="B75" s="1" t="s">
        <v>391</v>
      </c>
      <c r="C75" s="4">
        <v>46189</v>
      </c>
      <c r="D75" s="1">
        <v>46200</v>
      </c>
      <c r="E75" s="1">
        <v>46208</v>
      </c>
      <c r="F75" s="1" t="s">
        <v>392</v>
      </c>
      <c r="G75" s="1" t="s">
        <v>91</v>
      </c>
      <c r="H75" s="1" t="s">
        <v>133</v>
      </c>
      <c r="I75" s="1" t="s">
        <v>34</v>
      </c>
      <c r="J75" s="1" t="s">
        <v>71</v>
      </c>
      <c r="K75" s="1" t="s">
        <v>393</v>
      </c>
      <c r="L75" s="1" t="s">
        <v>73</v>
      </c>
      <c r="M75" s="1">
        <v>50.87</v>
      </c>
      <c r="N75" s="1" t="s">
        <v>53</v>
      </c>
      <c r="O75" s="1">
        <v>200</v>
      </c>
      <c r="P75" s="1">
        <v>10174</v>
      </c>
      <c r="Q75" s="1">
        <v>14</v>
      </c>
      <c r="R75" s="7">
        <v>7.0000000000000007E-2</v>
      </c>
      <c r="S75" s="1">
        <v>19</v>
      </c>
      <c r="T75" s="1">
        <v>11</v>
      </c>
      <c r="U75" s="1">
        <v>8</v>
      </c>
      <c r="V75" s="1" t="s">
        <v>39</v>
      </c>
      <c r="W75" s="1" t="s">
        <v>3384</v>
      </c>
      <c r="X75" s="1" t="s">
        <v>105</v>
      </c>
      <c r="Y75" s="1" t="s">
        <v>106</v>
      </c>
      <c r="Z75" s="1" t="s">
        <v>3333</v>
      </c>
      <c r="AA75" s="1" t="s">
        <v>206</v>
      </c>
      <c r="AB75" s="1" t="s">
        <v>95</v>
      </c>
      <c r="AC75" s="1" t="s">
        <v>183</v>
      </c>
      <c r="AD75" s="1">
        <v>2</v>
      </c>
      <c r="AE75" s="1" t="s">
        <v>139</v>
      </c>
      <c r="AF75" s="1" t="s">
        <v>394</v>
      </c>
    </row>
    <row r="76" spans="1:32" ht="18" hidden="1" customHeight="1">
      <c r="A76" s="1" t="s">
        <v>395</v>
      </c>
      <c r="B76" s="1" t="s">
        <v>396</v>
      </c>
      <c r="C76" s="4">
        <v>46026</v>
      </c>
      <c r="D76" s="1">
        <v>46045</v>
      </c>
      <c r="E76" s="1">
        <v>46050</v>
      </c>
      <c r="F76" s="1" t="s">
        <v>90</v>
      </c>
      <c r="G76" s="1" t="s">
        <v>91</v>
      </c>
      <c r="H76" s="1" t="s">
        <v>3425</v>
      </c>
      <c r="I76" s="1" t="s">
        <v>61</v>
      </c>
      <c r="J76" s="1" t="s">
        <v>71</v>
      </c>
      <c r="K76" s="1" t="s">
        <v>397</v>
      </c>
      <c r="L76" s="1" t="s">
        <v>73</v>
      </c>
      <c r="M76" s="1">
        <v>762.04</v>
      </c>
      <c r="N76" s="1" t="s">
        <v>159</v>
      </c>
      <c r="O76" s="1">
        <v>75</v>
      </c>
      <c r="P76" s="1">
        <v>57153</v>
      </c>
      <c r="Q76" s="1">
        <v>4</v>
      </c>
      <c r="R76" s="7">
        <v>5.33E-2</v>
      </c>
      <c r="S76" s="1">
        <v>24</v>
      </c>
      <c r="T76" s="1">
        <v>19</v>
      </c>
      <c r="U76" s="1">
        <v>5</v>
      </c>
      <c r="V76" s="1" t="s">
        <v>205</v>
      </c>
      <c r="W76" s="1" t="s">
        <v>3384</v>
      </c>
      <c r="X76" s="1" t="s">
        <v>146</v>
      </c>
      <c r="Y76" s="1" t="s">
        <v>212</v>
      </c>
      <c r="Z76" s="1"/>
      <c r="AA76" s="1" t="s">
        <v>88</v>
      </c>
      <c r="AB76" s="1" t="s">
        <v>191</v>
      </c>
      <c r="AC76" s="1" t="s">
        <v>183</v>
      </c>
      <c r="AD76" s="1">
        <v>1.2</v>
      </c>
      <c r="AE76" s="1" t="s">
        <v>184</v>
      </c>
      <c r="AF76" s="1" t="s">
        <v>185</v>
      </c>
    </row>
    <row r="77" spans="1:32" ht="18" customHeight="1">
      <c r="A77" s="1" t="s">
        <v>398</v>
      </c>
      <c r="B77" s="1" t="s">
        <v>399</v>
      </c>
      <c r="C77" s="4">
        <v>46142</v>
      </c>
      <c r="D77" s="4">
        <v>46157</v>
      </c>
      <c r="E77" s="4">
        <v>46150</v>
      </c>
      <c r="F77" s="1" t="s">
        <v>80</v>
      </c>
      <c r="G77" s="1" t="s">
        <v>81</v>
      </c>
      <c r="H77" s="1" t="s">
        <v>3414</v>
      </c>
      <c r="I77" s="1" t="s">
        <v>70</v>
      </c>
      <c r="J77" s="1" t="s">
        <v>153</v>
      </c>
      <c r="K77" s="1" t="s">
        <v>400</v>
      </c>
      <c r="L77" s="1" t="s">
        <v>295</v>
      </c>
      <c r="M77" s="1">
        <v>174.82</v>
      </c>
      <c r="N77" s="1" t="s">
        <v>38</v>
      </c>
      <c r="O77" s="1">
        <v>300</v>
      </c>
      <c r="P77" s="1">
        <v>52446</v>
      </c>
      <c r="Q77" s="1">
        <v>1</v>
      </c>
      <c r="R77" s="7">
        <v>3.3E-3</v>
      </c>
      <c r="S77" s="1">
        <v>8</v>
      </c>
      <c r="T77" s="1">
        <v>15</v>
      </c>
      <c r="U77" s="1">
        <v>-7</v>
      </c>
      <c r="V77" s="1" t="s">
        <v>3352</v>
      </c>
      <c r="W77" s="1" t="s">
        <v>40</v>
      </c>
      <c r="X77" s="1" t="s">
        <v>127</v>
      </c>
      <c r="Y77" s="1" t="s">
        <v>66</v>
      </c>
      <c r="Z77" s="1" t="s">
        <v>3330</v>
      </c>
      <c r="AA77" s="1" t="s">
        <v>206</v>
      </c>
      <c r="AB77" s="1" t="s">
        <v>137</v>
      </c>
      <c r="AC77" s="1"/>
      <c r="AD77" s="1">
        <v>2.8</v>
      </c>
      <c r="AE77" s="1" t="s">
        <v>139</v>
      </c>
      <c r="AF77" s="1" t="s">
        <v>130</v>
      </c>
    </row>
    <row r="78" spans="1:32" ht="18" customHeight="1">
      <c r="A78" s="1" t="s">
        <v>401</v>
      </c>
      <c r="B78" s="1" t="s">
        <v>402</v>
      </c>
      <c r="C78" s="4">
        <v>46156</v>
      </c>
      <c r="D78" s="4">
        <v>46168</v>
      </c>
      <c r="E78" s="4">
        <v>46179</v>
      </c>
      <c r="F78" s="1" t="s">
        <v>235</v>
      </c>
      <c r="G78" s="1" t="s">
        <v>3426</v>
      </c>
      <c r="H78" s="1" t="s">
        <v>3371</v>
      </c>
      <c r="I78" s="1" t="s">
        <v>92</v>
      </c>
      <c r="J78" s="1" t="s">
        <v>71</v>
      </c>
      <c r="K78" s="1" t="s">
        <v>403</v>
      </c>
      <c r="L78" s="1" t="s">
        <v>73</v>
      </c>
      <c r="M78" s="1"/>
      <c r="N78" s="1" t="s">
        <v>65</v>
      </c>
      <c r="O78" s="1">
        <v>75</v>
      </c>
      <c r="P78" s="1" t="s">
        <v>3427</v>
      </c>
      <c r="Q78" s="1">
        <v>3</v>
      </c>
      <c r="R78" s="7">
        <v>0.04</v>
      </c>
      <c r="S78" s="1">
        <v>23</v>
      </c>
      <c r="T78" s="1">
        <v>12</v>
      </c>
      <c r="U78" s="1">
        <v>11</v>
      </c>
      <c r="V78" s="1" t="s">
        <v>3328</v>
      </c>
      <c r="W78" s="1" t="s">
        <v>404</v>
      </c>
      <c r="X78" s="1" t="s">
        <v>3329</v>
      </c>
      <c r="Y78" s="1" t="s">
        <v>66</v>
      </c>
      <c r="Z78" s="1" t="s">
        <v>3330</v>
      </c>
      <c r="AA78" s="1" t="s">
        <v>3341</v>
      </c>
      <c r="AB78" s="1" t="s">
        <v>191</v>
      </c>
      <c r="AC78" s="1"/>
      <c r="AD78" s="1">
        <v>3.1</v>
      </c>
      <c r="AE78" s="1" t="s">
        <v>45</v>
      </c>
      <c r="AF78" s="1" t="s">
        <v>46</v>
      </c>
    </row>
    <row r="79" spans="1:32" ht="18" hidden="1" customHeight="1">
      <c r="A79" s="1" t="s">
        <v>405</v>
      </c>
      <c r="B79" s="1" t="s">
        <v>406</v>
      </c>
      <c r="C79" s="4">
        <v>46150</v>
      </c>
      <c r="D79" s="1" t="s">
        <v>3428</v>
      </c>
      <c r="E79" s="1">
        <v>46163</v>
      </c>
      <c r="F79" s="1" t="s">
        <v>215</v>
      </c>
      <c r="G79" s="1" t="s">
        <v>216</v>
      </c>
      <c r="H79" s="1" t="s">
        <v>3327</v>
      </c>
      <c r="I79" s="1" t="s">
        <v>34</v>
      </c>
      <c r="J79" s="1" t="s">
        <v>112</v>
      </c>
      <c r="K79" s="1" t="s">
        <v>407</v>
      </c>
      <c r="L79" s="1" t="s">
        <v>229</v>
      </c>
      <c r="M79" s="1">
        <v>845.54</v>
      </c>
      <c r="N79" s="1" t="s">
        <v>86</v>
      </c>
      <c r="O79" s="1">
        <v>250</v>
      </c>
      <c r="P79" s="1">
        <v>211385</v>
      </c>
      <c r="Q79" s="1">
        <v>15</v>
      </c>
      <c r="R79" s="7">
        <v>0.06</v>
      </c>
      <c r="S79" s="1">
        <v>13</v>
      </c>
      <c r="T79" s="1">
        <v>9</v>
      </c>
      <c r="U79" s="1">
        <v>4</v>
      </c>
      <c r="V79" s="1" t="s">
        <v>3328</v>
      </c>
      <c r="W79" s="1" t="s">
        <v>366</v>
      </c>
      <c r="X79" s="1" t="s">
        <v>3324</v>
      </c>
      <c r="Y79" s="1" t="s">
        <v>212</v>
      </c>
      <c r="Z79" s="1" t="s">
        <v>128</v>
      </c>
      <c r="AA79" s="1" t="s">
        <v>136</v>
      </c>
      <c r="AB79" s="1" t="s">
        <v>191</v>
      </c>
      <c r="AC79" s="1" t="s">
        <v>183</v>
      </c>
      <c r="AD79" s="1">
        <v>2.2000000000000002</v>
      </c>
      <c r="AE79" s="1" t="s">
        <v>115</v>
      </c>
      <c r="AF79" s="1" t="s">
        <v>77</v>
      </c>
    </row>
    <row r="80" spans="1:32" ht="18" customHeight="1">
      <c r="A80" s="1" t="s">
        <v>408</v>
      </c>
      <c r="B80" s="1" t="s">
        <v>409</v>
      </c>
      <c r="C80" s="4">
        <v>46159</v>
      </c>
      <c r="D80" s="4">
        <v>46168</v>
      </c>
      <c r="E80" s="4">
        <v>46180</v>
      </c>
      <c r="F80" s="1" t="s">
        <v>100</v>
      </c>
      <c r="G80" s="1" t="s">
        <v>3429</v>
      </c>
      <c r="H80" s="1" t="s">
        <v>3322</v>
      </c>
      <c r="I80" s="1" t="s">
        <v>241</v>
      </c>
      <c r="J80" s="1" t="s">
        <v>50</v>
      </c>
      <c r="K80" s="1" t="s">
        <v>410</v>
      </c>
      <c r="L80" s="1" t="s">
        <v>126</v>
      </c>
      <c r="M80" s="1">
        <v>765.1</v>
      </c>
      <c r="N80" s="1" t="s">
        <v>65</v>
      </c>
      <c r="O80" s="1" t="s">
        <v>3430</v>
      </c>
      <c r="P80" s="1">
        <v>191275</v>
      </c>
      <c r="Q80" s="1">
        <v>4</v>
      </c>
      <c r="R80" s="7">
        <v>1.6E-2</v>
      </c>
      <c r="S80" s="1">
        <v>21</v>
      </c>
      <c r="T80" s="1">
        <v>9</v>
      </c>
      <c r="U80" s="1">
        <v>12</v>
      </c>
      <c r="V80" s="1" t="s">
        <v>205</v>
      </c>
      <c r="W80" s="1" t="s">
        <v>40</v>
      </c>
      <c r="X80" s="1" t="s">
        <v>3324</v>
      </c>
      <c r="Y80" s="1" t="s">
        <v>3334</v>
      </c>
      <c r="Z80" s="1" t="s">
        <v>54</v>
      </c>
      <c r="AA80" s="1" t="s">
        <v>174</v>
      </c>
      <c r="AB80" s="1" t="s">
        <v>137</v>
      </c>
      <c r="AC80" s="1"/>
      <c r="AD80" s="1" t="s">
        <v>3431</v>
      </c>
      <c r="AE80" s="1" t="s">
        <v>45</v>
      </c>
      <c r="AF80" s="1" t="s">
        <v>46</v>
      </c>
    </row>
    <row r="81" spans="1:32" ht="18" hidden="1" customHeight="1">
      <c r="A81" s="1" t="s">
        <v>411</v>
      </c>
      <c r="B81" s="1" t="s">
        <v>412</v>
      </c>
      <c r="C81" s="4">
        <v>46113</v>
      </c>
      <c r="D81" s="1">
        <v>46128</v>
      </c>
      <c r="E81" s="1">
        <v>46135</v>
      </c>
      <c r="F81" s="1" t="s">
        <v>256</v>
      </c>
      <c r="G81" s="1" t="s">
        <v>3432</v>
      </c>
      <c r="H81" s="1" t="s">
        <v>3410</v>
      </c>
      <c r="I81" s="1" t="s">
        <v>92</v>
      </c>
      <c r="J81" s="1" t="s">
        <v>35</v>
      </c>
      <c r="K81" s="1" t="s">
        <v>413</v>
      </c>
      <c r="L81" s="1" t="s">
        <v>85</v>
      </c>
      <c r="M81" s="1">
        <v>2573.38</v>
      </c>
      <c r="N81" s="1" t="s">
        <v>38</v>
      </c>
      <c r="O81" s="1">
        <v>1500</v>
      </c>
      <c r="P81" s="1">
        <v>3860070</v>
      </c>
      <c r="Q81" s="1">
        <v>63</v>
      </c>
      <c r="R81" s="7">
        <v>4.2000000000000003E-2</v>
      </c>
      <c r="S81" s="1">
        <v>22</v>
      </c>
      <c r="T81" s="1">
        <v>15</v>
      </c>
      <c r="U81" s="1">
        <v>7</v>
      </c>
      <c r="V81" s="1" t="s">
        <v>205</v>
      </c>
      <c r="W81" s="1" t="s">
        <v>366</v>
      </c>
      <c r="X81" s="1" t="s">
        <v>127</v>
      </c>
      <c r="Y81" s="1" t="s">
        <v>3334</v>
      </c>
      <c r="Z81" s="1" t="s">
        <v>128</v>
      </c>
      <c r="AA81" s="1" t="s">
        <v>206</v>
      </c>
      <c r="AB81" s="1" t="s">
        <v>95</v>
      </c>
      <c r="AC81" s="1" t="s">
        <v>75</v>
      </c>
      <c r="AD81" s="1">
        <v>2.7</v>
      </c>
      <c r="AE81" s="1" t="s">
        <v>108</v>
      </c>
      <c r="AF81" s="1" t="s">
        <v>185</v>
      </c>
    </row>
    <row r="82" spans="1:32" ht="18" hidden="1" customHeight="1">
      <c r="A82" s="1" t="s">
        <v>414</v>
      </c>
      <c r="B82" s="1" t="s">
        <v>415</v>
      </c>
      <c r="C82" s="4">
        <v>46077</v>
      </c>
      <c r="D82" s="1">
        <v>46091</v>
      </c>
      <c r="E82" s="1">
        <v>46097</v>
      </c>
      <c r="F82" s="1" t="s">
        <v>256</v>
      </c>
      <c r="G82" s="1" t="s">
        <v>3419</v>
      </c>
      <c r="H82" s="1" t="s">
        <v>3433</v>
      </c>
      <c r="I82" s="1" t="s">
        <v>92</v>
      </c>
      <c r="J82" s="1" t="s">
        <v>153</v>
      </c>
      <c r="K82" s="1" t="s">
        <v>416</v>
      </c>
      <c r="L82" s="1" t="s">
        <v>204</v>
      </c>
      <c r="M82" s="1">
        <v>378.31</v>
      </c>
      <c r="N82" s="1" t="s">
        <v>159</v>
      </c>
      <c r="O82" s="1">
        <v>100</v>
      </c>
      <c r="P82" s="1">
        <v>37831</v>
      </c>
      <c r="Q82" s="1">
        <v>5</v>
      </c>
      <c r="R82" s="7">
        <v>0.05</v>
      </c>
      <c r="S82" s="1">
        <v>20</v>
      </c>
      <c r="T82" s="1">
        <v>14</v>
      </c>
      <c r="U82" s="1">
        <v>6</v>
      </c>
      <c r="V82" s="1" t="s">
        <v>39</v>
      </c>
      <c r="W82" s="1" t="s">
        <v>366</v>
      </c>
      <c r="X82" s="1" t="s">
        <v>105</v>
      </c>
      <c r="Y82" s="1" t="s">
        <v>42</v>
      </c>
      <c r="Z82" s="1" t="s">
        <v>54</v>
      </c>
      <c r="AA82" s="1" t="s">
        <v>136</v>
      </c>
      <c r="AB82" s="1" t="s">
        <v>137</v>
      </c>
      <c r="AC82" s="1" t="s">
        <v>183</v>
      </c>
      <c r="AD82" s="1">
        <v>2.7</v>
      </c>
      <c r="AE82" s="1" t="s">
        <v>57</v>
      </c>
      <c r="AF82" s="1" t="s">
        <v>77</v>
      </c>
    </row>
    <row r="83" spans="1:32" ht="18" hidden="1" customHeight="1">
      <c r="A83" s="1" t="s">
        <v>417</v>
      </c>
      <c r="B83" s="1" t="s">
        <v>418</v>
      </c>
      <c r="C83" s="4">
        <v>46058</v>
      </c>
      <c r="D83" s="1">
        <v>46082</v>
      </c>
      <c r="E83" s="1" t="s">
        <v>3434</v>
      </c>
      <c r="F83" s="1" t="s">
        <v>235</v>
      </c>
      <c r="G83" s="1" t="s">
        <v>236</v>
      </c>
      <c r="H83" s="1" t="s">
        <v>3371</v>
      </c>
      <c r="I83" s="1" t="s">
        <v>178</v>
      </c>
      <c r="J83" s="1" t="s">
        <v>71</v>
      </c>
      <c r="K83" s="1" t="s">
        <v>419</v>
      </c>
      <c r="L83" s="1" t="s">
        <v>238</v>
      </c>
      <c r="M83" s="1">
        <v>590.41999999999996</v>
      </c>
      <c r="N83" s="1" t="s">
        <v>86</v>
      </c>
      <c r="O83" s="1">
        <v>150</v>
      </c>
      <c r="P83" s="1">
        <v>88563</v>
      </c>
      <c r="Q83" s="1">
        <v>10</v>
      </c>
      <c r="R83" s="7">
        <v>6.6699999999999995E-2</v>
      </c>
      <c r="S83" s="1">
        <v>20</v>
      </c>
      <c r="T83" s="1">
        <v>24</v>
      </c>
      <c r="U83" s="1">
        <v>-4</v>
      </c>
      <c r="V83" s="1" t="s">
        <v>3352</v>
      </c>
      <c r="W83" s="1" t="s">
        <v>420</v>
      </c>
      <c r="X83" s="1" t="s">
        <v>127</v>
      </c>
      <c r="Y83" s="1" t="s">
        <v>106</v>
      </c>
      <c r="Z83" s="1" t="s">
        <v>54</v>
      </c>
      <c r="AA83" s="1" t="s">
        <v>88</v>
      </c>
      <c r="AB83" s="1" t="s">
        <v>44</v>
      </c>
      <c r="AC83" s="1" t="s">
        <v>75</v>
      </c>
      <c r="AD83" s="1">
        <v>1.6</v>
      </c>
      <c r="AE83" s="1" t="s">
        <v>184</v>
      </c>
      <c r="AF83" s="1" t="s">
        <v>284</v>
      </c>
    </row>
    <row r="84" spans="1:32" ht="18" customHeight="1">
      <c r="A84" s="1" t="s">
        <v>421</v>
      </c>
      <c r="B84" s="1" t="s">
        <v>422</v>
      </c>
      <c r="C84" s="4">
        <v>46072</v>
      </c>
      <c r="D84" s="4">
        <v>46081</v>
      </c>
      <c r="E84" s="4">
        <v>46083</v>
      </c>
      <c r="F84" s="1" t="s">
        <v>69</v>
      </c>
      <c r="G84" s="1" t="s">
        <v>3331</v>
      </c>
      <c r="H84" s="1" t="s">
        <v>3338</v>
      </c>
      <c r="I84" s="1" t="s">
        <v>241</v>
      </c>
      <c r="J84" s="1" t="s">
        <v>112</v>
      </c>
      <c r="K84" s="1" t="s">
        <v>423</v>
      </c>
      <c r="L84" s="1" t="s">
        <v>218</v>
      </c>
      <c r="M84" s="1">
        <v>418.25</v>
      </c>
      <c r="N84" s="1" t="s">
        <v>53</v>
      </c>
      <c r="O84" s="1">
        <v>1500</v>
      </c>
      <c r="P84" s="1">
        <v>627375</v>
      </c>
      <c r="Q84" s="1">
        <v>15</v>
      </c>
      <c r="R84" s="7">
        <v>0.01</v>
      </c>
      <c r="S84" s="1">
        <v>11</v>
      </c>
      <c r="T84" s="1">
        <v>9</v>
      </c>
      <c r="U84" s="1">
        <v>2</v>
      </c>
      <c r="V84" s="1" t="s">
        <v>166</v>
      </c>
      <c r="W84" s="1" t="s">
        <v>40</v>
      </c>
      <c r="X84" s="1" t="s">
        <v>105</v>
      </c>
      <c r="Y84" s="1"/>
      <c r="Z84" s="1" t="s">
        <v>54</v>
      </c>
      <c r="AA84" s="1" t="s">
        <v>206</v>
      </c>
      <c r="AB84" s="1" t="s">
        <v>147</v>
      </c>
      <c r="AC84" s="1"/>
      <c r="AD84" s="1">
        <v>5</v>
      </c>
      <c r="AE84" s="1" t="s">
        <v>115</v>
      </c>
      <c r="AF84" s="1" t="s">
        <v>46</v>
      </c>
    </row>
    <row r="85" spans="1:32" ht="18" customHeight="1">
      <c r="A85" s="1" t="s">
        <v>424</v>
      </c>
      <c r="B85" s="1" t="s">
        <v>425</v>
      </c>
      <c r="C85" s="4" t="s">
        <v>3435</v>
      </c>
      <c r="D85" s="4">
        <v>46209</v>
      </c>
      <c r="E85" s="4">
        <v>46222</v>
      </c>
      <c r="F85" s="1" t="s">
        <v>48</v>
      </c>
      <c r="G85" s="1" t="s">
        <v>232</v>
      </c>
      <c r="H85" s="1" t="s">
        <v>102</v>
      </c>
      <c r="I85" s="1" t="s">
        <v>34</v>
      </c>
      <c r="J85" s="1" t="s">
        <v>50</v>
      </c>
      <c r="K85" s="1" t="s">
        <v>426</v>
      </c>
      <c r="L85" s="1" t="s">
        <v>145</v>
      </c>
      <c r="M85" s="1">
        <v>2522.6799999999998</v>
      </c>
      <c r="N85" s="1" t="s">
        <v>65</v>
      </c>
      <c r="O85" s="1">
        <v>2000</v>
      </c>
      <c r="P85" s="1">
        <v>5045360</v>
      </c>
      <c r="Q85" s="1">
        <v>78</v>
      </c>
      <c r="R85" s="7">
        <v>3.9E-2</v>
      </c>
      <c r="S85" s="1">
        <v>28</v>
      </c>
      <c r="T85" s="1">
        <v>15</v>
      </c>
      <c r="U85" s="1">
        <v>13</v>
      </c>
      <c r="V85" s="1" t="s">
        <v>205</v>
      </c>
      <c r="W85" s="1" t="s">
        <v>40</v>
      </c>
      <c r="X85" s="1" t="s">
        <v>105</v>
      </c>
      <c r="Y85" s="1"/>
      <c r="Z85" s="1" t="s">
        <v>54</v>
      </c>
      <c r="AA85" s="1" t="s">
        <v>129</v>
      </c>
      <c r="AB85" s="1" t="s">
        <v>147</v>
      </c>
      <c r="AC85" s="1"/>
      <c r="AD85" s="1">
        <v>2.1</v>
      </c>
      <c r="AE85" s="1" t="s">
        <v>139</v>
      </c>
      <c r="AF85" s="1" t="s">
        <v>46</v>
      </c>
    </row>
    <row r="86" spans="1:32" ht="18" customHeight="1">
      <c r="A86" s="1" t="s">
        <v>427</v>
      </c>
      <c r="B86" s="1" t="s">
        <v>428</v>
      </c>
      <c r="C86" s="4">
        <v>46162</v>
      </c>
      <c r="D86" s="4" t="s">
        <v>3436</v>
      </c>
      <c r="E86" s="4">
        <v>46174</v>
      </c>
      <c r="F86" s="1" t="s">
        <v>215</v>
      </c>
      <c r="G86" s="1" t="s">
        <v>216</v>
      </c>
      <c r="H86" s="1" t="s">
        <v>3408</v>
      </c>
      <c r="I86" s="1" t="s">
        <v>49</v>
      </c>
      <c r="J86" s="1" t="s">
        <v>112</v>
      </c>
      <c r="K86" s="1" t="s">
        <v>429</v>
      </c>
      <c r="L86" s="1" t="s">
        <v>246</v>
      </c>
      <c r="M86" s="1">
        <v>66.13</v>
      </c>
      <c r="N86" s="1" t="s">
        <v>86</v>
      </c>
      <c r="O86" s="1">
        <v>100</v>
      </c>
      <c r="P86" s="1">
        <v>6613</v>
      </c>
      <c r="Q86" s="1">
        <v>4</v>
      </c>
      <c r="R86" s="7">
        <v>0.04</v>
      </c>
      <c r="S86" s="1">
        <v>12</v>
      </c>
      <c r="T86" s="1">
        <v>11</v>
      </c>
      <c r="U86" s="1">
        <v>1</v>
      </c>
      <c r="V86" s="1" t="s">
        <v>166</v>
      </c>
      <c r="W86" s="1" t="s">
        <v>40</v>
      </c>
      <c r="X86" s="1" t="s">
        <v>3329</v>
      </c>
      <c r="Y86" s="1"/>
      <c r="Z86" s="1" t="s">
        <v>128</v>
      </c>
      <c r="AA86" s="1" t="s">
        <v>55</v>
      </c>
      <c r="AB86" s="1" t="s">
        <v>56</v>
      </c>
      <c r="AC86" s="1"/>
      <c r="AD86" s="1">
        <v>4.5999999999999996</v>
      </c>
      <c r="AE86" s="1" t="s">
        <v>184</v>
      </c>
      <c r="AF86" s="1" t="s">
        <v>46</v>
      </c>
    </row>
    <row r="87" spans="1:32" ht="18" customHeight="1">
      <c r="A87" s="1" t="s">
        <v>430</v>
      </c>
      <c r="B87" s="1" t="s">
        <v>431</v>
      </c>
      <c r="C87" s="4">
        <v>46075</v>
      </c>
      <c r="D87" s="4">
        <v>46094</v>
      </c>
      <c r="E87" s="4">
        <v>46090</v>
      </c>
      <c r="F87" s="1" t="s">
        <v>235</v>
      </c>
      <c r="G87" s="1" t="s">
        <v>236</v>
      </c>
      <c r="H87" s="1" t="s">
        <v>3371</v>
      </c>
      <c r="I87" s="1" t="s">
        <v>61</v>
      </c>
      <c r="J87" s="1" t="s">
        <v>153</v>
      </c>
      <c r="K87" s="1" t="s">
        <v>432</v>
      </c>
      <c r="L87" s="1" t="s">
        <v>155</v>
      </c>
      <c r="M87" s="1">
        <v>549.09</v>
      </c>
      <c r="N87" s="1" t="s">
        <v>159</v>
      </c>
      <c r="O87" s="1">
        <v>75</v>
      </c>
      <c r="P87" s="1"/>
      <c r="Q87" s="1">
        <v>1</v>
      </c>
      <c r="R87" s="7">
        <v>1.3299999999999999E-2</v>
      </c>
      <c r="S87" s="1">
        <v>15</v>
      </c>
      <c r="T87" s="1">
        <v>19</v>
      </c>
      <c r="U87" s="1">
        <v>-4</v>
      </c>
      <c r="V87" s="1" t="s">
        <v>3337</v>
      </c>
      <c r="W87" s="1" t="s">
        <v>40</v>
      </c>
      <c r="X87" s="1"/>
      <c r="Y87" s="1" t="s">
        <v>66</v>
      </c>
      <c r="Z87" s="1" t="s">
        <v>107</v>
      </c>
      <c r="AA87" s="1" t="s">
        <v>129</v>
      </c>
      <c r="AB87" s="1"/>
      <c r="AC87" s="1"/>
      <c r="AD87" s="1">
        <v>3.1</v>
      </c>
      <c r="AE87" s="1" t="s">
        <v>184</v>
      </c>
      <c r="AF87" s="1" t="s">
        <v>130</v>
      </c>
    </row>
    <row r="88" spans="1:32" ht="18" customHeight="1">
      <c r="A88" s="1" t="s">
        <v>433</v>
      </c>
      <c r="B88" s="1" t="s">
        <v>434</v>
      </c>
      <c r="C88" s="4">
        <v>46058</v>
      </c>
      <c r="D88" s="4">
        <v>46064</v>
      </c>
      <c r="E88" s="4">
        <v>46065</v>
      </c>
      <c r="F88" s="1" t="s">
        <v>151</v>
      </c>
      <c r="G88" s="1" t="s">
        <v>244</v>
      </c>
      <c r="H88" s="1" t="s">
        <v>3327</v>
      </c>
      <c r="I88" s="1" t="s">
        <v>241</v>
      </c>
      <c r="J88" s="1" t="s">
        <v>112</v>
      </c>
      <c r="K88" s="1" t="s">
        <v>435</v>
      </c>
      <c r="L88" s="1" t="s">
        <v>218</v>
      </c>
      <c r="M88" s="1">
        <v>100.73</v>
      </c>
      <c r="N88" s="1" t="s">
        <v>86</v>
      </c>
      <c r="O88" s="1">
        <v>150</v>
      </c>
      <c r="P88" s="1" t="s">
        <v>3437</v>
      </c>
      <c r="Q88" s="1">
        <v>1</v>
      </c>
      <c r="R88" s="7">
        <v>6.7000000000000002E-3</v>
      </c>
      <c r="S88" s="1" t="s">
        <v>3438</v>
      </c>
      <c r="T88" s="1">
        <v>6</v>
      </c>
      <c r="U88" s="1">
        <v>1</v>
      </c>
      <c r="V88" s="1" t="s">
        <v>3323</v>
      </c>
      <c r="W88" s="1" t="s">
        <v>40</v>
      </c>
      <c r="X88" s="1" t="s">
        <v>3324</v>
      </c>
      <c r="Y88" s="1" t="s">
        <v>42</v>
      </c>
      <c r="Z88" s="1"/>
      <c r="AA88" s="1" t="s">
        <v>129</v>
      </c>
      <c r="AB88" s="1" t="s">
        <v>147</v>
      </c>
      <c r="AC88" s="1"/>
      <c r="AD88" s="1">
        <v>4.5</v>
      </c>
      <c r="AE88" s="1" t="s">
        <v>76</v>
      </c>
      <c r="AF88" s="1" t="s">
        <v>46</v>
      </c>
    </row>
    <row r="89" spans="1:32" ht="18" hidden="1" customHeight="1">
      <c r="A89" s="1" t="s">
        <v>436</v>
      </c>
      <c r="B89" s="1" t="s">
        <v>437</v>
      </c>
      <c r="C89" s="4">
        <v>46088</v>
      </c>
      <c r="D89" s="1">
        <v>46097</v>
      </c>
      <c r="E89" s="1">
        <v>46086</v>
      </c>
      <c r="F89" s="1" t="s">
        <v>209</v>
      </c>
      <c r="G89" s="1" t="s">
        <v>210</v>
      </c>
      <c r="H89" s="1" t="s">
        <v>3390</v>
      </c>
      <c r="I89" s="1" t="s">
        <v>120</v>
      </c>
      <c r="J89" s="1" t="s">
        <v>153</v>
      </c>
      <c r="K89" s="1" t="s">
        <v>438</v>
      </c>
      <c r="L89" s="1" t="s">
        <v>318</v>
      </c>
      <c r="M89" s="1">
        <v>669.06</v>
      </c>
      <c r="N89" s="1" t="s">
        <v>159</v>
      </c>
      <c r="O89" s="1">
        <v>150</v>
      </c>
      <c r="P89" s="1">
        <v>100359</v>
      </c>
      <c r="Q89" s="1">
        <v>12</v>
      </c>
      <c r="R89" s="7">
        <v>0.08</v>
      </c>
      <c r="S89" s="1">
        <v>-2</v>
      </c>
      <c r="T89" s="1">
        <v>9</v>
      </c>
      <c r="U89" s="1">
        <v>-11</v>
      </c>
      <c r="V89" s="1" t="s">
        <v>362</v>
      </c>
      <c r="W89" s="1" t="s">
        <v>74</v>
      </c>
      <c r="X89" s="1" t="s">
        <v>105</v>
      </c>
      <c r="Y89" s="1" t="s">
        <v>212</v>
      </c>
      <c r="Z89" s="1" t="s">
        <v>43</v>
      </c>
      <c r="AA89" s="1" t="s">
        <v>129</v>
      </c>
      <c r="AB89" s="1" t="s">
        <v>56</v>
      </c>
      <c r="AC89" s="1" t="s">
        <v>183</v>
      </c>
      <c r="AD89" s="1">
        <v>1.5</v>
      </c>
      <c r="AE89" s="1" t="s">
        <v>184</v>
      </c>
      <c r="AF89" s="1" t="s">
        <v>97</v>
      </c>
    </row>
    <row r="90" spans="1:32" ht="18" hidden="1" customHeight="1">
      <c r="A90" s="1" t="s">
        <v>439</v>
      </c>
      <c r="B90" s="1" t="s">
        <v>440</v>
      </c>
      <c r="C90" s="4">
        <v>46169</v>
      </c>
      <c r="D90" s="1">
        <v>46191</v>
      </c>
      <c r="E90" s="1" t="s">
        <v>3439</v>
      </c>
      <c r="F90" s="1" t="s">
        <v>90</v>
      </c>
      <c r="G90" s="1" t="s">
        <v>91</v>
      </c>
      <c r="H90" s="1" t="s">
        <v>133</v>
      </c>
      <c r="I90" s="1" t="s">
        <v>49</v>
      </c>
      <c r="J90" s="1" t="s">
        <v>50</v>
      </c>
      <c r="K90" s="1" t="s">
        <v>441</v>
      </c>
      <c r="L90" s="1" t="s">
        <v>189</v>
      </c>
      <c r="M90" s="1">
        <v>1217.06</v>
      </c>
      <c r="N90" s="1" t="s">
        <v>53</v>
      </c>
      <c r="O90" s="1">
        <v>100</v>
      </c>
      <c r="P90" s="1">
        <v>121706</v>
      </c>
      <c r="Q90" s="1">
        <v>8</v>
      </c>
      <c r="R90" s="7">
        <v>0.08</v>
      </c>
      <c r="S90" s="1">
        <v>16</v>
      </c>
      <c r="T90" s="1">
        <v>22</v>
      </c>
      <c r="U90" s="1">
        <v>-6</v>
      </c>
      <c r="V90" s="1" t="s">
        <v>3337</v>
      </c>
      <c r="W90" s="1" t="s">
        <v>420</v>
      </c>
      <c r="X90" s="1" t="s">
        <v>105</v>
      </c>
      <c r="Y90" s="1" t="s">
        <v>3334</v>
      </c>
      <c r="Z90" s="1" t="s">
        <v>128</v>
      </c>
      <c r="AA90" s="1" t="s">
        <v>206</v>
      </c>
      <c r="AB90" s="1" t="s">
        <v>95</v>
      </c>
      <c r="AC90" s="1" t="s">
        <v>283</v>
      </c>
      <c r="AD90" s="1">
        <v>1.2</v>
      </c>
      <c r="AE90" s="1" t="s">
        <v>184</v>
      </c>
      <c r="AF90" s="1" t="s">
        <v>97</v>
      </c>
    </row>
    <row r="91" spans="1:32" ht="18" customHeight="1">
      <c r="A91" s="1" t="s">
        <v>442</v>
      </c>
      <c r="B91" s="1" t="s">
        <v>443</v>
      </c>
      <c r="C91" s="4">
        <v>46132</v>
      </c>
      <c r="D91" s="4">
        <v>46149</v>
      </c>
      <c r="E91" s="4">
        <v>46162</v>
      </c>
      <c r="F91" s="1" t="s">
        <v>90</v>
      </c>
      <c r="G91" s="1" t="s">
        <v>3440</v>
      </c>
      <c r="H91" s="1"/>
      <c r="I91" s="1" t="s">
        <v>92</v>
      </c>
      <c r="J91" s="1" t="s">
        <v>71</v>
      </c>
      <c r="K91" s="1" t="s">
        <v>444</v>
      </c>
      <c r="L91" s="1" t="s">
        <v>337</v>
      </c>
      <c r="M91" s="1">
        <v>459.96</v>
      </c>
      <c r="N91" s="1" t="s">
        <v>38</v>
      </c>
      <c r="O91" s="1">
        <v>1000</v>
      </c>
      <c r="P91" s="1">
        <v>459960</v>
      </c>
      <c r="Q91" s="1">
        <v>26</v>
      </c>
      <c r="R91" s="7">
        <v>2.5999999999999999E-2</v>
      </c>
      <c r="S91" s="1">
        <v>30</v>
      </c>
      <c r="T91" s="1" t="s">
        <v>3441</v>
      </c>
      <c r="U91" s="1">
        <v>13</v>
      </c>
      <c r="V91" s="1" t="s">
        <v>39</v>
      </c>
      <c r="W91" s="1" t="s">
        <v>40</v>
      </c>
      <c r="X91" s="1" t="s">
        <v>41</v>
      </c>
      <c r="Y91" s="1" t="s">
        <v>190</v>
      </c>
      <c r="Z91" s="1" t="s">
        <v>173</v>
      </c>
      <c r="AA91" s="1" t="s">
        <v>55</v>
      </c>
      <c r="AB91" s="1" t="s">
        <v>95</v>
      </c>
      <c r="AC91" s="1"/>
      <c r="AD91" s="1">
        <v>1.7</v>
      </c>
      <c r="AE91" s="1" t="s">
        <v>139</v>
      </c>
      <c r="AF91" s="1" t="s">
        <v>46</v>
      </c>
    </row>
    <row r="92" spans="1:32" ht="18" customHeight="1">
      <c r="A92" s="1" t="s">
        <v>445</v>
      </c>
      <c r="B92" s="1" t="s">
        <v>446</v>
      </c>
      <c r="C92" s="4">
        <v>46029</v>
      </c>
      <c r="D92" s="4">
        <v>46036</v>
      </c>
      <c r="E92" s="4">
        <v>46046</v>
      </c>
      <c r="F92" s="1" t="s">
        <v>80</v>
      </c>
      <c r="G92" s="1" t="s">
        <v>3413</v>
      </c>
      <c r="H92" s="1" t="s">
        <v>3442</v>
      </c>
      <c r="I92" s="1" t="s">
        <v>70</v>
      </c>
      <c r="J92" s="1" t="s">
        <v>62</v>
      </c>
      <c r="K92" s="1" t="s">
        <v>447</v>
      </c>
      <c r="L92" s="1" t="s">
        <v>122</v>
      </c>
      <c r="M92" s="1">
        <v>384.61</v>
      </c>
      <c r="N92" s="1" t="s">
        <v>86</v>
      </c>
      <c r="O92" s="1">
        <v>200</v>
      </c>
      <c r="P92" s="1"/>
      <c r="Q92" s="1">
        <v>3</v>
      </c>
      <c r="R92" s="7">
        <v>1.4999999999999999E-2</v>
      </c>
      <c r="S92" s="1">
        <v>17</v>
      </c>
      <c r="T92" s="1">
        <v>7</v>
      </c>
      <c r="U92" s="1"/>
      <c r="V92" s="1" t="s">
        <v>3328</v>
      </c>
      <c r="W92" s="1" t="s">
        <v>40</v>
      </c>
      <c r="X92" s="1" t="s">
        <v>127</v>
      </c>
      <c r="Y92" s="1" t="s">
        <v>42</v>
      </c>
      <c r="Z92" s="1" t="s">
        <v>107</v>
      </c>
      <c r="AA92" s="1"/>
      <c r="AB92" s="1" t="s">
        <v>191</v>
      </c>
      <c r="AC92" s="1"/>
      <c r="AD92" s="1">
        <v>1.3</v>
      </c>
      <c r="AE92" s="1" t="s">
        <v>76</v>
      </c>
      <c r="AF92" s="1" t="s">
        <v>148</v>
      </c>
    </row>
    <row r="93" spans="1:32" ht="18" hidden="1" customHeight="1">
      <c r="A93" s="1" t="s">
        <v>448</v>
      </c>
      <c r="B93" s="1" t="s">
        <v>449</v>
      </c>
      <c r="C93" s="4" t="s">
        <v>3443</v>
      </c>
      <c r="D93" s="1">
        <v>46125</v>
      </c>
      <c r="E93" s="1">
        <v>46130</v>
      </c>
      <c r="F93" s="1" t="s">
        <v>90</v>
      </c>
      <c r="G93" s="1" t="s">
        <v>91</v>
      </c>
      <c r="H93" s="1" t="s">
        <v>133</v>
      </c>
      <c r="I93" s="1" t="s">
        <v>49</v>
      </c>
      <c r="J93" s="1" t="s">
        <v>71</v>
      </c>
      <c r="K93" s="1" t="s">
        <v>450</v>
      </c>
      <c r="L93" s="1" t="s">
        <v>73</v>
      </c>
      <c r="M93" s="1">
        <v>708.45</v>
      </c>
      <c r="N93" s="1" t="s">
        <v>65</v>
      </c>
      <c r="O93" s="1">
        <v>100</v>
      </c>
      <c r="P93" s="1">
        <v>70845</v>
      </c>
      <c r="Q93" s="1">
        <v>8</v>
      </c>
      <c r="R93" s="7">
        <v>0.08</v>
      </c>
      <c r="S93" s="1">
        <v>20</v>
      </c>
      <c r="T93" s="1">
        <v>15</v>
      </c>
      <c r="U93" s="1">
        <v>5</v>
      </c>
      <c r="V93" s="1" t="s">
        <v>39</v>
      </c>
      <c r="W93" s="1" t="s">
        <v>74</v>
      </c>
      <c r="X93" s="1" t="s">
        <v>146</v>
      </c>
      <c r="Y93" s="1" t="s">
        <v>106</v>
      </c>
      <c r="Z93" s="1" t="s">
        <v>3330</v>
      </c>
      <c r="AA93" s="1" t="s">
        <v>3341</v>
      </c>
      <c r="AB93" s="1" t="s">
        <v>95</v>
      </c>
      <c r="AC93" s="1" t="s">
        <v>373</v>
      </c>
      <c r="AD93" s="1">
        <v>1.9</v>
      </c>
      <c r="AE93" s="1" t="s">
        <v>184</v>
      </c>
      <c r="AF93" s="1" t="s">
        <v>185</v>
      </c>
    </row>
    <row r="94" spans="1:32" ht="18" customHeight="1">
      <c r="A94" s="1" t="s">
        <v>451</v>
      </c>
      <c r="B94" s="1" t="s">
        <v>452</v>
      </c>
      <c r="C94" s="4">
        <v>46169</v>
      </c>
      <c r="D94" s="4">
        <v>46184</v>
      </c>
      <c r="E94" s="4">
        <v>46191</v>
      </c>
      <c r="F94" s="1" t="s">
        <v>69</v>
      </c>
      <c r="G94" s="1" t="s">
        <v>3362</v>
      </c>
      <c r="H94" s="1" t="s">
        <v>194</v>
      </c>
      <c r="I94" s="1" t="s">
        <v>83</v>
      </c>
      <c r="J94" s="1" t="s">
        <v>50</v>
      </c>
      <c r="K94" s="1" t="s">
        <v>453</v>
      </c>
      <c r="L94" s="1" t="s">
        <v>145</v>
      </c>
      <c r="M94" s="1">
        <v>1304.82</v>
      </c>
      <c r="N94" s="1" t="s">
        <v>38</v>
      </c>
      <c r="O94" s="1">
        <v>1000</v>
      </c>
      <c r="P94" s="1">
        <v>1304820</v>
      </c>
      <c r="Q94" s="1">
        <v>12</v>
      </c>
      <c r="R94" s="7">
        <v>1.2E-2</v>
      </c>
      <c r="S94" s="1">
        <v>22</v>
      </c>
      <c r="T94" s="1">
        <v>15</v>
      </c>
      <c r="U94" s="1" t="s">
        <v>3380</v>
      </c>
      <c r="V94" s="1" t="s">
        <v>205</v>
      </c>
      <c r="W94" s="1" t="s">
        <v>40</v>
      </c>
      <c r="X94" s="1" t="s">
        <v>105</v>
      </c>
      <c r="Y94" s="1" t="s">
        <v>212</v>
      </c>
      <c r="Z94" s="1" t="s">
        <v>3330</v>
      </c>
      <c r="AA94" s="1" t="s">
        <v>55</v>
      </c>
      <c r="AB94" s="1" t="s">
        <v>95</v>
      </c>
      <c r="AC94" s="1"/>
      <c r="AD94" s="1">
        <v>3.1</v>
      </c>
      <c r="AE94" s="1" t="s">
        <v>115</v>
      </c>
      <c r="AF94" s="1" t="s">
        <v>46</v>
      </c>
    </row>
    <row r="95" spans="1:32" ht="18" hidden="1" customHeight="1">
      <c r="A95" s="1" t="s">
        <v>454</v>
      </c>
      <c r="B95" s="1" t="s">
        <v>455</v>
      </c>
      <c r="C95" s="4">
        <v>46157</v>
      </c>
      <c r="D95" s="1">
        <v>46171</v>
      </c>
      <c r="E95" s="1">
        <v>46179</v>
      </c>
      <c r="F95" s="1" t="s">
        <v>256</v>
      </c>
      <c r="G95" s="1" t="s">
        <v>257</v>
      </c>
      <c r="H95" s="1" t="s">
        <v>3420</v>
      </c>
      <c r="I95" s="1" t="s">
        <v>61</v>
      </c>
      <c r="J95" s="1" t="s">
        <v>71</v>
      </c>
      <c r="K95" s="1" t="s">
        <v>456</v>
      </c>
      <c r="L95" s="1" t="s">
        <v>73</v>
      </c>
      <c r="M95" s="1">
        <v>273.17</v>
      </c>
      <c r="N95" s="1" t="s">
        <v>86</v>
      </c>
      <c r="O95" s="1">
        <v>150</v>
      </c>
      <c r="P95" s="1">
        <v>40975.5</v>
      </c>
      <c r="Q95" s="1">
        <v>9</v>
      </c>
      <c r="R95" s="7">
        <v>0.06</v>
      </c>
      <c r="S95" s="1">
        <v>22</v>
      </c>
      <c r="T95" s="1">
        <v>14</v>
      </c>
      <c r="U95" s="1">
        <v>8</v>
      </c>
      <c r="V95" s="1" t="s">
        <v>205</v>
      </c>
      <c r="W95" s="1" t="s">
        <v>366</v>
      </c>
      <c r="X95" s="1" t="s">
        <v>3329</v>
      </c>
      <c r="Y95" s="1" t="s">
        <v>212</v>
      </c>
      <c r="Z95" s="1" t="s">
        <v>3330</v>
      </c>
      <c r="AA95" s="1" t="s">
        <v>206</v>
      </c>
      <c r="AB95" s="1" t="s">
        <v>95</v>
      </c>
      <c r="AC95" s="1" t="s">
        <v>75</v>
      </c>
      <c r="AD95" s="1">
        <v>3.3</v>
      </c>
      <c r="AE95" s="1" t="s">
        <v>76</v>
      </c>
      <c r="AF95" s="1" t="s">
        <v>77</v>
      </c>
    </row>
    <row r="96" spans="1:32" ht="18" customHeight="1">
      <c r="A96" s="1" t="s">
        <v>222</v>
      </c>
      <c r="B96" s="1" t="s">
        <v>457</v>
      </c>
      <c r="C96" s="4">
        <v>46093</v>
      </c>
      <c r="D96" s="4">
        <v>46097</v>
      </c>
      <c r="E96" s="4">
        <v>46109</v>
      </c>
      <c r="F96" s="1" t="s">
        <v>162</v>
      </c>
      <c r="G96" s="1" t="s">
        <v>3444</v>
      </c>
      <c r="H96" s="1" t="s">
        <v>3327</v>
      </c>
      <c r="I96" s="1" t="s">
        <v>49</v>
      </c>
      <c r="J96" s="1" t="s">
        <v>163</v>
      </c>
      <c r="K96" s="1" t="s">
        <v>458</v>
      </c>
      <c r="L96" s="1" t="s">
        <v>171</v>
      </c>
      <c r="M96" s="1">
        <v>2775.85</v>
      </c>
      <c r="N96" s="1" t="s">
        <v>38</v>
      </c>
      <c r="O96" s="1">
        <v>2000</v>
      </c>
      <c r="P96" s="1">
        <v>5551700</v>
      </c>
      <c r="Q96" s="1">
        <v>50</v>
      </c>
      <c r="R96" s="7">
        <v>2.5000000000000001E-2</v>
      </c>
      <c r="S96" s="1">
        <v>16</v>
      </c>
      <c r="T96" s="1">
        <v>4</v>
      </c>
      <c r="U96" s="1">
        <v>12</v>
      </c>
      <c r="V96" s="1" t="s">
        <v>205</v>
      </c>
      <c r="W96" s="1" t="s">
        <v>40</v>
      </c>
      <c r="X96" s="1" t="s">
        <v>146</v>
      </c>
      <c r="Y96" s="1" t="s">
        <v>106</v>
      </c>
      <c r="Z96" s="1" t="s">
        <v>107</v>
      </c>
      <c r="AA96" s="1" t="s">
        <v>136</v>
      </c>
      <c r="AB96" s="1"/>
      <c r="AC96" s="1"/>
      <c r="AD96" s="1">
        <v>3.1</v>
      </c>
      <c r="AE96" s="1" t="s">
        <v>57</v>
      </c>
      <c r="AF96" s="1" t="s">
        <v>148</v>
      </c>
    </row>
    <row r="97" spans="1:32" ht="18" customHeight="1">
      <c r="A97" s="1" t="s">
        <v>459</v>
      </c>
      <c r="B97" s="1" t="s">
        <v>460</v>
      </c>
      <c r="C97" s="4" t="s">
        <v>3445</v>
      </c>
      <c r="D97" s="4">
        <v>46222</v>
      </c>
      <c r="E97" s="4" t="s">
        <v>3446</v>
      </c>
      <c r="F97" s="1" t="s">
        <v>118</v>
      </c>
      <c r="G97" s="1" t="s">
        <v>119</v>
      </c>
      <c r="H97" s="1" t="s">
        <v>301</v>
      </c>
      <c r="I97" s="1" t="s">
        <v>61</v>
      </c>
      <c r="J97" s="1" t="s">
        <v>62</v>
      </c>
      <c r="K97" s="1" t="s">
        <v>461</v>
      </c>
      <c r="L97" s="1" t="s">
        <v>64</v>
      </c>
      <c r="M97" s="1">
        <v>835.05</v>
      </c>
      <c r="N97" s="1" t="s">
        <v>104</v>
      </c>
      <c r="O97" s="1">
        <v>500</v>
      </c>
      <c r="P97" s="1">
        <v>417525</v>
      </c>
      <c r="Q97" s="1">
        <v>12</v>
      </c>
      <c r="R97" s="7">
        <v>2.4E-2</v>
      </c>
      <c r="S97" s="1">
        <v>17</v>
      </c>
      <c r="T97" s="1">
        <v>19</v>
      </c>
      <c r="U97" s="1">
        <v>-2</v>
      </c>
      <c r="V97" s="1" t="s">
        <v>3337</v>
      </c>
      <c r="W97" s="1" t="s">
        <v>40</v>
      </c>
      <c r="X97" s="1" t="s">
        <v>127</v>
      </c>
      <c r="Y97" s="1" t="s">
        <v>106</v>
      </c>
      <c r="Z97" s="1"/>
      <c r="AA97" s="1" t="s">
        <v>55</v>
      </c>
      <c r="AB97" s="1"/>
      <c r="AC97" s="1"/>
      <c r="AD97" s="1">
        <v>3.2</v>
      </c>
      <c r="AE97" s="1" t="s">
        <v>45</v>
      </c>
      <c r="AF97" s="1" t="s">
        <v>130</v>
      </c>
    </row>
    <row r="98" spans="1:32" ht="18" customHeight="1">
      <c r="A98" s="1" t="s">
        <v>462</v>
      </c>
      <c r="B98" s="1" t="s">
        <v>463</v>
      </c>
      <c r="C98" s="4">
        <v>46082</v>
      </c>
      <c r="D98" s="4"/>
      <c r="E98" s="4">
        <v>46099</v>
      </c>
      <c r="F98" s="1" t="s">
        <v>32</v>
      </c>
      <c r="G98" s="1" t="s">
        <v>33</v>
      </c>
      <c r="H98" s="1" t="s">
        <v>3395</v>
      </c>
      <c r="I98" s="1" t="s">
        <v>241</v>
      </c>
      <c r="J98" s="1" t="s">
        <v>62</v>
      </c>
      <c r="K98" s="1" t="s">
        <v>242</v>
      </c>
      <c r="L98" s="1" t="s">
        <v>64</v>
      </c>
      <c r="M98" s="1">
        <v>613.12</v>
      </c>
      <c r="N98" s="1" t="s">
        <v>159</v>
      </c>
      <c r="O98" s="1"/>
      <c r="P98" s="1">
        <v>613120</v>
      </c>
      <c r="Q98" s="1">
        <v>33</v>
      </c>
      <c r="R98" s="7">
        <v>3.3000000000000002E-2</v>
      </c>
      <c r="S98" s="1">
        <v>17</v>
      </c>
      <c r="T98" s="1">
        <v>25</v>
      </c>
      <c r="U98" s="1">
        <v>-8</v>
      </c>
      <c r="V98" s="1" t="s">
        <v>3337</v>
      </c>
      <c r="W98" s="1" t="s">
        <v>40</v>
      </c>
      <c r="X98" s="1" t="s">
        <v>127</v>
      </c>
      <c r="Y98" s="1" t="s">
        <v>42</v>
      </c>
      <c r="Z98" s="1" t="s">
        <v>173</v>
      </c>
      <c r="AA98" s="1" t="s">
        <v>3341</v>
      </c>
      <c r="AB98" s="1" t="s">
        <v>137</v>
      </c>
      <c r="AC98" s="1"/>
      <c r="AD98" s="1">
        <v>4.5</v>
      </c>
      <c r="AE98" s="1" t="s">
        <v>108</v>
      </c>
      <c r="AF98" s="1" t="s">
        <v>130</v>
      </c>
    </row>
    <row r="99" spans="1:32" ht="18" customHeight="1">
      <c r="A99" s="1" t="s">
        <v>464</v>
      </c>
      <c r="B99" s="1" t="s">
        <v>465</v>
      </c>
      <c r="C99" s="4" t="s">
        <v>3447</v>
      </c>
      <c r="D99" s="4">
        <v>46137</v>
      </c>
      <c r="E99" s="4">
        <v>46140</v>
      </c>
      <c r="F99" s="1" t="s">
        <v>60</v>
      </c>
      <c r="G99" s="1" t="s">
        <v>466</v>
      </c>
      <c r="H99" s="1" t="s">
        <v>3408</v>
      </c>
      <c r="I99" s="1" t="s">
        <v>92</v>
      </c>
      <c r="J99" s="1" t="s">
        <v>112</v>
      </c>
      <c r="K99" s="1" t="s">
        <v>467</v>
      </c>
      <c r="L99" s="1" t="s">
        <v>246</v>
      </c>
      <c r="M99" s="1">
        <v>577.04</v>
      </c>
      <c r="N99" s="1" t="s">
        <v>65</v>
      </c>
      <c r="O99" s="1"/>
      <c r="P99" s="1">
        <v>0</v>
      </c>
      <c r="Q99" s="1">
        <v>30</v>
      </c>
      <c r="R99" s="7">
        <v>0.04</v>
      </c>
      <c r="S99" s="1">
        <v>10</v>
      </c>
      <c r="T99" s="1">
        <v>7</v>
      </c>
      <c r="U99" s="1">
        <v>3</v>
      </c>
      <c r="V99" s="1" t="s">
        <v>166</v>
      </c>
      <c r="W99" s="1" t="s">
        <v>40</v>
      </c>
      <c r="X99" s="1" t="s">
        <v>105</v>
      </c>
      <c r="Y99" s="1" t="s">
        <v>212</v>
      </c>
      <c r="Z99" s="1"/>
      <c r="AA99" s="1" t="s">
        <v>88</v>
      </c>
      <c r="AB99" s="1" t="s">
        <v>95</v>
      </c>
      <c r="AC99" s="1"/>
      <c r="AD99" s="1">
        <v>2.5</v>
      </c>
      <c r="AE99" s="1" t="s">
        <v>139</v>
      </c>
      <c r="AF99" s="1" t="s">
        <v>46</v>
      </c>
    </row>
    <row r="100" spans="1:32" ht="18" customHeight="1">
      <c r="A100" s="1" t="s">
        <v>468</v>
      </c>
      <c r="B100" s="1" t="s">
        <v>469</v>
      </c>
      <c r="C100" s="4">
        <v>46091</v>
      </c>
      <c r="D100" s="4" t="s">
        <v>3400</v>
      </c>
      <c r="E100" s="4">
        <v>46102</v>
      </c>
      <c r="F100" s="1" t="s">
        <v>80</v>
      </c>
      <c r="G100" s="1" t="s">
        <v>81</v>
      </c>
      <c r="H100" s="1" t="s">
        <v>82</v>
      </c>
      <c r="I100" s="1" t="s">
        <v>241</v>
      </c>
      <c r="J100" s="1" t="s">
        <v>35</v>
      </c>
      <c r="K100" s="1" t="s">
        <v>470</v>
      </c>
      <c r="L100" s="1" t="s">
        <v>200</v>
      </c>
      <c r="M100" s="1" t="s">
        <v>3448</v>
      </c>
      <c r="N100" s="1" t="s">
        <v>38</v>
      </c>
      <c r="O100" s="1">
        <v>300</v>
      </c>
      <c r="P100" s="1">
        <v>111345</v>
      </c>
      <c r="Q100" s="1">
        <v>9</v>
      </c>
      <c r="R100" s="7">
        <v>0.03</v>
      </c>
      <c r="S100" s="1">
        <v>11</v>
      </c>
      <c r="T100" s="1">
        <v>13</v>
      </c>
      <c r="U100" s="1">
        <v>-2</v>
      </c>
      <c r="V100" s="1" t="s">
        <v>3337</v>
      </c>
      <c r="W100" s="1" t="s">
        <v>40</v>
      </c>
      <c r="X100" s="1" t="s">
        <v>105</v>
      </c>
      <c r="Y100" s="1" t="s">
        <v>190</v>
      </c>
      <c r="Z100" s="1"/>
      <c r="AA100" s="1"/>
      <c r="AB100" s="1" t="s">
        <v>147</v>
      </c>
      <c r="AC100" s="1"/>
      <c r="AD100" s="1">
        <v>4.9000000000000004</v>
      </c>
      <c r="AE100" s="1" t="s">
        <v>115</v>
      </c>
      <c r="AF100" s="1"/>
    </row>
    <row r="101" spans="1:32" ht="18" customHeight="1">
      <c r="A101" s="1" t="s">
        <v>471</v>
      </c>
      <c r="B101" s="1" t="s">
        <v>472</v>
      </c>
      <c r="C101" s="4">
        <v>46156</v>
      </c>
      <c r="D101" s="4">
        <v>46180</v>
      </c>
      <c r="E101" s="4">
        <v>46178</v>
      </c>
      <c r="F101" s="1" t="s">
        <v>118</v>
      </c>
      <c r="G101" s="1" t="s">
        <v>3393</v>
      </c>
      <c r="H101" s="1" t="s">
        <v>3407</v>
      </c>
      <c r="I101" s="1" t="s">
        <v>92</v>
      </c>
      <c r="J101" s="1" t="s">
        <v>62</v>
      </c>
      <c r="K101" s="1" t="s">
        <v>473</v>
      </c>
      <c r="L101" s="1" t="s">
        <v>94</v>
      </c>
      <c r="M101" s="1">
        <v>260.92</v>
      </c>
      <c r="N101" s="1" t="s">
        <v>38</v>
      </c>
      <c r="O101" s="1">
        <v>750</v>
      </c>
      <c r="P101" s="1"/>
      <c r="Q101" s="1">
        <v>24</v>
      </c>
      <c r="R101" s="7">
        <v>3.2000000000000001E-2</v>
      </c>
      <c r="S101" s="1">
        <v>-5</v>
      </c>
      <c r="T101" s="1">
        <v>24</v>
      </c>
      <c r="U101" s="1">
        <v>-2</v>
      </c>
      <c r="V101" s="1" t="s">
        <v>270</v>
      </c>
      <c r="W101" s="1" t="s">
        <v>40</v>
      </c>
      <c r="X101" s="1" t="s">
        <v>105</v>
      </c>
      <c r="Y101" s="1"/>
      <c r="Z101" s="1" t="s">
        <v>128</v>
      </c>
      <c r="AA101" s="1" t="s">
        <v>206</v>
      </c>
      <c r="AB101" s="1" t="s">
        <v>95</v>
      </c>
      <c r="AC101" s="1"/>
      <c r="AD101" s="1">
        <v>2.2999999999999998</v>
      </c>
      <c r="AE101" s="1" t="s">
        <v>108</v>
      </c>
      <c r="AF101" s="1"/>
    </row>
    <row r="102" spans="1:32" ht="18" customHeight="1">
      <c r="A102" s="1" t="s">
        <v>474</v>
      </c>
      <c r="B102" s="1" t="s">
        <v>475</v>
      </c>
      <c r="C102" s="4">
        <v>46130</v>
      </c>
      <c r="D102" s="4" t="s">
        <v>3449</v>
      </c>
      <c r="E102" s="4">
        <v>46153</v>
      </c>
      <c r="F102" s="1" t="s">
        <v>32</v>
      </c>
      <c r="G102" s="1" t="s">
        <v>3422</v>
      </c>
      <c r="H102" s="1" t="s">
        <v>177</v>
      </c>
      <c r="I102" s="1" t="s">
        <v>241</v>
      </c>
      <c r="J102" s="1" t="s">
        <v>35</v>
      </c>
      <c r="K102" s="1" t="s">
        <v>476</v>
      </c>
      <c r="L102" s="1" t="s">
        <v>180</v>
      </c>
      <c r="M102" s="1">
        <v>48.22</v>
      </c>
      <c r="N102" s="1" t="s">
        <v>159</v>
      </c>
      <c r="O102" s="1">
        <v>75</v>
      </c>
      <c r="P102" s="1">
        <v>3616.5</v>
      </c>
      <c r="Q102" s="1">
        <v>1</v>
      </c>
      <c r="R102" s="7">
        <v>1.3299999999999999E-2</v>
      </c>
      <c r="S102" s="1">
        <v>23</v>
      </c>
      <c r="T102" s="1">
        <v>20</v>
      </c>
      <c r="U102" s="1">
        <v>3</v>
      </c>
      <c r="V102" s="1" t="s">
        <v>166</v>
      </c>
      <c r="W102" s="1" t="s">
        <v>40</v>
      </c>
      <c r="X102" s="1" t="s">
        <v>3324</v>
      </c>
      <c r="Y102" s="1" t="s">
        <v>42</v>
      </c>
      <c r="Z102" s="1" t="s">
        <v>3333</v>
      </c>
      <c r="AA102" s="1" t="s">
        <v>88</v>
      </c>
      <c r="AB102" s="1" t="s">
        <v>137</v>
      </c>
      <c r="AC102" s="1"/>
      <c r="AD102" s="1">
        <v>3.8</v>
      </c>
      <c r="AE102" s="1" t="s">
        <v>184</v>
      </c>
      <c r="AF102" s="1" t="s">
        <v>46</v>
      </c>
    </row>
    <row r="103" spans="1:32" ht="18" customHeight="1">
      <c r="A103" s="1" t="s">
        <v>477</v>
      </c>
      <c r="B103" s="1" t="s">
        <v>478</v>
      </c>
      <c r="C103" s="4">
        <v>46070</v>
      </c>
      <c r="D103" s="4">
        <v>46086</v>
      </c>
      <c r="E103" s="4">
        <v>46092</v>
      </c>
      <c r="F103" s="1" t="s">
        <v>235</v>
      </c>
      <c r="G103" s="1" t="s">
        <v>236</v>
      </c>
      <c r="H103" s="1" t="s">
        <v>479</v>
      </c>
      <c r="I103" s="1" t="s">
        <v>61</v>
      </c>
      <c r="J103" s="1" t="s">
        <v>71</v>
      </c>
      <c r="K103" s="1" t="s">
        <v>480</v>
      </c>
      <c r="L103" s="1" t="s">
        <v>337</v>
      </c>
      <c r="M103" s="1">
        <v>742.53</v>
      </c>
      <c r="N103" s="1" t="s">
        <v>53</v>
      </c>
      <c r="O103" s="1">
        <v>750</v>
      </c>
      <c r="P103" s="1">
        <v>556897.5</v>
      </c>
      <c r="Q103" s="1">
        <v>8</v>
      </c>
      <c r="R103" s="7">
        <v>1.0699999999999999E-2</v>
      </c>
      <c r="S103" s="1">
        <v>22</v>
      </c>
      <c r="T103" s="1">
        <v>16</v>
      </c>
      <c r="U103" s="1">
        <v>6</v>
      </c>
      <c r="V103" s="1" t="s">
        <v>39</v>
      </c>
      <c r="W103" s="1" t="s">
        <v>40</v>
      </c>
      <c r="X103" s="1" t="s">
        <v>3324</v>
      </c>
      <c r="Y103" s="1"/>
      <c r="Z103" s="1"/>
      <c r="AA103" s="1" t="s">
        <v>174</v>
      </c>
      <c r="AB103" s="1" t="s">
        <v>191</v>
      </c>
      <c r="AC103" s="1"/>
      <c r="AD103" s="1">
        <v>2.4</v>
      </c>
      <c r="AE103" s="1" t="s">
        <v>184</v>
      </c>
      <c r="AF103" s="1" t="s">
        <v>46</v>
      </c>
    </row>
    <row r="104" spans="1:32" ht="18" customHeight="1">
      <c r="A104" s="1" t="s">
        <v>481</v>
      </c>
      <c r="B104" s="1" t="s">
        <v>482</v>
      </c>
      <c r="C104" s="4">
        <v>46025</v>
      </c>
      <c r="D104" s="4">
        <v>46044</v>
      </c>
      <c r="E104" s="4">
        <v>46046</v>
      </c>
      <c r="F104" s="1" t="s">
        <v>90</v>
      </c>
      <c r="G104" s="1" t="s">
        <v>91</v>
      </c>
      <c r="H104" s="1" t="s">
        <v>133</v>
      </c>
      <c r="I104" s="1" t="s">
        <v>178</v>
      </c>
      <c r="J104" s="1" t="s">
        <v>50</v>
      </c>
      <c r="K104" s="1" t="s">
        <v>483</v>
      </c>
      <c r="L104" s="1" t="s">
        <v>145</v>
      </c>
      <c r="M104" s="1">
        <v>3304.33</v>
      </c>
      <c r="N104" s="1" t="s">
        <v>86</v>
      </c>
      <c r="O104" s="1">
        <v>200</v>
      </c>
      <c r="P104" s="1">
        <v>660866</v>
      </c>
      <c r="Q104" s="1">
        <v>8</v>
      </c>
      <c r="R104" s="7">
        <v>0.04</v>
      </c>
      <c r="S104" s="1">
        <v>21</v>
      </c>
      <c r="T104" s="1">
        <v>19</v>
      </c>
      <c r="U104" s="1">
        <v>2</v>
      </c>
      <c r="V104" s="1" t="s">
        <v>166</v>
      </c>
      <c r="W104" s="1" t="s">
        <v>40</v>
      </c>
      <c r="X104" s="1" t="s">
        <v>105</v>
      </c>
      <c r="Y104" s="1" t="s">
        <v>106</v>
      </c>
      <c r="Z104" s="1"/>
      <c r="AA104" s="1" t="s">
        <v>206</v>
      </c>
      <c r="AB104" s="1" t="s">
        <v>44</v>
      </c>
      <c r="AC104" s="1"/>
      <c r="AD104" s="1">
        <v>2.2000000000000002</v>
      </c>
      <c r="AE104" s="1" t="s">
        <v>76</v>
      </c>
      <c r="AF104" s="1" t="s">
        <v>46</v>
      </c>
    </row>
    <row r="105" spans="1:32" ht="18" customHeight="1">
      <c r="A105" s="1" t="s">
        <v>484</v>
      </c>
      <c r="B105" s="1" t="s">
        <v>485</v>
      </c>
      <c r="C105" s="4">
        <v>46180</v>
      </c>
      <c r="D105" s="4">
        <v>46186</v>
      </c>
      <c r="E105" s="4">
        <v>46193</v>
      </c>
      <c r="F105" s="1" t="s">
        <v>162</v>
      </c>
      <c r="G105" s="1" t="s">
        <v>3382</v>
      </c>
      <c r="H105" s="1" t="s">
        <v>3327</v>
      </c>
      <c r="I105" s="1" t="s">
        <v>241</v>
      </c>
      <c r="J105" s="1" t="s">
        <v>35</v>
      </c>
      <c r="K105" s="1" t="s">
        <v>486</v>
      </c>
      <c r="L105" s="1" t="s">
        <v>200</v>
      </c>
      <c r="M105" s="1" t="s">
        <v>3450</v>
      </c>
      <c r="N105" s="1" t="s">
        <v>104</v>
      </c>
      <c r="O105" s="1">
        <v>1500</v>
      </c>
      <c r="P105" s="1">
        <v>5689335</v>
      </c>
      <c r="Q105" s="1">
        <v>0</v>
      </c>
      <c r="R105" s="7">
        <v>0</v>
      </c>
      <c r="S105" s="1">
        <v>13</v>
      </c>
      <c r="T105" s="1">
        <v>6</v>
      </c>
      <c r="U105" s="1">
        <v>7</v>
      </c>
      <c r="V105" s="1" t="s">
        <v>205</v>
      </c>
      <c r="W105" s="1" t="s">
        <v>40</v>
      </c>
      <c r="X105" s="1" t="s">
        <v>105</v>
      </c>
      <c r="Y105" s="1"/>
      <c r="Z105" s="1"/>
      <c r="AA105" s="1" t="s">
        <v>88</v>
      </c>
      <c r="AB105" s="1" t="s">
        <v>44</v>
      </c>
      <c r="AC105" s="1"/>
      <c r="AD105" s="1">
        <v>2.2000000000000002</v>
      </c>
      <c r="AE105" s="1" t="s">
        <v>139</v>
      </c>
      <c r="AF105" s="1" t="s">
        <v>46</v>
      </c>
    </row>
    <row r="106" spans="1:32" ht="18" customHeight="1">
      <c r="A106" s="1" t="s">
        <v>487</v>
      </c>
      <c r="B106" s="1" t="s">
        <v>488</v>
      </c>
      <c r="C106" s="4">
        <v>46058</v>
      </c>
      <c r="D106" s="4">
        <v>46070</v>
      </c>
      <c r="E106" s="4">
        <v>46076</v>
      </c>
      <c r="F106" s="1" t="s">
        <v>80</v>
      </c>
      <c r="G106" s="1" t="s">
        <v>3413</v>
      </c>
      <c r="H106" s="1" t="s">
        <v>82</v>
      </c>
      <c r="I106" s="1" t="s">
        <v>241</v>
      </c>
      <c r="J106" s="1" t="s">
        <v>35</v>
      </c>
      <c r="K106" s="1" t="s">
        <v>489</v>
      </c>
      <c r="L106" s="1" t="s">
        <v>37</v>
      </c>
      <c r="M106" s="1">
        <v>1630.49</v>
      </c>
      <c r="N106" s="1" t="s">
        <v>53</v>
      </c>
      <c r="O106" s="1">
        <v>300</v>
      </c>
      <c r="P106" s="1">
        <v>489147</v>
      </c>
      <c r="Q106" s="1">
        <v>6</v>
      </c>
      <c r="R106" s="7">
        <v>0.02</v>
      </c>
      <c r="S106" s="1">
        <v>18</v>
      </c>
      <c r="T106" s="1">
        <v>12</v>
      </c>
      <c r="U106" s="1">
        <v>6</v>
      </c>
      <c r="V106" s="1" t="s">
        <v>205</v>
      </c>
      <c r="W106" s="1" t="s">
        <v>404</v>
      </c>
      <c r="X106" s="1"/>
      <c r="Y106" s="1" t="s">
        <v>42</v>
      </c>
      <c r="Z106" s="1"/>
      <c r="AA106" s="1" t="s">
        <v>136</v>
      </c>
      <c r="AB106" s="1" t="s">
        <v>56</v>
      </c>
      <c r="AC106" s="1"/>
      <c r="AD106" s="1">
        <v>-1</v>
      </c>
      <c r="AE106" s="1" t="s">
        <v>139</v>
      </c>
      <c r="AF106" s="1" t="s">
        <v>148</v>
      </c>
    </row>
    <row r="107" spans="1:32" ht="18" customHeight="1">
      <c r="A107" s="1" t="s">
        <v>490</v>
      </c>
      <c r="B107" s="1" t="s">
        <v>491</v>
      </c>
      <c r="C107" s="4">
        <v>46101</v>
      </c>
      <c r="D107" s="4" t="s">
        <v>3451</v>
      </c>
      <c r="E107" s="4">
        <v>46119</v>
      </c>
      <c r="F107" s="1" t="s">
        <v>256</v>
      </c>
      <c r="G107" s="1" t="s">
        <v>3419</v>
      </c>
      <c r="H107" s="1" t="s">
        <v>3420</v>
      </c>
      <c r="I107" s="1" t="s">
        <v>120</v>
      </c>
      <c r="J107" s="1" t="s">
        <v>153</v>
      </c>
      <c r="K107" s="1" t="s">
        <v>492</v>
      </c>
      <c r="L107" s="1" t="s">
        <v>155</v>
      </c>
      <c r="M107" s="1">
        <v>265.45999999999998</v>
      </c>
      <c r="N107" s="1" t="s">
        <v>38</v>
      </c>
      <c r="O107" s="1">
        <v>150</v>
      </c>
      <c r="P107" s="1">
        <v>39819</v>
      </c>
      <c r="Q107" s="1">
        <v>5</v>
      </c>
      <c r="R107" s="7">
        <v>3.3300000000000003E-2</v>
      </c>
      <c r="S107" s="1">
        <v>18</v>
      </c>
      <c r="T107" s="1">
        <v>17</v>
      </c>
      <c r="U107" s="1">
        <v>1</v>
      </c>
      <c r="V107" s="1" t="s">
        <v>3323</v>
      </c>
      <c r="W107" s="1" t="s">
        <v>40</v>
      </c>
      <c r="X107" s="1" t="s">
        <v>3324</v>
      </c>
      <c r="Y107" s="1" t="s">
        <v>42</v>
      </c>
      <c r="Z107" s="1" t="s">
        <v>3333</v>
      </c>
      <c r="AA107" s="1" t="s">
        <v>174</v>
      </c>
      <c r="AB107" s="1" t="s">
        <v>44</v>
      </c>
      <c r="AC107" s="1"/>
      <c r="AD107" s="1">
        <v>2.9</v>
      </c>
      <c r="AE107" s="1" t="s">
        <v>76</v>
      </c>
      <c r="AF107" s="1" t="s">
        <v>46</v>
      </c>
    </row>
    <row r="108" spans="1:32" ht="18" customHeight="1">
      <c r="A108" s="1" t="s">
        <v>493</v>
      </c>
      <c r="B108" s="1" t="s">
        <v>494</v>
      </c>
      <c r="C108" s="4">
        <v>46150</v>
      </c>
      <c r="D108" s="4">
        <v>46163</v>
      </c>
      <c r="E108" s="4" t="s">
        <v>3452</v>
      </c>
      <c r="F108" s="1" t="s">
        <v>209</v>
      </c>
      <c r="G108" s="1" t="s">
        <v>210</v>
      </c>
      <c r="H108" s="1" t="s">
        <v>3365</v>
      </c>
      <c r="I108" s="1" t="s">
        <v>34</v>
      </c>
      <c r="J108" s="1" t="s">
        <v>153</v>
      </c>
      <c r="K108" s="1" t="s">
        <v>495</v>
      </c>
      <c r="L108" s="1" t="s">
        <v>204</v>
      </c>
      <c r="M108" s="1">
        <v>555.45000000000005</v>
      </c>
      <c r="N108" s="1" t="s">
        <v>86</v>
      </c>
      <c r="O108" s="1">
        <v>250</v>
      </c>
      <c r="P108" s="1">
        <v>138862.5</v>
      </c>
      <c r="Q108" s="1">
        <v>0</v>
      </c>
      <c r="R108" s="7">
        <v>0</v>
      </c>
      <c r="S108" s="1">
        <v>12</v>
      </c>
      <c r="T108" s="1">
        <v>13</v>
      </c>
      <c r="U108" s="1">
        <v>-1</v>
      </c>
      <c r="V108" s="1" t="s">
        <v>270</v>
      </c>
      <c r="W108" s="1" t="s">
        <v>40</v>
      </c>
      <c r="X108" s="1" t="s">
        <v>41</v>
      </c>
      <c r="Y108" s="1" t="s">
        <v>42</v>
      </c>
      <c r="Z108" s="1" t="s">
        <v>107</v>
      </c>
      <c r="AA108" s="1"/>
      <c r="AB108" s="1" t="s">
        <v>44</v>
      </c>
      <c r="AC108" s="1"/>
      <c r="AD108" s="1">
        <v>2.8</v>
      </c>
      <c r="AE108" s="1" t="s">
        <v>76</v>
      </c>
      <c r="AF108" s="1"/>
    </row>
    <row r="109" spans="1:32" ht="18" customHeight="1">
      <c r="A109" s="1" t="s">
        <v>496</v>
      </c>
      <c r="B109" s="1" t="s">
        <v>497</v>
      </c>
      <c r="C109" s="4">
        <v>46129</v>
      </c>
      <c r="D109" s="4">
        <v>46133</v>
      </c>
      <c r="E109" s="4" t="s">
        <v>3453</v>
      </c>
      <c r="F109" s="1" t="s">
        <v>215</v>
      </c>
      <c r="G109" s="1" t="s">
        <v>216</v>
      </c>
      <c r="H109" s="1" t="s">
        <v>152</v>
      </c>
      <c r="I109" s="1" t="s">
        <v>241</v>
      </c>
      <c r="J109" s="1" t="s">
        <v>112</v>
      </c>
      <c r="K109" s="1" t="s">
        <v>498</v>
      </c>
      <c r="L109" s="1" t="s">
        <v>218</v>
      </c>
      <c r="M109" s="1">
        <v>731.64</v>
      </c>
      <c r="N109" s="1" t="s">
        <v>159</v>
      </c>
      <c r="O109" s="1">
        <v>2000</v>
      </c>
      <c r="P109" s="1">
        <v>1463280</v>
      </c>
      <c r="Q109" s="1" t="s">
        <v>3454</v>
      </c>
      <c r="R109" s="7">
        <v>0</v>
      </c>
      <c r="S109" s="1">
        <v>-3</v>
      </c>
      <c r="T109" s="1">
        <v>4</v>
      </c>
      <c r="U109" s="1">
        <v>-7</v>
      </c>
      <c r="V109" s="1" t="s">
        <v>362</v>
      </c>
      <c r="W109" s="1" t="s">
        <v>40</v>
      </c>
      <c r="X109" s="1" t="s">
        <v>3329</v>
      </c>
      <c r="Y109" s="1" t="s">
        <v>42</v>
      </c>
      <c r="Z109" s="1"/>
      <c r="AA109" s="1" t="s">
        <v>88</v>
      </c>
      <c r="AB109" s="1" t="s">
        <v>137</v>
      </c>
      <c r="AC109" s="1"/>
      <c r="AD109" s="1">
        <v>4.5999999999999996</v>
      </c>
      <c r="AE109" s="1" t="s">
        <v>45</v>
      </c>
      <c r="AF109" s="1"/>
    </row>
    <row r="110" spans="1:32" ht="18" customHeight="1">
      <c r="A110" s="1" t="s">
        <v>499</v>
      </c>
      <c r="B110" s="1" t="s">
        <v>500</v>
      </c>
      <c r="C110" s="4">
        <v>46200</v>
      </c>
      <c r="D110" s="4">
        <v>46206</v>
      </c>
      <c r="E110" s="4" t="s">
        <v>3445</v>
      </c>
      <c r="F110" s="1" t="s">
        <v>151</v>
      </c>
      <c r="G110" s="1" t="s">
        <v>244</v>
      </c>
      <c r="H110" s="1" t="s">
        <v>3327</v>
      </c>
      <c r="I110" s="1" t="s">
        <v>83</v>
      </c>
      <c r="J110" s="1" t="s">
        <v>163</v>
      </c>
      <c r="K110" s="1" t="s">
        <v>501</v>
      </c>
      <c r="L110" s="1" t="s">
        <v>165</v>
      </c>
      <c r="M110" s="1">
        <v>770.28</v>
      </c>
      <c r="N110" s="1" t="s">
        <v>172</v>
      </c>
      <c r="O110" s="1">
        <v>1000</v>
      </c>
      <c r="P110" s="1">
        <v>770280</v>
      </c>
      <c r="Q110" s="1">
        <v>14</v>
      </c>
      <c r="R110" s="7">
        <v>1.4E-2</v>
      </c>
      <c r="S110" s="1">
        <v>3</v>
      </c>
      <c r="T110" s="1">
        <v>6</v>
      </c>
      <c r="U110" s="1">
        <v>-3</v>
      </c>
      <c r="V110" s="1" t="s">
        <v>3337</v>
      </c>
      <c r="W110" s="1" t="s">
        <v>40</v>
      </c>
      <c r="X110" s="1" t="s">
        <v>3324</v>
      </c>
      <c r="Y110" s="1" t="s">
        <v>106</v>
      </c>
      <c r="Z110" s="1" t="s">
        <v>107</v>
      </c>
      <c r="AA110" s="1" t="s">
        <v>136</v>
      </c>
      <c r="AB110" s="1" t="s">
        <v>44</v>
      </c>
      <c r="AC110" s="1"/>
      <c r="AD110" s="1">
        <v>2.5</v>
      </c>
      <c r="AE110" s="1" t="s">
        <v>76</v>
      </c>
      <c r="AF110" s="1"/>
    </row>
    <row r="111" spans="1:32" ht="18" customHeight="1">
      <c r="A111" s="1" t="s">
        <v>502</v>
      </c>
      <c r="B111" s="1" t="s">
        <v>503</v>
      </c>
      <c r="C111" s="4" t="s">
        <v>3455</v>
      </c>
      <c r="D111" s="4">
        <v>46207</v>
      </c>
      <c r="E111" s="4">
        <v>46209</v>
      </c>
      <c r="F111" s="1" t="s">
        <v>256</v>
      </c>
      <c r="G111" s="1" t="s">
        <v>257</v>
      </c>
      <c r="H111" s="1" t="s">
        <v>3433</v>
      </c>
      <c r="I111" s="1" t="s">
        <v>241</v>
      </c>
      <c r="J111" s="1" t="s">
        <v>153</v>
      </c>
      <c r="K111" s="1" t="s">
        <v>504</v>
      </c>
      <c r="L111" s="1" t="s">
        <v>155</v>
      </c>
      <c r="M111" s="1">
        <v>413.91</v>
      </c>
      <c r="N111" s="1" t="s">
        <v>104</v>
      </c>
      <c r="O111" s="1">
        <v>1000</v>
      </c>
      <c r="P111" s="1">
        <v>413910</v>
      </c>
      <c r="Q111" s="1">
        <v>7</v>
      </c>
      <c r="R111" s="7">
        <v>7.0000000000000001E-3</v>
      </c>
      <c r="S111" s="1">
        <v>16</v>
      </c>
      <c r="T111" s="1">
        <v>14</v>
      </c>
      <c r="U111" s="1">
        <v>2</v>
      </c>
      <c r="V111" s="1" t="s">
        <v>3323</v>
      </c>
      <c r="W111" s="1" t="s">
        <v>40</v>
      </c>
      <c r="X111" s="1"/>
      <c r="Y111" s="1" t="s">
        <v>190</v>
      </c>
      <c r="Z111" s="1" t="s">
        <v>43</v>
      </c>
      <c r="AA111" s="1" t="s">
        <v>174</v>
      </c>
      <c r="AB111" s="1" t="s">
        <v>147</v>
      </c>
      <c r="AC111" s="1"/>
      <c r="AD111" s="1">
        <v>4.3</v>
      </c>
      <c r="AE111" s="1" t="s">
        <v>115</v>
      </c>
      <c r="AF111" s="1" t="s">
        <v>148</v>
      </c>
    </row>
    <row r="112" spans="1:32" ht="18" customHeight="1">
      <c r="A112" s="1" t="s">
        <v>505</v>
      </c>
      <c r="B112" s="1" t="s">
        <v>506</v>
      </c>
      <c r="C112" s="4" t="s">
        <v>3456</v>
      </c>
      <c r="D112" s="4">
        <v>46177</v>
      </c>
      <c r="E112" s="4">
        <v>46171</v>
      </c>
      <c r="F112" s="1" t="s">
        <v>100</v>
      </c>
      <c r="G112" s="1" t="s">
        <v>3343</v>
      </c>
      <c r="H112" s="1" t="s">
        <v>3361</v>
      </c>
      <c r="I112" s="1" t="s">
        <v>70</v>
      </c>
      <c r="J112" s="1" t="s">
        <v>50</v>
      </c>
      <c r="K112" s="1" t="s">
        <v>507</v>
      </c>
      <c r="L112" s="1" t="s">
        <v>145</v>
      </c>
      <c r="M112" s="1">
        <v>1773.73</v>
      </c>
      <c r="N112" s="1" t="s">
        <v>38</v>
      </c>
      <c r="O112" s="1">
        <v>300</v>
      </c>
      <c r="P112" s="1">
        <v>532119</v>
      </c>
      <c r="Q112" s="1">
        <v>5</v>
      </c>
      <c r="R112" s="7">
        <v>1.67E-2</v>
      </c>
      <c r="S112" s="1">
        <v>16</v>
      </c>
      <c r="T112" s="1">
        <v>22</v>
      </c>
      <c r="U112" s="1">
        <v>-6</v>
      </c>
      <c r="V112" s="1" t="s">
        <v>270</v>
      </c>
      <c r="W112" s="1" t="s">
        <v>40</v>
      </c>
      <c r="X112" s="1" t="s">
        <v>127</v>
      </c>
      <c r="Y112" s="1" t="s">
        <v>66</v>
      </c>
      <c r="Z112" s="1" t="s">
        <v>128</v>
      </c>
      <c r="AA112" s="1" t="s">
        <v>206</v>
      </c>
      <c r="AB112" s="1" t="s">
        <v>95</v>
      </c>
      <c r="AC112" s="1"/>
      <c r="AD112" s="1">
        <v>3.7</v>
      </c>
      <c r="AE112" s="1" t="s">
        <v>57</v>
      </c>
      <c r="AF112" s="1" t="s">
        <v>130</v>
      </c>
    </row>
    <row r="113" spans="1:32" ht="18" customHeight="1">
      <c r="A113" s="1" t="s">
        <v>508</v>
      </c>
      <c r="B113" s="1" t="s">
        <v>509</v>
      </c>
      <c r="C113" s="4" t="s">
        <v>3457</v>
      </c>
      <c r="D113" s="4">
        <v>46123</v>
      </c>
      <c r="E113" s="4">
        <v>46134</v>
      </c>
      <c r="F113" s="1" t="s">
        <v>100</v>
      </c>
      <c r="G113" s="1" t="s">
        <v>101</v>
      </c>
      <c r="H113" s="1" t="s">
        <v>3361</v>
      </c>
      <c r="I113" s="1" t="s">
        <v>120</v>
      </c>
      <c r="J113" s="1" t="s">
        <v>50</v>
      </c>
      <c r="K113" s="1" t="s">
        <v>510</v>
      </c>
      <c r="L113" s="1" t="s">
        <v>52</v>
      </c>
      <c r="M113" s="1">
        <v>1713.32</v>
      </c>
      <c r="N113" s="1" t="s">
        <v>104</v>
      </c>
      <c r="O113" s="1">
        <v>200</v>
      </c>
      <c r="P113" s="1">
        <v>342664</v>
      </c>
      <c r="Q113" s="1">
        <v>7</v>
      </c>
      <c r="R113" s="7">
        <v>3.5000000000000003E-2</v>
      </c>
      <c r="S113" s="1">
        <v>22</v>
      </c>
      <c r="T113" s="1">
        <v>11</v>
      </c>
      <c r="U113" s="1">
        <v>11</v>
      </c>
      <c r="V113" s="1" t="s">
        <v>205</v>
      </c>
      <c r="W113" s="1"/>
      <c r="X113" s="1" t="s">
        <v>41</v>
      </c>
      <c r="Y113" s="1" t="s">
        <v>66</v>
      </c>
      <c r="Z113" s="1" t="s">
        <v>54</v>
      </c>
      <c r="AA113" s="1" t="s">
        <v>136</v>
      </c>
      <c r="AB113" s="1"/>
      <c r="AC113" s="1"/>
      <c r="AD113" s="1">
        <v>3</v>
      </c>
      <c r="AE113" s="1" t="s">
        <v>76</v>
      </c>
      <c r="AF113" s="1" t="s">
        <v>46</v>
      </c>
    </row>
    <row r="114" spans="1:32" ht="18" customHeight="1">
      <c r="A114" s="1" t="s">
        <v>511</v>
      </c>
      <c r="B114" s="1" t="s">
        <v>512</v>
      </c>
      <c r="C114" s="4">
        <v>46191</v>
      </c>
      <c r="D114" s="4">
        <v>46209</v>
      </c>
      <c r="E114" s="4">
        <v>46202</v>
      </c>
      <c r="F114" s="1" t="s">
        <v>256</v>
      </c>
      <c r="G114" s="1" t="s">
        <v>3432</v>
      </c>
      <c r="H114" s="1" t="s">
        <v>3420</v>
      </c>
      <c r="I114" s="1" t="s">
        <v>49</v>
      </c>
      <c r="J114" s="1" t="s">
        <v>153</v>
      </c>
      <c r="K114" s="1" t="s">
        <v>513</v>
      </c>
      <c r="L114" s="1" t="s">
        <v>155</v>
      </c>
      <c r="M114" s="1">
        <v>516.5</v>
      </c>
      <c r="N114" s="1" t="s">
        <v>159</v>
      </c>
      <c r="O114" s="1">
        <v>200</v>
      </c>
      <c r="P114" s="1">
        <v>103300</v>
      </c>
      <c r="Q114" s="1">
        <v>7</v>
      </c>
      <c r="R114" s="7">
        <v>3.5000000000000003E-2</v>
      </c>
      <c r="S114" s="1">
        <v>11</v>
      </c>
      <c r="T114" s="1">
        <v>18</v>
      </c>
      <c r="U114" s="1">
        <v>-7</v>
      </c>
      <c r="V114" s="1" t="s">
        <v>87</v>
      </c>
      <c r="W114" s="1" t="s">
        <v>40</v>
      </c>
      <c r="X114" s="1" t="s">
        <v>105</v>
      </c>
      <c r="Y114" s="1" t="s">
        <v>66</v>
      </c>
      <c r="Z114" s="1" t="s">
        <v>107</v>
      </c>
      <c r="AA114" s="1"/>
      <c r="AB114" s="1" t="s">
        <v>95</v>
      </c>
      <c r="AC114" s="1"/>
      <c r="AD114" s="1">
        <v>2.5</v>
      </c>
      <c r="AE114" s="1" t="s">
        <v>57</v>
      </c>
      <c r="AF114" s="1"/>
    </row>
    <row r="115" spans="1:32" ht="18" hidden="1" customHeight="1">
      <c r="A115" s="1" t="s">
        <v>514</v>
      </c>
      <c r="B115" s="1" t="s">
        <v>515</v>
      </c>
      <c r="C115" s="4">
        <v>46178</v>
      </c>
      <c r="D115" s="1">
        <v>46189</v>
      </c>
      <c r="E115" s="1">
        <v>46190</v>
      </c>
      <c r="F115" s="1" t="s">
        <v>48</v>
      </c>
      <c r="G115" s="1" t="s">
        <v>232</v>
      </c>
      <c r="H115" s="1" t="s">
        <v>3361</v>
      </c>
      <c r="I115" s="1" t="s">
        <v>83</v>
      </c>
      <c r="J115" s="1" t="s">
        <v>50</v>
      </c>
      <c r="K115" s="1" t="s">
        <v>516</v>
      </c>
      <c r="L115" s="1" t="s">
        <v>52</v>
      </c>
      <c r="M115" s="1">
        <v>768.03</v>
      </c>
      <c r="N115" s="1" t="s">
        <v>104</v>
      </c>
      <c r="O115" s="1">
        <v>750</v>
      </c>
      <c r="P115" s="1">
        <v>576022.5</v>
      </c>
      <c r="Q115" s="1">
        <v>61</v>
      </c>
      <c r="R115" s="7">
        <v>8.1299999999999997E-2</v>
      </c>
      <c r="S115" s="1">
        <v>12</v>
      </c>
      <c r="T115" s="1">
        <v>11</v>
      </c>
      <c r="U115" s="1">
        <v>1</v>
      </c>
      <c r="V115" s="1" t="s">
        <v>166</v>
      </c>
      <c r="W115" s="1" t="s">
        <v>420</v>
      </c>
      <c r="X115" s="1" t="s">
        <v>3324</v>
      </c>
      <c r="Y115" s="1" t="s">
        <v>3334</v>
      </c>
      <c r="Z115" s="1" t="s">
        <v>3333</v>
      </c>
      <c r="AA115" s="1" t="s">
        <v>206</v>
      </c>
      <c r="AB115" s="1" t="s">
        <v>191</v>
      </c>
      <c r="AC115" s="1" t="s">
        <v>283</v>
      </c>
      <c r="AD115" s="1">
        <v>2.6</v>
      </c>
      <c r="AE115" s="1" t="s">
        <v>139</v>
      </c>
      <c r="AF115" s="1" t="s">
        <v>77</v>
      </c>
    </row>
    <row r="116" spans="1:32" ht="18" customHeight="1">
      <c r="A116" s="1" t="s">
        <v>517</v>
      </c>
      <c r="B116" s="1" t="s">
        <v>518</v>
      </c>
      <c r="C116" s="4">
        <v>46125</v>
      </c>
      <c r="D116" s="4">
        <v>46147</v>
      </c>
      <c r="E116" s="4">
        <v>46146</v>
      </c>
      <c r="F116" s="1" t="s">
        <v>32</v>
      </c>
      <c r="G116" s="1" t="s">
        <v>33</v>
      </c>
      <c r="H116" s="1" t="s">
        <v>3395</v>
      </c>
      <c r="I116" s="1" t="s">
        <v>178</v>
      </c>
      <c r="J116" s="1" t="s">
        <v>35</v>
      </c>
      <c r="K116" s="1" t="s">
        <v>519</v>
      </c>
      <c r="L116" s="1" t="s">
        <v>180</v>
      </c>
      <c r="M116" s="1">
        <v>1648.46</v>
      </c>
      <c r="N116" s="1" t="s">
        <v>104</v>
      </c>
      <c r="O116" s="1">
        <v>250</v>
      </c>
      <c r="P116" s="1">
        <v>412115</v>
      </c>
      <c r="Q116" s="1">
        <v>0</v>
      </c>
      <c r="R116" s="7">
        <v>0</v>
      </c>
      <c r="S116" s="1">
        <v>21</v>
      </c>
      <c r="T116" s="1">
        <v>22</v>
      </c>
      <c r="U116" s="1">
        <v>-1</v>
      </c>
      <c r="V116" s="1" t="s">
        <v>3352</v>
      </c>
      <c r="W116" s="1" t="s">
        <v>40</v>
      </c>
      <c r="X116" s="1" t="s">
        <v>105</v>
      </c>
      <c r="Y116" s="1" t="s">
        <v>3334</v>
      </c>
      <c r="Z116" s="1" t="s">
        <v>43</v>
      </c>
      <c r="AA116" s="1" t="s">
        <v>129</v>
      </c>
      <c r="AB116" s="1" t="s">
        <v>191</v>
      </c>
      <c r="AC116" s="1"/>
      <c r="AD116" s="1">
        <v>3.9</v>
      </c>
      <c r="AE116" s="1" t="s">
        <v>184</v>
      </c>
      <c r="AF116" s="1"/>
    </row>
    <row r="117" spans="1:32" ht="18" hidden="1" customHeight="1">
      <c r="A117" s="1" t="s">
        <v>520</v>
      </c>
      <c r="B117" s="1" t="s">
        <v>521</v>
      </c>
      <c r="C117" s="4">
        <v>46085</v>
      </c>
      <c r="D117" s="1">
        <v>46098</v>
      </c>
      <c r="E117" s="1">
        <v>46116</v>
      </c>
      <c r="F117" s="1" t="s">
        <v>90</v>
      </c>
      <c r="G117" s="1" t="s">
        <v>91</v>
      </c>
      <c r="H117" s="1" t="s">
        <v>133</v>
      </c>
      <c r="I117" s="1" t="s">
        <v>49</v>
      </c>
      <c r="J117" s="1" t="s">
        <v>71</v>
      </c>
      <c r="K117" s="1" t="s">
        <v>522</v>
      </c>
      <c r="L117" s="1" t="s">
        <v>73</v>
      </c>
      <c r="M117" s="1" t="s">
        <v>3458</v>
      </c>
      <c r="N117" s="1" t="s">
        <v>104</v>
      </c>
      <c r="O117" s="1">
        <v>300</v>
      </c>
      <c r="P117" s="1">
        <v>123690</v>
      </c>
      <c r="Q117" s="1">
        <v>17</v>
      </c>
      <c r="R117" s="7">
        <v>5.67E-2</v>
      </c>
      <c r="S117" s="1">
        <v>31</v>
      </c>
      <c r="T117" s="1" t="s">
        <v>3400</v>
      </c>
      <c r="U117" s="1">
        <v>18</v>
      </c>
      <c r="V117" s="1" t="s">
        <v>3328</v>
      </c>
      <c r="W117" s="1" t="s">
        <v>420</v>
      </c>
      <c r="X117" s="1"/>
      <c r="Y117" s="1" t="s">
        <v>212</v>
      </c>
      <c r="Z117" s="1" t="s">
        <v>3333</v>
      </c>
      <c r="AA117" s="1" t="s">
        <v>3341</v>
      </c>
      <c r="AB117" s="1" t="s">
        <v>147</v>
      </c>
      <c r="AC117" s="1" t="s">
        <v>373</v>
      </c>
      <c r="AD117" s="1">
        <v>3.3</v>
      </c>
      <c r="AE117" s="1" t="s">
        <v>139</v>
      </c>
      <c r="AF117" s="1" t="s">
        <v>185</v>
      </c>
    </row>
    <row r="118" spans="1:32" ht="18" customHeight="1">
      <c r="A118" s="1" t="s">
        <v>523</v>
      </c>
      <c r="B118" s="1" t="s">
        <v>524</v>
      </c>
      <c r="C118" s="4">
        <v>46146</v>
      </c>
      <c r="D118" s="4">
        <v>46161</v>
      </c>
      <c r="E118" s="4">
        <v>46162</v>
      </c>
      <c r="F118" s="1" t="s">
        <v>235</v>
      </c>
      <c r="G118" s="1" t="s">
        <v>3426</v>
      </c>
      <c r="H118" s="1" t="s">
        <v>3371</v>
      </c>
      <c r="I118" s="1" t="s">
        <v>241</v>
      </c>
      <c r="J118" s="1" t="s">
        <v>71</v>
      </c>
      <c r="K118" s="1" t="s">
        <v>525</v>
      </c>
      <c r="L118" s="1" t="s">
        <v>337</v>
      </c>
      <c r="M118" s="1">
        <v>705.22</v>
      </c>
      <c r="N118" s="1" t="s">
        <v>53</v>
      </c>
      <c r="O118" s="1">
        <v>100</v>
      </c>
      <c r="P118" s="1">
        <v>70522</v>
      </c>
      <c r="Q118" s="1">
        <v>3</v>
      </c>
      <c r="R118" s="7">
        <v>0.03</v>
      </c>
      <c r="S118" s="1">
        <v>16</v>
      </c>
      <c r="T118" s="1">
        <v>15</v>
      </c>
      <c r="U118" s="1">
        <v>1</v>
      </c>
      <c r="V118" s="1" t="s">
        <v>135</v>
      </c>
      <c r="W118" s="1" t="s">
        <v>40</v>
      </c>
      <c r="X118" s="1" t="s">
        <v>3324</v>
      </c>
      <c r="Y118" s="1" t="s">
        <v>42</v>
      </c>
      <c r="Z118" s="1" t="s">
        <v>3333</v>
      </c>
      <c r="AA118" s="1" t="s">
        <v>136</v>
      </c>
      <c r="AB118" s="1"/>
      <c r="AC118" s="1"/>
      <c r="AD118" s="1">
        <v>2.9</v>
      </c>
      <c r="AE118" s="1" t="s">
        <v>139</v>
      </c>
      <c r="AF118" s="1" t="s">
        <v>46</v>
      </c>
    </row>
    <row r="119" spans="1:32" ht="18" customHeight="1">
      <c r="A119" s="1" t="s">
        <v>526</v>
      </c>
      <c r="B119" s="1" t="s">
        <v>527</v>
      </c>
      <c r="C119" s="4">
        <v>46195</v>
      </c>
      <c r="D119" s="4">
        <v>46207</v>
      </c>
      <c r="E119" s="4">
        <v>46211</v>
      </c>
      <c r="F119" s="1" t="s">
        <v>69</v>
      </c>
      <c r="G119" s="1" t="s">
        <v>3331</v>
      </c>
      <c r="H119" s="1" t="s">
        <v>3332</v>
      </c>
      <c r="I119" s="1" t="s">
        <v>92</v>
      </c>
      <c r="J119" s="1" t="s">
        <v>112</v>
      </c>
      <c r="K119" s="1" t="s">
        <v>528</v>
      </c>
      <c r="L119" s="1" t="s">
        <v>114</v>
      </c>
      <c r="M119" s="1">
        <v>473.06</v>
      </c>
      <c r="N119" s="1" t="s">
        <v>65</v>
      </c>
      <c r="O119" s="1">
        <v>1500</v>
      </c>
      <c r="P119" s="1">
        <v>709590</v>
      </c>
      <c r="Q119" s="1">
        <v>48</v>
      </c>
      <c r="R119" s="7">
        <v>3.2000000000000001E-2</v>
      </c>
      <c r="S119" s="1">
        <v>16</v>
      </c>
      <c r="T119" s="1">
        <v>12</v>
      </c>
      <c r="U119" s="1">
        <v>4</v>
      </c>
      <c r="V119" s="1" t="s">
        <v>205</v>
      </c>
      <c r="W119" s="1" t="s">
        <v>40</v>
      </c>
      <c r="X119" s="1" t="s">
        <v>105</v>
      </c>
      <c r="Y119" s="1" t="s">
        <v>212</v>
      </c>
      <c r="Z119" s="1" t="s">
        <v>43</v>
      </c>
      <c r="AA119" s="1"/>
      <c r="AB119" s="1" t="s">
        <v>147</v>
      </c>
      <c r="AC119" s="1"/>
      <c r="AD119" s="1">
        <v>3.8</v>
      </c>
      <c r="AE119" s="1" t="s">
        <v>108</v>
      </c>
      <c r="AF119" s="1" t="s">
        <v>46</v>
      </c>
    </row>
    <row r="120" spans="1:32" ht="18" customHeight="1">
      <c r="A120" s="1" t="s">
        <v>529</v>
      </c>
      <c r="B120" s="1" t="s">
        <v>530</v>
      </c>
      <c r="C120" s="4"/>
      <c r="D120" s="4">
        <v>46211</v>
      </c>
      <c r="E120" s="4">
        <v>46211</v>
      </c>
      <c r="F120" s="1" t="s">
        <v>215</v>
      </c>
      <c r="G120" s="1" t="s">
        <v>3415</v>
      </c>
      <c r="H120" s="1" t="s">
        <v>3327</v>
      </c>
      <c r="I120" s="1" t="s">
        <v>70</v>
      </c>
      <c r="J120" s="1" t="s">
        <v>112</v>
      </c>
      <c r="K120" s="1" t="s">
        <v>531</v>
      </c>
      <c r="L120" s="1" t="s">
        <v>246</v>
      </c>
      <c r="M120" s="1">
        <v>113.24</v>
      </c>
      <c r="N120" s="1" t="s">
        <v>86</v>
      </c>
      <c r="O120" s="1">
        <v>200</v>
      </c>
      <c r="P120" s="1">
        <v>22648</v>
      </c>
      <c r="Q120" s="1">
        <v>4</v>
      </c>
      <c r="R120" s="7">
        <v>0.02</v>
      </c>
      <c r="S120" s="1">
        <v>11</v>
      </c>
      <c r="T120" s="1">
        <v>11</v>
      </c>
      <c r="U120" s="1">
        <v>0</v>
      </c>
      <c r="V120" s="1" t="s">
        <v>3352</v>
      </c>
      <c r="W120" s="1" t="s">
        <v>40</v>
      </c>
      <c r="X120" s="1" t="s">
        <v>146</v>
      </c>
      <c r="Y120" s="1" t="s">
        <v>190</v>
      </c>
      <c r="Z120" s="1" t="s">
        <v>54</v>
      </c>
      <c r="AA120" s="1"/>
      <c r="AB120" s="1" t="s">
        <v>191</v>
      </c>
      <c r="AC120" s="1"/>
      <c r="AD120" s="1">
        <v>2.8</v>
      </c>
      <c r="AE120" s="1" t="s">
        <v>115</v>
      </c>
      <c r="AF120" s="1" t="s">
        <v>130</v>
      </c>
    </row>
    <row r="121" spans="1:32" ht="18" hidden="1" customHeight="1">
      <c r="A121" s="1" t="s">
        <v>532</v>
      </c>
      <c r="B121" s="1" t="s">
        <v>533</v>
      </c>
      <c r="C121" s="4" t="s">
        <v>3459</v>
      </c>
      <c r="D121" s="1">
        <v>46114</v>
      </c>
      <c r="E121" s="1" t="s">
        <v>3400</v>
      </c>
      <c r="F121" s="1" t="s">
        <v>235</v>
      </c>
      <c r="G121" s="1" t="s">
        <v>236</v>
      </c>
      <c r="H121" s="1" t="s">
        <v>3371</v>
      </c>
      <c r="I121" s="1" t="s">
        <v>83</v>
      </c>
      <c r="J121" s="1" t="s">
        <v>71</v>
      </c>
      <c r="K121" s="1" t="s">
        <v>534</v>
      </c>
      <c r="L121" s="1" t="s">
        <v>73</v>
      </c>
      <c r="M121" s="1">
        <v>267.02999999999997</v>
      </c>
      <c r="N121" s="1" t="s">
        <v>53</v>
      </c>
      <c r="O121" s="1">
        <v>1000</v>
      </c>
      <c r="P121" s="1">
        <v>267030</v>
      </c>
      <c r="Q121" s="1">
        <v>57</v>
      </c>
      <c r="R121" s="7">
        <v>5.7000000000000002E-2</v>
      </c>
      <c r="S121" s="1">
        <v>21</v>
      </c>
      <c r="T121" s="1">
        <v>12</v>
      </c>
      <c r="U121" s="1">
        <v>9</v>
      </c>
      <c r="V121" s="1" t="s">
        <v>39</v>
      </c>
      <c r="W121" s="1" t="s">
        <v>74</v>
      </c>
      <c r="X121" s="1" t="s">
        <v>105</v>
      </c>
      <c r="Y121" s="1" t="s">
        <v>3334</v>
      </c>
      <c r="Z121" s="1" t="s">
        <v>173</v>
      </c>
      <c r="AA121" s="1" t="s">
        <v>55</v>
      </c>
      <c r="AB121" s="1" t="s">
        <v>147</v>
      </c>
      <c r="AC121" s="1" t="s">
        <v>373</v>
      </c>
      <c r="AD121" s="1">
        <v>2.7</v>
      </c>
      <c r="AE121" s="1" t="s">
        <v>45</v>
      </c>
      <c r="AF121" s="1" t="s">
        <v>77</v>
      </c>
    </row>
    <row r="122" spans="1:32" ht="18" hidden="1" customHeight="1">
      <c r="A122" s="1" t="s">
        <v>535</v>
      </c>
      <c r="B122" s="1" t="s">
        <v>536</v>
      </c>
      <c r="C122" s="4">
        <v>46066</v>
      </c>
      <c r="D122" s="1" t="s">
        <v>3436</v>
      </c>
      <c r="E122" s="1">
        <v>46091</v>
      </c>
      <c r="F122" s="1" t="s">
        <v>256</v>
      </c>
      <c r="G122" s="1" t="s">
        <v>3419</v>
      </c>
      <c r="H122" s="1" t="s">
        <v>3410</v>
      </c>
      <c r="I122" s="1" t="s">
        <v>178</v>
      </c>
      <c r="J122" s="1" t="s">
        <v>153</v>
      </c>
      <c r="K122" s="1" t="s">
        <v>537</v>
      </c>
      <c r="L122" s="1" t="s">
        <v>295</v>
      </c>
      <c r="M122" s="1">
        <v>560.95000000000005</v>
      </c>
      <c r="N122" s="1" t="s">
        <v>38</v>
      </c>
      <c r="O122" s="1">
        <v>75</v>
      </c>
      <c r="P122" s="1">
        <v>42071.25</v>
      </c>
      <c r="Q122" s="1">
        <v>6</v>
      </c>
      <c r="R122" s="7">
        <v>0.08</v>
      </c>
      <c r="S122" s="1">
        <v>25</v>
      </c>
      <c r="T122" s="1">
        <v>19</v>
      </c>
      <c r="U122" s="1">
        <v>6</v>
      </c>
      <c r="V122" s="1" t="s">
        <v>205</v>
      </c>
      <c r="W122" s="1" t="s">
        <v>3384</v>
      </c>
      <c r="X122" s="1" t="s">
        <v>41</v>
      </c>
      <c r="Y122" s="1" t="s">
        <v>190</v>
      </c>
      <c r="Z122" s="1" t="s">
        <v>3333</v>
      </c>
      <c r="AA122" s="1" t="s">
        <v>206</v>
      </c>
      <c r="AB122" s="1" t="s">
        <v>191</v>
      </c>
      <c r="AC122" s="1" t="s">
        <v>283</v>
      </c>
      <c r="AD122" s="1">
        <v>1.9</v>
      </c>
      <c r="AE122" s="1" t="s">
        <v>76</v>
      </c>
      <c r="AF122" s="1" t="s">
        <v>77</v>
      </c>
    </row>
    <row r="123" spans="1:32" ht="18" customHeight="1">
      <c r="A123" s="1" t="s">
        <v>538</v>
      </c>
      <c r="B123" s="1" t="s">
        <v>539</v>
      </c>
      <c r="C123" s="4">
        <v>46079</v>
      </c>
      <c r="D123" s="4">
        <v>46097</v>
      </c>
      <c r="E123" s="4">
        <v>46083</v>
      </c>
      <c r="F123" s="1" t="s">
        <v>256</v>
      </c>
      <c r="G123" s="1" t="s">
        <v>257</v>
      </c>
      <c r="H123" s="1" t="s">
        <v>3420</v>
      </c>
      <c r="I123" s="1" t="s">
        <v>61</v>
      </c>
      <c r="J123" s="1" t="s">
        <v>35</v>
      </c>
      <c r="K123" s="1" t="s">
        <v>540</v>
      </c>
      <c r="L123" s="1" t="s">
        <v>85</v>
      </c>
      <c r="M123" s="1">
        <v>1457.99</v>
      </c>
      <c r="N123" s="1" t="s">
        <v>104</v>
      </c>
      <c r="O123" s="1">
        <v>2000</v>
      </c>
      <c r="P123" s="1">
        <v>2915980</v>
      </c>
      <c r="Q123" s="1">
        <v>0</v>
      </c>
      <c r="R123" s="7">
        <v>0</v>
      </c>
      <c r="S123" s="1">
        <v>4</v>
      </c>
      <c r="T123" s="1">
        <v>18</v>
      </c>
      <c r="U123" s="1"/>
      <c r="V123" s="1" t="s">
        <v>3352</v>
      </c>
      <c r="W123" s="1" t="s">
        <v>40</v>
      </c>
      <c r="X123" s="1" t="s">
        <v>105</v>
      </c>
      <c r="Y123" s="1"/>
      <c r="Z123" s="1" t="s">
        <v>3333</v>
      </c>
      <c r="AA123" s="1"/>
      <c r="AB123" s="1" t="s">
        <v>56</v>
      </c>
      <c r="AC123" s="1"/>
      <c r="AD123" s="1">
        <v>3.5</v>
      </c>
      <c r="AE123" s="1" t="s">
        <v>76</v>
      </c>
      <c r="AF123" s="1"/>
    </row>
    <row r="124" spans="1:32" ht="18" customHeight="1">
      <c r="A124" s="1" t="s">
        <v>541</v>
      </c>
      <c r="B124" s="1" t="s">
        <v>542</v>
      </c>
      <c r="C124" s="4">
        <v>46141</v>
      </c>
      <c r="D124" s="4"/>
      <c r="E124" s="4" t="s">
        <v>3460</v>
      </c>
      <c r="F124" s="1" t="s">
        <v>118</v>
      </c>
      <c r="G124" s="1" t="s">
        <v>3461</v>
      </c>
      <c r="H124" s="1" t="s">
        <v>3407</v>
      </c>
      <c r="I124" s="1" t="s">
        <v>70</v>
      </c>
      <c r="J124" s="1" t="s">
        <v>62</v>
      </c>
      <c r="K124" s="1" t="s">
        <v>543</v>
      </c>
      <c r="L124" s="1" t="s">
        <v>225</v>
      </c>
      <c r="M124" s="1">
        <v>71.16</v>
      </c>
      <c r="N124" s="1" t="s">
        <v>53</v>
      </c>
      <c r="O124" s="1">
        <v>1000</v>
      </c>
      <c r="P124" s="1">
        <v>71160</v>
      </c>
      <c r="Q124" s="1">
        <v>2</v>
      </c>
      <c r="R124" s="7">
        <v>2E-3</v>
      </c>
      <c r="S124" s="1">
        <v>20</v>
      </c>
      <c r="T124" s="1">
        <v>22</v>
      </c>
      <c r="U124" s="1">
        <v>-2</v>
      </c>
      <c r="V124" s="1" t="s">
        <v>87</v>
      </c>
      <c r="W124" s="1" t="s">
        <v>40</v>
      </c>
      <c r="X124" s="1" t="s">
        <v>127</v>
      </c>
      <c r="Y124" s="1" t="s">
        <v>42</v>
      </c>
      <c r="Z124" s="1" t="s">
        <v>54</v>
      </c>
      <c r="AA124" s="1" t="s">
        <v>129</v>
      </c>
      <c r="AB124" s="1" t="s">
        <v>95</v>
      </c>
      <c r="AC124" s="1"/>
      <c r="AD124" s="1">
        <v>3</v>
      </c>
      <c r="AE124" s="1" t="s">
        <v>184</v>
      </c>
      <c r="AF124" s="1" t="s">
        <v>130</v>
      </c>
    </row>
    <row r="125" spans="1:32" ht="18" hidden="1" customHeight="1">
      <c r="A125" s="1" t="s">
        <v>544</v>
      </c>
      <c r="B125" s="1" t="s">
        <v>545</v>
      </c>
      <c r="C125" s="4" t="s">
        <v>3462</v>
      </c>
      <c r="D125" s="1">
        <v>46045</v>
      </c>
      <c r="E125" s="1" t="s">
        <v>3463</v>
      </c>
      <c r="F125" s="1" t="s">
        <v>256</v>
      </c>
      <c r="G125" s="1" t="s">
        <v>257</v>
      </c>
      <c r="H125" s="1" t="s">
        <v>3433</v>
      </c>
      <c r="I125" s="1" t="s">
        <v>83</v>
      </c>
      <c r="J125" s="1" t="s">
        <v>62</v>
      </c>
      <c r="K125" s="1" t="s">
        <v>546</v>
      </c>
      <c r="L125" s="1" t="s">
        <v>122</v>
      </c>
      <c r="M125" s="1">
        <v>229.38</v>
      </c>
      <c r="N125" s="1" t="s">
        <v>53</v>
      </c>
      <c r="O125" s="1">
        <v>300</v>
      </c>
      <c r="P125" s="1">
        <v>68814</v>
      </c>
      <c r="Q125" s="1">
        <v>20</v>
      </c>
      <c r="R125" s="7">
        <v>6.6699999999999995E-2</v>
      </c>
      <c r="S125" s="1">
        <v>20</v>
      </c>
      <c r="T125" s="1">
        <v>22</v>
      </c>
      <c r="U125" s="1">
        <v>-2</v>
      </c>
      <c r="V125" s="1" t="s">
        <v>270</v>
      </c>
      <c r="W125" s="1" t="s">
        <v>3384</v>
      </c>
      <c r="X125" s="1" t="s">
        <v>105</v>
      </c>
      <c r="Y125" s="1" t="s">
        <v>190</v>
      </c>
      <c r="Z125" s="1" t="s">
        <v>3330</v>
      </c>
      <c r="AA125" s="1" t="s">
        <v>3341</v>
      </c>
      <c r="AB125" s="1" t="s">
        <v>191</v>
      </c>
      <c r="AC125" s="1" t="s">
        <v>96</v>
      </c>
      <c r="AD125" s="1">
        <v>1.9</v>
      </c>
      <c r="AE125" s="1" t="s">
        <v>57</v>
      </c>
      <c r="AF125" s="1" t="s">
        <v>97</v>
      </c>
    </row>
    <row r="126" spans="1:32" ht="18" customHeight="1">
      <c r="A126" s="1" t="s">
        <v>547</v>
      </c>
      <c r="B126" s="1" t="s">
        <v>548</v>
      </c>
      <c r="C126" s="4">
        <v>46155</v>
      </c>
      <c r="D126" s="4">
        <v>46159</v>
      </c>
      <c r="E126" s="4">
        <v>46166</v>
      </c>
      <c r="F126" s="1" t="s">
        <v>151</v>
      </c>
      <c r="G126" s="1" t="s">
        <v>3353</v>
      </c>
      <c r="H126" s="1" t="s">
        <v>152</v>
      </c>
      <c r="I126" s="1" t="s">
        <v>178</v>
      </c>
      <c r="J126" s="1" t="s">
        <v>112</v>
      </c>
      <c r="K126" s="1" t="s">
        <v>549</v>
      </c>
      <c r="L126" s="1" t="s">
        <v>246</v>
      </c>
      <c r="M126" s="1">
        <v>401.97</v>
      </c>
      <c r="N126" s="1" t="s">
        <v>65</v>
      </c>
      <c r="O126" s="1">
        <v>250</v>
      </c>
      <c r="P126" s="1">
        <v>100492.5</v>
      </c>
      <c r="Q126" s="1">
        <v>0</v>
      </c>
      <c r="R126" s="7">
        <v>0</v>
      </c>
      <c r="S126" s="1">
        <v>11</v>
      </c>
      <c r="T126" s="1">
        <v>4</v>
      </c>
      <c r="U126" s="1">
        <v>7</v>
      </c>
      <c r="V126" s="1" t="s">
        <v>39</v>
      </c>
      <c r="W126" s="1" t="s">
        <v>40</v>
      </c>
      <c r="X126" s="1" t="s">
        <v>3329</v>
      </c>
      <c r="Y126" s="1" t="s">
        <v>66</v>
      </c>
      <c r="Z126" s="1" t="s">
        <v>128</v>
      </c>
      <c r="AA126" s="1" t="s">
        <v>136</v>
      </c>
      <c r="AB126" s="1" t="s">
        <v>56</v>
      </c>
      <c r="AC126" s="1"/>
      <c r="AD126" s="1">
        <v>1.9</v>
      </c>
      <c r="AE126" s="1" t="s">
        <v>139</v>
      </c>
      <c r="AF126" s="1" t="s">
        <v>46</v>
      </c>
    </row>
    <row r="127" spans="1:32" ht="18" customHeight="1">
      <c r="A127" s="1" t="s">
        <v>550</v>
      </c>
      <c r="B127" s="1" t="s">
        <v>551</v>
      </c>
      <c r="C127" s="4">
        <v>46026</v>
      </c>
      <c r="D127" s="4">
        <v>46041</v>
      </c>
      <c r="E127" s="4">
        <v>46040</v>
      </c>
      <c r="F127" s="1" t="s">
        <v>235</v>
      </c>
      <c r="G127" s="1" t="s">
        <v>236</v>
      </c>
      <c r="H127" s="1" t="s">
        <v>479</v>
      </c>
      <c r="I127" s="1" t="s">
        <v>49</v>
      </c>
      <c r="J127" s="1" t="s">
        <v>71</v>
      </c>
      <c r="K127" s="1" t="s">
        <v>552</v>
      </c>
      <c r="L127" s="1" t="s">
        <v>553</v>
      </c>
      <c r="M127" s="1">
        <v>553.29999999999995</v>
      </c>
      <c r="N127" s="1" t="s">
        <v>65</v>
      </c>
      <c r="O127" s="1">
        <v>750</v>
      </c>
      <c r="P127" s="1">
        <v>414975</v>
      </c>
      <c r="Q127" s="1">
        <v>10</v>
      </c>
      <c r="R127" s="7">
        <v>1.3299999999999999E-2</v>
      </c>
      <c r="S127" s="1">
        <v>14</v>
      </c>
      <c r="T127" s="1">
        <v>15</v>
      </c>
      <c r="U127" s="1">
        <v>-1</v>
      </c>
      <c r="V127" s="1" t="s">
        <v>3352</v>
      </c>
      <c r="W127" s="1" t="s">
        <v>40</v>
      </c>
      <c r="X127" s="1" t="s">
        <v>105</v>
      </c>
      <c r="Y127" s="1" t="s">
        <v>42</v>
      </c>
      <c r="Z127" s="1" t="s">
        <v>43</v>
      </c>
      <c r="AA127" s="1" t="s">
        <v>129</v>
      </c>
      <c r="AB127" s="1" t="s">
        <v>56</v>
      </c>
      <c r="AC127" s="1"/>
      <c r="AD127" s="1">
        <v>4.8</v>
      </c>
      <c r="AE127" s="1" t="s">
        <v>45</v>
      </c>
      <c r="AF127" s="1"/>
    </row>
    <row r="128" spans="1:32" ht="18" customHeight="1">
      <c r="A128" s="1" t="s">
        <v>554</v>
      </c>
      <c r="B128" s="1" t="s">
        <v>555</v>
      </c>
      <c r="C128" s="4">
        <v>46054</v>
      </c>
      <c r="D128" s="4">
        <v>46057</v>
      </c>
      <c r="E128" s="4">
        <v>46053</v>
      </c>
      <c r="F128" s="1" t="s">
        <v>162</v>
      </c>
      <c r="G128" s="1" t="s">
        <v>3444</v>
      </c>
      <c r="H128" s="1" t="s">
        <v>3354</v>
      </c>
      <c r="I128" s="1" t="s">
        <v>34</v>
      </c>
      <c r="J128" s="1" t="s">
        <v>163</v>
      </c>
      <c r="K128" s="1" t="s">
        <v>556</v>
      </c>
      <c r="L128" s="1" t="s">
        <v>171</v>
      </c>
      <c r="M128" s="1">
        <v>430.98</v>
      </c>
      <c r="N128" s="1" t="s">
        <v>65</v>
      </c>
      <c r="O128" s="1">
        <v>300</v>
      </c>
      <c r="P128" s="1">
        <v>129294</v>
      </c>
      <c r="Q128" s="1">
        <v>1</v>
      </c>
      <c r="R128" s="7">
        <v>3.3E-3</v>
      </c>
      <c r="S128" s="1">
        <v>-1</v>
      </c>
      <c r="T128" s="1">
        <v>3</v>
      </c>
      <c r="U128" s="1">
        <v>-4</v>
      </c>
      <c r="V128" s="1" t="s">
        <v>362</v>
      </c>
      <c r="W128" s="1" t="s">
        <v>40</v>
      </c>
      <c r="X128" s="1"/>
      <c r="Y128" s="1" t="s">
        <v>212</v>
      </c>
      <c r="Z128" s="1" t="s">
        <v>173</v>
      </c>
      <c r="AA128" s="1" t="s">
        <v>88</v>
      </c>
      <c r="AB128" s="1"/>
      <c r="AC128" s="1"/>
      <c r="AD128" s="1">
        <v>4</v>
      </c>
      <c r="AE128" s="1" t="s">
        <v>184</v>
      </c>
      <c r="AF128" s="1" t="s">
        <v>130</v>
      </c>
    </row>
    <row r="129" spans="1:32" ht="18" hidden="1" customHeight="1">
      <c r="A129" s="1" t="s">
        <v>557</v>
      </c>
      <c r="B129" s="1" t="s">
        <v>558</v>
      </c>
      <c r="C129" s="4" t="s">
        <v>3464</v>
      </c>
      <c r="D129" s="1" t="s">
        <v>3400</v>
      </c>
      <c r="E129" s="1">
        <v>46089</v>
      </c>
      <c r="F129" s="1" t="s">
        <v>80</v>
      </c>
      <c r="G129" s="1" t="s">
        <v>3413</v>
      </c>
      <c r="H129" s="1" t="s">
        <v>82</v>
      </c>
      <c r="I129" s="1" t="s">
        <v>61</v>
      </c>
      <c r="J129" s="1" t="s">
        <v>35</v>
      </c>
      <c r="K129" s="1" t="s">
        <v>559</v>
      </c>
      <c r="L129" s="1" t="s">
        <v>37</v>
      </c>
      <c r="M129" s="1">
        <v>3700.65</v>
      </c>
      <c r="N129" s="1" t="s">
        <v>159</v>
      </c>
      <c r="O129" s="1">
        <v>300</v>
      </c>
      <c r="P129" s="1">
        <v>1110195</v>
      </c>
      <c r="Q129" s="1">
        <v>13</v>
      </c>
      <c r="R129" s="7">
        <v>4.3299999999999998E-2</v>
      </c>
      <c r="S129" s="1">
        <v>23</v>
      </c>
      <c r="T129" s="1">
        <v>13</v>
      </c>
      <c r="U129" s="1">
        <v>10</v>
      </c>
      <c r="V129" s="1" t="s">
        <v>39</v>
      </c>
      <c r="W129" s="1" t="s">
        <v>366</v>
      </c>
      <c r="X129" s="1" t="s">
        <v>105</v>
      </c>
      <c r="Y129" s="1" t="s">
        <v>3334</v>
      </c>
      <c r="Z129" s="1" t="s">
        <v>107</v>
      </c>
      <c r="AA129" s="1" t="s">
        <v>136</v>
      </c>
      <c r="AB129" s="1" t="s">
        <v>44</v>
      </c>
      <c r="AC129" s="1" t="s">
        <v>75</v>
      </c>
      <c r="AD129" s="1">
        <v>1.4</v>
      </c>
      <c r="AE129" s="1" t="s">
        <v>45</v>
      </c>
      <c r="AF129" s="1" t="s">
        <v>77</v>
      </c>
    </row>
    <row r="130" spans="1:32" ht="18" customHeight="1">
      <c r="A130" s="1" t="s">
        <v>98</v>
      </c>
      <c r="B130" s="1" t="s">
        <v>560</v>
      </c>
      <c r="C130" s="4">
        <v>46023</v>
      </c>
      <c r="D130" s="4">
        <v>46039</v>
      </c>
      <c r="E130" s="4">
        <v>46041</v>
      </c>
      <c r="F130" s="1" t="s">
        <v>69</v>
      </c>
      <c r="G130" s="1" t="s">
        <v>3362</v>
      </c>
      <c r="H130" s="1" t="s">
        <v>194</v>
      </c>
      <c r="I130" s="1" t="s">
        <v>120</v>
      </c>
      <c r="J130" s="1" t="s">
        <v>112</v>
      </c>
      <c r="K130" s="1" t="s">
        <v>561</v>
      </c>
      <c r="L130" s="1" t="s">
        <v>218</v>
      </c>
      <c r="M130" s="1">
        <v>205.98</v>
      </c>
      <c r="N130" s="1" t="s">
        <v>104</v>
      </c>
      <c r="O130" s="1" t="s">
        <v>3465</v>
      </c>
      <c r="P130" s="1">
        <v>10299</v>
      </c>
      <c r="Q130" s="1">
        <v>0</v>
      </c>
      <c r="R130" s="7">
        <v>0</v>
      </c>
      <c r="S130" s="1">
        <v>18</v>
      </c>
      <c r="T130" s="1">
        <v>16</v>
      </c>
      <c r="U130" s="1">
        <v>2</v>
      </c>
      <c r="V130" s="1" t="s">
        <v>3323</v>
      </c>
      <c r="W130" s="1" t="s">
        <v>40</v>
      </c>
      <c r="X130" s="1" t="s">
        <v>146</v>
      </c>
      <c r="Y130" s="1" t="s">
        <v>106</v>
      </c>
      <c r="Z130" s="1"/>
      <c r="AA130" s="1"/>
      <c r="AB130" s="1" t="s">
        <v>137</v>
      </c>
      <c r="AC130" s="1"/>
      <c r="AD130" s="1">
        <v>2.7</v>
      </c>
      <c r="AE130" s="1" t="s">
        <v>115</v>
      </c>
      <c r="AF130" s="1" t="s">
        <v>148</v>
      </c>
    </row>
    <row r="131" spans="1:32" ht="18" customHeight="1">
      <c r="A131" s="1" t="s">
        <v>562</v>
      </c>
      <c r="B131" s="1" t="s">
        <v>563</v>
      </c>
      <c r="C131" s="4" t="s">
        <v>3364</v>
      </c>
      <c r="D131" s="4" t="s">
        <v>3400</v>
      </c>
      <c r="E131" s="4">
        <v>46110</v>
      </c>
      <c r="F131" s="1" t="s">
        <v>215</v>
      </c>
      <c r="G131" s="1" t="s">
        <v>216</v>
      </c>
      <c r="H131" s="1" t="s">
        <v>3408</v>
      </c>
      <c r="I131" s="1" t="s">
        <v>92</v>
      </c>
      <c r="J131" s="1" t="s">
        <v>112</v>
      </c>
      <c r="K131" s="1" t="s">
        <v>564</v>
      </c>
      <c r="L131" s="1" t="s">
        <v>246</v>
      </c>
      <c r="M131" s="1">
        <v>499.59</v>
      </c>
      <c r="N131" s="1" t="s">
        <v>53</v>
      </c>
      <c r="O131" s="1">
        <v>750</v>
      </c>
      <c r="P131" s="1">
        <v>374692.5</v>
      </c>
      <c r="Q131" s="1">
        <v>0</v>
      </c>
      <c r="R131" s="7">
        <v>0</v>
      </c>
      <c r="S131" s="1">
        <v>6</v>
      </c>
      <c r="T131" s="1">
        <v>8</v>
      </c>
      <c r="U131" s="1">
        <v>-2</v>
      </c>
      <c r="V131" s="1" t="s">
        <v>87</v>
      </c>
      <c r="W131" s="1" t="s">
        <v>40</v>
      </c>
      <c r="X131" s="1" t="s">
        <v>105</v>
      </c>
      <c r="Y131" s="1"/>
      <c r="Z131" s="1" t="s">
        <v>173</v>
      </c>
      <c r="AA131" s="1" t="s">
        <v>206</v>
      </c>
      <c r="AB131" s="1" t="s">
        <v>191</v>
      </c>
      <c r="AC131" s="1"/>
      <c r="AD131" s="1">
        <v>2.1</v>
      </c>
      <c r="AE131" s="1" t="s">
        <v>45</v>
      </c>
      <c r="AF131" s="1"/>
    </row>
    <row r="132" spans="1:32" ht="18" customHeight="1">
      <c r="A132" s="1" t="s">
        <v>565</v>
      </c>
      <c r="B132" s="1" t="s">
        <v>566</v>
      </c>
      <c r="C132" s="4">
        <v>46110</v>
      </c>
      <c r="D132" s="4">
        <v>46131</v>
      </c>
      <c r="E132" s="4">
        <v>46128</v>
      </c>
      <c r="F132" s="1" t="s">
        <v>118</v>
      </c>
      <c r="G132" s="1" t="s">
        <v>119</v>
      </c>
      <c r="H132" s="1" t="s">
        <v>3407</v>
      </c>
      <c r="I132" s="1" t="s">
        <v>61</v>
      </c>
      <c r="J132" s="1" t="s">
        <v>35</v>
      </c>
      <c r="K132" s="1" t="s">
        <v>567</v>
      </c>
      <c r="L132" s="1" t="s">
        <v>85</v>
      </c>
      <c r="M132" s="1">
        <v>2127.5100000000002</v>
      </c>
      <c r="N132" s="1" t="s">
        <v>86</v>
      </c>
      <c r="O132" s="1">
        <v>-750</v>
      </c>
      <c r="P132" s="1">
        <v>1595632.5</v>
      </c>
      <c r="Q132" s="1">
        <v>-1</v>
      </c>
      <c r="R132" s="7">
        <v>2.6700000000000002E-2</v>
      </c>
      <c r="S132" s="1">
        <v>18</v>
      </c>
      <c r="T132" s="1">
        <v>21</v>
      </c>
      <c r="U132" s="1">
        <v>-3</v>
      </c>
      <c r="V132" s="1" t="s">
        <v>87</v>
      </c>
      <c r="W132" s="1" t="s">
        <v>40</v>
      </c>
      <c r="X132" s="1" t="s">
        <v>41</v>
      </c>
      <c r="Y132" s="1" t="s">
        <v>106</v>
      </c>
      <c r="Z132" s="1"/>
      <c r="AA132" s="1" t="s">
        <v>206</v>
      </c>
      <c r="AB132" s="1" t="s">
        <v>191</v>
      </c>
      <c r="AC132" s="1"/>
      <c r="AD132" s="1">
        <v>3</v>
      </c>
      <c r="AE132" s="1" t="s">
        <v>45</v>
      </c>
      <c r="AF132" s="1"/>
    </row>
    <row r="133" spans="1:32" ht="18" customHeight="1">
      <c r="A133" s="1" t="s">
        <v>568</v>
      </c>
      <c r="B133" s="1" t="s">
        <v>569</v>
      </c>
      <c r="C133" s="4">
        <v>46027</v>
      </c>
      <c r="D133" s="4"/>
      <c r="E133" s="4">
        <v>46041</v>
      </c>
      <c r="F133" s="1" t="s">
        <v>215</v>
      </c>
      <c r="G133" s="1" t="s">
        <v>216</v>
      </c>
      <c r="H133" s="1" t="s">
        <v>3327</v>
      </c>
      <c r="I133" s="1" t="s">
        <v>49</v>
      </c>
      <c r="J133" s="1" t="s">
        <v>62</v>
      </c>
      <c r="K133" s="1" t="s">
        <v>570</v>
      </c>
      <c r="L133" s="1" t="s">
        <v>122</v>
      </c>
      <c r="M133" s="1">
        <v>232.72</v>
      </c>
      <c r="N133" s="1" t="s">
        <v>86</v>
      </c>
      <c r="O133" s="1">
        <v>50</v>
      </c>
      <c r="P133" s="1">
        <v>11636</v>
      </c>
      <c r="Q133" s="1">
        <v>0</v>
      </c>
      <c r="R133" s="7">
        <v>0</v>
      </c>
      <c r="S133" s="1">
        <v>14</v>
      </c>
      <c r="T133" s="1">
        <v>4</v>
      </c>
      <c r="U133" s="1">
        <v>10</v>
      </c>
      <c r="V133" s="1" t="s">
        <v>3328</v>
      </c>
      <c r="W133" s="1" t="s">
        <v>40</v>
      </c>
      <c r="X133" s="1" t="s">
        <v>41</v>
      </c>
      <c r="Y133" s="1" t="s">
        <v>42</v>
      </c>
      <c r="Z133" s="1" t="s">
        <v>128</v>
      </c>
      <c r="AA133" s="1"/>
      <c r="AB133" s="1" t="s">
        <v>56</v>
      </c>
      <c r="AC133" s="1"/>
      <c r="AD133" s="1">
        <v>1.3</v>
      </c>
      <c r="AE133" s="1" t="s">
        <v>139</v>
      </c>
      <c r="AF133" s="1" t="s">
        <v>46</v>
      </c>
    </row>
    <row r="134" spans="1:32" ht="18" customHeight="1">
      <c r="A134" s="1" t="s">
        <v>571</v>
      </c>
      <c r="B134" s="1" t="s">
        <v>572</v>
      </c>
      <c r="C134" s="4">
        <v>46117</v>
      </c>
      <c r="D134" s="4">
        <v>46129</v>
      </c>
      <c r="E134" s="4">
        <v>46126</v>
      </c>
      <c r="F134" s="1" t="s">
        <v>69</v>
      </c>
      <c r="G134" s="1" t="s">
        <v>3362</v>
      </c>
      <c r="H134" s="1" t="s">
        <v>194</v>
      </c>
      <c r="I134" s="1" t="s">
        <v>70</v>
      </c>
      <c r="J134" s="1" t="s">
        <v>112</v>
      </c>
      <c r="K134" s="1" t="s">
        <v>573</v>
      </c>
      <c r="L134" s="1" t="s">
        <v>229</v>
      </c>
      <c r="M134" s="1">
        <v>801.78</v>
      </c>
      <c r="N134" s="1" t="s">
        <v>86</v>
      </c>
      <c r="O134" s="1">
        <v>150</v>
      </c>
      <c r="P134" s="1">
        <v>120267</v>
      </c>
      <c r="Q134" s="1">
        <v>169</v>
      </c>
      <c r="R134" s="7">
        <v>2.6700000000000002E-2</v>
      </c>
      <c r="S134" s="1">
        <v>9</v>
      </c>
      <c r="T134" s="1">
        <v>12</v>
      </c>
      <c r="U134" s="1">
        <v>-3</v>
      </c>
      <c r="V134" s="1" t="s">
        <v>270</v>
      </c>
      <c r="W134" s="1" t="s">
        <v>40</v>
      </c>
      <c r="X134" s="1" t="s">
        <v>105</v>
      </c>
      <c r="Y134" s="1"/>
      <c r="Z134" s="1" t="s">
        <v>54</v>
      </c>
      <c r="AA134" s="1" t="s">
        <v>129</v>
      </c>
      <c r="AB134" s="1" t="s">
        <v>95</v>
      </c>
      <c r="AC134" s="1"/>
      <c r="AD134" s="1">
        <v>3.7</v>
      </c>
      <c r="AE134" s="1" t="s">
        <v>108</v>
      </c>
      <c r="AF134" s="1"/>
    </row>
    <row r="135" spans="1:32" ht="18" customHeight="1">
      <c r="A135" s="1" t="s">
        <v>574</v>
      </c>
      <c r="B135" s="1" t="s">
        <v>575</v>
      </c>
      <c r="C135" s="4" t="s">
        <v>3466</v>
      </c>
      <c r="D135" s="4">
        <v>46142</v>
      </c>
      <c r="E135" s="4">
        <v>46151</v>
      </c>
      <c r="F135" s="1" t="s">
        <v>48</v>
      </c>
      <c r="G135" s="1" t="s">
        <v>3467</v>
      </c>
      <c r="H135" s="1"/>
      <c r="I135" s="1" t="s">
        <v>49</v>
      </c>
      <c r="J135" s="1" t="s">
        <v>163</v>
      </c>
      <c r="K135" s="1" t="s">
        <v>576</v>
      </c>
      <c r="L135" s="1" t="s">
        <v>171</v>
      </c>
      <c r="M135" s="1">
        <v>91.9</v>
      </c>
      <c r="N135" s="1" t="s">
        <v>53</v>
      </c>
      <c r="O135" s="1">
        <v>75</v>
      </c>
      <c r="P135" s="1" t="s">
        <v>3468</v>
      </c>
      <c r="Q135" s="1">
        <v>3</v>
      </c>
      <c r="R135" s="7">
        <v>0.04</v>
      </c>
      <c r="S135" s="1">
        <v>22</v>
      </c>
      <c r="T135" s="1">
        <v>13</v>
      </c>
      <c r="U135" s="1">
        <v>9</v>
      </c>
      <c r="V135" s="1" t="s">
        <v>39</v>
      </c>
      <c r="W135" s="1" t="s">
        <v>40</v>
      </c>
      <c r="X135" s="1" t="s">
        <v>105</v>
      </c>
      <c r="Y135" s="1" t="s">
        <v>42</v>
      </c>
      <c r="Z135" s="1" t="s">
        <v>128</v>
      </c>
      <c r="AA135" s="1" t="s">
        <v>88</v>
      </c>
      <c r="AB135" s="1"/>
      <c r="AC135" s="1"/>
      <c r="AD135" s="1">
        <v>1.1000000000000001</v>
      </c>
      <c r="AE135" s="1" t="s">
        <v>108</v>
      </c>
      <c r="AF135" s="1" t="s">
        <v>46</v>
      </c>
    </row>
    <row r="136" spans="1:32" ht="18" customHeight="1">
      <c r="A136" s="1" t="s">
        <v>577</v>
      </c>
      <c r="B136" s="1" t="s">
        <v>578</v>
      </c>
      <c r="C136" s="4">
        <v>46038</v>
      </c>
      <c r="D136" s="4" t="s">
        <v>3436</v>
      </c>
      <c r="E136" s="4">
        <v>46052</v>
      </c>
      <c r="F136" s="1" t="s">
        <v>235</v>
      </c>
      <c r="G136" s="1" t="s">
        <v>236</v>
      </c>
      <c r="H136" s="1" t="s">
        <v>3374</v>
      </c>
      <c r="I136" s="1" t="s">
        <v>49</v>
      </c>
      <c r="J136" s="1" t="s">
        <v>112</v>
      </c>
      <c r="K136" s="1" t="s">
        <v>579</v>
      </c>
      <c r="L136" s="1" t="s">
        <v>218</v>
      </c>
      <c r="M136" s="1">
        <v>382.23</v>
      </c>
      <c r="N136" s="1" t="s">
        <v>159</v>
      </c>
      <c r="O136" s="1">
        <v>-1500</v>
      </c>
      <c r="P136" s="1">
        <v>573345</v>
      </c>
      <c r="Q136" s="1">
        <v>44</v>
      </c>
      <c r="R136" s="7">
        <v>2.93E-2</v>
      </c>
      <c r="S136" s="1">
        <v>14</v>
      </c>
      <c r="T136" s="1">
        <v>21</v>
      </c>
      <c r="U136" s="1">
        <v>-7</v>
      </c>
      <c r="V136" s="1" t="s">
        <v>87</v>
      </c>
      <c r="W136" s="1" t="s">
        <v>40</v>
      </c>
      <c r="X136" s="1" t="s">
        <v>105</v>
      </c>
      <c r="Y136" s="1" t="s">
        <v>3334</v>
      </c>
      <c r="Z136" s="1" t="s">
        <v>3333</v>
      </c>
      <c r="AA136" s="1" t="s">
        <v>206</v>
      </c>
      <c r="AB136" s="1" t="s">
        <v>137</v>
      </c>
      <c r="AC136" s="1"/>
      <c r="AD136" s="1">
        <v>3.2</v>
      </c>
      <c r="AE136" s="1" t="s">
        <v>184</v>
      </c>
      <c r="AF136" s="1"/>
    </row>
    <row r="137" spans="1:32" ht="18" customHeight="1">
      <c r="A137" s="1" t="s">
        <v>580</v>
      </c>
      <c r="B137" s="1" t="s">
        <v>581</v>
      </c>
      <c r="C137" s="4">
        <v>46056</v>
      </c>
      <c r="D137" s="4">
        <v>46061</v>
      </c>
      <c r="E137" s="4">
        <v>46066</v>
      </c>
      <c r="F137" s="1" t="s">
        <v>151</v>
      </c>
      <c r="G137" s="1" t="s">
        <v>3353</v>
      </c>
      <c r="H137" s="1" t="s">
        <v>3354</v>
      </c>
      <c r="I137" s="1" t="s">
        <v>120</v>
      </c>
      <c r="J137" s="1" t="s">
        <v>112</v>
      </c>
      <c r="K137" s="1" t="s">
        <v>582</v>
      </c>
      <c r="L137" s="1" t="s">
        <v>229</v>
      </c>
      <c r="M137" s="1">
        <v>164.82</v>
      </c>
      <c r="N137" s="1" t="s">
        <v>159</v>
      </c>
      <c r="O137" s="1">
        <v>75</v>
      </c>
      <c r="P137" s="1">
        <v>12361.5</v>
      </c>
      <c r="Q137" s="1">
        <v>3</v>
      </c>
      <c r="R137" s="7">
        <v>0.04</v>
      </c>
      <c r="S137" s="1">
        <v>10</v>
      </c>
      <c r="T137" s="1">
        <v>5</v>
      </c>
      <c r="U137" s="1">
        <v>5</v>
      </c>
      <c r="V137" s="1" t="s">
        <v>3328</v>
      </c>
      <c r="W137" s="1" t="s">
        <v>40</v>
      </c>
      <c r="X137" s="1" t="s">
        <v>105</v>
      </c>
      <c r="Y137" s="1"/>
      <c r="Z137" s="1" t="s">
        <v>3330</v>
      </c>
      <c r="AA137" s="1" t="s">
        <v>129</v>
      </c>
      <c r="AB137" s="1" t="s">
        <v>44</v>
      </c>
      <c r="AC137" s="1"/>
      <c r="AD137" s="1">
        <v>2.2999999999999998</v>
      </c>
      <c r="AE137" s="1" t="s">
        <v>115</v>
      </c>
      <c r="AF137" s="1" t="s">
        <v>46</v>
      </c>
    </row>
    <row r="138" spans="1:32" ht="18" customHeight="1">
      <c r="A138" s="1" t="s">
        <v>583</v>
      </c>
      <c r="B138" s="1" t="s">
        <v>584</v>
      </c>
      <c r="C138" s="4">
        <v>46203</v>
      </c>
      <c r="D138" s="4">
        <v>46211</v>
      </c>
      <c r="E138" s="4" t="s">
        <v>3452</v>
      </c>
      <c r="F138" s="1" t="s">
        <v>209</v>
      </c>
      <c r="G138" s="1" t="s">
        <v>210</v>
      </c>
      <c r="H138" s="1" t="s">
        <v>3365</v>
      </c>
      <c r="I138" s="1" t="s">
        <v>92</v>
      </c>
      <c r="J138" s="1" t="s">
        <v>163</v>
      </c>
      <c r="K138" s="1" t="s">
        <v>585</v>
      </c>
      <c r="L138" s="1" t="s">
        <v>171</v>
      </c>
      <c r="M138" s="1">
        <v>346.46</v>
      </c>
      <c r="N138" s="1" t="s">
        <v>104</v>
      </c>
      <c r="O138" s="1">
        <v>2000</v>
      </c>
      <c r="P138" s="1">
        <v>692920</v>
      </c>
      <c r="Q138" s="1">
        <v>49</v>
      </c>
      <c r="R138" s="7">
        <v>2.4500000000000001E-2</v>
      </c>
      <c r="S138" s="1">
        <v>14</v>
      </c>
      <c r="T138" s="1">
        <v>8</v>
      </c>
      <c r="U138" s="1">
        <v>6</v>
      </c>
      <c r="V138" s="1" t="s">
        <v>205</v>
      </c>
      <c r="W138" s="1" t="s">
        <v>40</v>
      </c>
      <c r="X138" s="1" t="s">
        <v>105</v>
      </c>
      <c r="Y138" s="1" t="s">
        <v>66</v>
      </c>
      <c r="Z138" s="1" t="s">
        <v>173</v>
      </c>
      <c r="AA138" s="1" t="s">
        <v>174</v>
      </c>
      <c r="AB138" s="1" t="s">
        <v>191</v>
      </c>
      <c r="AC138" s="1"/>
      <c r="AD138" s="1">
        <v>2.7</v>
      </c>
      <c r="AE138" s="1" t="s">
        <v>57</v>
      </c>
      <c r="AF138" s="1" t="s">
        <v>46</v>
      </c>
    </row>
    <row r="139" spans="1:32" ht="18" customHeight="1">
      <c r="A139" s="1" t="s">
        <v>586</v>
      </c>
      <c r="B139" s="1" t="s">
        <v>587</v>
      </c>
      <c r="C139" s="4" t="s">
        <v>3469</v>
      </c>
      <c r="D139" s="4"/>
      <c r="E139" s="4">
        <v>46114</v>
      </c>
      <c r="F139" s="1" t="s">
        <v>215</v>
      </c>
      <c r="G139" s="1" t="s">
        <v>216</v>
      </c>
      <c r="H139" s="1"/>
      <c r="I139" s="1" t="s">
        <v>241</v>
      </c>
      <c r="J139" s="1" t="s">
        <v>112</v>
      </c>
      <c r="K139" s="1" t="s">
        <v>588</v>
      </c>
      <c r="L139" s="1" t="s">
        <v>229</v>
      </c>
      <c r="M139" s="1">
        <v>342.13</v>
      </c>
      <c r="N139" s="1" t="s">
        <v>86</v>
      </c>
      <c r="O139" s="1">
        <v>2000</v>
      </c>
      <c r="P139" s="1">
        <v>684260</v>
      </c>
      <c r="Q139" s="1">
        <v>4</v>
      </c>
      <c r="R139" s="7">
        <v>2E-3</v>
      </c>
      <c r="S139" s="1">
        <v>-1</v>
      </c>
      <c r="T139" s="1">
        <v>11</v>
      </c>
      <c r="U139" s="1">
        <v>-12</v>
      </c>
      <c r="V139" s="1" t="s">
        <v>362</v>
      </c>
      <c r="W139" s="1" t="s">
        <v>40</v>
      </c>
      <c r="X139" s="1" t="s">
        <v>127</v>
      </c>
      <c r="Y139" s="1" t="s">
        <v>66</v>
      </c>
      <c r="Z139" s="1" t="s">
        <v>43</v>
      </c>
      <c r="AA139" s="1" t="s">
        <v>206</v>
      </c>
      <c r="AB139" s="1" t="s">
        <v>44</v>
      </c>
      <c r="AC139" s="1"/>
      <c r="AD139" s="1">
        <v>2.5</v>
      </c>
      <c r="AE139" s="1" t="s">
        <v>139</v>
      </c>
      <c r="AF139" s="1" t="s">
        <v>130</v>
      </c>
    </row>
    <row r="140" spans="1:32" ht="18" customHeight="1">
      <c r="A140" s="1" t="s">
        <v>589</v>
      </c>
      <c r="B140" s="1" t="s">
        <v>590</v>
      </c>
      <c r="C140" s="4">
        <v>46116</v>
      </c>
      <c r="D140" s="4">
        <v>46125</v>
      </c>
      <c r="E140" s="4" t="s">
        <v>3400</v>
      </c>
      <c r="F140" s="1" t="s">
        <v>162</v>
      </c>
      <c r="G140" s="1" t="s">
        <v>3356</v>
      </c>
      <c r="H140" s="1" t="s">
        <v>3354</v>
      </c>
      <c r="I140" s="1" t="s">
        <v>70</v>
      </c>
      <c r="J140" s="1" t="s">
        <v>163</v>
      </c>
      <c r="K140" s="1" t="s">
        <v>591</v>
      </c>
      <c r="L140" s="1" t="s">
        <v>269</v>
      </c>
      <c r="M140" s="1">
        <v>4168.6899999999996</v>
      </c>
      <c r="N140" s="1" t="s">
        <v>53</v>
      </c>
      <c r="O140" s="1">
        <v>1000</v>
      </c>
      <c r="P140" s="1">
        <v>4168690</v>
      </c>
      <c r="Q140" s="1">
        <v>0</v>
      </c>
      <c r="R140" s="7">
        <v>0</v>
      </c>
      <c r="S140" s="1">
        <v>9</v>
      </c>
      <c r="T140" s="1">
        <v>9</v>
      </c>
      <c r="U140" s="1">
        <v>0</v>
      </c>
      <c r="V140" s="1" t="s">
        <v>87</v>
      </c>
      <c r="W140" s="1" t="s">
        <v>40</v>
      </c>
      <c r="X140" s="1" t="s">
        <v>105</v>
      </c>
      <c r="Y140" s="1" t="s">
        <v>212</v>
      </c>
      <c r="Z140" s="1" t="s">
        <v>128</v>
      </c>
      <c r="AA140" s="1" t="s">
        <v>88</v>
      </c>
      <c r="AB140" s="1" t="s">
        <v>191</v>
      </c>
      <c r="AC140" s="1"/>
      <c r="AD140" s="1">
        <v>3.1</v>
      </c>
      <c r="AE140" s="1" t="s">
        <v>45</v>
      </c>
      <c r="AF140" s="1"/>
    </row>
    <row r="141" spans="1:32" ht="18" customHeight="1">
      <c r="A141" s="1" t="s">
        <v>592</v>
      </c>
      <c r="B141" s="1" t="s">
        <v>593</v>
      </c>
      <c r="C141" s="4">
        <v>46166</v>
      </c>
      <c r="D141" s="4">
        <v>46179</v>
      </c>
      <c r="E141" s="4">
        <v>46176</v>
      </c>
      <c r="F141" s="1" t="s">
        <v>100</v>
      </c>
      <c r="G141" s="1" t="s">
        <v>3343</v>
      </c>
      <c r="H141" s="1" t="s">
        <v>3322</v>
      </c>
      <c r="I141" s="1" t="s">
        <v>241</v>
      </c>
      <c r="J141" s="1" t="s">
        <v>35</v>
      </c>
      <c r="K141" s="1" t="s">
        <v>594</v>
      </c>
      <c r="L141" s="1" t="s">
        <v>85</v>
      </c>
      <c r="M141" s="1">
        <v>1592.15</v>
      </c>
      <c r="N141" s="1" t="s">
        <v>104</v>
      </c>
      <c r="O141" s="1">
        <v>500</v>
      </c>
      <c r="P141" s="1">
        <v>796075</v>
      </c>
      <c r="Q141" s="1">
        <v>7</v>
      </c>
      <c r="R141" s="7">
        <v>1.4E-2</v>
      </c>
      <c r="S141" s="1">
        <v>10</v>
      </c>
      <c r="T141" s="1">
        <v>13</v>
      </c>
      <c r="U141" s="1">
        <v>-3</v>
      </c>
      <c r="V141" s="1" t="s">
        <v>87</v>
      </c>
      <c r="W141" s="1" t="s">
        <v>40</v>
      </c>
      <c r="X141" s="1" t="s">
        <v>41</v>
      </c>
      <c r="Y141" s="1"/>
      <c r="Z141" s="1" t="s">
        <v>43</v>
      </c>
      <c r="AA141" s="1" t="s">
        <v>206</v>
      </c>
      <c r="AB141" s="1" t="s">
        <v>191</v>
      </c>
      <c r="AC141" s="1"/>
      <c r="AD141" s="1">
        <v>4</v>
      </c>
      <c r="AE141" s="1" t="s">
        <v>115</v>
      </c>
      <c r="AF141" s="1"/>
    </row>
    <row r="142" spans="1:32" ht="18" customHeight="1">
      <c r="A142" s="1" t="s">
        <v>595</v>
      </c>
      <c r="B142" s="1" t="s">
        <v>596</v>
      </c>
      <c r="C142" s="4" t="s">
        <v>3456</v>
      </c>
      <c r="D142" s="4">
        <v>46163</v>
      </c>
      <c r="E142" s="4">
        <v>46175</v>
      </c>
      <c r="F142" s="1" t="s">
        <v>162</v>
      </c>
      <c r="G142" s="1" t="s">
        <v>3444</v>
      </c>
      <c r="H142" s="1" t="s">
        <v>3408</v>
      </c>
      <c r="I142" s="1" t="s">
        <v>120</v>
      </c>
      <c r="J142" s="1" t="s">
        <v>163</v>
      </c>
      <c r="K142" s="1" t="s">
        <v>597</v>
      </c>
      <c r="L142" s="1" t="s">
        <v>171</v>
      </c>
      <c r="M142" s="1">
        <v>1882.68</v>
      </c>
      <c r="N142" s="1" t="s">
        <v>86</v>
      </c>
      <c r="O142" s="1">
        <v>150</v>
      </c>
      <c r="P142" s="1">
        <v>282402</v>
      </c>
      <c r="Q142" s="1">
        <v>-1</v>
      </c>
      <c r="R142" s="7">
        <v>0</v>
      </c>
      <c r="S142" s="1">
        <v>20</v>
      </c>
      <c r="T142" s="1">
        <v>8</v>
      </c>
      <c r="U142" s="1">
        <v>12</v>
      </c>
      <c r="V142" s="1" t="s">
        <v>39</v>
      </c>
      <c r="W142" s="1" t="s">
        <v>40</v>
      </c>
      <c r="X142" s="1" t="s">
        <v>127</v>
      </c>
      <c r="Y142" s="1" t="s">
        <v>3334</v>
      </c>
      <c r="Z142" s="1" t="s">
        <v>54</v>
      </c>
      <c r="AA142" s="1" t="s">
        <v>3341</v>
      </c>
      <c r="AB142" s="1" t="s">
        <v>44</v>
      </c>
      <c r="AC142" s="1"/>
      <c r="AD142" s="1">
        <v>2.5</v>
      </c>
      <c r="AE142" s="1" t="s">
        <v>76</v>
      </c>
      <c r="AF142" s="1" t="s">
        <v>148</v>
      </c>
    </row>
    <row r="143" spans="1:32" ht="18" customHeight="1">
      <c r="A143" s="1" t="s">
        <v>598</v>
      </c>
      <c r="B143" s="1" t="s">
        <v>599</v>
      </c>
      <c r="C143" s="4">
        <v>46164</v>
      </c>
      <c r="D143" s="4">
        <v>46179</v>
      </c>
      <c r="E143" s="4">
        <v>46179</v>
      </c>
      <c r="F143" s="1" t="s">
        <v>80</v>
      </c>
      <c r="G143" s="1" t="s">
        <v>3470</v>
      </c>
      <c r="H143" s="1" t="s">
        <v>3414</v>
      </c>
      <c r="I143" s="1" t="s">
        <v>70</v>
      </c>
      <c r="J143" s="1" t="s">
        <v>35</v>
      </c>
      <c r="K143" s="1" t="s">
        <v>600</v>
      </c>
      <c r="L143" s="1" t="s">
        <v>37</v>
      </c>
      <c r="M143" s="1">
        <v>854.71</v>
      </c>
      <c r="N143" s="1" t="s">
        <v>86</v>
      </c>
      <c r="O143" s="1">
        <v>1000</v>
      </c>
      <c r="P143" s="1">
        <v>854710</v>
      </c>
      <c r="Q143" s="1">
        <v>9</v>
      </c>
      <c r="R143" s="7">
        <v>8.9999999999999993E-3</v>
      </c>
      <c r="S143" s="1">
        <v>15</v>
      </c>
      <c r="T143" s="1">
        <v>15</v>
      </c>
      <c r="U143" s="1">
        <v>0</v>
      </c>
      <c r="V143" s="1" t="s">
        <v>3337</v>
      </c>
      <c r="W143" s="1" t="s">
        <v>40</v>
      </c>
      <c r="X143" s="1" t="s">
        <v>105</v>
      </c>
      <c r="Y143" s="1" t="s">
        <v>190</v>
      </c>
      <c r="Z143" s="1" t="s">
        <v>43</v>
      </c>
      <c r="AA143" s="1" t="s">
        <v>88</v>
      </c>
      <c r="AB143" s="1" t="s">
        <v>147</v>
      </c>
      <c r="AC143" s="1"/>
      <c r="AD143" s="1">
        <v>4.5999999999999996</v>
      </c>
      <c r="AE143" s="1" t="s">
        <v>108</v>
      </c>
      <c r="AF143" s="1"/>
    </row>
    <row r="144" spans="1:32" ht="18" customHeight="1">
      <c r="A144" s="1" t="s">
        <v>601</v>
      </c>
      <c r="B144" s="1" t="s">
        <v>602</v>
      </c>
      <c r="C144" s="4" t="s">
        <v>3471</v>
      </c>
      <c r="D144" s="4">
        <v>46203</v>
      </c>
      <c r="E144" s="4">
        <v>46206</v>
      </c>
      <c r="F144" s="1" t="s">
        <v>162</v>
      </c>
      <c r="G144" s="1" t="s">
        <v>3383</v>
      </c>
      <c r="H144" s="1" t="s">
        <v>3354</v>
      </c>
      <c r="I144" s="1" t="s">
        <v>49</v>
      </c>
      <c r="J144" s="1" t="s">
        <v>163</v>
      </c>
      <c r="K144" s="1" t="s">
        <v>603</v>
      </c>
      <c r="L144" s="1" t="s">
        <v>269</v>
      </c>
      <c r="M144" s="1">
        <v>1950.02</v>
      </c>
      <c r="N144" s="1" t="s">
        <v>86</v>
      </c>
      <c r="O144" s="1">
        <v>200</v>
      </c>
      <c r="P144" s="1">
        <v>390004</v>
      </c>
      <c r="Q144" s="1">
        <v>1</v>
      </c>
      <c r="R144" s="7">
        <v>5.0000000000000001E-3</v>
      </c>
      <c r="S144" s="1">
        <v>12</v>
      </c>
      <c r="T144" s="1">
        <v>9</v>
      </c>
      <c r="U144" s="1">
        <v>3</v>
      </c>
      <c r="V144" s="1" t="s">
        <v>166</v>
      </c>
      <c r="W144" s="1" t="s">
        <v>40</v>
      </c>
      <c r="X144" s="1" t="s">
        <v>41</v>
      </c>
      <c r="Y144" s="1" t="s">
        <v>3334</v>
      </c>
      <c r="Z144" s="1" t="s">
        <v>43</v>
      </c>
      <c r="AA144" s="1"/>
      <c r="AB144" s="1" t="s">
        <v>44</v>
      </c>
      <c r="AC144" s="1"/>
      <c r="AD144" s="1">
        <v>3</v>
      </c>
      <c r="AE144" s="1" t="s">
        <v>76</v>
      </c>
      <c r="AF144" s="1" t="s">
        <v>46</v>
      </c>
    </row>
    <row r="145" spans="1:32" ht="18" hidden="1" customHeight="1">
      <c r="A145" s="1" t="s">
        <v>604</v>
      </c>
      <c r="B145" s="1" t="s">
        <v>605</v>
      </c>
      <c r="C145" s="4">
        <v>46119</v>
      </c>
      <c r="D145" s="1">
        <v>46132</v>
      </c>
      <c r="E145" s="1">
        <v>46136</v>
      </c>
      <c r="F145" s="1" t="s">
        <v>48</v>
      </c>
      <c r="G145" s="1" t="s">
        <v>232</v>
      </c>
      <c r="H145" s="1" t="s">
        <v>102</v>
      </c>
      <c r="I145" s="1" t="s">
        <v>61</v>
      </c>
      <c r="J145" s="1" t="s">
        <v>50</v>
      </c>
      <c r="K145" s="1" t="s">
        <v>606</v>
      </c>
      <c r="L145" s="1" t="s">
        <v>126</v>
      </c>
      <c r="M145" s="1">
        <v>2244.2199999999998</v>
      </c>
      <c r="N145" s="1" t="s">
        <v>104</v>
      </c>
      <c r="O145" s="1">
        <v>2000</v>
      </c>
      <c r="P145" s="1">
        <v>4488440</v>
      </c>
      <c r="Q145" s="1">
        <v>182</v>
      </c>
      <c r="R145" s="7">
        <v>9.0999999999999998E-2</v>
      </c>
      <c r="S145" s="1">
        <v>17</v>
      </c>
      <c r="T145" s="1">
        <v>13</v>
      </c>
      <c r="U145" s="1">
        <v>4</v>
      </c>
      <c r="V145" s="1" t="s">
        <v>39</v>
      </c>
      <c r="W145" s="1" t="s">
        <v>74</v>
      </c>
      <c r="X145" s="1"/>
      <c r="Y145" s="1" t="s">
        <v>212</v>
      </c>
      <c r="Z145" s="1" t="s">
        <v>3330</v>
      </c>
      <c r="AA145" s="1" t="s">
        <v>136</v>
      </c>
      <c r="AB145" s="1" t="s">
        <v>44</v>
      </c>
      <c r="AC145" s="1" t="s">
        <v>183</v>
      </c>
      <c r="AD145" s="1">
        <v>2.6</v>
      </c>
      <c r="AE145" s="1" t="s">
        <v>115</v>
      </c>
      <c r="AF145" s="1" t="s">
        <v>185</v>
      </c>
    </row>
    <row r="146" spans="1:32" ht="18" customHeight="1">
      <c r="A146" s="1" t="s">
        <v>607</v>
      </c>
      <c r="B146" s="1" t="s">
        <v>608</v>
      </c>
      <c r="C146" s="4" t="s">
        <v>3397</v>
      </c>
      <c r="D146" s="4">
        <v>46163</v>
      </c>
      <c r="E146" s="4">
        <v>46160</v>
      </c>
      <c r="F146" s="1" t="s">
        <v>256</v>
      </c>
      <c r="G146" s="1" t="s">
        <v>257</v>
      </c>
      <c r="H146" s="1" t="s">
        <v>3433</v>
      </c>
      <c r="I146" s="1" t="s">
        <v>92</v>
      </c>
      <c r="J146" s="1" t="s">
        <v>153</v>
      </c>
      <c r="K146" s="1" t="s">
        <v>609</v>
      </c>
      <c r="L146" s="1" t="s">
        <v>204</v>
      </c>
      <c r="M146" s="1">
        <v>146.22</v>
      </c>
      <c r="N146" s="1" t="s">
        <v>53</v>
      </c>
      <c r="O146" s="1">
        <v>200</v>
      </c>
      <c r="P146" s="1">
        <v>29244</v>
      </c>
      <c r="Q146" s="1">
        <v>3</v>
      </c>
      <c r="R146" s="7">
        <v>1.4999999999999999E-2</v>
      </c>
      <c r="S146" s="1">
        <v>22</v>
      </c>
      <c r="T146" s="1">
        <v>25</v>
      </c>
      <c r="U146" s="1">
        <v>-3</v>
      </c>
      <c r="V146" s="1" t="s">
        <v>87</v>
      </c>
      <c r="W146" s="1" t="s">
        <v>40</v>
      </c>
      <c r="X146" s="1" t="s">
        <v>3324</v>
      </c>
      <c r="Y146" s="1" t="s">
        <v>3334</v>
      </c>
      <c r="Z146" s="1" t="s">
        <v>3333</v>
      </c>
      <c r="AA146" s="1" t="s">
        <v>136</v>
      </c>
      <c r="AB146" s="1" t="s">
        <v>95</v>
      </c>
      <c r="AC146" s="1"/>
      <c r="AD146" s="1">
        <v>4.4000000000000004</v>
      </c>
      <c r="AE146" s="1" t="s">
        <v>115</v>
      </c>
      <c r="AF146" s="1"/>
    </row>
    <row r="147" spans="1:32" ht="18" customHeight="1">
      <c r="A147" s="1" t="s">
        <v>610</v>
      </c>
      <c r="B147" s="1" t="s">
        <v>611</v>
      </c>
      <c r="C147" s="4">
        <v>46194</v>
      </c>
      <c r="D147" s="4"/>
      <c r="E147" s="4">
        <v>46199</v>
      </c>
      <c r="F147" s="1" t="s">
        <v>90</v>
      </c>
      <c r="G147" s="1" t="s">
        <v>91</v>
      </c>
      <c r="H147" s="1" t="s">
        <v>3425</v>
      </c>
      <c r="I147" s="1" t="s">
        <v>120</v>
      </c>
      <c r="J147" s="1" t="s">
        <v>71</v>
      </c>
      <c r="K147" s="1" t="s">
        <v>612</v>
      </c>
      <c r="L147" s="1" t="s">
        <v>337</v>
      </c>
      <c r="M147" s="1">
        <v>526.02</v>
      </c>
      <c r="N147" s="1" t="s">
        <v>38</v>
      </c>
      <c r="O147" s="1">
        <v>50</v>
      </c>
      <c r="P147" s="1">
        <v>26301</v>
      </c>
      <c r="Q147" s="1">
        <v>2</v>
      </c>
      <c r="R147" s="7">
        <v>0.04</v>
      </c>
      <c r="S147" s="1">
        <v>5</v>
      </c>
      <c r="T147" s="1">
        <v>18</v>
      </c>
      <c r="U147" s="1">
        <v>-13</v>
      </c>
      <c r="V147" s="1" t="s">
        <v>3337</v>
      </c>
      <c r="W147" s="1" t="s">
        <v>40</v>
      </c>
      <c r="X147" s="1" t="s">
        <v>146</v>
      </c>
      <c r="Y147" s="1" t="s">
        <v>212</v>
      </c>
      <c r="Z147" s="1"/>
      <c r="AA147" s="1" t="s">
        <v>174</v>
      </c>
      <c r="AB147" s="1" t="s">
        <v>147</v>
      </c>
      <c r="AC147" s="1"/>
      <c r="AD147" s="1">
        <v>3.7</v>
      </c>
      <c r="AE147" s="1" t="s">
        <v>139</v>
      </c>
      <c r="AF147" s="1" t="s">
        <v>130</v>
      </c>
    </row>
    <row r="148" spans="1:32" ht="18" hidden="1" customHeight="1">
      <c r="A148" s="1" t="s">
        <v>613</v>
      </c>
      <c r="B148" s="1" t="s">
        <v>614</v>
      </c>
      <c r="C148" s="4">
        <v>46060</v>
      </c>
      <c r="D148" s="1">
        <v>46068</v>
      </c>
      <c r="E148" s="1">
        <v>46068</v>
      </c>
      <c r="F148" s="1" t="s">
        <v>209</v>
      </c>
      <c r="G148" s="1" t="s">
        <v>210</v>
      </c>
      <c r="H148" s="1" t="s">
        <v>3365</v>
      </c>
      <c r="I148" s="1" t="s">
        <v>120</v>
      </c>
      <c r="J148" s="1" t="s">
        <v>153</v>
      </c>
      <c r="K148" s="1" t="s">
        <v>615</v>
      </c>
      <c r="L148" s="1" t="s">
        <v>204</v>
      </c>
      <c r="M148" s="1">
        <v>722.99</v>
      </c>
      <c r="N148" s="1" t="s">
        <v>38</v>
      </c>
      <c r="O148" s="1">
        <v>300</v>
      </c>
      <c r="P148" s="1">
        <v>216897</v>
      </c>
      <c r="Q148" s="1">
        <v>14</v>
      </c>
      <c r="R148" s="7">
        <v>4.6699999999999998E-2</v>
      </c>
      <c r="S148" s="1">
        <v>8</v>
      </c>
      <c r="T148" s="1">
        <v>8</v>
      </c>
      <c r="U148" s="1">
        <v>0</v>
      </c>
      <c r="V148" s="1" t="s">
        <v>3352</v>
      </c>
      <c r="W148" s="1" t="s">
        <v>366</v>
      </c>
      <c r="X148" s="1" t="s">
        <v>127</v>
      </c>
      <c r="Y148" s="1" t="s">
        <v>3334</v>
      </c>
      <c r="Z148" s="1" t="s">
        <v>3330</v>
      </c>
      <c r="AA148" s="1" t="s">
        <v>55</v>
      </c>
      <c r="AB148" s="1" t="s">
        <v>191</v>
      </c>
      <c r="AC148" s="1" t="s">
        <v>373</v>
      </c>
      <c r="AD148" s="1">
        <v>2.4</v>
      </c>
      <c r="AE148" s="1" t="s">
        <v>76</v>
      </c>
      <c r="AF148" s="1" t="s">
        <v>284</v>
      </c>
    </row>
    <row r="149" spans="1:32" ht="18" customHeight="1">
      <c r="A149" s="1" t="s">
        <v>616</v>
      </c>
      <c r="B149" s="1" t="s">
        <v>617</v>
      </c>
      <c r="C149" s="4">
        <v>46163</v>
      </c>
      <c r="D149" s="4">
        <v>46171</v>
      </c>
      <c r="E149" s="4">
        <v>46171</v>
      </c>
      <c r="F149" s="1" t="s">
        <v>392</v>
      </c>
      <c r="G149" s="1" t="s">
        <v>3383</v>
      </c>
      <c r="H149" s="1" t="s">
        <v>3408</v>
      </c>
      <c r="I149" s="1" t="s">
        <v>49</v>
      </c>
      <c r="J149" s="1" t="s">
        <v>163</v>
      </c>
      <c r="K149" s="1" t="s">
        <v>618</v>
      </c>
      <c r="L149" s="1" t="s">
        <v>171</v>
      </c>
      <c r="M149" s="1">
        <v>1208.25</v>
      </c>
      <c r="N149" s="1" t="s">
        <v>159</v>
      </c>
      <c r="O149" s="1">
        <v>50</v>
      </c>
      <c r="P149" s="1">
        <v>60412.5</v>
      </c>
      <c r="Q149" s="1">
        <v>1</v>
      </c>
      <c r="R149" s="7">
        <v>0.02</v>
      </c>
      <c r="S149" s="1">
        <v>8</v>
      </c>
      <c r="T149" s="1">
        <v>8</v>
      </c>
      <c r="U149" s="1">
        <v>0</v>
      </c>
      <c r="V149" s="1" t="s">
        <v>270</v>
      </c>
      <c r="W149" s="1" t="s">
        <v>40</v>
      </c>
      <c r="X149" s="1" t="s">
        <v>3329</v>
      </c>
      <c r="Y149" s="1" t="s">
        <v>190</v>
      </c>
      <c r="Z149" s="1" t="s">
        <v>54</v>
      </c>
      <c r="AA149" s="1" t="s">
        <v>129</v>
      </c>
      <c r="AB149" s="1" t="s">
        <v>44</v>
      </c>
      <c r="AC149" s="1"/>
      <c r="AD149" s="1">
        <v>4.8</v>
      </c>
      <c r="AE149" s="1" t="s">
        <v>45</v>
      </c>
      <c r="AF149" s="1" t="s">
        <v>619</v>
      </c>
    </row>
    <row r="150" spans="1:32" ht="18" customHeight="1">
      <c r="A150" s="1" t="s">
        <v>620</v>
      </c>
      <c r="B150" s="1" t="s">
        <v>621</v>
      </c>
      <c r="C150" s="4" t="s">
        <v>3472</v>
      </c>
      <c r="D150" s="4">
        <v>46155</v>
      </c>
      <c r="E150" s="4">
        <v>46165</v>
      </c>
      <c r="F150" s="1" t="s">
        <v>69</v>
      </c>
      <c r="G150" s="1" t="s">
        <v>3362</v>
      </c>
      <c r="H150" s="1" t="s">
        <v>3332</v>
      </c>
      <c r="I150" s="1" t="s">
        <v>34</v>
      </c>
      <c r="J150" s="1" t="s">
        <v>112</v>
      </c>
      <c r="K150" s="1" t="s">
        <v>622</v>
      </c>
      <c r="L150" s="1" t="s">
        <v>218</v>
      </c>
      <c r="M150" s="1">
        <v>311.49</v>
      </c>
      <c r="N150" s="1" t="s">
        <v>53</v>
      </c>
      <c r="O150" s="1">
        <v>250</v>
      </c>
      <c r="P150" s="1">
        <v>77872.5</v>
      </c>
      <c r="Q150" s="1">
        <v>4</v>
      </c>
      <c r="R150" s="7">
        <v>1.6E-2</v>
      </c>
      <c r="S150" s="1">
        <v>22</v>
      </c>
      <c r="T150" s="1">
        <v>12</v>
      </c>
      <c r="U150" s="1"/>
      <c r="V150" s="1" t="s">
        <v>3328</v>
      </c>
      <c r="W150" s="1" t="s">
        <v>40</v>
      </c>
      <c r="X150" s="1" t="s">
        <v>3324</v>
      </c>
      <c r="Y150" s="1" t="s">
        <v>66</v>
      </c>
      <c r="Z150" s="1" t="s">
        <v>43</v>
      </c>
      <c r="AA150" s="1" t="s">
        <v>3341</v>
      </c>
      <c r="AB150" s="1" t="s">
        <v>56</v>
      </c>
      <c r="AC150" s="1"/>
      <c r="AD150" s="1">
        <v>1.9</v>
      </c>
      <c r="AE150" s="1" t="s">
        <v>45</v>
      </c>
      <c r="AF150" s="1" t="s">
        <v>46</v>
      </c>
    </row>
    <row r="151" spans="1:32" ht="18" customHeight="1">
      <c r="A151" s="1" t="s">
        <v>623</v>
      </c>
      <c r="B151" s="1" t="s">
        <v>624</v>
      </c>
      <c r="C151" s="4">
        <v>46127</v>
      </c>
      <c r="D151" s="4">
        <v>46145</v>
      </c>
      <c r="E151" s="4">
        <v>46148</v>
      </c>
      <c r="F151" s="1" t="s">
        <v>118</v>
      </c>
      <c r="G151" s="1" t="s">
        <v>3461</v>
      </c>
      <c r="H151" s="1" t="s">
        <v>3407</v>
      </c>
      <c r="I151" s="1" t="s">
        <v>178</v>
      </c>
      <c r="J151" s="1" t="s">
        <v>50</v>
      </c>
      <c r="K151" s="1" t="s">
        <v>625</v>
      </c>
      <c r="L151" s="1" t="s">
        <v>189</v>
      </c>
      <c r="M151" s="1">
        <v>814.56</v>
      </c>
      <c r="N151" s="1" t="s">
        <v>38</v>
      </c>
      <c r="O151" s="1">
        <v>50</v>
      </c>
      <c r="P151" s="1">
        <v>40728</v>
      </c>
      <c r="Q151" s="1">
        <v>2</v>
      </c>
      <c r="R151" s="7">
        <v>0.04</v>
      </c>
      <c r="S151" s="1">
        <v>21</v>
      </c>
      <c r="T151" s="1">
        <v>18</v>
      </c>
      <c r="U151" s="1">
        <v>3</v>
      </c>
      <c r="V151" s="1" t="s">
        <v>166</v>
      </c>
      <c r="W151" s="1" t="s">
        <v>40</v>
      </c>
      <c r="X151" s="1" t="s">
        <v>3329</v>
      </c>
      <c r="Y151" s="1" t="s">
        <v>66</v>
      </c>
      <c r="Z151" s="1" t="s">
        <v>107</v>
      </c>
      <c r="AA151" s="1" t="s">
        <v>55</v>
      </c>
      <c r="AB151" s="1" t="s">
        <v>137</v>
      </c>
      <c r="AC151" s="1"/>
      <c r="AD151" s="1">
        <v>3.4</v>
      </c>
      <c r="AE151" s="1" t="s">
        <v>108</v>
      </c>
      <c r="AF151" s="1" t="s">
        <v>46</v>
      </c>
    </row>
    <row r="152" spans="1:32" ht="18" customHeight="1">
      <c r="A152" s="1" t="s">
        <v>626</v>
      </c>
      <c r="B152" s="1" t="s">
        <v>627</v>
      </c>
      <c r="C152" s="4">
        <v>46056</v>
      </c>
      <c r="D152" s="4" t="s">
        <v>3400</v>
      </c>
      <c r="E152" s="4">
        <v>46069</v>
      </c>
      <c r="F152" s="1" t="s">
        <v>60</v>
      </c>
      <c r="G152" s="1" t="s">
        <v>466</v>
      </c>
      <c r="H152" s="1" t="s">
        <v>3408</v>
      </c>
      <c r="I152" s="1" t="s">
        <v>83</v>
      </c>
      <c r="J152" s="1" t="s">
        <v>62</v>
      </c>
      <c r="K152" s="1" t="s">
        <v>628</v>
      </c>
      <c r="L152" s="1" t="s">
        <v>225</v>
      </c>
      <c r="M152" s="1">
        <v>83.53</v>
      </c>
      <c r="N152" s="1" t="s">
        <v>86</v>
      </c>
      <c r="O152" s="1">
        <v>300</v>
      </c>
      <c r="P152" s="1">
        <v>25059</v>
      </c>
      <c r="Q152" s="1">
        <v>3</v>
      </c>
      <c r="R152" s="7">
        <v>0.01</v>
      </c>
      <c r="S152" s="1">
        <v>13</v>
      </c>
      <c r="T152" s="1">
        <v>5</v>
      </c>
      <c r="U152" s="1">
        <v>8</v>
      </c>
      <c r="V152" s="1" t="s">
        <v>3328</v>
      </c>
      <c r="W152" s="1" t="s">
        <v>40</v>
      </c>
      <c r="X152" s="1" t="s">
        <v>105</v>
      </c>
      <c r="Y152" s="1" t="s">
        <v>3334</v>
      </c>
      <c r="Z152" s="1" t="s">
        <v>128</v>
      </c>
      <c r="AA152" s="1" t="s">
        <v>3341</v>
      </c>
      <c r="AB152" s="1" t="s">
        <v>95</v>
      </c>
      <c r="AC152" s="1"/>
      <c r="AD152" s="1">
        <v>1.1000000000000001</v>
      </c>
      <c r="AE152" s="1" t="s">
        <v>184</v>
      </c>
      <c r="AF152" s="1" t="s">
        <v>46</v>
      </c>
    </row>
    <row r="153" spans="1:32" ht="18" hidden="1" customHeight="1">
      <c r="A153" s="1" t="s">
        <v>629</v>
      </c>
      <c r="B153" s="1" t="s">
        <v>630</v>
      </c>
      <c r="C153" s="4" t="s">
        <v>3347</v>
      </c>
      <c r="D153" s="1">
        <v>46133</v>
      </c>
      <c r="E153" s="1">
        <v>46133</v>
      </c>
      <c r="F153" s="1" t="s">
        <v>90</v>
      </c>
      <c r="G153" s="1" t="s">
        <v>91</v>
      </c>
      <c r="H153" s="1" t="s">
        <v>133</v>
      </c>
      <c r="I153" s="1" t="s">
        <v>241</v>
      </c>
      <c r="J153" s="1" t="s">
        <v>71</v>
      </c>
      <c r="K153" s="1" t="s">
        <v>631</v>
      </c>
      <c r="L153" s="1" t="s">
        <v>337</v>
      </c>
      <c r="M153" s="1" t="s">
        <v>3473</v>
      </c>
      <c r="N153" s="1" t="s">
        <v>86</v>
      </c>
      <c r="O153" s="1">
        <v>750</v>
      </c>
      <c r="P153" s="1">
        <v>202822.5</v>
      </c>
      <c r="Q153" s="1">
        <v>34</v>
      </c>
      <c r="R153" s="7">
        <v>4.53E-2</v>
      </c>
      <c r="S153" s="1">
        <v>17</v>
      </c>
      <c r="T153" s="1">
        <v>17</v>
      </c>
      <c r="U153" s="1">
        <v>0</v>
      </c>
      <c r="V153" s="1" t="s">
        <v>3352</v>
      </c>
      <c r="W153" s="1" t="s">
        <v>3384</v>
      </c>
      <c r="X153" s="1" t="s">
        <v>105</v>
      </c>
      <c r="Y153" s="1" t="s">
        <v>66</v>
      </c>
      <c r="Z153" s="1" t="s">
        <v>54</v>
      </c>
      <c r="AA153" s="1" t="s">
        <v>55</v>
      </c>
      <c r="AB153" s="1" t="s">
        <v>147</v>
      </c>
      <c r="AC153" s="1" t="s">
        <v>75</v>
      </c>
      <c r="AD153" s="1">
        <v>1.4</v>
      </c>
      <c r="AE153" s="1" t="s">
        <v>108</v>
      </c>
      <c r="AF153" s="1" t="s">
        <v>97</v>
      </c>
    </row>
    <row r="154" spans="1:32" ht="18" customHeight="1">
      <c r="A154" s="1" t="s">
        <v>632</v>
      </c>
      <c r="B154" s="1" t="s">
        <v>633</v>
      </c>
      <c r="C154" s="4" t="s">
        <v>3406</v>
      </c>
      <c r="D154" s="4">
        <v>46057</v>
      </c>
      <c r="E154" s="4">
        <v>46054</v>
      </c>
      <c r="F154" s="1" t="s">
        <v>151</v>
      </c>
      <c r="G154" s="1" t="s">
        <v>3353</v>
      </c>
      <c r="H154" s="1" t="s">
        <v>3327</v>
      </c>
      <c r="I154" s="1" t="s">
        <v>83</v>
      </c>
      <c r="J154" s="1" t="s">
        <v>112</v>
      </c>
      <c r="K154" s="1" t="s">
        <v>634</v>
      </c>
      <c r="L154" s="1" t="s">
        <v>229</v>
      </c>
      <c r="M154" s="1">
        <v>371.94</v>
      </c>
      <c r="N154" s="1" t="s">
        <v>159</v>
      </c>
      <c r="O154" s="1">
        <v>200</v>
      </c>
      <c r="P154" s="1">
        <v>74388</v>
      </c>
      <c r="Q154" s="1">
        <v>0</v>
      </c>
      <c r="R154" s="7">
        <v>0</v>
      </c>
      <c r="S154" s="1">
        <v>-5</v>
      </c>
      <c r="T154" s="1">
        <v>4</v>
      </c>
      <c r="U154" s="1">
        <v>-3</v>
      </c>
      <c r="V154" s="1" t="s">
        <v>3337</v>
      </c>
      <c r="W154" s="1" t="s">
        <v>40</v>
      </c>
      <c r="X154" s="1" t="s">
        <v>127</v>
      </c>
      <c r="Y154" s="1" t="s">
        <v>3334</v>
      </c>
      <c r="Z154" s="1" t="s">
        <v>173</v>
      </c>
      <c r="AA154" s="1" t="s">
        <v>129</v>
      </c>
      <c r="AB154" s="1"/>
      <c r="AC154" s="1"/>
      <c r="AD154" s="1">
        <v>2.2999999999999998</v>
      </c>
      <c r="AE154" s="1" t="s">
        <v>45</v>
      </c>
      <c r="AF154" s="1" t="s">
        <v>130</v>
      </c>
    </row>
    <row r="155" spans="1:32" ht="18" hidden="1" customHeight="1">
      <c r="A155" s="1" t="s">
        <v>635</v>
      </c>
      <c r="B155" s="1" t="s">
        <v>636</v>
      </c>
      <c r="C155" s="4">
        <v>46033</v>
      </c>
      <c r="D155" s="1">
        <v>46050</v>
      </c>
      <c r="E155" s="1">
        <v>46051</v>
      </c>
      <c r="F155" s="1" t="s">
        <v>235</v>
      </c>
      <c r="G155" s="1" t="s">
        <v>3474</v>
      </c>
      <c r="H155" s="1" t="s">
        <v>479</v>
      </c>
      <c r="I155" s="1" t="s">
        <v>49</v>
      </c>
      <c r="J155" s="1" t="s">
        <v>35</v>
      </c>
      <c r="K155" s="1" t="s">
        <v>637</v>
      </c>
      <c r="L155" s="1" t="s">
        <v>37</v>
      </c>
      <c r="M155" s="1">
        <v>4357.76</v>
      </c>
      <c r="N155" s="1" t="s">
        <v>38</v>
      </c>
      <c r="O155" s="1" t="s">
        <v>3430</v>
      </c>
      <c r="P155" s="1">
        <v>1089440</v>
      </c>
      <c r="Q155" s="1">
        <v>19</v>
      </c>
      <c r="R155" s="7">
        <v>7.5999999999999998E-2</v>
      </c>
      <c r="S155" s="1">
        <v>18</v>
      </c>
      <c r="T155" s="1">
        <v>17</v>
      </c>
      <c r="U155" s="1">
        <v>1</v>
      </c>
      <c r="V155" s="1" t="s">
        <v>3323</v>
      </c>
      <c r="W155" s="1" t="s">
        <v>366</v>
      </c>
      <c r="X155" s="1" t="s">
        <v>41</v>
      </c>
      <c r="Y155" s="1" t="s">
        <v>3334</v>
      </c>
      <c r="Z155" s="1"/>
      <c r="AA155" s="1" t="s">
        <v>55</v>
      </c>
      <c r="AB155" s="1" t="s">
        <v>147</v>
      </c>
      <c r="AC155" s="1" t="s">
        <v>283</v>
      </c>
      <c r="AD155" s="1">
        <v>2.2999999999999998</v>
      </c>
      <c r="AE155" s="1" t="s">
        <v>57</v>
      </c>
      <c r="AF155" s="1" t="s">
        <v>77</v>
      </c>
    </row>
    <row r="156" spans="1:32" ht="18" customHeight="1">
      <c r="A156" s="1" t="s">
        <v>638</v>
      </c>
      <c r="B156" s="1" t="s">
        <v>639</v>
      </c>
      <c r="C156" s="4">
        <v>46115</v>
      </c>
      <c r="D156" s="4">
        <v>46132</v>
      </c>
      <c r="E156" s="4">
        <v>46135</v>
      </c>
      <c r="F156" s="1" t="s">
        <v>235</v>
      </c>
      <c r="G156" s="1" t="s">
        <v>236</v>
      </c>
      <c r="H156" s="1" t="s">
        <v>479</v>
      </c>
      <c r="I156" s="1" t="s">
        <v>49</v>
      </c>
      <c r="J156" s="1" t="s">
        <v>71</v>
      </c>
      <c r="K156" s="1" t="s">
        <v>640</v>
      </c>
      <c r="L156" s="1" t="s">
        <v>238</v>
      </c>
      <c r="M156" s="1">
        <v>171.95</v>
      </c>
      <c r="N156" s="1" t="s">
        <v>159</v>
      </c>
      <c r="O156" s="1" t="s">
        <v>3475</v>
      </c>
      <c r="P156" s="1">
        <v>12896.25</v>
      </c>
      <c r="Q156" s="1">
        <v>0</v>
      </c>
      <c r="R156" s="7">
        <v>0</v>
      </c>
      <c r="S156" s="1">
        <v>20</v>
      </c>
      <c r="T156" s="1">
        <v>17</v>
      </c>
      <c r="U156" s="1">
        <v>3</v>
      </c>
      <c r="V156" s="1" t="s">
        <v>135</v>
      </c>
      <c r="W156" s="1" t="s">
        <v>40</v>
      </c>
      <c r="X156" s="1" t="s">
        <v>105</v>
      </c>
      <c r="Y156" s="1" t="s">
        <v>3334</v>
      </c>
      <c r="Z156" s="1" t="s">
        <v>107</v>
      </c>
      <c r="AA156" s="1"/>
      <c r="AB156" s="1" t="s">
        <v>56</v>
      </c>
      <c r="AC156" s="1"/>
      <c r="AD156" s="1">
        <v>2.8</v>
      </c>
      <c r="AE156" s="1" t="s">
        <v>115</v>
      </c>
      <c r="AF156" s="1" t="s">
        <v>46</v>
      </c>
    </row>
    <row r="157" spans="1:32" ht="18" customHeight="1">
      <c r="A157" s="1" t="s">
        <v>586</v>
      </c>
      <c r="B157" s="1" t="s">
        <v>641</v>
      </c>
      <c r="C157" s="4" t="s">
        <v>3476</v>
      </c>
      <c r="D157" s="4">
        <v>46109</v>
      </c>
      <c r="E157" s="4">
        <v>46123</v>
      </c>
      <c r="F157" s="1" t="s">
        <v>209</v>
      </c>
      <c r="G157" s="1" t="s">
        <v>3389</v>
      </c>
      <c r="H157" s="1" t="s">
        <v>3390</v>
      </c>
      <c r="I157" s="1" t="s">
        <v>178</v>
      </c>
      <c r="J157" s="1" t="s">
        <v>153</v>
      </c>
      <c r="K157" s="1" t="s">
        <v>642</v>
      </c>
      <c r="L157" s="1" t="s">
        <v>155</v>
      </c>
      <c r="M157" s="1">
        <v>592.52</v>
      </c>
      <c r="N157" s="1" t="s">
        <v>53</v>
      </c>
      <c r="O157" s="1">
        <v>150</v>
      </c>
      <c r="P157" s="1">
        <v>88878</v>
      </c>
      <c r="Q157" s="1">
        <v>3</v>
      </c>
      <c r="R157" s="7">
        <v>0.02</v>
      </c>
      <c r="S157" s="1">
        <v>21</v>
      </c>
      <c r="T157" s="1">
        <v>7</v>
      </c>
      <c r="U157" s="1">
        <v>14</v>
      </c>
      <c r="V157" s="1" t="s">
        <v>3328</v>
      </c>
      <c r="W157" s="1" t="s">
        <v>40</v>
      </c>
      <c r="X157" s="1" t="s">
        <v>105</v>
      </c>
      <c r="Y157" s="1" t="s">
        <v>212</v>
      </c>
      <c r="Z157" s="1" t="s">
        <v>54</v>
      </c>
      <c r="AA157" s="1" t="s">
        <v>88</v>
      </c>
      <c r="AB157" s="1" t="s">
        <v>147</v>
      </c>
      <c r="AC157" s="1"/>
      <c r="AD157" s="1">
        <v>2.5</v>
      </c>
      <c r="AE157" s="1" t="s">
        <v>115</v>
      </c>
      <c r="AF157" s="1" t="s">
        <v>46</v>
      </c>
    </row>
    <row r="158" spans="1:32" ht="18" hidden="1" customHeight="1">
      <c r="A158" s="1" t="s">
        <v>643</v>
      </c>
      <c r="B158" s="1" t="s">
        <v>644</v>
      </c>
      <c r="C158" s="4">
        <v>46048</v>
      </c>
      <c r="D158" s="1">
        <v>46061</v>
      </c>
      <c r="E158" s="1" t="s">
        <v>3477</v>
      </c>
      <c r="F158" s="1" t="s">
        <v>69</v>
      </c>
      <c r="G158" s="1" t="s">
        <v>111</v>
      </c>
      <c r="H158" s="1" t="s">
        <v>194</v>
      </c>
      <c r="I158" s="1" t="s">
        <v>178</v>
      </c>
      <c r="J158" s="1" t="s">
        <v>112</v>
      </c>
      <c r="K158" s="1" t="s">
        <v>645</v>
      </c>
      <c r="L158" s="1" t="s">
        <v>218</v>
      </c>
      <c r="M158" s="1">
        <v>492.61</v>
      </c>
      <c r="N158" s="1" t="s">
        <v>53</v>
      </c>
      <c r="O158" s="1">
        <v>1000</v>
      </c>
      <c r="P158" s="1">
        <v>492610</v>
      </c>
      <c r="Q158" s="1">
        <v>53</v>
      </c>
      <c r="R158" s="7">
        <v>5.2999999999999999E-2</v>
      </c>
      <c r="S158" s="1">
        <v>15</v>
      </c>
      <c r="T158" s="1">
        <v>13</v>
      </c>
      <c r="U158" s="1">
        <v>2</v>
      </c>
      <c r="V158" s="1" t="s">
        <v>3323</v>
      </c>
      <c r="W158" s="1" t="s">
        <v>366</v>
      </c>
      <c r="X158" s="1" t="s">
        <v>146</v>
      </c>
      <c r="Y158" s="1"/>
      <c r="Z158" s="1" t="s">
        <v>128</v>
      </c>
      <c r="AA158" s="1" t="s">
        <v>136</v>
      </c>
      <c r="AB158" s="1" t="s">
        <v>191</v>
      </c>
      <c r="AC158" s="1" t="s">
        <v>183</v>
      </c>
      <c r="AD158" s="1">
        <v>2.4</v>
      </c>
      <c r="AE158" s="1" t="s">
        <v>45</v>
      </c>
      <c r="AF158" s="1" t="s">
        <v>185</v>
      </c>
    </row>
    <row r="159" spans="1:32" ht="18" customHeight="1">
      <c r="A159" s="1" t="s">
        <v>646</v>
      </c>
      <c r="B159" s="1" t="s">
        <v>647</v>
      </c>
      <c r="C159" s="4">
        <v>46117</v>
      </c>
      <c r="D159" s="4">
        <v>46132</v>
      </c>
      <c r="E159" s="4">
        <v>46128</v>
      </c>
      <c r="F159" s="1" t="s">
        <v>80</v>
      </c>
      <c r="G159" s="1" t="s">
        <v>81</v>
      </c>
      <c r="H159" s="1" t="s">
        <v>3442</v>
      </c>
      <c r="I159" s="1" t="s">
        <v>70</v>
      </c>
      <c r="J159" s="1" t="s">
        <v>35</v>
      </c>
      <c r="K159" s="1" t="s">
        <v>648</v>
      </c>
      <c r="L159" s="1" t="s">
        <v>200</v>
      </c>
      <c r="M159" s="1">
        <v>3385.95</v>
      </c>
      <c r="N159" s="1" t="s">
        <v>65</v>
      </c>
      <c r="O159" s="1">
        <v>75</v>
      </c>
      <c r="P159" s="1">
        <v>253946.25</v>
      </c>
      <c r="Q159" s="1">
        <v>0</v>
      </c>
      <c r="R159" s="7">
        <v>0</v>
      </c>
      <c r="S159" s="1">
        <v>11</v>
      </c>
      <c r="T159" s="1">
        <v>15</v>
      </c>
      <c r="U159" s="1">
        <v>-4</v>
      </c>
      <c r="V159" s="1" t="s">
        <v>3352</v>
      </c>
      <c r="W159" s="1" t="s">
        <v>649</v>
      </c>
      <c r="X159" s="1" t="s">
        <v>105</v>
      </c>
      <c r="Y159" s="1" t="s">
        <v>190</v>
      </c>
      <c r="Z159" s="1" t="s">
        <v>128</v>
      </c>
      <c r="AA159" s="1" t="s">
        <v>129</v>
      </c>
      <c r="AB159" s="1"/>
      <c r="AC159" s="1"/>
      <c r="AD159" s="1">
        <v>4.7</v>
      </c>
      <c r="AE159" s="1" t="s">
        <v>57</v>
      </c>
      <c r="AF159" s="1"/>
    </row>
    <row r="160" spans="1:32" ht="18" customHeight="1">
      <c r="A160" s="1" t="s">
        <v>650</v>
      </c>
      <c r="B160" s="1" t="s">
        <v>651</v>
      </c>
      <c r="C160" s="4">
        <v>46030</v>
      </c>
      <c r="D160" s="4" t="s">
        <v>3478</v>
      </c>
      <c r="E160" s="4">
        <v>46048</v>
      </c>
      <c r="F160" s="1" t="s">
        <v>256</v>
      </c>
      <c r="G160" s="1" t="s">
        <v>257</v>
      </c>
      <c r="H160" s="1" t="s">
        <v>3410</v>
      </c>
      <c r="I160" s="1" t="s">
        <v>70</v>
      </c>
      <c r="J160" s="1" t="s">
        <v>153</v>
      </c>
      <c r="K160" s="1" t="s">
        <v>652</v>
      </c>
      <c r="L160" s="1" t="s">
        <v>318</v>
      </c>
      <c r="M160" s="1">
        <v>428.1</v>
      </c>
      <c r="N160" s="1" t="s">
        <v>86</v>
      </c>
      <c r="O160" s="1">
        <v>150</v>
      </c>
      <c r="P160" s="1">
        <v>64215</v>
      </c>
      <c r="Q160" s="1">
        <v>2</v>
      </c>
      <c r="R160" s="7">
        <v>1.3299999999999999E-2</v>
      </c>
      <c r="S160" s="1">
        <v>18</v>
      </c>
      <c r="T160" s="1" t="s">
        <v>3479</v>
      </c>
      <c r="U160" s="1">
        <v>10</v>
      </c>
      <c r="V160" s="1" t="s">
        <v>205</v>
      </c>
      <c r="W160" s="1" t="s">
        <v>40</v>
      </c>
      <c r="X160" s="1" t="s">
        <v>105</v>
      </c>
      <c r="Y160" s="1" t="s">
        <v>106</v>
      </c>
      <c r="Z160" s="1" t="s">
        <v>128</v>
      </c>
      <c r="AA160" s="1" t="s">
        <v>206</v>
      </c>
      <c r="AB160" s="1" t="s">
        <v>147</v>
      </c>
      <c r="AC160" s="1"/>
      <c r="AD160" s="1">
        <v>2.7</v>
      </c>
      <c r="AE160" s="1" t="s">
        <v>76</v>
      </c>
      <c r="AF160" s="1" t="s">
        <v>46</v>
      </c>
    </row>
    <row r="161" spans="1:32" ht="18" hidden="1" customHeight="1">
      <c r="A161" s="1" t="s">
        <v>653</v>
      </c>
      <c r="B161" s="1" t="s">
        <v>654</v>
      </c>
      <c r="C161" s="4">
        <v>46195</v>
      </c>
      <c r="D161" s="1">
        <v>46210</v>
      </c>
      <c r="E161" s="1">
        <v>46215</v>
      </c>
      <c r="F161" s="1" t="s">
        <v>235</v>
      </c>
      <c r="G161" s="1" t="s">
        <v>236</v>
      </c>
      <c r="H161" s="1" t="s">
        <v>3371</v>
      </c>
      <c r="I161" s="1" t="s">
        <v>70</v>
      </c>
      <c r="J161" s="1" t="s">
        <v>71</v>
      </c>
      <c r="K161" s="1" t="s">
        <v>655</v>
      </c>
      <c r="L161" s="1" t="s">
        <v>553</v>
      </c>
      <c r="M161" s="1">
        <v>671.88</v>
      </c>
      <c r="N161" s="1" t="s">
        <v>65</v>
      </c>
      <c r="O161" s="1">
        <v>100</v>
      </c>
      <c r="P161" s="1">
        <v>67188</v>
      </c>
      <c r="Q161" s="1">
        <v>6</v>
      </c>
      <c r="R161" s="7">
        <v>0.06</v>
      </c>
      <c r="S161" s="1">
        <v>20</v>
      </c>
      <c r="T161" s="1">
        <v>15</v>
      </c>
      <c r="U161" s="1">
        <v>5</v>
      </c>
      <c r="V161" s="1" t="s">
        <v>39</v>
      </c>
      <c r="W161" s="1" t="s">
        <v>420</v>
      </c>
      <c r="X161" s="1" t="s">
        <v>105</v>
      </c>
      <c r="Y161" s="1"/>
      <c r="Z161" s="1" t="s">
        <v>3333</v>
      </c>
      <c r="AA161" s="1" t="s">
        <v>206</v>
      </c>
      <c r="AB161" s="1"/>
      <c r="AC161" s="1" t="s">
        <v>96</v>
      </c>
      <c r="AD161" s="1">
        <v>1.1000000000000001</v>
      </c>
      <c r="AE161" s="1" t="s">
        <v>115</v>
      </c>
      <c r="AF161" s="1" t="s">
        <v>77</v>
      </c>
    </row>
    <row r="162" spans="1:32" ht="18" customHeight="1">
      <c r="A162" s="1" t="s">
        <v>656</v>
      </c>
      <c r="B162" s="1" t="s">
        <v>657</v>
      </c>
      <c r="C162" s="4">
        <v>46144</v>
      </c>
      <c r="D162" s="4">
        <v>46152</v>
      </c>
      <c r="E162" s="4">
        <v>46155</v>
      </c>
      <c r="F162" s="1" t="s">
        <v>162</v>
      </c>
      <c r="G162" s="1" t="s">
        <v>3382</v>
      </c>
      <c r="H162" s="1" t="s">
        <v>3408</v>
      </c>
      <c r="I162" s="1" t="s">
        <v>120</v>
      </c>
      <c r="J162" s="1" t="s">
        <v>163</v>
      </c>
      <c r="K162" s="1" t="s">
        <v>658</v>
      </c>
      <c r="L162" s="1" t="s">
        <v>165</v>
      </c>
      <c r="M162" s="1">
        <v>1931.94</v>
      </c>
      <c r="N162" s="1" t="s">
        <v>53</v>
      </c>
      <c r="O162" s="1">
        <v>150</v>
      </c>
      <c r="P162" s="1">
        <v>289791</v>
      </c>
      <c r="Q162" s="1">
        <v>3</v>
      </c>
      <c r="R162" s="7">
        <v>0.02</v>
      </c>
      <c r="S162" s="1">
        <v>11</v>
      </c>
      <c r="T162" s="1">
        <v>8</v>
      </c>
      <c r="U162" s="1">
        <v>3</v>
      </c>
      <c r="V162" s="1" t="s">
        <v>166</v>
      </c>
      <c r="W162" s="1" t="s">
        <v>40</v>
      </c>
      <c r="X162" s="1" t="s">
        <v>105</v>
      </c>
      <c r="Y162" s="1" t="s">
        <v>66</v>
      </c>
      <c r="Z162" s="1"/>
      <c r="AA162" s="1" t="s">
        <v>3341</v>
      </c>
      <c r="AB162" s="1" t="s">
        <v>44</v>
      </c>
      <c r="AC162" s="1"/>
      <c r="AD162" s="1">
        <v>4.3</v>
      </c>
      <c r="AE162" s="1" t="s">
        <v>45</v>
      </c>
      <c r="AF162" s="1" t="s">
        <v>46</v>
      </c>
    </row>
    <row r="163" spans="1:32" ht="18" customHeight="1">
      <c r="A163" s="1" t="s">
        <v>659</v>
      </c>
      <c r="B163" s="1" t="s">
        <v>660</v>
      </c>
      <c r="C163" s="4">
        <v>46162</v>
      </c>
      <c r="D163" s="4">
        <v>46179</v>
      </c>
      <c r="E163" s="4">
        <v>46182</v>
      </c>
      <c r="F163" s="1" t="s">
        <v>235</v>
      </c>
      <c r="G163" s="1" t="s">
        <v>236</v>
      </c>
      <c r="H163" s="1" t="s">
        <v>3371</v>
      </c>
      <c r="I163" s="1" t="s">
        <v>120</v>
      </c>
      <c r="J163" s="1" t="s">
        <v>71</v>
      </c>
      <c r="K163" s="1" t="s">
        <v>661</v>
      </c>
      <c r="L163" s="1" t="s">
        <v>238</v>
      </c>
      <c r="M163" s="1">
        <v>172.54</v>
      </c>
      <c r="N163" s="1" t="s">
        <v>159</v>
      </c>
      <c r="O163" s="1">
        <v>75</v>
      </c>
      <c r="P163" s="1">
        <v>12940.5</v>
      </c>
      <c r="Q163" s="1">
        <v>-1</v>
      </c>
      <c r="R163" s="7">
        <v>0.04</v>
      </c>
      <c r="S163" s="1">
        <v>20</v>
      </c>
      <c r="T163" s="1">
        <v>17</v>
      </c>
      <c r="U163" s="1"/>
      <c r="V163" s="1" t="s">
        <v>3323</v>
      </c>
      <c r="W163" s="1" t="s">
        <v>40</v>
      </c>
      <c r="X163" s="1" t="s">
        <v>105</v>
      </c>
      <c r="Y163" s="1" t="s">
        <v>42</v>
      </c>
      <c r="Z163" s="1" t="s">
        <v>43</v>
      </c>
      <c r="AA163" s="1" t="s">
        <v>3341</v>
      </c>
      <c r="AB163" s="1" t="s">
        <v>44</v>
      </c>
      <c r="AC163" s="1"/>
      <c r="AD163" s="1">
        <v>2.5</v>
      </c>
      <c r="AE163" s="1" t="s">
        <v>108</v>
      </c>
      <c r="AF163" s="1" t="s">
        <v>46</v>
      </c>
    </row>
    <row r="164" spans="1:32" ht="18" customHeight="1">
      <c r="A164" s="1" t="s">
        <v>662</v>
      </c>
      <c r="B164" s="1" t="s">
        <v>663</v>
      </c>
      <c r="C164" s="4">
        <v>46091</v>
      </c>
      <c r="D164" s="4">
        <v>46101</v>
      </c>
      <c r="E164" s="4">
        <v>46102</v>
      </c>
      <c r="F164" s="1" t="s">
        <v>80</v>
      </c>
      <c r="G164" s="1" t="s">
        <v>3470</v>
      </c>
      <c r="H164" s="1" t="s">
        <v>3442</v>
      </c>
      <c r="I164" s="1" t="s">
        <v>92</v>
      </c>
      <c r="J164" s="1" t="s">
        <v>35</v>
      </c>
      <c r="K164" s="1" t="s">
        <v>664</v>
      </c>
      <c r="L164" s="1" t="s">
        <v>37</v>
      </c>
      <c r="M164" s="1">
        <v>233.97</v>
      </c>
      <c r="N164" s="1" t="s">
        <v>86</v>
      </c>
      <c r="O164" s="1">
        <v>250</v>
      </c>
      <c r="P164" s="1">
        <v>58492.5</v>
      </c>
      <c r="Q164" s="1">
        <v>3</v>
      </c>
      <c r="R164" s="7">
        <v>1.2E-2</v>
      </c>
      <c r="S164" s="1">
        <v>11</v>
      </c>
      <c r="T164" s="1">
        <v>10</v>
      </c>
      <c r="U164" s="1">
        <v>1</v>
      </c>
      <c r="V164" s="1" t="s">
        <v>135</v>
      </c>
      <c r="W164" s="1" t="s">
        <v>40</v>
      </c>
      <c r="X164" s="1" t="s">
        <v>41</v>
      </c>
      <c r="Y164" s="1"/>
      <c r="Z164" s="1"/>
      <c r="AA164" s="1" t="s">
        <v>129</v>
      </c>
      <c r="AB164" s="1" t="s">
        <v>147</v>
      </c>
      <c r="AC164" s="1"/>
      <c r="AD164" s="1">
        <v>2.9</v>
      </c>
      <c r="AE164" s="1" t="s">
        <v>57</v>
      </c>
      <c r="AF164" s="1" t="s">
        <v>46</v>
      </c>
    </row>
    <row r="165" spans="1:32" ht="18" hidden="1" customHeight="1">
      <c r="A165" s="1" t="s">
        <v>665</v>
      </c>
      <c r="B165" s="1" t="s">
        <v>666</v>
      </c>
      <c r="C165" s="4">
        <v>46074</v>
      </c>
      <c r="D165" s="1"/>
      <c r="E165" s="1">
        <v>46097</v>
      </c>
      <c r="F165" s="1" t="s">
        <v>90</v>
      </c>
      <c r="G165" s="1" t="s">
        <v>91</v>
      </c>
      <c r="H165" s="1" t="s">
        <v>133</v>
      </c>
      <c r="I165" s="1" t="s">
        <v>61</v>
      </c>
      <c r="J165" s="1" t="s">
        <v>71</v>
      </c>
      <c r="K165" s="1" t="s">
        <v>667</v>
      </c>
      <c r="L165" s="1" t="s">
        <v>553</v>
      </c>
      <c r="M165" s="1">
        <v>832.63</v>
      </c>
      <c r="N165" s="1" t="s">
        <v>291</v>
      </c>
      <c r="O165" s="1">
        <v>750</v>
      </c>
      <c r="P165" s="1">
        <v>624472.5</v>
      </c>
      <c r="Q165" s="1" t="s">
        <v>3454</v>
      </c>
      <c r="R165" s="7">
        <v>4.2700000000000002E-2</v>
      </c>
      <c r="S165" s="1">
        <v>23</v>
      </c>
      <c r="T165" s="1">
        <v>19</v>
      </c>
      <c r="U165" s="1">
        <v>4</v>
      </c>
      <c r="V165" s="1" t="s">
        <v>39</v>
      </c>
      <c r="W165" s="1" t="s">
        <v>420</v>
      </c>
      <c r="X165" s="1" t="s">
        <v>3329</v>
      </c>
      <c r="Y165" s="1" t="s">
        <v>190</v>
      </c>
      <c r="Z165" s="1" t="s">
        <v>107</v>
      </c>
      <c r="AA165" s="1" t="s">
        <v>174</v>
      </c>
      <c r="AB165" s="1" t="s">
        <v>95</v>
      </c>
      <c r="AC165" s="1" t="s">
        <v>373</v>
      </c>
      <c r="AD165" s="1">
        <v>2.9</v>
      </c>
      <c r="AE165" s="1" t="s">
        <v>45</v>
      </c>
      <c r="AF165" s="1" t="s">
        <v>77</v>
      </c>
    </row>
    <row r="166" spans="1:32" ht="18" hidden="1" customHeight="1">
      <c r="A166" s="1" t="s">
        <v>668</v>
      </c>
      <c r="B166" s="1" t="s">
        <v>669</v>
      </c>
      <c r="C166" s="4">
        <v>46161</v>
      </c>
      <c r="D166" s="1">
        <v>46184</v>
      </c>
      <c r="E166" s="1">
        <v>46183</v>
      </c>
      <c r="F166" s="1" t="s">
        <v>32</v>
      </c>
      <c r="G166" s="1" t="s">
        <v>3422</v>
      </c>
      <c r="H166" s="1" t="s">
        <v>3319</v>
      </c>
      <c r="I166" s="1" t="s">
        <v>178</v>
      </c>
      <c r="J166" s="1" t="s">
        <v>35</v>
      </c>
      <c r="K166" s="1" t="s">
        <v>670</v>
      </c>
      <c r="L166" s="1" t="s">
        <v>200</v>
      </c>
      <c r="M166" s="1" t="s">
        <v>3480</v>
      </c>
      <c r="N166" s="1" t="s">
        <v>104</v>
      </c>
      <c r="O166" s="1">
        <v>1500</v>
      </c>
      <c r="P166" s="1">
        <v>2026620</v>
      </c>
      <c r="Q166" s="1">
        <v>77</v>
      </c>
      <c r="R166" s="7">
        <v>5.1299999999999998E-2</v>
      </c>
      <c r="S166" s="1">
        <v>22</v>
      </c>
      <c r="T166" s="1">
        <v>23</v>
      </c>
      <c r="U166" s="1">
        <v>-1</v>
      </c>
      <c r="V166" s="1" t="s">
        <v>3337</v>
      </c>
      <c r="W166" s="1" t="s">
        <v>74</v>
      </c>
      <c r="X166" s="1" t="s">
        <v>105</v>
      </c>
      <c r="Y166" s="1" t="s">
        <v>66</v>
      </c>
      <c r="Z166" s="1"/>
      <c r="AA166" s="1" t="s">
        <v>136</v>
      </c>
      <c r="AB166" s="1"/>
      <c r="AC166" s="1" t="s">
        <v>96</v>
      </c>
      <c r="AD166" s="1">
        <v>3.3</v>
      </c>
      <c r="AE166" s="1" t="s">
        <v>76</v>
      </c>
      <c r="AF166" s="1" t="s">
        <v>97</v>
      </c>
    </row>
    <row r="167" spans="1:32" ht="18" customHeight="1">
      <c r="A167" s="1" t="s">
        <v>671</v>
      </c>
      <c r="B167" s="1" t="s">
        <v>672</v>
      </c>
      <c r="C167" s="4">
        <v>46113</v>
      </c>
      <c r="D167" s="4">
        <v>46120</v>
      </c>
      <c r="E167" s="4" t="s">
        <v>3481</v>
      </c>
      <c r="F167" s="1" t="s">
        <v>209</v>
      </c>
      <c r="G167" s="1" t="s">
        <v>3482</v>
      </c>
      <c r="H167" s="1" t="s">
        <v>3390</v>
      </c>
      <c r="I167" s="1" t="s">
        <v>241</v>
      </c>
      <c r="J167" s="1" t="s">
        <v>153</v>
      </c>
      <c r="K167" s="1" t="s">
        <v>673</v>
      </c>
      <c r="L167" s="1" t="s">
        <v>295</v>
      </c>
      <c r="M167" s="1">
        <v>138.83000000000001</v>
      </c>
      <c r="N167" s="1" t="s">
        <v>65</v>
      </c>
      <c r="O167" s="1">
        <v>50</v>
      </c>
      <c r="P167" s="1">
        <v>6941.5</v>
      </c>
      <c r="Q167" s="1">
        <v>2</v>
      </c>
      <c r="R167" s="7">
        <v>0.04</v>
      </c>
      <c r="S167" s="1">
        <v>-5</v>
      </c>
      <c r="T167" s="1">
        <v>7</v>
      </c>
      <c r="U167" s="1">
        <v>7</v>
      </c>
      <c r="V167" s="1" t="s">
        <v>3328</v>
      </c>
      <c r="W167" s="1" t="s">
        <v>40</v>
      </c>
      <c r="X167" s="1"/>
      <c r="Y167" s="1" t="s">
        <v>106</v>
      </c>
      <c r="Z167" s="1" t="s">
        <v>128</v>
      </c>
      <c r="AA167" s="1" t="s">
        <v>206</v>
      </c>
      <c r="AB167" s="1" t="s">
        <v>56</v>
      </c>
      <c r="AC167" s="1"/>
      <c r="AD167" s="1">
        <v>2.5</v>
      </c>
      <c r="AE167" s="1" t="s">
        <v>139</v>
      </c>
      <c r="AF167" s="1" t="s">
        <v>148</v>
      </c>
    </row>
    <row r="168" spans="1:32" ht="18" customHeight="1">
      <c r="A168" s="1" t="s">
        <v>674</v>
      </c>
      <c r="B168" s="1" t="s">
        <v>675</v>
      </c>
      <c r="C168" s="4">
        <v>46137</v>
      </c>
      <c r="D168" s="4">
        <v>46155</v>
      </c>
      <c r="E168" s="4">
        <v>46156</v>
      </c>
      <c r="F168" s="1" t="s">
        <v>142</v>
      </c>
      <c r="G168" s="1" t="s">
        <v>3391</v>
      </c>
      <c r="H168" s="1" t="s">
        <v>3405</v>
      </c>
      <c r="I168" s="1" t="s">
        <v>241</v>
      </c>
      <c r="J168" s="1" t="s">
        <v>50</v>
      </c>
      <c r="K168" s="1" t="s">
        <v>676</v>
      </c>
      <c r="L168" s="1" t="s">
        <v>145</v>
      </c>
      <c r="M168" s="1">
        <v>1363.85</v>
      </c>
      <c r="N168" s="1" t="s">
        <v>104</v>
      </c>
      <c r="O168" s="1">
        <v>150</v>
      </c>
      <c r="P168" s="1">
        <v>204577.5</v>
      </c>
      <c r="Q168" s="1">
        <v>3</v>
      </c>
      <c r="R168" s="7">
        <v>0.02</v>
      </c>
      <c r="S168" s="1">
        <v>19</v>
      </c>
      <c r="T168" s="1">
        <v>18</v>
      </c>
      <c r="U168" s="1">
        <v>1</v>
      </c>
      <c r="V168" s="1" t="s">
        <v>3323</v>
      </c>
      <c r="W168" s="1" t="s">
        <v>40</v>
      </c>
      <c r="X168" s="1" t="s">
        <v>146</v>
      </c>
      <c r="Y168" s="1" t="s">
        <v>106</v>
      </c>
      <c r="Z168" s="1" t="s">
        <v>107</v>
      </c>
      <c r="AA168" s="1" t="s">
        <v>174</v>
      </c>
      <c r="AB168" s="1" t="s">
        <v>137</v>
      </c>
      <c r="AC168" s="1"/>
      <c r="AD168" s="1">
        <v>4.3</v>
      </c>
      <c r="AE168" s="1" t="s">
        <v>115</v>
      </c>
      <c r="AF168" s="1" t="s">
        <v>148</v>
      </c>
    </row>
    <row r="169" spans="1:32" ht="18" customHeight="1">
      <c r="A169" s="1" t="s">
        <v>677</v>
      </c>
      <c r="B169" s="1" t="s">
        <v>678</v>
      </c>
      <c r="C169" s="4">
        <v>46058</v>
      </c>
      <c r="D169" s="4">
        <v>46068</v>
      </c>
      <c r="E169" s="4">
        <v>46064</v>
      </c>
      <c r="F169" s="1" t="s">
        <v>80</v>
      </c>
      <c r="G169" s="1" t="s">
        <v>81</v>
      </c>
      <c r="H169" s="1" t="s">
        <v>3442</v>
      </c>
      <c r="I169" s="1" t="s">
        <v>178</v>
      </c>
      <c r="J169" s="1" t="s">
        <v>35</v>
      </c>
      <c r="K169" s="1" t="s">
        <v>679</v>
      </c>
      <c r="L169" s="1" t="s">
        <v>37</v>
      </c>
      <c r="M169" s="1">
        <v>1273.6300000000001</v>
      </c>
      <c r="N169" s="1" t="s">
        <v>53</v>
      </c>
      <c r="O169" s="1">
        <v>750</v>
      </c>
      <c r="P169" s="1">
        <v>955222.5</v>
      </c>
      <c r="Q169" s="1">
        <v>13</v>
      </c>
      <c r="R169" s="7">
        <v>1.7299999999999999E-2</v>
      </c>
      <c r="S169" s="1">
        <v>6</v>
      </c>
      <c r="T169" s="1">
        <v>10</v>
      </c>
      <c r="U169" s="1">
        <v>-4</v>
      </c>
      <c r="V169" s="1" t="s">
        <v>3352</v>
      </c>
      <c r="W169" s="1" t="s">
        <v>40</v>
      </c>
      <c r="X169" s="1" t="s">
        <v>3324</v>
      </c>
      <c r="Y169" s="1" t="s">
        <v>190</v>
      </c>
      <c r="Z169" s="1" t="s">
        <v>54</v>
      </c>
      <c r="AA169" s="1" t="s">
        <v>129</v>
      </c>
      <c r="AB169" s="1"/>
      <c r="AC169" s="1"/>
      <c r="AD169" s="1">
        <v>3.7</v>
      </c>
      <c r="AE169" s="1" t="s">
        <v>108</v>
      </c>
      <c r="AF169" s="1"/>
    </row>
    <row r="170" spans="1:32" ht="18" hidden="1" customHeight="1">
      <c r="A170" s="1" t="s">
        <v>417</v>
      </c>
      <c r="B170" s="1" t="s">
        <v>680</v>
      </c>
      <c r="C170" s="4" t="s">
        <v>3483</v>
      </c>
      <c r="D170" s="1">
        <v>46115</v>
      </c>
      <c r="E170" s="1">
        <v>46124</v>
      </c>
      <c r="F170" s="1" t="s">
        <v>60</v>
      </c>
      <c r="G170" s="1" t="s">
        <v>3326</v>
      </c>
      <c r="H170" s="1" t="s">
        <v>152</v>
      </c>
      <c r="I170" s="1" t="s">
        <v>120</v>
      </c>
      <c r="J170" s="1" t="s">
        <v>62</v>
      </c>
      <c r="K170" s="1" t="s">
        <v>681</v>
      </c>
      <c r="L170" s="1" t="s">
        <v>225</v>
      </c>
      <c r="M170" s="1">
        <v>455.88</v>
      </c>
      <c r="N170" s="1" t="s">
        <v>65</v>
      </c>
      <c r="O170" s="1">
        <v>50</v>
      </c>
      <c r="P170" s="1">
        <v>22794</v>
      </c>
      <c r="Q170" s="1">
        <v>4</v>
      </c>
      <c r="R170" s="7">
        <v>0.08</v>
      </c>
      <c r="S170" s="1">
        <v>19</v>
      </c>
      <c r="T170" s="1">
        <v>10</v>
      </c>
      <c r="U170" s="1">
        <v>9</v>
      </c>
      <c r="V170" s="1" t="s">
        <v>3328</v>
      </c>
      <c r="W170" s="1" t="s">
        <v>420</v>
      </c>
      <c r="X170" s="1" t="s">
        <v>146</v>
      </c>
      <c r="Y170" s="1" t="s">
        <v>66</v>
      </c>
      <c r="Z170" s="1" t="s">
        <v>128</v>
      </c>
      <c r="AA170" s="1" t="s">
        <v>174</v>
      </c>
      <c r="AB170" s="1" t="s">
        <v>191</v>
      </c>
      <c r="AC170" s="1" t="s">
        <v>373</v>
      </c>
      <c r="AD170" s="1">
        <v>1.2</v>
      </c>
      <c r="AE170" s="1" t="s">
        <v>76</v>
      </c>
      <c r="AF170" s="1" t="s">
        <v>185</v>
      </c>
    </row>
    <row r="171" spans="1:32" ht="18" customHeight="1">
      <c r="A171" s="1" t="s">
        <v>682</v>
      </c>
      <c r="B171" s="1" t="s">
        <v>683</v>
      </c>
      <c r="C171" s="4">
        <v>46179</v>
      </c>
      <c r="D171" s="4" t="s">
        <v>3436</v>
      </c>
      <c r="E171" s="4">
        <v>46194</v>
      </c>
      <c r="F171" s="1" t="s">
        <v>69</v>
      </c>
      <c r="G171" s="1" t="s">
        <v>3362</v>
      </c>
      <c r="H171" s="1" t="s">
        <v>194</v>
      </c>
      <c r="I171" s="1" t="s">
        <v>34</v>
      </c>
      <c r="J171" s="1" t="s">
        <v>112</v>
      </c>
      <c r="K171" s="1" t="s">
        <v>684</v>
      </c>
      <c r="L171" s="1" t="s">
        <v>229</v>
      </c>
      <c r="M171" s="1">
        <v>72.14</v>
      </c>
      <c r="N171" s="1" t="s">
        <v>86</v>
      </c>
      <c r="O171" s="1">
        <v>500</v>
      </c>
      <c r="P171" s="1">
        <v>36070</v>
      </c>
      <c r="Q171" s="1">
        <v>17</v>
      </c>
      <c r="R171" s="7">
        <v>3.4000000000000002E-2</v>
      </c>
      <c r="S171" s="1">
        <v>15</v>
      </c>
      <c r="T171" s="1">
        <v>12</v>
      </c>
      <c r="U171" s="1">
        <v>3</v>
      </c>
      <c r="V171" s="1" t="s">
        <v>3323</v>
      </c>
      <c r="W171" s="1" t="s">
        <v>40</v>
      </c>
      <c r="X171" s="1" t="s">
        <v>105</v>
      </c>
      <c r="Y171" s="1" t="s">
        <v>42</v>
      </c>
      <c r="Z171" s="1" t="s">
        <v>107</v>
      </c>
      <c r="AA171" s="1"/>
      <c r="AB171" s="1" t="s">
        <v>137</v>
      </c>
      <c r="AC171" s="1"/>
      <c r="AD171" s="1">
        <v>2.8</v>
      </c>
      <c r="AE171" s="1" t="s">
        <v>115</v>
      </c>
      <c r="AF171" s="1" t="s">
        <v>46</v>
      </c>
    </row>
    <row r="172" spans="1:32" ht="18" customHeight="1">
      <c r="A172" s="1" t="s">
        <v>685</v>
      </c>
      <c r="B172" s="1" t="s">
        <v>686</v>
      </c>
      <c r="C172" s="4">
        <v>46145</v>
      </c>
      <c r="D172" s="4">
        <v>46153</v>
      </c>
      <c r="E172" s="4" t="s">
        <v>3400</v>
      </c>
      <c r="F172" s="1" t="s">
        <v>209</v>
      </c>
      <c r="G172" s="1" t="s">
        <v>3482</v>
      </c>
      <c r="H172" s="1" t="s">
        <v>3365</v>
      </c>
      <c r="I172" s="1" t="s">
        <v>49</v>
      </c>
      <c r="J172" s="1" t="s">
        <v>153</v>
      </c>
      <c r="K172" s="1" t="s">
        <v>687</v>
      </c>
      <c r="L172" s="1" t="s">
        <v>204</v>
      </c>
      <c r="M172" s="1"/>
      <c r="N172" s="1" t="s">
        <v>104</v>
      </c>
      <c r="O172" s="1">
        <v>1500</v>
      </c>
      <c r="P172" s="1">
        <v>770490</v>
      </c>
      <c r="Q172" s="1">
        <v>18</v>
      </c>
      <c r="R172" s="7">
        <v>1.2E-2</v>
      </c>
      <c r="S172" s="1">
        <v>17</v>
      </c>
      <c r="T172" s="1">
        <v>8</v>
      </c>
      <c r="U172" s="1">
        <v>9</v>
      </c>
      <c r="V172" s="1" t="s">
        <v>3328</v>
      </c>
      <c r="W172" s="1" t="s">
        <v>40</v>
      </c>
      <c r="X172" s="1" t="s">
        <v>146</v>
      </c>
      <c r="Y172" s="1" t="s">
        <v>66</v>
      </c>
      <c r="Z172" s="1" t="s">
        <v>54</v>
      </c>
      <c r="AA172" s="1"/>
      <c r="AB172" s="1"/>
      <c r="AC172" s="1"/>
      <c r="AD172" s="1">
        <v>1.3</v>
      </c>
      <c r="AE172" s="1" t="s">
        <v>184</v>
      </c>
      <c r="AF172" s="1" t="s">
        <v>148</v>
      </c>
    </row>
    <row r="173" spans="1:32" ht="18" customHeight="1">
      <c r="A173" s="1" t="s">
        <v>688</v>
      </c>
      <c r="B173" s="1" t="s">
        <v>689</v>
      </c>
      <c r="C173" s="4">
        <v>46110</v>
      </c>
      <c r="D173" s="4">
        <v>46118</v>
      </c>
      <c r="E173" s="4" t="s">
        <v>3484</v>
      </c>
      <c r="F173" s="1" t="s">
        <v>151</v>
      </c>
      <c r="G173" s="1" t="s">
        <v>3351</v>
      </c>
      <c r="H173" s="1" t="s">
        <v>3408</v>
      </c>
      <c r="I173" s="1" t="s">
        <v>61</v>
      </c>
      <c r="J173" s="1" t="s">
        <v>112</v>
      </c>
      <c r="K173" s="1" t="s">
        <v>690</v>
      </c>
      <c r="L173" s="1" t="s">
        <v>218</v>
      </c>
      <c r="M173" s="1">
        <v>128.77000000000001</v>
      </c>
      <c r="N173" s="1" t="s">
        <v>104</v>
      </c>
      <c r="O173" s="1">
        <v>75</v>
      </c>
      <c r="P173" s="1">
        <v>9657.75</v>
      </c>
      <c r="Q173" s="1">
        <v>0</v>
      </c>
      <c r="R173" s="7">
        <v>0</v>
      </c>
      <c r="S173" s="1">
        <v>0</v>
      </c>
      <c r="T173" s="1">
        <v>8</v>
      </c>
      <c r="U173" s="1">
        <v>-8</v>
      </c>
      <c r="V173" s="1" t="s">
        <v>87</v>
      </c>
      <c r="W173" s="1" t="s">
        <v>40</v>
      </c>
      <c r="X173" s="1" t="s">
        <v>41</v>
      </c>
      <c r="Y173" s="1"/>
      <c r="Z173" s="1" t="s">
        <v>3333</v>
      </c>
      <c r="AA173" s="1" t="s">
        <v>136</v>
      </c>
      <c r="AB173" s="1" t="s">
        <v>137</v>
      </c>
      <c r="AC173" s="1"/>
      <c r="AD173" s="1">
        <v>5</v>
      </c>
      <c r="AE173" s="1" t="s">
        <v>45</v>
      </c>
      <c r="AF173" s="1"/>
    </row>
    <row r="174" spans="1:32" ht="18" customHeight="1">
      <c r="A174" s="1" t="s">
        <v>691</v>
      </c>
      <c r="B174" s="1" t="s">
        <v>692</v>
      </c>
      <c r="C174" s="4">
        <v>46089</v>
      </c>
      <c r="D174" s="4">
        <v>46103</v>
      </c>
      <c r="E174" s="4">
        <v>46102</v>
      </c>
      <c r="F174" s="1" t="s">
        <v>100</v>
      </c>
      <c r="G174" s="1" t="s">
        <v>3485</v>
      </c>
      <c r="H174" s="1" t="s">
        <v>102</v>
      </c>
      <c r="I174" s="1" t="s">
        <v>178</v>
      </c>
      <c r="J174" s="1" t="s">
        <v>62</v>
      </c>
      <c r="K174" s="1" t="s">
        <v>693</v>
      </c>
      <c r="L174" s="1" t="s">
        <v>225</v>
      </c>
      <c r="M174" s="1">
        <v>462.15</v>
      </c>
      <c r="N174" s="1" t="s">
        <v>159</v>
      </c>
      <c r="O174" s="1">
        <v>250</v>
      </c>
      <c r="P174" s="1">
        <v>115537.5</v>
      </c>
      <c r="Q174" s="1">
        <v>-1</v>
      </c>
      <c r="R174" s="7">
        <v>2.8000000000000001E-2</v>
      </c>
      <c r="S174" s="1">
        <v>13</v>
      </c>
      <c r="T174" s="1">
        <v>14</v>
      </c>
      <c r="U174" s="1">
        <v>-1</v>
      </c>
      <c r="V174" s="1" t="s">
        <v>3337</v>
      </c>
      <c r="W174" s="1" t="s">
        <v>40</v>
      </c>
      <c r="X174" s="1" t="s">
        <v>105</v>
      </c>
      <c r="Y174" s="1" t="s">
        <v>3334</v>
      </c>
      <c r="Z174" s="1" t="s">
        <v>43</v>
      </c>
      <c r="AA174" s="1" t="s">
        <v>3341</v>
      </c>
      <c r="AB174" s="1" t="s">
        <v>137</v>
      </c>
      <c r="AC174" s="1"/>
      <c r="AD174" s="1">
        <v>4.0999999999999996</v>
      </c>
      <c r="AE174" s="1" t="s">
        <v>76</v>
      </c>
      <c r="AF174" s="1"/>
    </row>
    <row r="175" spans="1:32" ht="18" customHeight="1">
      <c r="A175" s="1" t="s">
        <v>694</v>
      </c>
      <c r="B175" s="1" t="s">
        <v>695</v>
      </c>
      <c r="C175" s="4">
        <v>46105</v>
      </c>
      <c r="D175" s="4">
        <v>46114</v>
      </c>
      <c r="E175" s="4">
        <v>46122</v>
      </c>
      <c r="F175" s="1" t="s">
        <v>235</v>
      </c>
      <c r="G175" s="1" t="s">
        <v>3474</v>
      </c>
      <c r="H175" s="1" t="s">
        <v>3374</v>
      </c>
      <c r="I175" s="1" t="s">
        <v>178</v>
      </c>
      <c r="J175" s="1" t="s">
        <v>71</v>
      </c>
      <c r="K175" s="1" t="s">
        <v>696</v>
      </c>
      <c r="L175" s="1" t="s">
        <v>337</v>
      </c>
      <c r="M175" s="1">
        <v>502.45</v>
      </c>
      <c r="N175" s="1" t="s">
        <v>291</v>
      </c>
      <c r="O175" s="1" t="s">
        <v>3398</v>
      </c>
      <c r="P175" s="1" t="s">
        <v>3486</v>
      </c>
      <c r="Q175" s="1">
        <v>0</v>
      </c>
      <c r="R175" s="7">
        <v>0</v>
      </c>
      <c r="S175" s="1">
        <v>17</v>
      </c>
      <c r="T175" s="1">
        <v>9</v>
      </c>
      <c r="U175" s="1">
        <v>8</v>
      </c>
      <c r="V175" s="1" t="s">
        <v>39</v>
      </c>
      <c r="W175" s="1" t="s">
        <v>40</v>
      </c>
      <c r="X175" s="1" t="s">
        <v>146</v>
      </c>
      <c r="Y175" s="1" t="s">
        <v>66</v>
      </c>
      <c r="Z175" s="1" t="s">
        <v>128</v>
      </c>
      <c r="AA175" s="1"/>
      <c r="AB175" s="1" t="s">
        <v>56</v>
      </c>
      <c r="AC175" s="1"/>
      <c r="AD175" s="1">
        <v>2.7</v>
      </c>
      <c r="AE175" s="1" t="s">
        <v>45</v>
      </c>
      <c r="AF175" s="1" t="s">
        <v>148</v>
      </c>
    </row>
    <row r="176" spans="1:32" ht="18" customHeight="1">
      <c r="A176" s="1" t="s">
        <v>697</v>
      </c>
      <c r="B176" s="1" t="s">
        <v>698</v>
      </c>
      <c r="C176" s="4">
        <v>46165</v>
      </c>
      <c r="D176" s="4">
        <v>46172</v>
      </c>
      <c r="E176" s="4" t="s">
        <v>3487</v>
      </c>
      <c r="F176" s="1" t="s">
        <v>60</v>
      </c>
      <c r="G176" s="1" t="s">
        <v>3488</v>
      </c>
      <c r="H176" s="1" t="s">
        <v>3354</v>
      </c>
      <c r="I176" s="1" t="s">
        <v>83</v>
      </c>
      <c r="J176" s="1" t="s">
        <v>62</v>
      </c>
      <c r="K176" s="1" t="s">
        <v>699</v>
      </c>
      <c r="L176" s="1" t="s">
        <v>225</v>
      </c>
      <c r="M176" s="1">
        <v>93.48</v>
      </c>
      <c r="N176" s="1" t="s">
        <v>53</v>
      </c>
      <c r="O176" s="1">
        <v>1500</v>
      </c>
      <c r="P176" s="1">
        <v>140220</v>
      </c>
      <c r="Q176" s="1">
        <v>46</v>
      </c>
      <c r="R176" s="7">
        <v>3.0700000000000002E-2</v>
      </c>
      <c r="S176" s="1">
        <v>13</v>
      </c>
      <c r="T176" s="1">
        <v>7</v>
      </c>
      <c r="U176" s="1">
        <v>6</v>
      </c>
      <c r="V176" s="1" t="s">
        <v>3328</v>
      </c>
      <c r="W176" s="1" t="s">
        <v>40</v>
      </c>
      <c r="X176" s="1" t="s">
        <v>3329</v>
      </c>
      <c r="Y176" s="1" t="s">
        <v>3334</v>
      </c>
      <c r="Z176" s="1" t="s">
        <v>43</v>
      </c>
      <c r="AA176" s="1" t="s">
        <v>55</v>
      </c>
      <c r="AB176" s="1" t="s">
        <v>44</v>
      </c>
      <c r="AC176" s="1"/>
      <c r="AD176" s="1">
        <v>3.2</v>
      </c>
      <c r="AE176" s="1" t="s">
        <v>45</v>
      </c>
      <c r="AF176" s="1" t="s">
        <v>46</v>
      </c>
    </row>
    <row r="177" spans="1:32" ht="18" customHeight="1">
      <c r="A177" s="1" t="s">
        <v>700</v>
      </c>
      <c r="B177" s="1" t="s">
        <v>701</v>
      </c>
      <c r="C177" s="4">
        <v>46185</v>
      </c>
      <c r="D177" s="4" t="s">
        <v>3400</v>
      </c>
      <c r="E177" s="4" t="s">
        <v>3373</v>
      </c>
      <c r="F177" s="1" t="s">
        <v>142</v>
      </c>
      <c r="G177" s="1" t="s">
        <v>143</v>
      </c>
      <c r="H177" s="1" t="s">
        <v>702</v>
      </c>
      <c r="I177" s="1" t="s">
        <v>83</v>
      </c>
      <c r="J177" s="1" t="s">
        <v>50</v>
      </c>
      <c r="K177" s="1" t="s">
        <v>703</v>
      </c>
      <c r="L177" s="1" t="s">
        <v>145</v>
      </c>
      <c r="M177" s="1">
        <v>57.32</v>
      </c>
      <c r="N177" s="1" t="s">
        <v>53</v>
      </c>
      <c r="O177" s="1">
        <v>150</v>
      </c>
      <c r="P177" s="1" t="s">
        <v>3489</v>
      </c>
      <c r="Q177" s="1">
        <v>0</v>
      </c>
      <c r="R177" s="7">
        <v>0</v>
      </c>
      <c r="S177" s="1">
        <v>15</v>
      </c>
      <c r="T177" s="1">
        <v>15</v>
      </c>
      <c r="U177" s="1">
        <v>0</v>
      </c>
      <c r="V177" s="1" t="s">
        <v>270</v>
      </c>
      <c r="W177" s="1" t="s">
        <v>40</v>
      </c>
      <c r="X177" s="1" t="s">
        <v>105</v>
      </c>
      <c r="Y177" s="1" t="s">
        <v>212</v>
      </c>
      <c r="Z177" s="1" t="s">
        <v>107</v>
      </c>
      <c r="AA177" s="1"/>
      <c r="AB177" s="1" t="s">
        <v>95</v>
      </c>
      <c r="AC177" s="1"/>
      <c r="AD177" s="1">
        <v>4.3</v>
      </c>
      <c r="AE177" s="1" t="s">
        <v>57</v>
      </c>
      <c r="AF177" s="1"/>
    </row>
    <row r="178" spans="1:32" ht="18" customHeight="1">
      <c r="A178" s="1" t="s">
        <v>704</v>
      </c>
      <c r="B178" s="1" t="s">
        <v>705</v>
      </c>
      <c r="C178" s="4">
        <v>46088</v>
      </c>
      <c r="D178" s="4">
        <v>46109</v>
      </c>
      <c r="E178" s="4">
        <v>46118</v>
      </c>
      <c r="F178" s="1" t="s">
        <v>118</v>
      </c>
      <c r="G178" s="1" t="s">
        <v>119</v>
      </c>
      <c r="H178" s="1" t="s">
        <v>301</v>
      </c>
      <c r="I178" s="1" t="s">
        <v>70</v>
      </c>
      <c r="J178" s="1" t="s">
        <v>62</v>
      </c>
      <c r="K178" s="1" t="s">
        <v>706</v>
      </c>
      <c r="L178" s="1" t="s">
        <v>64</v>
      </c>
      <c r="M178" s="1">
        <v>544.92999999999995</v>
      </c>
      <c r="N178" s="1" t="s">
        <v>86</v>
      </c>
      <c r="O178" s="1" t="s">
        <v>3360</v>
      </c>
      <c r="P178" s="1">
        <v>108986</v>
      </c>
      <c r="Q178" s="1">
        <v>1</v>
      </c>
      <c r="R178" s="7">
        <v>5.0000000000000001E-3</v>
      </c>
      <c r="S178" s="1">
        <v>30</v>
      </c>
      <c r="T178" s="1">
        <v>21</v>
      </c>
      <c r="U178" s="1">
        <v>9</v>
      </c>
      <c r="V178" s="1" t="s">
        <v>39</v>
      </c>
      <c r="W178" s="1" t="s">
        <v>40</v>
      </c>
      <c r="X178" s="1" t="s">
        <v>41</v>
      </c>
      <c r="Y178" s="1" t="s">
        <v>190</v>
      </c>
      <c r="Z178" s="1"/>
      <c r="AA178" s="1" t="s">
        <v>206</v>
      </c>
      <c r="AB178" s="1" t="s">
        <v>56</v>
      </c>
      <c r="AC178" s="1"/>
      <c r="AD178" s="1">
        <v>3.2</v>
      </c>
      <c r="AE178" s="1" t="s">
        <v>76</v>
      </c>
      <c r="AF178" s="1" t="s">
        <v>46</v>
      </c>
    </row>
    <row r="179" spans="1:32" ht="18" customHeight="1">
      <c r="A179" s="1" t="s">
        <v>707</v>
      </c>
      <c r="B179" s="1" t="s">
        <v>708</v>
      </c>
      <c r="C179" s="4">
        <v>46059</v>
      </c>
      <c r="D179" s="4">
        <v>46087</v>
      </c>
      <c r="E179" s="4" t="s">
        <v>3490</v>
      </c>
      <c r="F179" s="1"/>
      <c r="G179" s="1" t="s">
        <v>119</v>
      </c>
      <c r="H179" s="1" t="s">
        <v>3369</v>
      </c>
      <c r="I179" s="1" t="s">
        <v>70</v>
      </c>
      <c r="J179" s="1" t="s">
        <v>62</v>
      </c>
      <c r="K179" s="1" t="s">
        <v>709</v>
      </c>
      <c r="L179" s="1" t="s">
        <v>94</v>
      </c>
      <c r="M179" s="1" t="s">
        <v>3491</v>
      </c>
      <c r="N179" s="1" t="s">
        <v>38</v>
      </c>
      <c r="O179" s="1">
        <v>150</v>
      </c>
      <c r="P179" s="1">
        <v>122986.5</v>
      </c>
      <c r="Q179" s="1">
        <v>4</v>
      </c>
      <c r="R179" s="7">
        <v>2.6700000000000002E-2</v>
      </c>
      <c r="S179" s="1">
        <v>16</v>
      </c>
      <c r="T179" s="1">
        <v>28</v>
      </c>
      <c r="U179" s="1">
        <v>-12</v>
      </c>
      <c r="V179" s="1" t="s">
        <v>270</v>
      </c>
      <c r="W179" s="1" t="s">
        <v>40</v>
      </c>
      <c r="X179" s="1" t="s">
        <v>3329</v>
      </c>
      <c r="Y179" s="1" t="s">
        <v>3334</v>
      </c>
      <c r="Z179" s="1" t="s">
        <v>3330</v>
      </c>
      <c r="AA179" s="1" t="s">
        <v>88</v>
      </c>
      <c r="AB179" s="1"/>
      <c r="AC179" s="1"/>
      <c r="AD179" s="1">
        <v>4</v>
      </c>
      <c r="AE179" s="1" t="s">
        <v>184</v>
      </c>
      <c r="AF179" s="1" t="s">
        <v>619</v>
      </c>
    </row>
    <row r="180" spans="1:32" ht="18" customHeight="1">
      <c r="A180" s="1" t="s">
        <v>710</v>
      </c>
      <c r="B180" s="1" t="s">
        <v>711</v>
      </c>
      <c r="C180" s="4">
        <v>46129</v>
      </c>
      <c r="D180" s="4">
        <v>46147</v>
      </c>
      <c r="E180" s="4">
        <v>46154</v>
      </c>
      <c r="F180" s="1" t="s">
        <v>235</v>
      </c>
      <c r="G180" s="1" t="s">
        <v>236</v>
      </c>
      <c r="H180" s="1" t="s">
        <v>3371</v>
      </c>
      <c r="I180" s="1" t="s">
        <v>83</v>
      </c>
      <c r="J180" s="1" t="s">
        <v>112</v>
      </c>
      <c r="K180" s="1" t="s">
        <v>712</v>
      </c>
      <c r="L180" s="1" t="s">
        <v>218</v>
      </c>
      <c r="M180" s="1">
        <v>344.74</v>
      </c>
      <c r="N180" s="1" t="s">
        <v>86</v>
      </c>
      <c r="O180" s="1">
        <v>1500</v>
      </c>
      <c r="P180" s="1">
        <v>517110</v>
      </c>
      <c r="Q180" s="1">
        <v>42</v>
      </c>
      <c r="R180" s="7">
        <v>2.8000000000000001E-2</v>
      </c>
      <c r="S180" s="1">
        <v>25</v>
      </c>
      <c r="T180" s="1">
        <v>18</v>
      </c>
      <c r="U180" s="1">
        <v>7</v>
      </c>
      <c r="V180" s="1" t="s">
        <v>3328</v>
      </c>
      <c r="W180" s="1" t="s">
        <v>40</v>
      </c>
      <c r="X180" s="1" t="s">
        <v>105</v>
      </c>
      <c r="Y180" s="1" t="s">
        <v>66</v>
      </c>
      <c r="Z180" s="1"/>
      <c r="AA180" s="1" t="s">
        <v>174</v>
      </c>
      <c r="AB180" s="1" t="s">
        <v>44</v>
      </c>
      <c r="AC180" s="1"/>
      <c r="AD180" s="1">
        <v>3.2</v>
      </c>
      <c r="AE180" s="1" t="s">
        <v>45</v>
      </c>
      <c r="AF180" s="1" t="s">
        <v>46</v>
      </c>
    </row>
    <row r="181" spans="1:32" ht="18" customHeight="1">
      <c r="A181" s="1" t="s">
        <v>713</v>
      </c>
      <c r="B181" s="1" t="s">
        <v>714</v>
      </c>
      <c r="C181" s="4" t="s">
        <v>3492</v>
      </c>
      <c r="D181" s="4"/>
      <c r="E181" s="4">
        <v>46118</v>
      </c>
      <c r="F181" s="1" t="s">
        <v>60</v>
      </c>
      <c r="G181" s="1" t="s">
        <v>466</v>
      </c>
      <c r="H181" s="1" t="s">
        <v>3354</v>
      </c>
      <c r="I181" s="1" t="s">
        <v>241</v>
      </c>
      <c r="J181" s="1" t="s">
        <v>71</v>
      </c>
      <c r="K181" s="1" t="s">
        <v>715</v>
      </c>
      <c r="L181" s="1" t="s">
        <v>553</v>
      </c>
      <c r="M181" s="1">
        <v>744.73</v>
      </c>
      <c r="N181" s="1" t="s">
        <v>159</v>
      </c>
      <c r="O181" s="1">
        <v>150</v>
      </c>
      <c r="P181" s="1">
        <v>111709.5</v>
      </c>
      <c r="Q181" s="1">
        <v>2</v>
      </c>
      <c r="R181" s="7">
        <v>1.3299999999999999E-2</v>
      </c>
      <c r="S181" s="1" t="s">
        <v>3493</v>
      </c>
      <c r="T181" s="1">
        <v>7</v>
      </c>
      <c r="U181" s="1">
        <v>-10</v>
      </c>
      <c r="V181" s="1" t="s">
        <v>362</v>
      </c>
      <c r="W181" s="1" t="s">
        <v>40</v>
      </c>
      <c r="X181" s="1" t="s">
        <v>3324</v>
      </c>
      <c r="Y181" s="1" t="s">
        <v>42</v>
      </c>
      <c r="Z181" s="1" t="s">
        <v>43</v>
      </c>
      <c r="AA181" s="1" t="s">
        <v>3341</v>
      </c>
      <c r="AB181" s="1" t="s">
        <v>147</v>
      </c>
      <c r="AC181" s="1"/>
      <c r="AD181" s="1">
        <v>2.4</v>
      </c>
      <c r="AE181" s="1" t="s">
        <v>115</v>
      </c>
      <c r="AF181" s="1"/>
    </row>
    <row r="182" spans="1:32" ht="18" customHeight="1">
      <c r="A182" s="1" t="s">
        <v>716</v>
      </c>
      <c r="B182" s="1" t="s">
        <v>717</v>
      </c>
      <c r="C182" s="4" t="s">
        <v>3494</v>
      </c>
      <c r="D182" s="4">
        <v>46054</v>
      </c>
      <c r="E182" s="4">
        <v>46071</v>
      </c>
      <c r="F182" s="1" t="s">
        <v>215</v>
      </c>
      <c r="G182" s="1" t="s">
        <v>216</v>
      </c>
      <c r="H182" s="1" t="s">
        <v>152</v>
      </c>
      <c r="I182" s="1" t="s">
        <v>34</v>
      </c>
      <c r="J182" s="1" t="s">
        <v>112</v>
      </c>
      <c r="K182" s="1" t="s">
        <v>718</v>
      </c>
      <c r="L182" s="1" t="s">
        <v>229</v>
      </c>
      <c r="M182" s="1">
        <v>81.02</v>
      </c>
      <c r="N182" s="1" t="s">
        <v>159</v>
      </c>
      <c r="O182" s="1">
        <v>300</v>
      </c>
      <c r="P182" s="1">
        <v>24306</v>
      </c>
      <c r="Q182" s="1">
        <v>0</v>
      </c>
      <c r="R182" s="7">
        <v>0</v>
      </c>
      <c r="S182" s="1">
        <v>21</v>
      </c>
      <c r="T182" s="1">
        <v>4</v>
      </c>
      <c r="U182" s="1">
        <v>17</v>
      </c>
      <c r="V182" s="1" t="s">
        <v>3328</v>
      </c>
      <c r="W182" s="1" t="s">
        <v>40</v>
      </c>
      <c r="X182" s="1" t="s">
        <v>105</v>
      </c>
      <c r="Y182" s="1" t="s">
        <v>106</v>
      </c>
      <c r="Z182" s="1" t="s">
        <v>3333</v>
      </c>
      <c r="AA182" s="1" t="s">
        <v>88</v>
      </c>
      <c r="AB182" s="1" t="s">
        <v>147</v>
      </c>
      <c r="AC182" s="1"/>
      <c r="AD182" s="1">
        <v>2.2000000000000002</v>
      </c>
      <c r="AE182" s="1" t="s">
        <v>108</v>
      </c>
      <c r="AF182" s="1" t="s">
        <v>46</v>
      </c>
    </row>
    <row r="183" spans="1:32" ht="18" customHeight="1">
      <c r="A183" s="1" t="s">
        <v>719</v>
      </c>
      <c r="B183" s="1" t="s">
        <v>720</v>
      </c>
      <c r="C183" s="4">
        <v>46033</v>
      </c>
      <c r="D183" s="4" t="s">
        <v>3400</v>
      </c>
      <c r="E183" s="4">
        <v>46050</v>
      </c>
      <c r="F183" s="1" t="s">
        <v>80</v>
      </c>
      <c r="G183" s="1" t="s">
        <v>81</v>
      </c>
      <c r="H183" s="1" t="s">
        <v>3442</v>
      </c>
      <c r="I183" s="1" t="s">
        <v>83</v>
      </c>
      <c r="J183" s="1" t="s">
        <v>35</v>
      </c>
      <c r="K183" s="1" t="s">
        <v>721</v>
      </c>
      <c r="L183" s="1" t="s">
        <v>85</v>
      </c>
      <c r="M183" s="1">
        <v>978.42</v>
      </c>
      <c r="N183" s="1" t="s">
        <v>86</v>
      </c>
      <c r="O183" s="1">
        <v>250</v>
      </c>
      <c r="P183" s="1">
        <v>244605</v>
      </c>
      <c r="Q183" s="1">
        <v>5</v>
      </c>
      <c r="R183" s="7">
        <v>0.02</v>
      </c>
      <c r="S183" s="1">
        <v>17</v>
      </c>
      <c r="T183" s="1">
        <v>14</v>
      </c>
      <c r="U183" s="1">
        <v>3</v>
      </c>
      <c r="V183" s="1" t="s">
        <v>135</v>
      </c>
      <c r="W183" s="1" t="s">
        <v>40</v>
      </c>
      <c r="X183" s="1" t="s">
        <v>105</v>
      </c>
      <c r="Y183" s="1" t="s">
        <v>212</v>
      </c>
      <c r="Z183" s="1" t="s">
        <v>107</v>
      </c>
      <c r="AA183" s="1"/>
      <c r="AB183" s="1" t="s">
        <v>137</v>
      </c>
      <c r="AC183" s="1"/>
      <c r="AD183" s="1">
        <v>4.9000000000000004</v>
      </c>
      <c r="AE183" s="1" t="s">
        <v>45</v>
      </c>
      <c r="AF183" s="1" t="s">
        <v>46</v>
      </c>
    </row>
    <row r="184" spans="1:32" ht="18" customHeight="1">
      <c r="A184" s="1" t="s">
        <v>722</v>
      </c>
      <c r="B184" s="1" t="s">
        <v>723</v>
      </c>
      <c r="C184" s="4">
        <v>46129</v>
      </c>
      <c r="D184" s="4">
        <v>46151</v>
      </c>
      <c r="E184" s="4">
        <v>46143</v>
      </c>
      <c r="F184" s="1" t="s">
        <v>118</v>
      </c>
      <c r="G184" s="1" t="s">
        <v>119</v>
      </c>
      <c r="H184" s="1" t="s">
        <v>3407</v>
      </c>
      <c r="I184" s="1" t="s">
        <v>83</v>
      </c>
      <c r="J184" s="1" t="s">
        <v>62</v>
      </c>
      <c r="K184" s="1" t="s">
        <v>724</v>
      </c>
      <c r="L184" s="1" t="s">
        <v>64</v>
      </c>
      <c r="M184" s="1">
        <v>621.41</v>
      </c>
      <c r="N184" s="1" t="s">
        <v>38</v>
      </c>
      <c r="O184" s="1">
        <v>150</v>
      </c>
      <c r="P184" s="1">
        <v>93211.5</v>
      </c>
      <c r="Q184" s="1">
        <v>4</v>
      </c>
      <c r="R184" s="7">
        <v>2.6700000000000002E-2</v>
      </c>
      <c r="S184" s="1">
        <v>14</v>
      </c>
      <c r="T184" s="1">
        <v>22</v>
      </c>
      <c r="U184" s="1">
        <v>-8</v>
      </c>
      <c r="V184" s="1" t="s">
        <v>3352</v>
      </c>
      <c r="W184" s="1" t="s">
        <v>40</v>
      </c>
      <c r="X184" s="1" t="s">
        <v>127</v>
      </c>
      <c r="Y184" s="1" t="s">
        <v>106</v>
      </c>
      <c r="Z184" s="1" t="s">
        <v>173</v>
      </c>
      <c r="AA184" s="1" t="s">
        <v>136</v>
      </c>
      <c r="AB184" s="1" t="s">
        <v>147</v>
      </c>
      <c r="AC184" s="1"/>
      <c r="AD184" s="1"/>
      <c r="AE184" s="1" t="s">
        <v>115</v>
      </c>
      <c r="AF184" s="1" t="s">
        <v>130</v>
      </c>
    </row>
    <row r="185" spans="1:32" ht="18" customHeight="1">
      <c r="A185" s="1" t="s">
        <v>725</v>
      </c>
      <c r="B185" s="1" t="s">
        <v>726</v>
      </c>
      <c r="C185" s="4" t="s">
        <v>3495</v>
      </c>
      <c r="D185" s="4">
        <v>46149</v>
      </c>
      <c r="E185" s="4">
        <v>46148</v>
      </c>
      <c r="F185" s="1" t="s">
        <v>90</v>
      </c>
      <c r="G185" s="1" t="s">
        <v>3346</v>
      </c>
      <c r="H185" s="1" t="s">
        <v>3336</v>
      </c>
      <c r="I185" s="1" t="s">
        <v>178</v>
      </c>
      <c r="J185" s="1" t="s">
        <v>71</v>
      </c>
      <c r="K185" s="1" t="s">
        <v>727</v>
      </c>
      <c r="L185" s="1" t="s">
        <v>553</v>
      </c>
      <c r="M185" s="1">
        <v>529.65</v>
      </c>
      <c r="N185" s="1" t="s">
        <v>38</v>
      </c>
      <c r="O185" s="1">
        <v>100</v>
      </c>
      <c r="P185" s="1">
        <v>52965</v>
      </c>
      <c r="Q185" s="1">
        <v>3</v>
      </c>
      <c r="R185" s="7">
        <v>0.03</v>
      </c>
      <c r="S185" s="1">
        <v>12</v>
      </c>
      <c r="T185" s="1">
        <v>13</v>
      </c>
      <c r="U185" s="1">
        <v>-1</v>
      </c>
      <c r="V185" s="1" t="s">
        <v>270</v>
      </c>
      <c r="W185" s="1" t="s">
        <v>40</v>
      </c>
      <c r="X185" s="1" t="s">
        <v>105</v>
      </c>
      <c r="Y185" s="1" t="s">
        <v>212</v>
      </c>
      <c r="Z185" s="1" t="s">
        <v>43</v>
      </c>
      <c r="AA185" s="1" t="s">
        <v>129</v>
      </c>
      <c r="AB185" s="1"/>
      <c r="AC185" s="1"/>
      <c r="AD185" s="1">
        <v>4.9000000000000004</v>
      </c>
      <c r="AE185" s="1" t="s">
        <v>76</v>
      </c>
      <c r="AF185" s="1"/>
    </row>
    <row r="186" spans="1:32" ht="18" customHeight="1">
      <c r="A186" s="1" t="s">
        <v>728</v>
      </c>
      <c r="B186" s="1" t="s">
        <v>729</v>
      </c>
      <c r="C186" s="4">
        <v>46120</v>
      </c>
      <c r="D186" s="4">
        <v>46132</v>
      </c>
      <c r="E186" s="4">
        <v>46135</v>
      </c>
      <c r="F186" s="1" t="s">
        <v>90</v>
      </c>
      <c r="G186" s="1" t="s">
        <v>3440</v>
      </c>
      <c r="H186" s="1" t="s">
        <v>3336</v>
      </c>
      <c r="I186" s="1" t="s">
        <v>92</v>
      </c>
      <c r="J186" s="1" t="s">
        <v>71</v>
      </c>
      <c r="K186" s="1" t="s">
        <v>730</v>
      </c>
      <c r="L186" s="1" t="s">
        <v>238</v>
      </c>
      <c r="M186" s="1">
        <v>3.24</v>
      </c>
      <c r="N186" s="1" t="s">
        <v>104</v>
      </c>
      <c r="O186" s="1">
        <v>1000</v>
      </c>
      <c r="P186" s="1">
        <v>3240</v>
      </c>
      <c r="Q186" s="1">
        <v>8</v>
      </c>
      <c r="R186" s="7">
        <v>8.0000000000000002E-3</v>
      </c>
      <c r="S186" s="1">
        <v>15</v>
      </c>
      <c r="T186" s="1">
        <v>12</v>
      </c>
      <c r="U186" s="1">
        <v>3</v>
      </c>
      <c r="V186" s="1" t="s">
        <v>166</v>
      </c>
      <c r="W186" s="1" t="s">
        <v>40</v>
      </c>
      <c r="X186" s="1" t="s">
        <v>127</v>
      </c>
      <c r="Y186" s="1" t="s">
        <v>3334</v>
      </c>
      <c r="Z186" s="1" t="s">
        <v>3330</v>
      </c>
      <c r="AA186" s="1" t="s">
        <v>88</v>
      </c>
      <c r="AB186" s="1" t="s">
        <v>95</v>
      </c>
      <c r="AC186" s="1"/>
      <c r="AD186" s="1">
        <v>2.4</v>
      </c>
      <c r="AE186" s="1" t="s">
        <v>76</v>
      </c>
      <c r="AF186" s="1" t="s">
        <v>148</v>
      </c>
    </row>
    <row r="187" spans="1:32" ht="18" customHeight="1">
      <c r="A187" s="1" t="s">
        <v>731</v>
      </c>
      <c r="B187" s="1" t="s">
        <v>732</v>
      </c>
      <c r="C187" s="4">
        <v>46134</v>
      </c>
      <c r="D187" s="4">
        <v>46150</v>
      </c>
      <c r="E187" s="4">
        <v>46148</v>
      </c>
      <c r="F187" s="1" t="s">
        <v>80</v>
      </c>
      <c r="G187" s="1" t="s">
        <v>3470</v>
      </c>
      <c r="H187" s="1" t="s">
        <v>3414</v>
      </c>
      <c r="I187" s="1" t="s">
        <v>70</v>
      </c>
      <c r="J187" s="1" t="s">
        <v>35</v>
      </c>
      <c r="K187" s="1" t="s">
        <v>733</v>
      </c>
      <c r="L187" s="1" t="s">
        <v>37</v>
      </c>
      <c r="M187" s="1">
        <v>1440.86</v>
      </c>
      <c r="N187" s="1" t="s">
        <v>159</v>
      </c>
      <c r="O187" s="1">
        <v>1500</v>
      </c>
      <c r="P187" s="1">
        <v>2161290</v>
      </c>
      <c r="Q187" s="1">
        <v>34</v>
      </c>
      <c r="R187" s="7">
        <v>2.2700000000000001E-2</v>
      </c>
      <c r="S187" s="1"/>
      <c r="T187" s="1">
        <v>16</v>
      </c>
      <c r="U187" s="1">
        <v>-2</v>
      </c>
      <c r="V187" s="1" t="s">
        <v>270</v>
      </c>
      <c r="W187" s="1" t="s">
        <v>40</v>
      </c>
      <c r="X187" s="1" t="s">
        <v>105</v>
      </c>
      <c r="Y187" s="1" t="s">
        <v>190</v>
      </c>
      <c r="Z187" s="1" t="s">
        <v>3333</v>
      </c>
      <c r="AA187" s="1" t="s">
        <v>3341</v>
      </c>
      <c r="AB187" s="1" t="s">
        <v>147</v>
      </c>
      <c r="AC187" s="1"/>
      <c r="AD187" s="1">
        <v>3.8</v>
      </c>
      <c r="AE187" s="1" t="s">
        <v>115</v>
      </c>
      <c r="AF187" s="1"/>
    </row>
    <row r="188" spans="1:32" ht="18" customHeight="1">
      <c r="A188" s="1" t="s">
        <v>734</v>
      </c>
      <c r="B188" s="1" t="s">
        <v>735</v>
      </c>
      <c r="C188" s="4">
        <v>46182</v>
      </c>
      <c r="D188" s="4"/>
      <c r="E188" s="4">
        <v>46202</v>
      </c>
      <c r="F188" s="1" t="s">
        <v>142</v>
      </c>
      <c r="G188" s="1" t="s">
        <v>3391</v>
      </c>
      <c r="H188" s="1" t="s">
        <v>169</v>
      </c>
      <c r="I188" s="1" t="s">
        <v>61</v>
      </c>
      <c r="J188" s="1" t="s">
        <v>50</v>
      </c>
      <c r="K188" s="1" t="s">
        <v>736</v>
      </c>
      <c r="L188" s="1" t="s">
        <v>126</v>
      </c>
      <c r="M188" s="1">
        <v>1945.81</v>
      </c>
      <c r="N188" s="1" t="s">
        <v>159</v>
      </c>
      <c r="O188" s="1" t="s">
        <v>3344</v>
      </c>
      <c r="P188" s="1">
        <v>583743</v>
      </c>
      <c r="Q188" s="1">
        <v>4</v>
      </c>
      <c r="R188" s="7">
        <v>1.3299999999999999E-2</v>
      </c>
      <c r="S188" s="1">
        <v>20</v>
      </c>
      <c r="T188" s="1">
        <v>23</v>
      </c>
      <c r="U188" s="1">
        <v>-3</v>
      </c>
      <c r="V188" s="1" t="s">
        <v>3352</v>
      </c>
      <c r="W188" s="1" t="s">
        <v>40</v>
      </c>
      <c r="X188" s="1" t="s">
        <v>41</v>
      </c>
      <c r="Y188" s="1" t="s">
        <v>42</v>
      </c>
      <c r="Z188" s="1" t="s">
        <v>107</v>
      </c>
      <c r="AA188" s="1" t="s">
        <v>129</v>
      </c>
      <c r="AB188" s="1" t="s">
        <v>56</v>
      </c>
      <c r="AC188" s="1"/>
      <c r="AD188" s="1">
        <v>2.5</v>
      </c>
      <c r="AE188" s="1" t="s">
        <v>184</v>
      </c>
      <c r="AF188" s="1"/>
    </row>
    <row r="189" spans="1:32" ht="18" hidden="1" customHeight="1">
      <c r="A189" s="1" t="s">
        <v>737</v>
      </c>
      <c r="B189" s="1" t="s">
        <v>738</v>
      </c>
      <c r="C189" s="4">
        <v>46039</v>
      </c>
      <c r="D189" s="1">
        <v>46043</v>
      </c>
      <c r="E189" s="1">
        <v>46042</v>
      </c>
      <c r="F189" s="1" t="s">
        <v>60</v>
      </c>
      <c r="G189" s="1" t="s">
        <v>466</v>
      </c>
      <c r="H189" s="1" t="s">
        <v>3354</v>
      </c>
      <c r="I189" s="1" t="s">
        <v>83</v>
      </c>
      <c r="J189" s="1" t="s">
        <v>62</v>
      </c>
      <c r="K189" s="1" t="s">
        <v>739</v>
      </c>
      <c r="L189" s="1" t="s">
        <v>94</v>
      </c>
      <c r="M189" s="1">
        <v>110.45</v>
      </c>
      <c r="N189" s="1" t="s">
        <v>65</v>
      </c>
      <c r="O189" s="1">
        <v>1000</v>
      </c>
      <c r="P189" s="1">
        <v>110450</v>
      </c>
      <c r="Q189" s="1">
        <v>49</v>
      </c>
      <c r="R189" s="7">
        <v>4.9000000000000002E-2</v>
      </c>
      <c r="S189" s="1">
        <v>3</v>
      </c>
      <c r="T189" s="1">
        <v>4</v>
      </c>
      <c r="U189" s="1">
        <v>-1</v>
      </c>
      <c r="V189" s="1" t="s">
        <v>3352</v>
      </c>
      <c r="W189" s="1" t="s">
        <v>420</v>
      </c>
      <c r="X189" s="1" t="s">
        <v>3329</v>
      </c>
      <c r="Y189" s="1" t="s">
        <v>42</v>
      </c>
      <c r="Z189" s="1" t="s">
        <v>107</v>
      </c>
      <c r="AA189" s="1" t="s">
        <v>88</v>
      </c>
      <c r="AB189" s="1" t="s">
        <v>147</v>
      </c>
      <c r="AC189" s="1" t="s">
        <v>96</v>
      </c>
      <c r="AD189" s="1">
        <v>1.5</v>
      </c>
      <c r="AE189" s="1" t="s">
        <v>184</v>
      </c>
      <c r="AF189" s="1" t="s">
        <v>97</v>
      </c>
    </row>
    <row r="190" spans="1:32" ht="18" customHeight="1">
      <c r="A190" s="1" t="s">
        <v>740</v>
      </c>
      <c r="B190" s="1" t="s">
        <v>741</v>
      </c>
      <c r="C190" s="4" t="s">
        <v>3409</v>
      </c>
      <c r="D190" s="4" t="s">
        <v>3403</v>
      </c>
      <c r="E190" s="4">
        <v>46114</v>
      </c>
      <c r="F190" s="1" t="s">
        <v>162</v>
      </c>
      <c r="G190" s="1" t="s">
        <v>3356</v>
      </c>
      <c r="H190" s="1" t="s">
        <v>3354</v>
      </c>
      <c r="I190" s="1" t="s">
        <v>49</v>
      </c>
      <c r="J190" s="1" t="s">
        <v>163</v>
      </c>
      <c r="K190" s="1" t="s">
        <v>742</v>
      </c>
      <c r="L190" s="1" t="s">
        <v>253</v>
      </c>
      <c r="M190" s="1">
        <v>2488.17</v>
      </c>
      <c r="N190" s="1" t="s">
        <v>65</v>
      </c>
      <c r="O190" s="1">
        <v>1500</v>
      </c>
      <c r="P190" s="1">
        <v>0</v>
      </c>
      <c r="Q190" s="1">
        <v>13</v>
      </c>
      <c r="R190" s="7">
        <v>8.6999999999999994E-3</v>
      </c>
      <c r="S190" s="1">
        <v>-5</v>
      </c>
      <c r="T190" s="1">
        <v>12</v>
      </c>
      <c r="U190" s="1">
        <v>1</v>
      </c>
      <c r="V190" s="1" t="s">
        <v>166</v>
      </c>
      <c r="W190" s="1" t="s">
        <v>40</v>
      </c>
      <c r="X190" s="1" t="s">
        <v>105</v>
      </c>
      <c r="Y190" s="1" t="s">
        <v>190</v>
      </c>
      <c r="Z190" s="1" t="s">
        <v>3333</v>
      </c>
      <c r="AA190" s="1" t="s">
        <v>129</v>
      </c>
      <c r="AB190" s="1" t="s">
        <v>56</v>
      </c>
      <c r="AC190" s="1"/>
      <c r="AD190" s="1">
        <v>4.9000000000000004</v>
      </c>
      <c r="AE190" s="1" t="s">
        <v>76</v>
      </c>
      <c r="AF190" s="1" t="s">
        <v>46</v>
      </c>
    </row>
    <row r="191" spans="1:32" ht="18" customHeight="1">
      <c r="A191" s="1" t="s">
        <v>743</v>
      </c>
      <c r="B191" s="1" t="s">
        <v>744</v>
      </c>
      <c r="C191" s="4">
        <v>46200</v>
      </c>
      <c r="D191" s="4" t="s">
        <v>3496</v>
      </c>
      <c r="E191" s="4">
        <v>46201</v>
      </c>
      <c r="F191" s="1" t="s">
        <v>60</v>
      </c>
      <c r="G191" s="1" t="s">
        <v>466</v>
      </c>
      <c r="H191" s="1" t="s">
        <v>3408</v>
      </c>
      <c r="I191" s="1" t="s">
        <v>83</v>
      </c>
      <c r="J191" s="1" t="s">
        <v>112</v>
      </c>
      <c r="K191" s="1" t="s">
        <v>361</v>
      </c>
      <c r="L191" s="1" t="s">
        <v>246</v>
      </c>
      <c r="M191" s="1">
        <v>21.47</v>
      </c>
      <c r="N191" s="1" t="s">
        <v>159</v>
      </c>
      <c r="O191" s="1">
        <v>750</v>
      </c>
      <c r="P191" s="1">
        <v>16102.5</v>
      </c>
      <c r="Q191" s="1">
        <v>5</v>
      </c>
      <c r="R191" s="7">
        <v>6.7000000000000002E-3</v>
      </c>
      <c r="S191" s="1">
        <v>1</v>
      </c>
      <c r="T191" s="1">
        <v>8</v>
      </c>
      <c r="U191" s="1">
        <v>-7</v>
      </c>
      <c r="V191" s="1" t="s">
        <v>3352</v>
      </c>
      <c r="W191" s="1" t="s">
        <v>40</v>
      </c>
      <c r="X191" s="1" t="s">
        <v>105</v>
      </c>
      <c r="Y191" s="1" t="s">
        <v>212</v>
      </c>
      <c r="Z191" s="1" t="s">
        <v>107</v>
      </c>
      <c r="AA191" s="1" t="s">
        <v>136</v>
      </c>
      <c r="AB191" s="1"/>
      <c r="AC191" s="1"/>
      <c r="AD191" s="1">
        <v>3.1</v>
      </c>
      <c r="AE191" s="1" t="s">
        <v>45</v>
      </c>
      <c r="AF191" s="1"/>
    </row>
    <row r="192" spans="1:32" ht="18" customHeight="1">
      <c r="A192" s="1" t="s">
        <v>745</v>
      </c>
      <c r="B192" s="1" t="s">
        <v>746</v>
      </c>
      <c r="C192" s="4" t="s">
        <v>3497</v>
      </c>
      <c r="D192" s="4">
        <v>46064</v>
      </c>
      <c r="E192" s="4">
        <v>46067</v>
      </c>
      <c r="F192" s="1" t="s">
        <v>60</v>
      </c>
      <c r="G192" s="1" t="s">
        <v>466</v>
      </c>
      <c r="H192" s="1" t="s">
        <v>152</v>
      </c>
      <c r="I192" s="1" t="s">
        <v>83</v>
      </c>
      <c r="J192" s="1" t="s">
        <v>62</v>
      </c>
      <c r="K192" s="1" t="s">
        <v>747</v>
      </c>
      <c r="L192" s="1" t="s">
        <v>64</v>
      </c>
      <c r="M192" s="1">
        <v>235.32</v>
      </c>
      <c r="N192" s="1" t="s">
        <v>172</v>
      </c>
      <c r="O192" s="1">
        <v>250</v>
      </c>
      <c r="P192" s="1">
        <v>58830</v>
      </c>
      <c r="Q192" s="1">
        <v>7</v>
      </c>
      <c r="R192" s="7">
        <v>2.8000000000000001E-2</v>
      </c>
      <c r="S192" s="1">
        <v>17</v>
      </c>
      <c r="T192" s="1">
        <v>14</v>
      </c>
      <c r="U192" s="1">
        <v>3</v>
      </c>
      <c r="V192" s="1" t="s">
        <v>166</v>
      </c>
      <c r="W192" s="1" t="s">
        <v>40</v>
      </c>
      <c r="X192" s="1" t="s">
        <v>41</v>
      </c>
      <c r="Y192" s="1" t="s">
        <v>3334</v>
      </c>
      <c r="Z192" s="1" t="s">
        <v>3333</v>
      </c>
      <c r="AA192" s="1" t="s">
        <v>3341</v>
      </c>
      <c r="AB192" s="1"/>
      <c r="AC192" s="1"/>
      <c r="AD192" s="1">
        <v>2.2000000000000002</v>
      </c>
      <c r="AE192" s="1" t="s">
        <v>45</v>
      </c>
      <c r="AF192" s="1" t="s">
        <v>46</v>
      </c>
    </row>
    <row r="193" spans="1:32" ht="18" customHeight="1">
      <c r="A193" s="1" t="s">
        <v>748</v>
      </c>
      <c r="B193" s="1" t="s">
        <v>749</v>
      </c>
      <c r="C193" s="4" t="s">
        <v>3498</v>
      </c>
      <c r="D193" s="4">
        <v>46174</v>
      </c>
      <c r="E193" s="4">
        <v>46179</v>
      </c>
      <c r="F193" s="1" t="s">
        <v>69</v>
      </c>
      <c r="G193" s="1" t="s">
        <v>3331</v>
      </c>
      <c r="H193" s="1" t="s">
        <v>3338</v>
      </c>
      <c r="I193" s="1" t="s">
        <v>70</v>
      </c>
      <c r="J193" s="1" t="s">
        <v>112</v>
      </c>
      <c r="K193" s="1" t="s">
        <v>750</v>
      </c>
      <c r="L193" s="1" t="s">
        <v>218</v>
      </c>
      <c r="M193" s="1">
        <v>411.5</v>
      </c>
      <c r="N193" s="1" t="s">
        <v>53</v>
      </c>
      <c r="O193" s="1">
        <v>250</v>
      </c>
      <c r="P193" s="1">
        <v>102875</v>
      </c>
      <c r="Q193" s="1">
        <v>-1</v>
      </c>
      <c r="R193" s="7">
        <v>3.2000000000000001E-2</v>
      </c>
      <c r="S193" s="1">
        <v>-5</v>
      </c>
      <c r="T193" s="1">
        <v>11</v>
      </c>
      <c r="U193" s="1" t="s">
        <v>3380</v>
      </c>
      <c r="V193" s="1" t="s">
        <v>3328</v>
      </c>
      <c r="W193" s="1" t="s">
        <v>40</v>
      </c>
      <c r="X193" s="1" t="s">
        <v>105</v>
      </c>
      <c r="Y193" s="1" t="s">
        <v>3334</v>
      </c>
      <c r="Z193" s="1" t="s">
        <v>173</v>
      </c>
      <c r="AA193" s="1" t="s">
        <v>3341</v>
      </c>
      <c r="AB193" s="1" t="s">
        <v>44</v>
      </c>
      <c r="AC193" s="1"/>
      <c r="AD193" s="1">
        <v>3.4</v>
      </c>
      <c r="AE193" s="1" t="s">
        <v>184</v>
      </c>
      <c r="AF193" s="1" t="s">
        <v>46</v>
      </c>
    </row>
    <row r="194" spans="1:32" ht="18" hidden="1" customHeight="1">
      <c r="A194" s="1" t="s">
        <v>751</v>
      </c>
      <c r="B194" s="1" t="s">
        <v>752</v>
      </c>
      <c r="C194" s="4">
        <v>46057</v>
      </c>
      <c r="D194" s="1">
        <v>46077</v>
      </c>
      <c r="E194" s="1">
        <v>46069</v>
      </c>
      <c r="F194" s="1" t="s">
        <v>48</v>
      </c>
      <c r="G194" s="1" t="s">
        <v>232</v>
      </c>
      <c r="H194" s="1" t="s">
        <v>3322</v>
      </c>
      <c r="I194" s="1" t="s">
        <v>61</v>
      </c>
      <c r="J194" s="1" t="s">
        <v>153</v>
      </c>
      <c r="K194" s="1" t="s">
        <v>753</v>
      </c>
      <c r="L194" s="1" t="s">
        <v>155</v>
      </c>
      <c r="M194" s="1">
        <v>-686.71</v>
      </c>
      <c r="N194" s="1" t="s">
        <v>159</v>
      </c>
      <c r="O194" s="1">
        <v>50</v>
      </c>
      <c r="P194" s="1">
        <v>34335.5</v>
      </c>
      <c r="Q194" s="1">
        <v>4</v>
      </c>
      <c r="R194" s="7">
        <v>0.08</v>
      </c>
      <c r="S194" s="1">
        <v>12</v>
      </c>
      <c r="T194" s="1">
        <v>20</v>
      </c>
      <c r="U194" s="1">
        <v>-8</v>
      </c>
      <c r="V194" s="1" t="s">
        <v>3352</v>
      </c>
      <c r="W194" s="1" t="s">
        <v>420</v>
      </c>
      <c r="X194" s="1" t="s">
        <v>105</v>
      </c>
      <c r="Y194" s="1" t="s">
        <v>42</v>
      </c>
      <c r="Z194" s="1" t="s">
        <v>43</v>
      </c>
      <c r="AA194" s="1"/>
      <c r="AB194" s="1" t="s">
        <v>95</v>
      </c>
      <c r="AC194" s="1" t="s">
        <v>183</v>
      </c>
      <c r="AD194" s="1">
        <v>3.2</v>
      </c>
      <c r="AE194" s="1" t="s">
        <v>57</v>
      </c>
      <c r="AF194" s="1" t="s">
        <v>97</v>
      </c>
    </row>
    <row r="195" spans="1:32" ht="18" customHeight="1">
      <c r="A195" s="1" t="s">
        <v>754</v>
      </c>
      <c r="B195" s="1" t="s">
        <v>755</v>
      </c>
      <c r="C195" s="4">
        <v>46177</v>
      </c>
      <c r="D195" s="4">
        <v>46190</v>
      </c>
      <c r="E195" s="4">
        <v>46193</v>
      </c>
      <c r="F195" s="1" t="s">
        <v>209</v>
      </c>
      <c r="G195" s="1" t="s">
        <v>210</v>
      </c>
      <c r="H195" s="1" t="s">
        <v>3390</v>
      </c>
      <c r="I195" s="1" t="s">
        <v>241</v>
      </c>
      <c r="J195" s="1" t="s">
        <v>153</v>
      </c>
      <c r="K195" s="1" t="s">
        <v>203</v>
      </c>
      <c r="L195" s="1" t="s">
        <v>295</v>
      </c>
      <c r="M195" s="1">
        <v>224.87</v>
      </c>
      <c r="N195" s="1" t="s">
        <v>86</v>
      </c>
      <c r="O195" s="1">
        <v>250</v>
      </c>
      <c r="P195" s="1">
        <v>56217.5</v>
      </c>
      <c r="Q195" s="1">
        <v>8</v>
      </c>
      <c r="R195" s="7">
        <v>3.2000000000000001E-2</v>
      </c>
      <c r="S195" s="1">
        <v>16</v>
      </c>
      <c r="T195" s="1">
        <v>13</v>
      </c>
      <c r="U195" s="1">
        <v>3</v>
      </c>
      <c r="V195" s="1" t="s">
        <v>3323</v>
      </c>
      <c r="W195" s="1" t="s">
        <v>40</v>
      </c>
      <c r="X195" s="1" t="s">
        <v>41</v>
      </c>
      <c r="Y195" s="1" t="s">
        <v>190</v>
      </c>
      <c r="Z195" s="1" t="s">
        <v>107</v>
      </c>
      <c r="AA195" s="1" t="s">
        <v>129</v>
      </c>
      <c r="AB195" s="1"/>
      <c r="AC195" s="1"/>
      <c r="AD195" s="1">
        <v>4.0999999999999996</v>
      </c>
      <c r="AE195" s="1" t="s">
        <v>115</v>
      </c>
      <c r="AF195" s="1" t="s">
        <v>46</v>
      </c>
    </row>
    <row r="196" spans="1:32" ht="18" customHeight="1">
      <c r="A196" s="1" t="s">
        <v>756</v>
      </c>
      <c r="B196" s="1" t="s">
        <v>757</v>
      </c>
      <c r="C196" s="4">
        <v>46094</v>
      </c>
      <c r="D196" s="4" t="s">
        <v>3436</v>
      </c>
      <c r="E196" s="4">
        <v>46119</v>
      </c>
      <c r="F196" s="1" t="s">
        <v>118</v>
      </c>
      <c r="G196" s="1" t="s">
        <v>3393</v>
      </c>
      <c r="H196" s="1" t="s">
        <v>3407</v>
      </c>
      <c r="I196" s="1" t="s">
        <v>70</v>
      </c>
      <c r="J196" s="1" t="s">
        <v>62</v>
      </c>
      <c r="K196" s="1" t="s">
        <v>758</v>
      </c>
      <c r="L196" s="1" t="s">
        <v>122</v>
      </c>
      <c r="M196" s="1">
        <v>248.35</v>
      </c>
      <c r="N196" s="1" t="s">
        <v>38</v>
      </c>
      <c r="O196" s="1">
        <v>250</v>
      </c>
      <c r="P196" s="1">
        <v>62087.5</v>
      </c>
      <c r="Q196" s="1">
        <v>256</v>
      </c>
      <c r="R196" s="7">
        <v>1.2E-2</v>
      </c>
      <c r="S196" s="1">
        <v>25</v>
      </c>
      <c r="T196" s="1">
        <v>20</v>
      </c>
      <c r="U196" s="1">
        <v>5</v>
      </c>
      <c r="V196" s="1" t="s">
        <v>39</v>
      </c>
      <c r="W196" s="1" t="s">
        <v>40</v>
      </c>
      <c r="X196" s="1" t="s">
        <v>3324</v>
      </c>
      <c r="Y196" s="1" t="s">
        <v>212</v>
      </c>
      <c r="Z196" s="1" t="s">
        <v>173</v>
      </c>
      <c r="AA196" s="1" t="s">
        <v>55</v>
      </c>
      <c r="AB196" s="1" t="s">
        <v>137</v>
      </c>
      <c r="AC196" s="1"/>
      <c r="AD196" s="1">
        <v>3.7</v>
      </c>
      <c r="AE196" s="1" t="s">
        <v>108</v>
      </c>
      <c r="AF196" s="1" t="s">
        <v>46</v>
      </c>
    </row>
    <row r="197" spans="1:32" ht="18" hidden="1" customHeight="1">
      <c r="A197" s="1" t="s">
        <v>759</v>
      </c>
      <c r="B197" s="1" t="s">
        <v>760</v>
      </c>
      <c r="C197" s="4"/>
      <c r="D197" s="1">
        <v>46050</v>
      </c>
      <c r="E197" s="1">
        <v>46051</v>
      </c>
      <c r="F197" s="1" t="s">
        <v>69</v>
      </c>
      <c r="G197" s="1" t="s">
        <v>3362</v>
      </c>
      <c r="H197" s="1" t="s">
        <v>194</v>
      </c>
      <c r="I197" s="1" t="s">
        <v>49</v>
      </c>
      <c r="J197" s="1" t="s">
        <v>112</v>
      </c>
      <c r="K197" s="1" t="s">
        <v>761</v>
      </c>
      <c r="L197" s="1" t="s">
        <v>246</v>
      </c>
      <c r="M197" s="1">
        <v>460.76</v>
      </c>
      <c r="N197" s="1" t="s">
        <v>38</v>
      </c>
      <c r="O197" s="1">
        <v>1500</v>
      </c>
      <c r="P197" s="1">
        <v>691140</v>
      </c>
      <c r="Q197" s="1"/>
      <c r="R197" s="7">
        <v>6.8000000000000005E-2</v>
      </c>
      <c r="S197" s="1">
        <v>10</v>
      </c>
      <c r="T197" s="1">
        <v>9</v>
      </c>
      <c r="U197" s="1">
        <v>1</v>
      </c>
      <c r="V197" s="1" t="s">
        <v>166</v>
      </c>
      <c r="W197" s="1" t="s">
        <v>366</v>
      </c>
      <c r="X197" s="1" t="s">
        <v>41</v>
      </c>
      <c r="Y197" s="1" t="s">
        <v>212</v>
      </c>
      <c r="Z197" s="1" t="s">
        <v>173</v>
      </c>
      <c r="AA197" s="1" t="s">
        <v>136</v>
      </c>
      <c r="AB197" s="1" t="s">
        <v>147</v>
      </c>
      <c r="AC197" s="1" t="s">
        <v>373</v>
      </c>
      <c r="AD197" s="1">
        <v>2.2000000000000002</v>
      </c>
      <c r="AE197" s="1" t="s">
        <v>76</v>
      </c>
      <c r="AF197" s="1" t="s">
        <v>77</v>
      </c>
    </row>
    <row r="198" spans="1:32" ht="18" customHeight="1">
      <c r="A198" s="1" t="s">
        <v>762</v>
      </c>
      <c r="B198" s="1" t="s">
        <v>763</v>
      </c>
      <c r="C198" s="4">
        <v>46152</v>
      </c>
      <c r="D198" s="4">
        <v>46171</v>
      </c>
      <c r="E198" s="4">
        <v>46166</v>
      </c>
      <c r="F198" s="1" t="s">
        <v>80</v>
      </c>
      <c r="G198" s="1" t="s">
        <v>3470</v>
      </c>
      <c r="H198" s="1" t="s">
        <v>3442</v>
      </c>
      <c r="I198" s="1" t="s">
        <v>61</v>
      </c>
      <c r="J198" s="1" t="s">
        <v>163</v>
      </c>
      <c r="K198" s="1" t="s">
        <v>764</v>
      </c>
      <c r="L198" s="1" t="s">
        <v>165</v>
      </c>
      <c r="M198" s="1">
        <v>1799.68</v>
      </c>
      <c r="N198" s="1" t="s">
        <v>38</v>
      </c>
      <c r="O198" s="1">
        <v>2000</v>
      </c>
      <c r="P198" s="1" t="s">
        <v>3499</v>
      </c>
      <c r="Q198" s="1">
        <v>78</v>
      </c>
      <c r="R198" s="7">
        <v>3.9E-2</v>
      </c>
      <c r="S198" s="1">
        <v>14</v>
      </c>
      <c r="T198" s="1">
        <v>19</v>
      </c>
      <c r="U198" s="1">
        <v>-5</v>
      </c>
      <c r="V198" s="1" t="s">
        <v>3352</v>
      </c>
      <c r="W198" s="1" t="s">
        <v>40</v>
      </c>
      <c r="X198" s="1"/>
      <c r="Y198" s="1" t="s">
        <v>212</v>
      </c>
      <c r="Z198" s="1" t="s">
        <v>128</v>
      </c>
      <c r="AA198" s="1" t="s">
        <v>3341</v>
      </c>
      <c r="AB198" s="1" t="s">
        <v>44</v>
      </c>
      <c r="AC198" s="1"/>
      <c r="AD198" s="1">
        <v>4.5999999999999996</v>
      </c>
      <c r="AE198" s="1" t="s">
        <v>139</v>
      </c>
      <c r="AF198" s="1" t="s">
        <v>130</v>
      </c>
    </row>
    <row r="199" spans="1:32" ht="18" hidden="1" customHeight="1">
      <c r="A199" s="1" t="s">
        <v>765</v>
      </c>
      <c r="B199" s="1" t="s">
        <v>766</v>
      </c>
      <c r="C199" s="4">
        <v>46149</v>
      </c>
      <c r="D199" s="1">
        <v>46156</v>
      </c>
      <c r="E199" s="1">
        <v>46165</v>
      </c>
      <c r="F199" s="1" t="s">
        <v>69</v>
      </c>
      <c r="G199" s="1" t="s">
        <v>111</v>
      </c>
      <c r="H199" s="1" t="s">
        <v>3338</v>
      </c>
      <c r="I199" s="1" t="s">
        <v>120</v>
      </c>
      <c r="J199" s="1" t="s">
        <v>112</v>
      </c>
      <c r="K199" s="1" t="s">
        <v>308</v>
      </c>
      <c r="L199" s="1" t="s">
        <v>218</v>
      </c>
      <c r="M199" s="1">
        <v>555.27</v>
      </c>
      <c r="N199" s="1" t="s">
        <v>104</v>
      </c>
      <c r="O199" s="1">
        <v>500</v>
      </c>
      <c r="P199" s="1">
        <v>277635</v>
      </c>
      <c r="Q199" s="1">
        <v>26</v>
      </c>
      <c r="R199" s="7">
        <v>5.1999999999999998E-2</v>
      </c>
      <c r="S199" s="1">
        <v>16</v>
      </c>
      <c r="T199" s="1">
        <v>7</v>
      </c>
      <c r="U199" s="1">
        <v>9</v>
      </c>
      <c r="V199" s="1" t="s">
        <v>205</v>
      </c>
      <c r="W199" s="1" t="s">
        <v>366</v>
      </c>
      <c r="X199" s="1"/>
      <c r="Y199" s="1" t="s">
        <v>42</v>
      </c>
      <c r="Z199" s="1" t="s">
        <v>107</v>
      </c>
      <c r="AA199" s="1" t="s">
        <v>136</v>
      </c>
      <c r="AB199" s="1" t="s">
        <v>147</v>
      </c>
      <c r="AC199" s="1" t="s">
        <v>373</v>
      </c>
      <c r="AD199" s="1">
        <v>1.5</v>
      </c>
      <c r="AE199" s="1" t="s">
        <v>115</v>
      </c>
      <c r="AF199" s="1" t="s">
        <v>185</v>
      </c>
    </row>
    <row r="200" spans="1:32" ht="18" customHeight="1">
      <c r="A200" s="1" t="s">
        <v>767</v>
      </c>
      <c r="B200" s="1" t="s">
        <v>768</v>
      </c>
      <c r="C200" s="4">
        <v>46101</v>
      </c>
      <c r="D200" s="4">
        <v>46111</v>
      </c>
      <c r="E200" s="4" t="s">
        <v>3500</v>
      </c>
      <c r="F200" s="1" t="s">
        <v>215</v>
      </c>
      <c r="G200" s="1" t="s">
        <v>3415</v>
      </c>
      <c r="H200" s="1" t="s">
        <v>152</v>
      </c>
      <c r="I200" s="1" t="s">
        <v>120</v>
      </c>
      <c r="J200" s="1" t="s">
        <v>71</v>
      </c>
      <c r="K200" s="1" t="s">
        <v>769</v>
      </c>
      <c r="L200" s="1" t="s">
        <v>73</v>
      </c>
      <c r="M200" s="1">
        <v>132.44</v>
      </c>
      <c r="N200" s="1" t="s">
        <v>159</v>
      </c>
      <c r="O200" s="1">
        <v>2000</v>
      </c>
      <c r="P200" s="1">
        <v>264880</v>
      </c>
      <c r="Q200" s="1">
        <v>32</v>
      </c>
      <c r="R200" s="7">
        <v>1.6E-2</v>
      </c>
      <c r="S200" s="1">
        <v>10</v>
      </c>
      <c r="T200" s="1">
        <v>10</v>
      </c>
      <c r="U200" s="1">
        <v>0</v>
      </c>
      <c r="V200" s="1" t="s">
        <v>3337</v>
      </c>
      <c r="W200" s="1" t="s">
        <v>40</v>
      </c>
      <c r="X200" s="1" t="s">
        <v>3324</v>
      </c>
      <c r="Y200" s="1" t="s">
        <v>212</v>
      </c>
      <c r="Z200" s="1" t="s">
        <v>3330</v>
      </c>
      <c r="AA200" s="1" t="s">
        <v>206</v>
      </c>
      <c r="AB200" s="1" t="s">
        <v>44</v>
      </c>
      <c r="AC200" s="1"/>
      <c r="AD200" s="1">
        <v>3.6</v>
      </c>
      <c r="AE200" s="1" t="s">
        <v>45</v>
      </c>
      <c r="AF200" s="1"/>
    </row>
    <row r="201" spans="1:32" ht="18" customHeight="1">
      <c r="A201" s="1" t="s">
        <v>770</v>
      </c>
      <c r="B201" s="1" t="s">
        <v>771</v>
      </c>
      <c r="C201" s="4">
        <v>46135</v>
      </c>
      <c r="D201" s="4" t="s">
        <v>3501</v>
      </c>
      <c r="E201" s="4" t="s">
        <v>3456</v>
      </c>
      <c r="F201" s="1" t="s">
        <v>142</v>
      </c>
      <c r="G201" s="1" t="s">
        <v>3391</v>
      </c>
      <c r="H201" s="1" t="s">
        <v>169</v>
      </c>
      <c r="I201" s="1" t="s">
        <v>34</v>
      </c>
      <c r="J201" s="1" t="s">
        <v>50</v>
      </c>
      <c r="K201" s="1" t="s">
        <v>772</v>
      </c>
      <c r="L201" s="1" t="s">
        <v>189</v>
      </c>
      <c r="M201" s="1">
        <v>1529.16</v>
      </c>
      <c r="N201" s="1" t="s">
        <v>65</v>
      </c>
      <c r="O201" s="1">
        <v>250</v>
      </c>
      <c r="P201" s="1">
        <v>382290</v>
      </c>
      <c r="Q201" s="1">
        <v>4</v>
      </c>
      <c r="R201" s="7">
        <v>1.6E-2</v>
      </c>
      <c r="S201" s="1"/>
      <c r="T201" s="1">
        <v>16</v>
      </c>
      <c r="U201" s="1">
        <v>4</v>
      </c>
      <c r="V201" s="1" t="s">
        <v>39</v>
      </c>
      <c r="W201" s="1" t="s">
        <v>40</v>
      </c>
      <c r="X201" s="1"/>
      <c r="Y201" s="1" t="s">
        <v>3334</v>
      </c>
      <c r="Z201" s="1" t="s">
        <v>3330</v>
      </c>
      <c r="AA201" s="1" t="s">
        <v>206</v>
      </c>
      <c r="AB201" s="1"/>
      <c r="AC201" s="1"/>
      <c r="AD201" s="1">
        <v>4.9000000000000004</v>
      </c>
      <c r="AE201" s="1" t="s">
        <v>139</v>
      </c>
      <c r="AF201" s="1" t="s">
        <v>148</v>
      </c>
    </row>
    <row r="202" spans="1:32" ht="18" customHeight="1">
      <c r="A202" s="1" t="s">
        <v>773</v>
      </c>
      <c r="B202" s="1" t="s">
        <v>774</v>
      </c>
      <c r="C202" s="4">
        <v>46102</v>
      </c>
      <c r="D202" s="4" t="s">
        <v>3400</v>
      </c>
      <c r="E202" s="4">
        <v>46124</v>
      </c>
      <c r="F202" s="1" t="s">
        <v>80</v>
      </c>
      <c r="G202" s="1" t="s">
        <v>81</v>
      </c>
      <c r="H202" s="1" t="s">
        <v>3414</v>
      </c>
      <c r="I202" s="1" t="s">
        <v>120</v>
      </c>
      <c r="J202" s="1" t="s">
        <v>35</v>
      </c>
      <c r="K202" s="1" t="s">
        <v>775</v>
      </c>
      <c r="L202" s="1" t="s">
        <v>37</v>
      </c>
      <c r="M202" s="1">
        <v>1390.45</v>
      </c>
      <c r="N202" s="1" t="s">
        <v>53</v>
      </c>
      <c r="O202" s="1">
        <v>250</v>
      </c>
      <c r="P202" s="1">
        <v>347612.5</v>
      </c>
      <c r="Q202" s="1">
        <v>7</v>
      </c>
      <c r="R202" s="7">
        <v>2.8000000000000001E-2</v>
      </c>
      <c r="S202" s="1">
        <v>-5</v>
      </c>
      <c r="T202" s="1">
        <v>17</v>
      </c>
      <c r="U202" s="1">
        <v>5</v>
      </c>
      <c r="V202" s="1" t="s">
        <v>3328</v>
      </c>
      <c r="W202" s="1" t="s">
        <v>40</v>
      </c>
      <c r="X202" s="1" t="s">
        <v>105</v>
      </c>
      <c r="Y202" s="1" t="s">
        <v>190</v>
      </c>
      <c r="Z202" s="1" t="s">
        <v>3330</v>
      </c>
      <c r="AA202" s="1" t="s">
        <v>55</v>
      </c>
      <c r="AB202" s="1"/>
      <c r="AC202" s="1"/>
      <c r="AD202" s="1">
        <v>3.7</v>
      </c>
      <c r="AE202" s="1" t="s">
        <v>45</v>
      </c>
      <c r="AF202" s="1" t="s">
        <v>46</v>
      </c>
    </row>
    <row r="203" spans="1:32" ht="18" customHeight="1">
      <c r="A203" s="1" t="s">
        <v>776</v>
      </c>
      <c r="B203" s="1" t="s">
        <v>777</v>
      </c>
      <c r="C203" s="4">
        <v>46127</v>
      </c>
      <c r="D203" s="4" t="s">
        <v>3436</v>
      </c>
      <c r="E203" s="4">
        <v>46129</v>
      </c>
      <c r="F203" s="1" t="s">
        <v>215</v>
      </c>
      <c r="G203" s="1" t="s">
        <v>3502</v>
      </c>
      <c r="H203" s="1" t="s">
        <v>152</v>
      </c>
      <c r="I203" s="1" t="s">
        <v>178</v>
      </c>
      <c r="J203" s="1" t="s">
        <v>35</v>
      </c>
      <c r="K203" s="1" t="s">
        <v>778</v>
      </c>
      <c r="L203" s="1" t="s">
        <v>180</v>
      </c>
      <c r="M203" s="1" t="s">
        <v>3503</v>
      </c>
      <c r="N203" s="1" t="s">
        <v>104</v>
      </c>
      <c r="O203" s="1">
        <v>300</v>
      </c>
      <c r="P203" s="1">
        <v>355839</v>
      </c>
      <c r="Q203" s="1">
        <v>6</v>
      </c>
      <c r="R203" s="7">
        <v>0.02</v>
      </c>
      <c r="S203" s="1">
        <v>2</v>
      </c>
      <c r="T203" s="1">
        <v>11</v>
      </c>
      <c r="U203" s="1">
        <v>-9</v>
      </c>
      <c r="V203" s="1" t="s">
        <v>270</v>
      </c>
      <c r="W203" s="1" t="s">
        <v>40</v>
      </c>
      <c r="X203" s="1" t="s">
        <v>105</v>
      </c>
      <c r="Y203" s="1" t="s">
        <v>190</v>
      </c>
      <c r="Z203" s="1" t="s">
        <v>3330</v>
      </c>
      <c r="AA203" s="1"/>
      <c r="AB203" s="1" t="s">
        <v>147</v>
      </c>
      <c r="AC203" s="1"/>
      <c r="AD203" s="1">
        <v>5</v>
      </c>
      <c r="AE203" s="1" t="s">
        <v>115</v>
      </c>
      <c r="AF203" s="1"/>
    </row>
    <row r="204" spans="1:32" ht="18" customHeight="1">
      <c r="A204" s="1" t="s">
        <v>779</v>
      </c>
      <c r="B204" s="1" t="s">
        <v>780</v>
      </c>
      <c r="C204" s="4">
        <v>46201</v>
      </c>
      <c r="D204" s="4">
        <v>46209</v>
      </c>
      <c r="E204" s="4">
        <v>46214</v>
      </c>
      <c r="F204" s="1" t="s">
        <v>100</v>
      </c>
      <c r="G204" s="1" t="s">
        <v>101</v>
      </c>
      <c r="H204" s="1" t="s">
        <v>3322</v>
      </c>
      <c r="I204" s="1" t="s">
        <v>61</v>
      </c>
      <c r="J204" s="1" t="s">
        <v>50</v>
      </c>
      <c r="K204" s="1" t="s">
        <v>781</v>
      </c>
      <c r="L204" s="1" t="s">
        <v>189</v>
      </c>
      <c r="M204" s="1"/>
      <c r="N204" s="1" t="s">
        <v>38</v>
      </c>
      <c r="O204" s="1">
        <v>300</v>
      </c>
      <c r="P204" s="1">
        <v>148392</v>
      </c>
      <c r="Q204" s="1">
        <v>7</v>
      </c>
      <c r="R204" s="7">
        <v>2.3300000000000001E-2</v>
      </c>
      <c r="S204" s="1">
        <v>13</v>
      </c>
      <c r="T204" s="1">
        <v>8</v>
      </c>
      <c r="U204" s="1">
        <v>5</v>
      </c>
      <c r="V204" s="1" t="s">
        <v>3328</v>
      </c>
      <c r="W204" s="1" t="s">
        <v>40</v>
      </c>
      <c r="X204" s="1"/>
      <c r="Y204" s="1" t="s">
        <v>190</v>
      </c>
      <c r="Z204" s="1" t="s">
        <v>173</v>
      </c>
      <c r="AA204" s="1" t="s">
        <v>55</v>
      </c>
      <c r="AB204" s="1"/>
      <c r="AC204" s="1"/>
      <c r="AD204" s="1">
        <v>3.1</v>
      </c>
      <c r="AE204" s="1" t="s">
        <v>57</v>
      </c>
      <c r="AF204" s="1" t="s">
        <v>148</v>
      </c>
    </row>
    <row r="205" spans="1:32" ht="18" hidden="1" customHeight="1">
      <c r="A205" s="1" t="s">
        <v>782</v>
      </c>
      <c r="B205" s="1" t="s">
        <v>783</v>
      </c>
      <c r="C205" s="4" t="s">
        <v>3504</v>
      </c>
      <c r="D205" s="1">
        <v>46111</v>
      </c>
      <c r="E205" s="1">
        <v>46116</v>
      </c>
      <c r="F205" s="1" t="s">
        <v>32</v>
      </c>
      <c r="G205" s="1" t="s">
        <v>33</v>
      </c>
      <c r="H205" s="1" t="s">
        <v>177</v>
      </c>
      <c r="I205" s="1" t="s">
        <v>178</v>
      </c>
      <c r="J205" s="1" t="s">
        <v>35</v>
      </c>
      <c r="K205" s="1" t="s">
        <v>784</v>
      </c>
      <c r="L205" s="1" t="s">
        <v>200</v>
      </c>
      <c r="M205" s="1">
        <v>3183.99</v>
      </c>
      <c r="N205" s="1" t="s">
        <v>53</v>
      </c>
      <c r="O205" s="1">
        <v>250</v>
      </c>
      <c r="P205" s="1">
        <v>795997.5</v>
      </c>
      <c r="Q205" s="1">
        <v>17</v>
      </c>
      <c r="R205" s="7">
        <v>6.8000000000000005E-2</v>
      </c>
      <c r="S205" s="1">
        <v>28</v>
      </c>
      <c r="T205" s="1">
        <v>23</v>
      </c>
      <c r="U205" s="1">
        <v>5</v>
      </c>
      <c r="V205" s="1" t="s">
        <v>205</v>
      </c>
      <c r="W205" s="1" t="s">
        <v>420</v>
      </c>
      <c r="X205" s="1" t="s">
        <v>105</v>
      </c>
      <c r="Y205" s="1" t="s">
        <v>212</v>
      </c>
      <c r="Z205" s="1" t="s">
        <v>3330</v>
      </c>
      <c r="AA205" s="1" t="s">
        <v>3341</v>
      </c>
      <c r="AB205" s="1" t="s">
        <v>137</v>
      </c>
      <c r="AC205" s="1" t="s">
        <v>183</v>
      </c>
      <c r="AD205" s="1">
        <v>1.5</v>
      </c>
      <c r="AE205" s="1" t="s">
        <v>184</v>
      </c>
      <c r="AF205" s="1" t="s">
        <v>77</v>
      </c>
    </row>
    <row r="206" spans="1:32" ht="18" customHeight="1">
      <c r="A206" s="1" t="s">
        <v>785</v>
      </c>
      <c r="B206" s="1" t="s">
        <v>786</v>
      </c>
      <c r="C206" s="4" t="s">
        <v>3505</v>
      </c>
      <c r="D206" s="4">
        <v>46165</v>
      </c>
      <c r="E206" s="4">
        <v>46175</v>
      </c>
      <c r="F206" s="1" t="s">
        <v>60</v>
      </c>
      <c r="G206" s="1" t="s">
        <v>466</v>
      </c>
      <c r="H206" s="1" t="s">
        <v>152</v>
      </c>
      <c r="I206" s="1" t="s">
        <v>34</v>
      </c>
      <c r="J206" s="1" t="s">
        <v>62</v>
      </c>
      <c r="K206" s="1" t="s">
        <v>787</v>
      </c>
      <c r="L206" s="1" t="s">
        <v>225</v>
      </c>
      <c r="M206" s="1">
        <v>127.6</v>
      </c>
      <c r="N206" s="1" t="s">
        <v>159</v>
      </c>
      <c r="O206" s="1">
        <v>300</v>
      </c>
      <c r="P206" s="1">
        <v>38280</v>
      </c>
      <c r="Q206" s="1">
        <v>6</v>
      </c>
      <c r="R206" s="7">
        <v>0.02</v>
      </c>
      <c r="S206" s="1">
        <v>21</v>
      </c>
      <c r="T206" s="1" t="s">
        <v>3506</v>
      </c>
      <c r="U206" s="1">
        <v>10</v>
      </c>
      <c r="V206" s="1" t="s">
        <v>3328</v>
      </c>
      <c r="W206" s="1" t="s">
        <v>40</v>
      </c>
      <c r="X206" s="1" t="s">
        <v>105</v>
      </c>
      <c r="Y206" s="1" t="s">
        <v>3334</v>
      </c>
      <c r="Z206" s="1" t="s">
        <v>107</v>
      </c>
      <c r="AA206" s="1"/>
      <c r="AB206" s="1" t="s">
        <v>56</v>
      </c>
      <c r="AC206" s="1"/>
      <c r="AD206" s="1">
        <v>1.1000000000000001</v>
      </c>
      <c r="AE206" s="1" t="s">
        <v>115</v>
      </c>
      <c r="AF206" s="1" t="s">
        <v>46</v>
      </c>
    </row>
    <row r="207" spans="1:32" ht="18" customHeight="1">
      <c r="A207" s="1" t="s">
        <v>788</v>
      </c>
      <c r="B207" s="1" t="s">
        <v>789</v>
      </c>
      <c r="C207" s="4">
        <v>46034</v>
      </c>
      <c r="D207" s="4">
        <v>46046</v>
      </c>
      <c r="E207" s="4">
        <v>46057</v>
      </c>
      <c r="F207" s="1" t="s">
        <v>100</v>
      </c>
      <c r="G207" s="1" t="s">
        <v>3429</v>
      </c>
      <c r="H207" s="1" t="s">
        <v>102</v>
      </c>
      <c r="I207" s="1" t="s">
        <v>83</v>
      </c>
      <c r="J207" s="1" t="s">
        <v>50</v>
      </c>
      <c r="K207" s="1" t="s">
        <v>790</v>
      </c>
      <c r="L207" s="1" t="s">
        <v>189</v>
      </c>
      <c r="M207" s="1" t="s">
        <v>3507</v>
      </c>
      <c r="N207" s="1" t="s">
        <v>86</v>
      </c>
      <c r="O207" s="1" t="s">
        <v>3344</v>
      </c>
      <c r="P207" s="1">
        <v>308325</v>
      </c>
      <c r="Q207" s="1">
        <v>7</v>
      </c>
      <c r="R207" s="7">
        <v>2.3300000000000001E-2</v>
      </c>
      <c r="S207" s="1">
        <v>23</v>
      </c>
      <c r="T207" s="1">
        <v>12</v>
      </c>
      <c r="U207" s="1">
        <v>11</v>
      </c>
      <c r="V207" s="1" t="s">
        <v>205</v>
      </c>
      <c r="W207" s="1" t="s">
        <v>40</v>
      </c>
      <c r="X207" s="1"/>
      <c r="Y207" s="1"/>
      <c r="Z207" s="1" t="s">
        <v>107</v>
      </c>
      <c r="AA207" s="1" t="s">
        <v>88</v>
      </c>
      <c r="AB207" s="1" t="s">
        <v>95</v>
      </c>
      <c r="AC207" s="1"/>
      <c r="AD207" s="1">
        <v>1.7</v>
      </c>
      <c r="AE207" s="1" t="s">
        <v>184</v>
      </c>
      <c r="AF207" s="1" t="s">
        <v>148</v>
      </c>
    </row>
    <row r="208" spans="1:32" ht="18" hidden="1" customHeight="1">
      <c r="A208" s="1" t="s">
        <v>791</v>
      </c>
      <c r="B208" s="1" t="s">
        <v>792</v>
      </c>
      <c r="C208" s="4">
        <v>46148</v>
      </c>
      <c r="D208" s="1" t="s">
        <v>3508</v>
      </c>
      <c r="E208" s="1">
        <v>46161</v>
      </c>
      <c r="F208" s="1" t="s">
        <v>215</v>
      </c>
      <c r="G208" s="1" t="s">
        <v>216</v>
      </c>
      <c r="H208" s="1" t="s">
        <v>3354</v>
      </c>
      <c r="I208" s="1" t="s">
        <v>61</v>
      </c>
      <c r="J208" s="1" t="s">
        <v>112</v>
      </c>
      <c r="K208" s="1" t="s">
        <v>793</v>
      </c>
      <c r="L208" s="1" t="s">
        <v>246</v>
      </c>
      <c r="M208" s="1">
        <v>781.9</v>
      </c>
      <c r="N208" s="1" t="s">
        <v>86</v>
      </c>
      <c r="O208" s="1">
        <v>50</v>
      </c>
      <c r="P208" s="1">
        <v>39095</v>
      </c>
      <c r="Q208" s="1">
        <v>3</v>
      </c>
      <c r="R208" s="7">
        <v>0.06</v>
      </c>
      <c r="S208" s="1">
        <v>13</v>
      </c>
      <c r="T208" s="1">
        <v>8</v>
      </c>
      <c r="U208" s="1">
        <v>5</v>
      </c>
      <c r="V208" s="1" t="s">
        <v>205</v>
      </c>
      <c r="W208" s="1" t="s">
        <v>420</v>
      </c>
      <c r="X208" s="1" t="s">
        <v>105</v>
      </c>
      <c r="Y208" s="1" t="s">
        <v>190</v>
      </c>
      <c r="Z208" s="1" t="s">
        <v>43</v>
      </c>
      <c r="AA208" s="1"/>
      <c r="AB208" s="1" t="s">
        <v>44</v>
      </c>
      <c r="AC208" s="1" t="s">
        <v>96</v>
      </c>
      <c r="AD208" s="1">
        <v>2</v>
      </c>
      <c r="AE208" s="1" t="s">
        <v>108</v>
      </c>
      <c r="AF208" s="1" t="s">
        <v>77</v>
      </c>
    </row>
    <row r="209" spans="1:32" ht="18" customHeight="1">
      <c r="A209" s="1" t="s">
        <v>794</v>
      </c>
      <c r="B209" s="1" t="s">
        <v>795</v>
      </c>
      <c r="C209" s="4">
        <v>46196</v>
      </c>
      <c r="D209" s="4" t="s">
        <v>3436</v>
      </c>
      <c r="E209" s="4">
        <v>46211</v>
      </c>
      <c r="F209" s="1" t="s">
        <v>215</v>
      </c>
      <c r="G209" s="1" t="s">
        <v>216</v>
      </c>
      <c r="H209" s="1" t="s">
        <v>3354</v>
      </c>
      <c r="I209" s="1" t="s">
        <v>70</v>
      </c>
      <c r="J209" s="1" t="s">
        <v>163</v>
      </c>
      <c r="K209" s="1" t="s">
        <v>796</v>
      </c>
      <c r="L209" s="1" t="s">
        <v>269</v>
      </c>
      <c r="M209" s="1">
        <v>686.41</v>
      </c>
      <c r="N209" s="1" t="s">
        <v>53</v>
      </c>
      <c r="O209" s="1">
        <v>250</v>
      </c>
      <c r="P209" s="1">
        <v>171602.5</v>
      </c>
      <c r="Q209" s="1">
        <v>3</v>
      </c>
      <c r="R209" s="7">
        <v>1.2E-2</v>
      </c>
      <c r="S209" s="1">
        <v>15</v>
      </c>
      <c r="T209" s="1">
        <v>14</v>
      </c>
      <c r="U209" s="1">
        <v>1</v>
      </c>
      <c r="V209" s="1" t="s">
        <v>166</v>
      </c>
      <c r="W209" s="1" t="s">
        <v>40</v>
      </c>
      <c r="X209" s="1" t="s">
        <v>3329</v>
      </c>
      <c r="Y209" s="1" t="s">
        <v>42</v>
      </c>
      <c r="Z209" s="1" t="s">
        <v>173</v>
      </c>
      <c r="AA209" s="1" t="s">
        <v>55</v>
      </c>
      <c r="AB209" s="1" t="s">
        <v>44</v>
      </c>
      <c r="AC209" s="1"/>
      <c r="AD209" s="1">
        <v>5</v>
      </c>
      <c r="AE209" s="1" t="s">
        <v>115</v>
      </c>
      <c r="AF209" s="1" t="s">
        <v>46</v>
      </c>
    </row>
    <row r="210" spans="1:32" ht="18" customHeight="1">
      <c r="A210" s="1" t="s">
        <v>797</v>
      </c>
      <c r="B210" s="1" t="s">
        <v>798</v>
      </c>
      <c r="C210" s="4">
        <v>46118</v>
      </c>
      <c r="D210" s="4"/>
      <c r="E210" s="4">
        <v>46129</v>
      </c>
      <c r="F210" s="1" t="s">
        <v>215</v>
      </c>
      <c r="G210" s="1" t="s">
        <v>3502</v>
      </c>
      <c r="H210" s="1" t="s">
        <v>152</v>
      </c>
      <c r="I210" s="1" t="s">
        <v>241</v>
      </c>
      <c r="J210" s="1" t="s">
        <v>112</v>
      </c>
      <c r="K210" s="1" t="s">
        <v>799</v>
      </c>
      <c r="L210" s="1" t="s">
        <v>218</v>
      </c>
      <c r="M210" s="1" t="s">
        <v>3509</v>
      </c>
      <c r="N210" s="1" t="s">
        <v>65</v>
      </c>
      <c r="O210" s="1">
        <v>250</v>
      </c>
      <c r="P210" s="1">
        <v>157145</v>
      </c>
      <c r="Q210" s="1"/>
      <c r="R210" s="7">
        <v>1.6E-2</v>
      </c>
      <c r="S210" s="1">
        <v>11</v>
      </c>
      <c r="T210" s="1">
        <v>8</v>
      </c>
      <c r="U210" s="1">
        <v>3</v>
      </c>
      <c r="V210" s="1" t="s">
        <v>135</v>
      </c>
      <c r="W210" s="1" t="s">
        <v>40</v>
      </c>
      <c r="X210" s="1" t="s">
        <v>3329</v>
      </c>
      <c r="Y210" s="1" t="s">
        <v>3334</v>
      </c>
      <c r="Z210" s="1" t="s">
        <v>128</v>
      </c>
      <c r="AA210" s="1" t="s">
        <v>136</v>
      </c>
      <c r="AB210" s="1" t="s">
        <v>137</v>
      </c>
      <c r="AC210" s="1"/>
      <c r="AD210" s="1">
        <v>3.7</v>
      </c>
      <c r="AE210" s="1" t="s">
        <v>76</v>
      </c>
      <c r="AF210" s="1" t="s">
        <v>46</v>
      </c>
    </row>
    <row r="211" spans="1:32" ht="18" customHeight="1">
      <c r="A211" s="1" t="s">
        <v>800</v>
      </c>
      <c r="B211" s="1" t="s">
        <v>801</v>
      </c>
      <c r="C211" s="4">
        <v>46059</v>
      </c>
      <c r="D211" s="4">
        <v>46073</v>
      </c>
      <c r="E211" s="4"/>
      <c r="F211" s="1" t="s">
        <v>209</v>
      </c>
      <c r="G211" s="1" t="s">
        <v>210</v>
      </c>
      <c r="H211" s="1" t="s">
        <v>316</v>
      </c>
      <c r="I211" s="1" t="s">
        <v>241</v>
      </c>
      <c r="J211" s="1" t="s">
        <v>153</v>
      </c>
      <c r="K211" s="1" t="s">
        <v>802</v>
      </c>
      <c r="L211" s="1" t="s">
        <v>318</v>
      </c>
      <c r="M211" s="1">
        <v>221.08</v>
      </c>
      <c r="N211" s="1" t="s">
        <v>38</v>
      </c>
      <c r="O211" s="1">
        <v>1000</v>
      </c>
      <c r="P211" s="1">
        <v>221080</v>
      </c>
      <c r="Q211" s="1">
        <v>28</v>
      </c>
      <c r="R211" s="7">
        <v>2.8000000000000001E-2</v>
      </c>
      <c r="S211" s="1">
        <v>4</v>
      </c>
      <c r="T211" s="1">
        <v>14</v>
      </c>
      <c r="U211" s="1">
        <v>-10</v>
      </c>
      <c r="V211" s="1" t="s">
        <v>3337</v>
      </c>
      <c r="W211" s="1" t="s">
        <v>40</v>
      </c>
      <c r="X211" s="1" t="s">
        <v>105</v>
      </c>
      <c r="Y211" s="1" t="s">
        <v>190</v>
      </c>
      <c r="Z211" s="1" t="s">
        <v>173</v>
      </c>
      <c r="AA211" s="1" t="s">
        <v>3341</v>
      </c>
      <c r="AB211" s="1" t="s">
        <v>147</v>
      </c>
      <c r="AC211" s="1"/>
      <c r="AD211" s="1">
        <v>2.8</v>
      </c>
      <c r="AE211" s="1" t="s">
        <v>45</v>
      </c>
      <c r="AF211" s="1"/>
    </row>
    <row r="212" spans="1:32" ht="18" customHeight="1">
      <c r="A212" s="1" t="s">
        <v>803</v>
      </c>
      <c r="B212" s="1" t="s">
        <v>804</v>
      </c>
      <c r="C212" s="4">
        <v>46155</v>
      </c>
      <c r="D212" s="4">
        <v>46163</v>
      </c>
      <c r="E212" s="4">
        <v>46166</v>
      </c>
      <c r="F212" s="1" t="s">
        <v>151</v>
      </c>
      <c r="G212" s="1" t="s">
        <v>244</v>
      </c>
      <c r="H212" s="1" t="s">
        <v>3408</v>
      </c>
      <c r="I212" s="1" t="s">
        <v>61</v>
      </c>
      <c r="J212" s="1" t="s">
        <v>112</v>
      </c>
      <c r="K212" s="1" t="s">
        <v>805</v>
      </c>
      <c r="L212" s="1" t="s">
        <v>246</v>
      </c>
      <c r="M212" s="1">
        <v>340.05</v>
      </c>
      <c r="N212" s="1" t="s">
        <v>65</v>
      </c>
      <c r="O212" s="1">
        <v>100</v>
      </c>
      <c r="P212" s="1">
        <v>34005</v>
      </c>
      <c r="Q212" s="1">
        <v>0</v>
      </c>
      <c r="R212" s="7">
        <v>0</v>
      </c>
      <c r="S212" s="1">
        <v>11</v>
      </c>
      <c r="T212" s="1">
        <v>8</v>
      </c>
      <c r="U212" s="1">
        <v>3</v>
      </c>
      <c r="V212" s="1" t="s">
        <v>166</v>
      </c>
      <c r="W212" s="1" t="s">
        <v>40</v>
      </c>
      <c r="X212" s="1" t="s">
        <v>3329</v>
      </c>
      <c r="Y212" s="1" t="s">
        <v>190</v>
      </c>
      <c r="Z212" s="1" t="s">
        <v>3333</v>
      </c>
      <c r="AA212" s="1" t="s">
        <v>3341</v>
      </c>
      <c r="AB212" s="1" t="s">
        <v>44</v>
      </c>
      <c r="AC212" s="1"/>
      <c r="AD212" s="1">
        <v>4.7</v>
      </c>
      <c r="AE212" s="1" t="s">
        <v>115</v>
      </c>
      <c r="AF212" s="1" t="s">
        <v>46</v>
      </c>
    </row>
    <row r="213" spans="1:32" ht="18" hidden="1" customHeight="1">
      <c r="A213" s="1" t="s">
        <v>806</v>
      </c>
      <c r="B213" s="1" t="s">
        <v>807</v>
      </c>
      <c r="C213" s="4">
        <v>46163</v>
      </c>
      <c r="D213" s="1">
        <v>46182</v>
      </c>
      <c r="E213" s="1">
        <v>46189</v>
      </c>
      <c r="F213" s="1" t="s">
        <v>235</v>
      </c>
      <c r="G213" s="1" t="s">
        <v>236</v>
      </c>
      <c r="H213" s="1" t="s">
        <v>479</v>
      </c>
      <c r="I213" s="1" t="s">
        <v>92</v>
      </c>
      <c r="J213" s="1" t="s">
        <v>62</v>
      </c>
      <c r="K213" s="1" t="s">
        <v>808</v>
      </c>
      <c r="L213" s="1" t="s">
        <v>225</v>
      </c>
      <c r="M213" s="1">
        <v>228.08</v>
      </c>
      <c r="N213" s="1" t="s">
        <v>38</v>
      </c>
      <c r="O213" s="1">
        <v>500</v>
      </c>
      <c r="P213" s="1" t="s">
        <v>3510</v>
      </c>
      <c r="Q213" s="1">
        <v>27</v>
      </c>
      <c r="R213" s="7">
        <v>5.3999999999999999E-2</v>
      </c>
      <c r="S213" s="1" t="s">
        <v>3406</v>
      </c>
      <c r="T213" s="1">
        <v>19</v>
      </c>
      <c r="U213" s="1">
        <v>7</v>
      </c>
      <c r="V213" s="1" t="s">
        <v>39</v>
      </c>
      <c r="W213" s="1" t="s">
        <v>366</v>
      </c>
      <c r="X213" s="1" t="s">
        <v>3329</v>
      </c>
      <c r="Y213" s="1" t="s">
        <v>42</v>
      </c>
      <c r="Z213" s="1" t="s">
        <v>173</v>
      </c>
      <c r="AA213" s="1" t="s">
        <v>88</v>
      </c>
      <c r="AB213" s="1" t="s">
        <v>56</v>
      </c>
      <c r="AC213" s="1" t="s">
        <v>183</v>
      </c>
      <c r="AD213" s="1">
        <v>2.2999999999999998</v>
      </c>
      <c r="AE213" s="1" t="s">
        <v>115</v>
      </c>
      <c r="AF213" s="1" t="s">
        <v>77</v>
      </c>
    </row>
    <row r="214" spans="1:32" ht="18" customHeight="1">
      <c r="A214" s="1" t="s">
        <v>809</v>
      </c>
      <c r="B214" s="1" t="s">
        <v>810</v>
      </c>
      <c r="C214" s="4">
        <v>46063</v>
      </c>
      <c r="D214" s="4">
        <v>46078</v>
      </c>
      <c r="E214" s="4" t="s">
        <v>3511</v>
      </c>
      <c r="F214" s="1" t="s">
        <v>256</v>
      </c>
      <c r="G214" s="1" t="s">
        <v>3419</v>
      </c>
      <c r="H214" s="1" t="s">
        <v>3410</v>
      </c>
      <c r="I214" s="1" t="s">
        <v>61</v>
      </c>
      <c r="J214" s="1" t="s">
        <v>35</v>
      </c>
      <c r="K214" s="1" t="s">
        <v>811</v>
      </c>
      <c r="L214" s="1" t="s">
        <v>85</v>
      </c>
      <c r="M214" s="1">
        <v>689.94</v>
      </c>
      <c r="N214" s="1" t="s">
        <v>104</v>
      </c>
      <c r="O214" s="1">
        <v>50</v>
      </c>
      <c r="P214" s="1">
        <v>34497</v>
      </c>
      <c r="Q214" s="1">
        <v>0</v>
      </c>
      <c r="R214" s="7">
        <v>0</v>
      </c>
      <c r="S214" s="1">
        <v>20</v>
      </c>
      <c r="T214" s="1">
        <v>15</v>
      </c>
      <c r="U214" s="1">
        <v>5</v>
      </c>
      <c r="V214" s="1" t="s">
        <v>205</v>
      </c>
      <c r="W214" s="1"/>
      <c r="X214" s="1" t="s">
        <v>41</v>
      </c>
      <c r="Y214" s="1" t="s">
        <v>3334</v>
      </c>
      <c r="Z214" s="1" t="s">
        <v>173</v>
      </c>
      <c r="AA214" s="1" t="s">
        <v>88</v>
      </c>
      <c r="AB214" s="1" t="s">
        <v>95</v>
      </c>
      <c r="AC214" s="1"/>
      <c r="AD214" s="1">
        <v>3.2</v>
      </c>
      <c r="AE214" s="1" t="s">
        <v>108</v>
      </c>
      <c r="AF214" s="1" t="s">
        <v>46</v>
      </c>
    </row>
    <row r="215" spans="1:32" ht="18" customHeight="1">
      <c r="A215" s="1" t="s">
        <v>812</v>
      </c>
      <c r="B215" s="1" t="s">
        <v>813</v>
      </c>
      <c r="C215" s="4">
        <v>46181</v>
      </c>
      <c r="D215" s="4"/>
      <c r="E215" s="4" t="s">
        <v>3512</v>
      </c>
      <c r="F215" s="1" t="s">
        <v>162</v>
      </c>
      <c r="G215" s="1" t="s">
        <v>3382</v>
      </c>
      <c r="H215" s="1" t="s">
        <v>152</v>
      </c>
      <c r="I215" s="1" t="s">
        <v>49</v>
      </c>
      <c r="J215" s="1" t="s">
        <v>163</v>
      </c>
      <c r="K215" s="1" t="s">
        <v>814</v>
      </c>
      <c r="L215" s="1" t="s">
        <v>253</v>
      </c>
      <c r="M215" s="1">
        <v>2400.58</v>
      </c>
      <c r="N215" s="1" t="s">
        <v>159</v>
      </c>
      <c r="O215" s="1">
        <v>150</v>
      </c>
      <c r="P215" s="1">
        <v>360087</v>
      </c>
      <c r="Q215" s="1">
        <v>6</v>
      </c>
      <c r="R215" s="7">
        <v>0.04</v>
      </c>
      <c r="S215" s="1">
        <v>12</v>
      </c>
      <c r="T215" s="1">
        <v>13</v>
      </c>
      <c r="U215" s="1">
        <v>-1</v>
      </c>
      <c r="V215" s="1" t="s">
        <v>3352</v>
      </c>
      <c r="W215" s="1" t="s">
        <v>40</v>
      </c>
      <c r="X215" s="1" t="s">
        <v>105</v>
      </c>
      <c r="Y215" s="1" t="s">
        <v>66</v>
      </c>
      <c r="Z215" s="1" t="s">
        <v>3333</v>
      </c>
      <c r="AA215" s="1" t="s">
        <v>88</v>
      </c>
      <c r="AB215" s="1" t="s">
        <v>191</v>
      </c>
      <c r="AC215" s="1"/>
      <c r="AD215" s="1">
        <v>4.2</v>
      </c>
      <c r="AE215" s="1" t="s">
        <v>139</v>
      </c>
      <c r="AF215" s="1"/>
    </row>
    <row r="216" spans="1:32" ht="18" customHeight="1">
      <c r="A216" s="1" t="s">
        <v>815</v>
      </c>
      <c r="B216" s="1" t="s">
        <v>816</v>
      </c>
      <c r="C216" s="4">
        <v>46171</v>
      </c>
      <c r="D216" s="4">
        <v>46189</v>
      </c>
      <c r="E216" s="4">
        <v>46186</v>
      </c>
      <c r="F216" s="1" t="s">
        <v>256</v>
      </c>
      <c r="G216" s="1" t="s">
        <v>257</v>
      </c>
      <c r="H216" s="1" t="s">
        <v>3433</v>
      </c>
      <c r="I216" s="1" t="s">
        <v>70</v>
      </c>
      <c r="J216" s="1" t="s">
        <v>153</v>
      </c>
      <c r="K216" s="1" t="s">
        <v>817</v>
      </c>
      <c r="L216" s="1" t="s">
        <v>318</v>
      </c>
      <c r="M216" s="1">
        <v>134.11000000000001</v>
      </c>
      <c r="N216" s="1" t="s">
        <v>53</v>
      </c>
      <c r="O216" s="1">
        <v>75</v>
      </c>
      <c r="P216" s="1">
        <v>10058.25</v>
      </c>
      <c r="Q216" s="1">
        <v>0</v>
      </c>
      <c r="R216" s="7">
        <v>0</v>
      </c>
      <c r="S216" s="1">
        <v>15</v>
      </c>
      <c r="T216" s="1">
        <v>18</v>
      </c>
      <c r="U216" s="1">
        <v>-3</v>
      </c>
      <c r="V216" s="1" t="s">
        <v>3337</v>
      </c>
      <c r="W216" s="1" t="s">
        <v>40</v>
      </c>
      <c r="X216" s="1" t="s">
        <v>105</v>
      </c>
      <c r="Y216" s="1" t="s">
        <v>106</v>
      </c>
      <c r="Z216" s="1" t="s">
        <v>54</v>
      </c>
      <c r="AA216" s="1" t="s">
        <v>55</v>
      </c>
      <c r="AB216" s="1"/>
      <c r="AC216" s="1"/>
      <c r="AD216" s="1">
        <v>4.2</v>
      </c>
      <c r="AE216" s="1" t="s">
        <v>139</v>
      </c>
      <c r="AF216" s="1"/>
    </row>
    <row r="217" spans="1:32" ht="18" customHeight="1">
      <c r="A217" s="1" t="s">
        <v>818</v>
      </c>
      <c r="B217" s="1" t="s">
        <v>819</v>
      </c>
      <c r="C217" s="4">
        <v>46155</v>
      </c>
      <c r="D217" s="4">
        <v>46159</v>
      </c>
      <c r="E217" s="4">
        <v>46164</v>
      </c>
      <c r="F217" s="1" t="s">
        <v>151</v>
      </c>
      <c r="G217" s="1" t="s">
        <v>3351</v>
      </c>
      <c r="H217" s="1" t="s">
        <v>3327</v>
      </c>
      <c r="I217" s="1" t="s">
        <v>49</v>
      </c>
      <c r="J217" s="1" t="s">
        <v>112</v>
      </c>
      <c r="K217" s="1" t="s">
        <v>820</v>
      </c>
      <c r="L217" s="1" t="s">
        <v>114</v>
      </c>
      <c r="M217" s="1">
        <v>155.88999999999999</v>
      </c>
      <c r="N217" s="1" t="s">
        <v>104</v>
      </c>
      <c r="O217" s="1">
        <v>50</v>
      </c>
      <c r="P217" s="1">
        <v>7794.5</v>
      </c>
      <c r="Q217" s="1">
        <v>0</v>
      </c>
      <c r="R217" s="7">
        <v>0</v>
      </c>
      <c r="S217" s="1">
        <v>9</v>
      </c>
      <c r="T217" s="1">
        <v>4</v>
      </c>
      <c r="U217" s="1">
        <v>5</v>
      </c>
      <c r="V217" s="1" t="s">
        <v>3328</v>
      </c>
      <c r="W217" s="1" t="s">
        <v>40</v>
      </c>
      <c r="X217" s="1"/>
      <c r="Y217" s="1" t="s">
        <v>3334</v>
      </c>
      <c r="Z217" s="1" t="s">
        <v>107</v>
      </c>
      <c r="AA217" s="1" t="s">
        <v>174</v>
      </c>
      <c r="AB217" s="1" t="s">
        <v>191</v>
      </c>
      <c r="AC217" s="1"/>
      <c r="AD217" s="1">
        <v>2.8</v>
      </c>
      <c r="AE217" s="1" t="s">
        <v>108</v>
      </c>
      <c r="AF217" s="1" t="s">
        <v>148</v>
      </c>
    </row>
    <row r="218" spans="1:32" ht="18" customHeight="1">
      <c r="A218" s="1" t="s">
        <v>821</v>
      </c>
      <c r="B218" s="1" t="s">
        <v>822</v>
      </c>
      <c r="C218" s="4">
        <v>46068</v>
      </c>
      <c r="D218" s="4" t="s">
        <v>3400</v>
      </c>
      <c r="E218" s="4">
        <v>46074</v>
      </c>
      <c r="F218" s="1" t="s">
        <v>100</v>
      </c>
      <c r="G218" s="1" t="s">
        <v>101</v>
      </c>
      <c r="H218" s="1" t="s">
        <v>3322</v>
      </c>
      <c r="I218" s="1" t="s">
        <v>34</v>
      </c>
      <c r="J218" s="1" t="s">
        <v>50</v>
      </c>
      <c r="K218" s="1" t="s">
        <v>823</v>
      </c>
      <c r="L218" s="1" t="s">
        <v>145</v>
      </c>
      <c r="M218" s="1">
        <v>363.68</v>
      </c>
      <c r="N218" s="1" t="s">
        <v>104</v>
      </c>
      <c r="O218" s="1">
        <v>500</v>
      </c>
      <c r="P218" s="1">
        <v>181840</v>
      </c>
      <c r="Q218" s="1">
        <v>6</v>
      </c>
      <c r="R218" s="7">
        <v>1.2E-2</v>
      </c>
      <c r="S218" s="1">
        <v>6</v>
      </c>
      <c r="T218" s="1">
        <v>13</v>
      </c>
      <c r="U218" s="1">
        <v>-7</v>
      </c>
      <c r="V218" s="1" t="s">
        <v>270</v>
      </c>
      <c r="W218" s="1" t="s">
        <v>40</v>
      </c>
      <c r="X218" s="1" t="s">
        <v>146</v>
      </c>
      <c r="Y218" s="1" t="s">
        <v>212</v>
      </c>
      <c r="Z218" s="1" t="s">
        <v>3333</v>
      </c>
      <c r="AA218" s="1" t="s">
        <v>3341</v>
      </c>
      <c r="AB218" s="1"/>
      <c r="AC218" s="1"/>
      <c r="AD218" s="1">
        <v>3.4</v>
      </c>
      <c r="AE218" s="1" t="s">
        <v>108</v>
      </c>
      <c r="AF218" s="1" t="s">
        <v>130</v>
      </c>
    </row>
    <row r="219" spans="1:32" ht="18" customHeight="1">
      <c r="A219" s="1" t="s">
        <v>824</v>
      </c>
      <c r="B219" s="1" t="s">
        <v>825</v>
      </c>
      <c r="C219" s="4">
        <v>46114</v>
      </c>
      <c r="D219" s="4">
        <v>46125</v>
      </c>
      <c r="E219" s="4">
        <v>46141</v>
      </c>
      <c r="F219" s="1" t="s">
        <v>48</v>
      </c>
      <c r="G219" s="1" t="s">
        <v>3321</v>
      </c>
      <c r="H219" s="1" t="s">
        <v>102</v>
      </c>
      <c r="I219" s="1" t="s">
        <v>34</v>
      </c>
      <c r="J219" s="1" t="s">
        <v>50</v>
      </c>
      <c r="K219" s="1" t="s">
        <v>826</v>
      </c>
      <c r="L219" s="1" t="s">
        <v>126</v>
      </c>
      <c r="M219" s="1">
        <v>1785.71</v>
      </c>
      <c r="N219" s="1" t="s">
        <v>38</v>
      </c>
      <c r="O219" s="1">
        <v>1500</v>
      </c>
      <c r="P219" s="1">
        <v>2678565</v>
      </c>
      <c r="Q219" s="1">
        <v>40</v>
      </c>
      <c r="R219" s="7">
        <v>2.6700000000000002E-2</v>
      </c>
      <c r="S219" s="1">
        <v>27</v>
      </c>
      <c r="T219" s="1">
        <v>11</v>
      </c>
      <c r="U219" s="1">
        <v>16</v>
      </c>
      <c r="V219" s="1" t="s">
        <v>3328</v>
      </c>
      <c r="W219" s="1" t="s">
        <v>40</v>
      </c>
      <c r="X219" s="1" t="s">
        <v>105</v>
      </c>
      <c r="Y219" s="1" t="s">
        <v>3334</v>
      </c>
      <c r="Z219" s="1" t="s">
        <v>173</v>
      </c>
      <c r="AA219" s="1" t="s">
        <v>55</v>
      </c>
      <c r="AB219" s="1" t="s">
        <v>147</v>
      </c>
      <c r="AC219" s="1"/>
      <c r="AD219" s="1" t="s">
        <v>3431</v>
      </c>
      <c r="AE219" s="1" t="s">
        <v>184</v>
      </c>
      <c r="AF219" s="1" t="s">
        <v>46</v>
      </c>
    </row>
    <row r="220" spans="1:32" ht="18" customHeight="1">
      <c r="A220" s="1" t="s">
        <v>827</v>
      </c>
      <c r="B220" s="1" t="s">
        <v>828</v>
      </c>
      <c r="C220" s="4">
        <v>46074</v>
      </c>
      <c r="D220" s="4">
        <v>46075</v>
      </c>
      <c r="E220" s="4">
        <v>46080</v>
      </c>
      <c r="F220" s="1" t="s">
        <v>151</v>
      </c>
      <c r="G220" s="1"/>
      <c r="H220" s="1" t="s">
        <v>3327</v>
      </c>
      <c r="I220" s="1" t="s">
        <v>83</v>
      </c>
      <c r="J220" s="1" t="s">
        <v>112</v>
      </c>
      <c r="K220" s="1" t="s">
        <v>829</v>
      </c>
      <c r="L220" s="1" t="s">
        <v>229</v>
      </c>
      <c r="M220" s="1">
        <v>340.17</v>
      </c>
      <c r="N220" s="1" t="s">
        <v>38</v>
      </c>
      <c r="O220" s="1">
        <v>150</v>
      </c>
      <c r="P220" s="1">
        <v>51025.5</v>
      </c>
      <c r="Q220" s="1">
        <v>0</v>
      </c>
      <c r="R220" s="7">
        <v>0</v>
      </c>
      <c r="S220" s="1">
        <v>6</v>
      </c>
      <c r="T220" s="1">
        <v>1</v>
      </c>
      <c r="U220" s="1">
        <v>5</v>
      </c>
      <c r="V220" s="1" t="s">
        <v>205</v>
      </c>
      <c r="W220" s="1" t="s">
        <v>40</v>
      </c>
      <c r="X220" s="1" t="s">
        <v>146</v>
      </c>
      <c r="Y220" s="1"/>
      <c r="Z220" s="1" t="s">
        <v>3330</v>
      </c>
      <c r="AA220" s="1" t="s">
        <v>88</v>
      </c>
      <c r="AB220" s="1" t="s">
        <v>95</v>
      </c>
      <c r="AC220" s="1"/>
      <c r="AD220" s="1">
        <v>2.8</v>
      </c>
      <c r="AE220" s="1" t="s">
        <v>108</v>
      </c>
      <c r="AF220" s="1" t="s">
        <v>148</v>
      </c>
    </row>
    <row r="221" spans="1:32" ht="18" customHeight="1">
      <c r="A221" s="1" t="s">
        <v>830</v>
      </c>
      <c r="B221" s="1" t="s">
        <v>831</v>
      </c>
      <c r="C221" s="4">
        <v>46183</v>
      </c>
      <c r="D221" s="4">
        <v>46195</v>
      </c>
      <c r="E221" s="4">
        <v>46203</v>
      </c>
      <c r="F221" s="1" t="s">
        <v>209</v>
      </c>
      <c r="G221" s="1" t="s">
        <v>210</v>
      </c>
      <c r="H221" s="1" t="s">
        <v>3365</v>
      </c>
      <c r="I221" s="1" t="s">
        <v>70</v>
      </c>
      <c r="J221" s="1" t="s">
        <v>62</v>
      </c>
      <c r="K221" s="1" t="s">
        <v>832</v>
      </c>
      <c r="L221" s="1" t="s">
        <v>64</v>
      </c>
      <c r="M221" s="1">
        <v>636.94000000000005</v>
      </c>
      <c r="N221" s="1" t="s">
        <v>38</v>
      </c>
      <c r="O221" s="1">
        <v>200</v>
      </c>
      <c r="P221" s="1">
        <v>127388</v>
      </c>
      <c r="Q221" s="1">
        <v>5</v>
      </c>
      <c r="R221" s="7">
        <v>2.5000000000000001E-2</v>
      </c>
      <c r="S221" s="1">
        <v>20</v>
      </c>
      <c r="T221" s="1">
        <v>12</v>
      </c>
      <c r="U221" s="1">
        <v>8</v>
      </c>
      <c r="V221" s="1" t="s">
        <v>205</v>
      </c>
      <c r="W221" s="1" t="s">
        <v>40</v>
      </c>
      <c r="X221" s="1" t="s">
        <v>105</v>
      </c>
      <c r="Y221" s="1" t="s">
        <v>190</v>
      </c>
      <c r="Z221" s="1" t="s">
        <v>43</v>
      </c>
      <c r="AA221" s="1" t="s">
        <v>88</v>
      </c>
      <c r="AB221" s="1" t="s">
        <v>44</v>
      </c>
      <c r="AC221" s="1"/>
      <c r="AD221" s="1">
        <v>1.2</v>
      </c>
      <c r="AE221" s="1" t="s">
        <v>115</v>
      </c>
      <c r="AF221" s="1" t="s">
        <v>46</v>
      </c>
    </row>
    <row r="222" spans="1:32" ht="18" customHeight="1">
      <c r="A222" s="1" t="s">
        <v>833</v>
      </c>
      <c r="B222" s="1" t="s">
        <v>834</v>
      </c>
      <c r="C222" s="4">
        <v>46070</v>
      </c>
      <c r="D222" s="4">
        <v>46083</v>
      </c>
      <c r="E222" s="4">
        <v>46085</v>
      </c>
      <c r="F222" s="1" t="s">
        <v>142</v>
      </c>
      <c r="G222" s="1" t="s">
        <v>3391</v>
      </c>
      <c r="H222" s="1" t="s">
        <v>3405</v>
      </c>
      <c r="I222" s="1" t="s">
        <v>61</v>
      </c>
      <c r="J222" s="1" t="s">
        <v>50</v>
      </c>
      <c r="K222" s="1" t="s">
        <v>835</v>
      </c>
      <c r="L222" s="1" t="s">
        <v>189</v>
      </c>
      <c r="M222" s="1">
        <v>503.43</v>
      </c>
      <c r="N222" s="1" t="s">
        <v>159</v>
      </c>
      <c r="O222" s="1">
        <v>150</v>
      </c>
      <c r="P222" s="1">
        <v>75514.5</v>
      </c>
      <c r="Q222" s="1">
        <v>0</v>
      </c>
      <c r="R222" s="7">
        <v>0</v>
      </c>
      <c r="S222" s="1">
        <v>15</v>
      </c>
      <c r="T222" s="1">
        <v>13</v>
      </c>
      <c r="U222" s="1">
        <v>2</v>
      </c>
      <c r="V222" s="1" t="s">
        <v>3323</v>
      </c>
      <c r="W222" s="1" t="s">
        <v>40</v>
      </c>
      <c r="X222" s="1" t="s">
        <v>105</v>
      </c>
      <c r="Y222" s="1" t="s">
        <v>106</v>
      </c>
      <c r="Z222" s="1" t="s">
        <v>54</v>
      </c>
      <c r="AA222" s="1" t="s">
        <v>174</v>
      </c>
      <c r="AB222" s="1" t="s">
        <v>95</v>
      </c>
      <c r="AC222" s="1"/>
      <c r="AD222" s="1">
        <v>2.4</v>
      </c>
      <c r="AE222" s="1" t="s">
        <v>45</v>
      </c>
      <c r="AF222" s="1" t="s">
        <v>46</v>
      </c>
    </row>
    <row r="223" spans="1:32" ht="18" hidden="1" customHeight="1">
      <c r="A223" s="1" t="s">
        <v>836</v>
      </c>
      <c r="B223" s="1" t="s">
        <v>837</v>
      </c>
      <c r="C223" s="4" t="s">
        <v>3363</v>
      </c>
      <c r="D223" s="1"/>
      <c r="E223" s="1">
        <v>46086</v>
      </c>
      <c r="F223" s="1" t="s">
        <v>256</v>
      </c>
      <c r="G223" s="1" t="s">
        <v>257</v>
      </c>
      <c r="H223" s="1" t="s">
        <v>258</v>
      </c>
      <c r="I223" s="1" t="s">
        <v>120</v>
      </c>
      <c r="J223" s="1" t="s">
        <v>153</v>
      </c>
      <c r="K223" s="1" t="s">
        <v>838</v>
      </c>
      <c r="L223" s="1" t="s">
        <v>318</v>
      </c>
      <c r="M223" s="1">
        <v>116.54</v>
      </c>
      <c r="N223" s="1" t="s">
        <v>38</v>
      </c>
      <c r="O223" s="1">
        <v>1000</v>
      </c>
      <c r="P223" s="1">
        <v>116540</v>
      </c>
      <c r="Q223" s="1">
        <v>45</v>
      </c>
      <c r="R223" s="7">
        <v>4.4999999999999998E-2</v>
      </c>
      <c r="S223" s="1">
        <v>17</v>
      </c>
      <c r="T223" s="1">
        <v>19</v>
      </c>
      <c r="U223" s="1">
        <v>-2</v>
      </c>
      <c r="V223" s="1" t="s">
        <v>270</v>
      </c>
      <c r="W223" s="1" t="s">
        <v>420</v>
      </c>
      <c r="X223" s="1" t="s">
        <v>3324</v>
      </c>
      <c r="Y223" s="1" t="s">
        <v>42</v>
      </c>
      <c r="Z223" s="1" t="s">
        <v>107</v>
      </c>
      <c r="AA223" s="1" t="s">
        <v>136</v>
      </c>
      <c r="AB223" s="1"/>
      <c r="AC223" s="1" t="s">
        <v>283</v>
      </c>
      <c r="AD223" s="1">
        <v>3.3</v>
      </c>
      <c r="AE223" s="1" t="s">
        <v>108</v>
      </c>
      <c r="AF223" s="1" t="s">
        <v>97</v>
      </c>
    </row>
    <row r="224" spans="1:32" ht="18" customHeight="1">
      <c r="A224" s="1" t="s">
        <v>839</v>
      </c>
      <c r="B224" s="1" t="s">
        <v>840</v>
      </c>
      <c r="C224" s="4">
        <v>46157</v>
      </c>
      <c r="D224" s="4">
        <v>46175</v>
      </c>
      <c r="E224" s="4">
        <v>46180</v>
      </c>
      <c r="F224" s="1" t="s">
        <v>118</v>
      </c>
      <c r="G224" s="1" t="s">
        <v>3393</v>
      </c>
      <c r="H224" s="1" t="s">
        <v>301</v>
      </c>
      <c r="I224" s="1" t="s">
        <v>92</v>
      </c>
      <c r="J224" s="1" t="s">
        <v>62</v>
      </c>
      <c r="K224" s="1" t="s">
        <v>841</v>
      </c>
      <c r="L224" s="1" t="s">
        <v>64</v>
      </c>
      <c r="M224" s="1">
        <v>392.72</v>
      </c>
      <c r="N224" s="1" t="s">
        <v>53</v>
      </c>
      <c r="O224" s="1">
        <v>1000</v>
      </c>
      <c r="P224" s="1">
        <v>392720</v>
      </c>
      <c r="Q224" s="1">
        <v>0</v>
      </c>
      <c r="R224" s="7">
        <v>0</v>
      </c>
      <c r="S224" s="1">
        <v>23</v>
      </c>
      <c r="T224" s="1">
        <v>18</v>
      </c>
      <c r="U224" s="1">
        <v>5</v>
      </c>
      <c r="V224" s="1" t="s">
        <v>3328</v>
      </c>
      <c r="W224" s="1" t="s">
        <v>40</v>
      </c>
      <c r="X224" s="1" t="s">
        <v>105</v>
      </c>
      <c r="Y224" s="1"/>
      <c r="Z224" s="1" t="s">
        <v>107</v>
      </c>
      <c r="AA224" s="1"/>
      <c r="AB224" s="1" t="s">
        <v>56</v>
      </c>
      <c r="AC224" s="1"/>
      <c r="AD224" s="1">
        <v>4.2</v>
      </c>
      <c r="AE224" s="1" t="s">
        <v>115</v>
      </c>
      <c r="AF224" s="1" t="s">
        <v>46</v>
      </c>
    </row>
    <row r="225" spans="1:32" ht="18" hidden="1" customHeight="1">
      <c r="A225" s="1" t="s">
        <v>842</v>
      </c>
      <c r="B225" s="1" t="s">
        <v>843</v>
      </c>
      <c r="C225" s="4">
        <v>46182</v>
      </c>
      <c r="D225" s="1">
        <v>46194</v>
      </c>
      <c r="E225" s="1" t="s">
        <v>3513</v>
      </c>
      <c r="F225" s="1" t="s">
        <v>256</v>
      </c>
      <c r="G225" s="1" t="s">
        <v>3419</v>
      </c>
      <c r="H225" s="1" t="s">
        <v>3410</v>
      </c>
      <c r="I225" s="1" t="s">
        <v>120</v>
      </c>
      <c r="J225" s="1" t="s">
        <v>153</v>
      </c>
      <c r="K225" s="1" t="s">
        <v>844</v>
      </c>
      <c r="L225" s="1" t="s">
        <v>204</v>
      </c>
      <c r="M225" s="1">
        <v>71.02</v>
      </c>
      <c r="N225" s="1" t="s">
        <v>86</v>
      </c>
      <c r="O225" s="1">
        <v>75</v>
      </c>
      <c r="P225" s="1">
        <v>5326.5</v>
      </c>
      <c r="Q225" s="1"/>
      <c r="R225" s="7">
        <v>0.08</v>
      </c>
      <c r="S225" s="1">
        <v>14</v>
      </c>
      <c r="T225" s="1">
        <v>12</v>
      </c>
      <c r="U225" s="1">
        <v>2</v>
      </c>
      <c r="V225" s="1" t="s">
        <v>135</v>
      </c>
      <c r="W225" s="1" t="s">
        <v>3384</v>
      </c>
      <c r="X225" s="1" t="s">
        <v>146</v>
      </c>
      <c r="Y225" s="1" t="s">
        <v>190</v>
      </c>
      <c r="Z225" s="1" t="s">
        <v>173</v>
      </c>
      <c r="AA225" s="1" t="s">
        <v>136</v>
      </c>
      <c r="AB225" s="1" t="s">
        <v>95</v>
      </c>
      <c r="AC225" s="1" t="s">
        <v>96</v>
      </c>
      <c r="AD225" s="1">
        <v>2.7</v>
      </c>
      <c r="AE225" s="1" t="s">
        <v>184</v>
      </c>
      <c r="AF225" s="1" t="s">
        <v>185</v>
      </c>
    </row>
    <row r="226" spans="1:32" ht="18" customHeight="1">
      <c r="A226" s="1" t="s">
        <v>845</v>
      </c>
      <c r="B226" s="1" t="s">
        <v>846</v>
      </c>
      <c r="C226" s="4" t="s">
        <v>3514</v>
      </c>
      <c r="D226" s="4">
        <v>46177</v>
      </c>
      <c r="E226" s="4">
        <v>46188</v>
      </c>
      <c r="F226" s="1" t="s">
        <v>69</v>
      </c>
      <c r="G226" s="1" t="s">
        <v>111</v>
      </c>
      <c r="H226" s="1" t="s">
        <v>194</v>
      </c>
      <c r="I226" s="1" t="s">
        <v>83</v>
      </c>
      <c r="J226" s="1" t="s">
        <v>112</v>
      </c>
      <c r="K226" s="1" t="s">
        <v>847</v>
      </c>
      <c r="L226" s="1" t="s">
        <v>218</v>
      </c>
      <c r="M226" s="1">
        <v>36.909999999999997</v>
      </c>
      <c r="N226" s="1" t="s">
        <v>86</v>
      </c>
      <c r="O226" s="1">
        <v>200</v>
      </c>
      <c r="P226" s="1">
        <v>7382</v>
      </c>
      <c r="Q226" s="1">
        <v>3</v>
      </c>
      <c r="R226" s="7">
        <v>1.4999999999999999E-2</v>
      </c>
      <c r="S226" s="1">
        <v>19</v>
      </c>
      <c r="T226" s="1">
        <v>8</v>
      </c>
      <c r="U226" s="1">
        <v>11</v>
      </c>
      <c r="V226" s="1" t="s">
        <v>205</v>
      </c>
      <c r="W226" s="1" t="s">
        <v>40</v>
      </c>
      <c r="X226" s="1" t="s">
        <v>146</v>
      </c>
      <c r="Y226" s="1" t="s">
        <v>190</v>
      </c>
      <c r="Z226" s="1" t="s">
        <v>173</v>
      </c>
      <c r="AA226" s="1" t="s">
        <v>3341</v>
      </c>
      <c r="AB226" s="1"/>
      <c r="AC226" s="1"/>
      <c r="AD226" s="1">
        <v>1.6</v>
      </c>
      <c r="AE226" s="1" t="s">
        <v>45</v>
      </c>
      <c r="AF226" s="1" t="s">
        <v>148</v>
      </c>
    </row>
    <row r="227" spans="1:32" ht="18" customHeight="1">
      <c r="A227" s="1" t="s">
        <v>848</v>
      </c>
      <c r="B227" s="1" t="s">
        <v>849</v>
      </c>
      <c r="C227" s="4">
        <v>46051</v>
      </c>
      <c r="D227" s="4">
        <v>46064</v>
      </c>
      <c r="E227" s="4" t="s">
        <v>3515</v>
      </c>
      <c r="F227" s="1" t="s">
        <v>48</v>
      </c>
      <c r="G227" s="1" t="s">
        <v>3321</v>
      </c>
      <c r="H227" s="1" t="s">
        <v>3361</v>
      </c>
      <c r="I227" s="1" t="s">
        <v>178</v>
      </c>
      <c r="J227" s="1" t="s">
        <v>50</v>
      </c>
      <c r="K227" s="1" t="s">
        <v>850</v>
      </c>
      <c r="L227" s="1" t="s">
        <v>52</v>
      </c>
      <c r="M227" s="1">
        <v>3485.18</v>
      </c>
      <c r="N227" s="1" t="s">
        <v>53</v>
      </c>
      <c r="O227" s="1">
        <v>250</v>
      </c>
      <c r="P227" s="1" t="s">
        <v>3516</v>
      </c>
      <c r="Q227" s="1">
        <v>5</v>
      </c>
      <c r="R227" s="7">
        <v>0.02</v>
      </c>
      <c r="S227" s="1">
        <v>22</v>
      </c>
      <c r="T227" s="1">
        <v>13</v>
      </c>
      <c r="U227" s="1">
        <v>9</v>
      </c>
      <c r="V227" s="1" t="s">
        <v>3328</v>
      </c>
      <c r="W227" s="1" t="s">
        <v>40</v>
      </c>
      <c r="X227" s="1" t="s">
        <v>105</v>
      </c>
      <c r="Y227" s="1" t="s">
        <v>190</v>
      </c>
      <c r="Z227" s="1" t="s">
        <v>173</v>
      </c>
      <c r="AA227" s="1" t="s">
        <v>88</v>
      </c>
      <c r="AB227" s="1"/>
      <c r="AC227" s="1"/>
      <c r="AD227" s="1">
        <v>2.8</v>
      </c>
      <c r="AE227" s="1" t="s">
        <v>115</v>
      </c>
      <c r="AF227" s="1" t="s">
        <v>46</v>
      </c>
    </row>
    <row r="228" spans="1:32" ht="18" customHeight="1">
      <c r="A228" s="1" t="s">
        <v>851</v>
      </c>
      <c r="B228" s="1" t="s">
        <v>852</v>
      </c>
      <c r="C228" s="4">
        <v>46100</v>
      </c>
      <c r="D228" s="4">
        <v>46116</v>
      </c>
      <c r="E228" s="4">
        <v>46114</v>
      </c>
      <c r="F228" s="1" t="s">
        <v>256</v>
      </c>
      <c r="G228" s="1" t="s">
        <v>257</v>
      </c>
      <c r="H228" s="1" t="s">
        <v>258</v>
      </c>
      <c r="I228" s="1" t="s">
        <v>92</v>
      </c>
      <c r="J228" s="1" t="s">
        <v>153</v>
      </c>
      <c r="K228" s="1" t="s">
        <v>853</v>
      </c>
      <c r="L228" s="1" t="s">
        <v>155</v>
      </c>
      <c r="M228" s="1">
        <v>481.79</v>
      </c>
      <c r="N228" s="1" t="s">
        <v>65</v>
      </c>
      <c r="O228" s="1">
        <v>75</v>
      </c>
      <c r="P228" s="1">
        <v>36134.25</v>
      </c>
      <c r="Q228" s="1">
        <v>0</v>
      </c>
      <c r="R228" s="7">
        <v>0</v>
      </c>
      <c r="S228" s="1">
        <v>14</v>
      </c>
      <c r="T228" s="1">
        <v>16</v>
      </c>
      <c r="U228" s="1">
        <v>-2</v>
      </c>
      <c r="V228" s="1" t="s">
        <v>87</v>
      </c>
      <c r="W228" s="1" t="s">
        <v>40</v>
      </c>
      <c r="X228" s="1" t="s">
        <v>41</v>
      </c>
      <c r="Y228" s="1" t="s">
        <v>190</v>
      </c>
      <c r="Z228" s="1" t="s">
        <v>3333</v>
      </c>
      <c r="AA228" s="1" t="s">
        <v>129</v>
      </c>
      <c r="AB228" s="1" t="s">
        <v>56</v>
      </c>
      <c r="AC228" s="1"/>
      <c r="AD228" s="1">
        <v>3.6</v>
      </c>
      <c r="AE228" s="1" t="s">
        <v>57</v>
      </c>
      <c r="AF228" s="1"/>
    </row>
    <row r="229" spans="1:32" ht="18" hidden="1" customHeight="1">
      <c r="A229" s="1" t="s">
        <v>854</v>
      </c>
      <c r="B229" s="1" t="s">
        <v>855</v>
      </c>
      <c r="C229" s="4">
        <v>46049</v>
      </c>
      <c r="D229" s="1">
        <v>46068</v>
      </c>
      <c r="E229" s="1">
        <v>46058</v>
      </c>
      <c r="F229" s="1" t="s">
        <v>256</v>
      </c>
      <c r="G229" s="1" t="s">
        <v>257</v>
      </c>
      <c r="H229" s="1" t="s">
        <v>258</v>
      </c>
      <c r="I229" s="1" t="s">
        <v>120</v>
      </c>
      <c r="J229" s="1" t="s">
        <v>153</v>
      </c>
      <c r="K229" s="1" t="s">
        <v>856</v>
      </c>
      <c r="L229" s="1" t="s">
        <v>155</v>
      </c>
      <c r="M229" s="1">
        <v>591.91999999999996</v>
      </c>
      <c r="N229" s="1" t="s">
        <v>104</v>
      </c>
      <c r="O229" s="1">
        <v>100</v>
      </c>
      <c r="P229" s="1">
        <v>59192</v>
      </c>
      <c r="Q229" s="1">
        <v>8</v>
      </c>
      <c r="R229" s="7">
        <v>0.08</v>
      </c>
      <c r="S229" s="1">
        <v>9</v>
      </c>
      <c r="T229" s="1">
        <v>19</v>
      </c>
      <c r="U229" s="1">
        <v>-10</v>
      </c>
      <c r="V229" s="1" t="s">
        <v>3352</v>
      </c>
      <c r="W229" s="1" t="s">
        <v>3384</v>
      </c>
      <c r="X229" s="1" t="s">
        <v>127</v>
      </c>
      <c r="Y229" s="1" t="s">
        <v>42</v>
      </c>
      <c r="Z229" s="1" t="s">
        <v>128</v>
      </c>
      <c r="AA229" s="1" t="s">
        <v>174</v>
      </c>
      <c r="AB229" s="1" t="s">
        <v>95</v>
      </c>
      <c r="AC229" s="1" t="s">
        <v>183</v>
      </c>
      <c r="AD229" s="1">
        <v>2.6</v>
      </c>
      <c r="AE229" s="1" t="s">
        <v>115</v>
      </c>
      <c r="AF229" s="1" t="s">
        <v>284</v>
      </c>
    </row>
    <row r="230" spans="1:32" ht="18" hidden="1" customHeight="1">
      <c r="A230" s="1" t="s">
        <v>857</v>
      </c>
      <c r="B230" s="1" t="s">
        <v>858</v>
      </c>
      <c r="C230" s="4">
        <v>46170</v>
      </c>
      <c r="D230" s="1">
        <v>46182</v>
      </c>
      <c r="E230" s="1">
        <v>46192</v>
      </c>
      <c r="F230" s="1" t="s">
        <v>256</v>
      </c>
      <c r="G230" s="1" t="s">
        <v>3419</v>
      </c>
      <c r="H230" s="1" t="s">
        <v>3420</v>
      </c>
      <c r="I230" s="1" t="s">
        <v>83</v>
      </c>
      <c r="J230" s="1" t="s">
        <v>153</v>
      </c>
      <c r="K230" s="1" t="s">
        <v>859</v>
      </c>
      <c r="L230" s="1" t="s">
        <v>295</v>
      </c>
      <c r="M230" s="1">
        <v>456.04</v>
      </c>
      <c r="N230" s="1" t="s">
        <v>159</v>
      </c>
      <c r="O230" s="1">
        <v>200</v>
      </c>
      <c r="P230" s="1">
        <v>91208</v>
      </c>
      <c r="Q230" s="1">
        <v>11</v>
      </c>
      <c r="R230" s="7">
        <v>5.5E-2</v>
      </c>
      <c r="S230" s="1">
        <v>22</v>
      </c>
      <c r="T230" s="1">
        <v>12</v>
      </c>
      <c r="U230" s="1">
        <v>10</v>
      </c>
      <c r="V230" s="1" t="s">
        <v>3328</v>
      </c>
      <c r="W230" s="1" t="s">
        <v>420</v>
      </c>
      <c r="X230" s="1"/>
      <c r="Y230" s="1" t="s">
        <v>106</v>
      </c>
      <c r="Z230" s="1" t="s">
        <v>107</v>
      </c>
      <c r="AA230" s="1" t="s">
        <v>3341</v>
      </c>
      <c r="AB230" s="1" t="s">
        <v>191</v>
      </c>
      <c r="AC230" s="1" t="s">
        <v>96</v>
      </c>
      <c r="AD230" s="1">
        <v>1.2</v>
      </c>
      <c r="AE230" s="1" t="s">
        <v>115</v>
      </c>
      <c r="AF230" s="1" t="s">
        <v>185</v>
      </c>
    </row>
    <row r="231" spans="1:32" ht="18" customHeight="1">
      <c r="A231" s="1" t="s">
        <v>860</v>
      </c>
      <c r="B231" s="1" t="s">
        <v>861</v>
      </c>
      <c r="C231" s="4">
        <v>46046</v>
      </c>
      <c r="D231" s="4">
        <v>46054</v>
      </c>
      <c r="E231" s="4">
        <v>46062</v>
      </c>
      <c r="F231" s="1" t="s">
        <v>60</v>
      </c>
      <c r="G231" s="1" t="s">
        <v>3326</v>
      </c>
      <c r="H231" s="1" t="s">
        <v>3354</v>
      </c>
      <c r="I231" s="1" t="s">
        <v>70</v>
      </c>
      <c r="J231" s="1" t="s">
        <v>62</v>
      </c>
      <c r="K231" s="1" t="s">
        <v>447</v>
      </c>
      <c r="L231" s="1" t="s">
        <v>122</v>
      </c>
      <c r="M231" s="1">
        <v>100.37</v>
      </c>
      <c r="N231" s="1" t="s">
        <v>86</v>
      </c>
      <c r="O231" s="1">
        <v>200</v>
      </c>
      <c r="P231" s="1">
        <v>20074</v>
      </c>
      <c r="Q231" s="1">
        <v>7</v>
      </c>
      <c r="R231" s="7">
        <v>3.5000000000000003E-2</v>
      </c>
      <c r="S231" s="1">
        <v>16</v>
      </c>
      <c r="T231" s="1">
        <v>8</v>
      </c>
      <c r="U231" s="1">
        <v>8</v>
      </c>
      <c r="V231" s="1" t="s">
        <v>3328</v>
      </c>
      <c r="W231" s="1" t="s">
        <v>40</v>
      </c>
      <c r="X231" s="1" t="s">
        <v>3329</v>
      </c>
      <c r="Y231" s="1" t="s">
        <v>190</v>
      </c>
      <c r="Z231" s="1" t="s">
        <v>3333</v>
      </c>
      <c r="AA231" s="1" t="s">
        <v>3341</v>
      </c>
      <c r="AB231" s="1" t="s">
        <v>137</v>
      </c>
      <c r="AC231" s="1"/>
      <c r="AD231" s="1">
        <v>2.2999999999999998</v>
      </c>
      <c r="AE231" s="1" t="s">
        <v>115</v>
      </c>
      <c r="AF231" s="1" t="s">
        <v>46</v>
      </c>
    </row>
    <row r="232" spans="1:32" ht="18" customHeight="1">
      <c r="A232" s="1" t="s">
        <v>862</v>
      </c>
      <c r="B232" s="1" t="s">
        <v>863</v>
      </c>
      <c r="C232" s="4">
        <v>46091</v>
      </c>
      <c r="D232" s="4">
        <v>46106</v>
      </c>
      <c r="E232" s="4">
        <v>46111</v>
      </c>
      <c r="F232" s="1" t="s">
        <v>235</v>
      </c>
      <c r="G232" s="1" t="s">
        <v>3474</v>
      </c>
      <c r="H232" s="1" t="s">
        <v>479</v>
      </c>
      <c r="I232" s="1" t="s">
        <v>83</v>
      </c>
      <c r="J232" s="1" t="s">
        <v>71</v>
      </c>
      <c r="K232" s="1" t="s">
        <v>864</v>
      </c>
      <c r="L232" s="1" t="s">
        <v>553</v>
      </c>
      <c r="M232" s="1">
        <v>549.07000000000005</v>
      </c>
      <c r="N232" s="1" t="s">
        <v>38</v>
      </c>
      <c r="O232" s="1">
        <v>75</v>
      </c>
      <c r="P232" s="1">
        <v>41180.25</v>
      </c>
      <c r="Q232" s="1">
        <v>78</v>
      </c>
      <c r="R232" s="7">
        <v>2.6700000000000002E-2</v>
      </c>
      <c r="S232" s="1">
        <v>20</v>
      </c>
      <c r="T232" s="1">
        <v>15</v>
      </c>
      <c r="U232" s="1" t="s">
        <v>3380</v>
      </c>
      <c r="V232" s="1" t="s">
        <v>205</v>
      </c>
      <c r="W232" s="1" t="s">
        <v>404</v>
      </c>
      <c r="X232" s="1" t="s">
        <v>127</v>
      </c>
      <c r="Y232" s="1" t="s">
        <v>212</v>
      </c>
      <c r="Z232" s="1" t="s">
        <v>3333</v>
      </c>
      <c r="AA232" s="1" t="s">
        <v>174</v>
      </c>
      <c r="AB232" s="1" t="s">
        <v>137</v>
      </c>
      <c r="AC232" s="1"/>
      <c r="AD232" s="1">
        <v>2.5</v>
      </c>
      <c r="AE232" s="1" t="s">
        <v>108</v>
      </c>
      <c r="AF232" s="1" t="s">
        <v>148</v>
      </c>
    </row>
    <row r="233" spans="1:32" ht="18" customHeight="1">
      <c r="A233" s="1" t="s">
        <v>865</v>
      </c>
      <c r="B233" s="1" t="s">
        <v>866</v>
      </c>
      <c r="C233" s="4">
        <v>46198</v>
      </c>
      <c r="D233" s="4"/>
      <c r="E233" s="4">
        <v>46217</v>
      </c>
      <c r="F233" s="1" t="s">
        <v>867</v>
      </c>
      <c r="G233" s="1" t="s">
        <v>143</v>
      </c>
      <c r="H233" s="1" t="s">
        <v>169</v>
      </c>
      <c r="I233" s="1" t="s">
        <v>61</v>
      </c>
      <c r="J233" s="1" t="s">
        <v>50</v>
      </c>
      <c r="K233" s="1" t="s">
        <v>868</v>
      </c>
      <c r="L233" s="1" t="s">
        <v>52</v>
      </c>
      <c r="M233" s="1">
        <v>1349.03</v>
      </c>
      <c r="N233" s="1" t="s">
        <v>86</v>
      </c>
      <c r="O233" s="1">
        <v>100</v>
      </c>
      <c r="P233" s="1">
        <v>134903</v>
      </c>
      <c r="Q233" s="1">
        <v>0</v>
      </c>
      <c r="R233" s="7">
        <v>0</v>
      </c>
      <c r="S233" s="1">
        <v>19</v>
      </c>
      <c r="T233" s="1">
        <v>19</v>
      </c>
      <c r="U233" s="1">
        <v>0</v>
      </c>
      <c r="V233" s="1" t="s">
        <v>3337</v>
      </c>
      <c r="W233" s="1" t="s">
        <v>40</v>
      </c>
      <c r="X233" s="1" t="s">
        <v>41</v>
      </c>
      <c r="Y233" s="1" t="s">
        <v>212</v>
      </c>
      <c r="Z233" s="1" t="s">
        <v>3330</v>
      </c>
      <c r="AA233" s="1" t="s">
        <v>174</v>
      </c>
      <c r="AB233" s="1" t="s">
        <v>137</v>
      </c>
      <c r="AC233" s="1"/>
      <c r="AD233" s="1">
        <v>2.9</v>
      </c>
      <c r="AE233" s="1" t="s">
        <v>108</v>
      </c>
      <c r="AF233" s="1" t="s">
        <v>619</v>
      </c>
    </row>
    <row r="234" spans="1:32" ht="18" customHeight="1">
      <c r="A234" s="1" t="s">
        <v>869</v>
      </c>
      <c r="B234" s="1" t="s">
        <v>870</v>
      </c>
      <c r="C234" s="4">
        <v>46106</v>
      </c>
      <c r="D234" s="4">
        <v>46126</v>
      </c>
      <c r="E234" s="4">
        <v>46124</v>
      </c>
      <c r="F234" s="1" t="s">
        <v>32</v>
      </c>
      <c r="G234" s="1" t="s">
        <v>33</v>
      </c>
      <c r="H234" s="1" t="s">
        <v>177</v>
      </c>
      <c r="I234" s="1" t="s">
        <v>178</v>
      </c>
      <c r="J234" s="1" t="s">
        <v>35</v>
      </c>
      <c r="K234" s="1" t="s">
        <v>871</v>
      </c>
      <c r="L234" s="1" t="s">
        <v>37</v>
      </c>
      <c r="M234" s="1">
        <v>1018.84</v>
      </c>
      <c r="N234" s="1" t="s">
        <v>86</v>
      </c>
      <c r="O234" s="1">
        <v>150</v>
      </c>
      <c r="P234" s="1">
        <v>152826</v>
      </c>
      <c r="Q234" s="1">
        <v>0</v>
      </c>
      <c r="R234" s="7">
        <v>0</v>
      </c>
      <c r="S234" s="1">
        <v>18</v>
      </c>
      <c r="T234" s="1">
        <v>20</v>
      </c>
      <c r="U234" s="1">
        <v>-2</v>
      </c>
      <c r="V234" s="1" t="s">
        <v>3337</v>
      </c>
      <c r="W234" s="1" t="s">
        <v>649</v>
      </c>
      <c r="X234" s="1" t="s">
        <v>105</v>
      </c>
      <c r="Y234" s="1" t="s">
        <v>42</v>
      </c>
      <c r="Z234" s="1" t="s">
        <v>3330</v>
      </c>
      <c r="AA234" s="1" t="s">
        <v>136</v>
      </c>
      <c r="AB234" s="1"/>
      <c r="AC234" s="1"/>
      <c r="AD234" s="1">
        <v>4.2</v>
      </c>
      <c r="AE234" s="1" t="s">
        <v>139</v>
      </c>
      <c r="AF234" s="1"/>
    </row>
    <row r="235" spans="1:32" ht="18" customHeight="1">
      <c r="A235" s="1" t="s">
        <v>872</v>
      </c>
      <c r="B235" s="1" t="s">
        <v>873</v>
      </c>
      <c r="C235" s="4">
        <v>46195</v>
      </c>
      <c r="D235" s="4">
        <v>46206</v>
      </c>
      <c r="E235" s="4">
        <v>46210</v>
      </c>
      <c r="F235" s="1" t="s">
        <v>60</v>
      </c>
      <c r="G235" s="1" t="s">
        <v>3488</v>
      </c>
      <c r="H235" s="1" t="s">
        <v>3327</v>
      </c>
      <c r="I235" s="1" t="s">
        <v>49</v>
      </c>
      <c r="J235" s="1" t="s">
        <v>71</v>
      </c>
      <c r="K235" s="1" t="s">
        <v>874</v>
      </c>
      <c r="L235" s="1" t="s">
        <v>553</v>
      </c>
      <c r="M235" s="1">
        <v>128.74</v>
      </c>
      <c r="N235" s="1" t="s">
        <v>159</v>
      </c>
      <c r="O235" s="1">
        <v>50</v>
      </c>
      <c r="P235" s="1" t="s">
        <v>3517</v>
      </c>
      <c r="Q235" s="1" t="s">
        <v>3454</v>
      </c>
      <c r="R235" s="7">
        <v>0</v>
      </c>
      <c r="S235" s="1">
        <v>15</v>
      </c>
      <c r="T235" s="1">
        <v>11</v>
      </c>
      <c r="U235" s="1">
        <v>4</v>
      </c>
      <c r="V235" s="1" t="s">
        <v>205</v>
      </c>
      <c r="W235" s="1" t="s">
        <v>40</v>
      </c>
      <c r="X235" s="1"/>
      <c r="Y235" s="1" t="s">
        <v>42</v>
      </c>
      <c r="Z235" s="1" t="s">
        <v>128</v>
      </c>
      <c r="AA235" s="1" t="s">
        <v>88</v>
      </c>
      <c r="AB235" s="1" t="s">
        <v>56</v>
      </c>
      <c r="AC235" s="1"/>
      <c r="AD235" s="1">
        <v>4.5</v>
      </c>
      <c r="AE235" s="1" t="s">
        <v>45</v>
      </c>
      <c r="AF235" s="1" t="s">
        <v>148</v>
      </c>
    </row>
    <row r="236" spans="1:32" ht="18" customHeight="1">
      <c r="A236" s="1" t="s">
        <v>875</v>
      </c>
      <c r="B236" s="1" t="s">
        <v>876</v>
      </c>
      <c r="C236" s="4">
        <v>46122</v>
      </c>
      <c r="D236" s="4">
        <v>46135</v>
      </c>
      <c r="E236" s="4" t="s">
        <v>3518</v>
      </c>
      <c r="F236" s="1" t="s">
        <v>80</v>
      </c>
      <c r="G236" s="1" t="s">
        <v>81</v>
      </c>
      <c r="H236" s="1" t="s">
        <v>82</v>
      </c>
      <c r="I236" s="1" t="s">
        <v>241</v>
      </c>
      <c r="J236" s="1" t="s">
        <v>50</v>
      </c>
      <c r="K236" s="1" t="s">
        <v>877</v>
      </c>
      <c r="L236" s="1" t="s">
        <v>189</v>
      </c>
      <c r="M236" s="1">
        <v>412.52</v>
      </c>
      <c r="N236" s="1" t="s">
        <v>159</v>
      </c>
      <c r="O236" s="1">
        <v>1500</v>
      </c>
      <c r="P236" s="1">
        <v>618780</v>
      </c>
      <c r="Q236" s="1">
        <v>32</v>
      </c>
      <c r="R236" s="7">
        <v>2.1299999999999999E-2</v>
      </c>
      <c r="S236" s="1">
        <v>20</v>
      </c>
      <c r="T236" s="1">
        <v>13</v>
      </c>
      <c r="U236" s="1"/>
      <c r="V236" s="1" t="s">
        <v>205</v>
      </c>
      <c r="W236" s="1" t="s">
        <v>40</v>
      </c>
      <c r="X236" s="1" t="s">
        <v>146</v>
      </c>
      <c r="Y236" s="1" t="s">
        <v>106</v>
      </c>
      <c r="Z236" s="1" t="s">
        <v>54</v>
      </c>
      <c r="AA236" s="1" t="s">
        <v>136</v>
      </c>
      <c r="AB236" s="1" t="s">
        <v>44</v>
      </c>
      <c r="AC236" s="1"/>
      <c r="AD236" s="1">
        <v>1.2</v>
      </c>
      <c r="AE236" s="1" t="s">
        <v>57</v>
      </c>
      <c r="AF236" s="1" t="s">
        <v>148</v>
      </c>
    </row>
    <row r="237" spans="1:32" ht="18" customHeight="1">
      <c r="A237" s="1" t="s">
        <v>878</v>
      </c>
      <c r="B237" s="1" t="s">
        <v>879</v>
      </c>
      <c r="C237" s="4">
        <v>46121</v>
      </c>
      <c r="D237" s="4">
        <v>46129</v>
      </c>
      <c r="E237" s="4">
        <v>46123</v>
      </c>
      <c r="F237" s="1" t="s">
        <v>162</v>
      </c>
      <c r="G237" s="1"/>
      <c r="H237" s="1" t="s">
        <v>3327</v>
      </c>
      <c r="I237" s="1" t="s">
        <v>49</v>
      </c>
      <c r="J237" s="1" t="s">
        <v>163</v>
      </c>
      <c r="K237" s="1" t="s">
        <v>880</v>
      </c>
      <c r="L237" s="1" t="s">
        <v>253</v>
      </c>
      <c r="M237" s="1">
        <v>2337.6799999999998</v>
      </c>
      <c r="N237" s="1" t="s">
        <v>53</v>
      </c>
      <c r="O237" s="1">
        <v>2000</v>
      </c>
      <c r="P237" s="1">
        <v>4675360</v>
      </c>
      <c r="Q237" s="1">
        <v>48</v>
      </c>
      <c r="R237" s="7">
        <v>2.4E-2</v>
      </c>
      <c r="S237" s="1">
        <v>2</v>
      </c>
      <c r="T237" s="1">
        <v>8</v>
      </c>
      <c r="U237" s="1">
        <v>-6</v>
      </c>
      <c r="V237" s="1" t="s">
        <v>87</v>
      </c>
      <c r="W237" s="1" t="s">
        <v>40</v>
      </c>
      <c r="X237" s="1" t="s">
        <v>127</v>
      </c>
      <c r="Y237" s="1" t="s">
        <v>66</v>
      </c>
      <c r="Z237" s="1"/>
      <c r="AA237" s="1" t="s">
        <v>129</v>
      </c>
      <c r="AB237" s="1"/>
      <c r="AC237" s="1"/>
      <c r="AD237" s="1">
        <v>2.8</v>
      </c>
      <c r="AE237" s="1" t="s">
        <v>184</v>
      </c>
      <c r="AF237" s="1" t="s">
        <v>130</v>
      </c>
    </row>
    <row r="238" spans="1:32" ht="18" customHeight="1">
      <c r="A238" s="1" t="s">
        <v>881</v>
      </c>
      <c r="B238" s="1" t="s">
        <v>882</v>
      </c>
      <c r="C238" s="4">
        <v>46119</v>
      </c>
      <c r="D238" s="4">
        <v>46140</v>
      </c>
      <c r="E238" s="4">
        <v>46143</v>
      </c>
      <c r="F238" s="1" t="s">
        <v>142</v>
      </c>
      <c r="G238" s="1" t="s">
        <v>143</v>
      </c>
      <c r="H238" s="1" t="s">
        <v>169</v>
      </c>
      <c r="I238" s="1" t="s">
        <v>49</v>
      </c>
      <c r="J238" s="1" t="s">
        <v>50</v>
      </c>
      <c r="K238" s="1" t="s">
        <v>883</v>
      </c>
      <c r="L238" s="1" t="s">
        <v>126</v>
      </c>
      <c r="M238" s="1">
        <v>1248.3599999999999</v>
      </c>
      <c r="N238" s="1" t="s">
        <v>86</v>
      </c>
      <c r="O238" s="1">
        <v>75</v>
      </c>
      <c r="P238" s="1">
        <v>93627</v>
      </c>
      <c r="Q238" s="1">
        <v>0</v>
      </c>
      <c r="R238" s="7">
        <v>0</v>
      </c>
      <c r="S238" s="1" t="s">
        <v>3358</v>
      </c>
      <c r="T238" s="1">
        <v>21</v>
      </c>
      <c r="U238" s="1">
        <v>3</v>
      </c>
      <c r="V238" s="1" t="s">
        <v>135</v>
      </c>
      <c r="W238" s="1" t="s">
        <v>40</v>
      </c>
      <c r="X238" s="1" t="s">
        <v>105</v>
      </c>
      <c r="Y238" s="1" t="s">
        <v>3334</v>
      </c>
      <c r="Z238" s="1"/>
      <c r="AA238" s="1" t="s">
        <v>136</v>
      </c>
      <c r="AB238" s="1" t="s">
        <v>44</v>
      </c>
      <c r="AC238" s="1"/>
      <c r="AD238" s="1">
        <v>2.2999999999999998</v>
      </c>
      <c r="AE238" s="1" t="s">
        <v>57</v>
      </c>
      <c r="AF238" s="1" t="s">
        <v>46</v>
      </c>
    </row>
    <row r="239" spans="1:32" ht="18" customHeight="1">
      <c r="A239" s="1" t="s">
        <v>884</v>
      </c>
      <c r="B239" s="1" t="s">
        <v>885</v>
      </c>
      <c r="C239" s="4">
        <v>46060</v>
      </c>
      <c r="D239" s="4">
        <v>46073</v>
      </c>
      <c r="E239" s="4" t="s">
        <v>3519</v>
      </c>
      <c r="F239" s="1" t="s">
        <v>80</v>
      </c>
      <c r="G239" s="1" t="s">
        <v>81</v>
      </c>
      <c r="H239" s="1" t="s">
        <v>3414</v>
      </c>
      <c r="I239" s="1" t="s">
        <v>61</v>
      </c>
      <c r="J239" s="1" t="s">
        <v>35</v>
      </c>
      <c r="K239" s="1" t="s">
        <v>886</v>
      </c>
      <c r="L239" s="1" t="s">
        <v>85</v>
      </c>
      <c r="M239" s="1">
        <v>155.13</v>
      </c>
      <c r="N239" s="1" t="s">
        <v>104</v>
      </c>
      <c r="O239" s="1">
        <v>75</v>
      </c>
      <c r="P239" s="1">
        <v>11634.75</v>
      </c>
      <c r="Q239" s="1">
        <v>0</v>
      </c>
      <c r="R239" s="7">
        <v>0</v>
      </c>
      <c r="S239" s="1">
        <v>5</v>
      </c>
      <c r="T239" s="1">
        <v>13</v>
      </c>
      <c r="U239" s="1">
        <v>-8</v>
      </c>
      <c r="V239" s="1" t="s">
        <v>3337</v>
      </c>
      <c r="W239" s="1" t="s">
        <v>404</v>
      </c>
      <c r="X239" s="1"/>
      <c r="Y239" s="1" t="s">
        <v>66</v>
      </c>
      <c r="Z239" s="1" t="s">
        <v>107</v>
      </c>
      <c r="AA239" s="1"/>
      <c r="AB239" s="1" t="s">
        <v>95</v>
      </c>
      <c r="AC239" s="1"/>
      <c r="AD239" s="1">
        <v>2.4</v>
      </c>
      <c r="AE239" s="1" t="s">
        <v>139</v>
      </c>
      <c r="AF239" s="1" t="s">
        <v>130</v>
      </c>
    </row>
    <row r="240" spans="1:32" ht="18" customHeight="1">
      <c r="A240" s="1" t="s">
        <v>325</v>
      </c>
      <c r="B240" s="1" t="s">
        <v>887</v>
      </c>
      <c r="C240" s="4">
        <v>46050</v>
      </c>
      <c r="D240" s="4">
        <v>46060</v>
      </c>
      <c r="E240" s="4">
        <v>46072</v>
      </c>
      <c r="F240" s="1" t="s">
        <v>69</v>
      </c>
      <c r="G240" s="1" t="s">
        <v>111</v>
      </c>
      <c r="H240" s="1" t="s">
        <v>3332</v>
      </c>
      <c r="I240" s="1" t="s">
        <v>49</v>
      </c>
      <c r="J240" s="1" t="s">
        <v>112</v>
      </c>
      <c r="K240" s="1" t="s">
        <v>888</v>
      </c>
      <c r="L240" s="1" t="s">
        <v>218</v>
      </c>
      <c r="M240" s="1">
        <v>296.38</v>
      </c>
      <c r="N240" s="1" t="s">
        <v>86</v>
      </c>
      <c r="O240" s="1">
        <v>250</v>
      </c>
      <c r="P240" s="1">
        <v>74095</v>
      </c>
      <c r="Q240" s="1">
        <v>7</v>
      </c>
      <c r="R240" s="7">
        <v>2.8000000000000001E-2</v>
      </c>
      <c r="S240" s="1">
        <v>22</v>
      </c>
      <c r="T240" s="1">
        <v>10</v>
      </c>
      <c r="U240" s="1">
        <v>12</v>
      </c>
      <c r="V240" s="1" t="s">
        <v>3328</v>
      </c>
      <c r="W240" s="1" t="s">
        <v>40</v>
      </c>
      <c r="X240" s="1" t="s">
        <v>3329</v>
      </c>
      <c r="Y240" s="1" t="s">
        <v>42</v>
      </c>
      <c r="Z240" s="1" t="s">
        <v>107</v>
      </c>
      <c r="AA240" s="1" t="s">
        <v>129</v>
      </c>
      <c r="AB240" s="1" t="s">
        <v>56</v>
      </c>
      <c r="AC240" s="1"/>
      <c r="AD240" s="1">
        <v>2.2999999999999998</v>
      </c>
      <c r="AE240" s="1" t="s">
        <v>115</v>
      </c>
      <c r="AF240" s="1" t="s">
        <v>46</v>
      </c>
    </row>
    <row r="241" spans="1:32" ht="18" customHeight="1">
      <c r="A241" s="1" t="s">
        <v>889</v>
      </c>
      <c r="B241" s="1" t="s">
        <v>890</v>
      </c>
      <c r="C241" s="4" t="s">
        <v>3520</v>
      </c>
      <c r="D241" s="4">
        <v>46174</v>
      </c>
      <c r="E241" s="4">
        <v>46168</v>
      </c>
      <c r="F241" s="1" t="s">
        <v>100</v>
      </c>
      <c r="G241" s="1" t="s">
        <v>3343</v>
      </c>
      <c r="H241" s="1"/>
      <c r="I241" s="1" t="s">
        <v>34</v>
      </c>
      <c r="J241" s="1" t="s">
        <v>50</v>
      </c>
      <c r="K241" s="1" t="s">
        <v>891</v>
      </c>
      <c r="L241" s="1" t="s">
        <v>189</v>
      </c>
      <c r="M241" s="1"/>
      <c r="N241" s="1" t="s">
        <v>38</v>
      </c>
      <c r="O241" s="1">
        <v>150</v>
      </c>
      <c r="P241" s="1">
        <v>653884.5</v>
      </c>
      <c r="Q241" s="1">
        <v>4</v>
      </c>
      <c r="R241" s="7">
        <v>2.6700000000000002E-2</v>
      </c>
      <c r="S241" s="1">
        <v>11</v>
      </c>
      <c r="T241" s="1">
        <v>17</v>
      </c>
      <c r="U241" s="1">
        <v>-6</v>
      </c>
      <c r="V241" s="1" t="s">
        <v>3337</v>
      </c>
      <c r="W241" s="1" t="s">
        <v>40</v>
      </c>
      <c r="X241" s="1" t="s">
        <v>146</v>
      </c>
      <c r="Y241" s="1"/>
      <c r="Z241" s="1" t="s">
        <v>107</v>
      </c>
      <c r="AA241" s="1" t="s">
        <v>206</v>
      </c>
      <c r="AB241" s="1" t="s">
        <v>137</v>
      </c>
      <c r="AC241" s="1"/>
      <c r="AD241" s="1">
        <v>3.1</v>
      </c>
      <c r="AE241" s="1" t="s">
        <v>76</v>
      </c>
      <c r="AF241" s="1" t="s">
        <v>130</v>
      </c>
    </row>
    <row r="242" spans="1:32" ht="18" hidden="1" customHeight="1">
      <c r="A242" s="1" t="s">
        <v>892</v>
      </c>
      <c r="B242" s="1" t="s">
        <v>893</v>
      </c>
      <c r="C242" s="4">
        <v>46052</v>
      </c>
      <c r="D242" s="1">
        <v>46076</v>
      </c>
      <c r="E242" s="1">
        <v>46073</v>
      </c>
      <c r="F242" s="1" t="s">
        <v>235</v>
      </c>
      <c r="G242" s="1" t="s">
        <v>236</v>
      </c>
      <c r="H242" s="1" t="s">
        <v>3374</v>
      </c>
      <c r="I242" s="1" t="s">
        <v>92</v>
      </c>
      <c r="J242" s="1" t="s">
        <v>153</v>
      </c>
      <c r="K242" s="1" t="s">
        <v>894</v>
      </c>
      <c r="L242" s="1" t="s">
        <v>295</v>
      </c>
      <c r="M242" s="1">
        <v>28.79</v>
      </c>
      <c r="N242" s="1" t="s">
        <v>38</v>
      </c>
      <c r="O242" s="1">
        <v>750</v>
      </c>
      <c r="P242" s="1">
        <v>21592.5</v>
      </c>
      <c r="Q242" s="1">
        <v>52</v>
      </c>
      <c r="R242" s="7">
        <v>6.93E-2</v>
      </c>
      <c r="S242" s="1">
        <v>21</v>
      </c>
      <c r="T242" s="1">
        <v>24</v>
      </c>
      <c r="U242" s="1">
        <v>-3</v>
      </c>
      <c r="V242" s="1" t="s">
        <v>87</v>
      </c>
      <c r="W242" s="1" t="s">
        <v>74</v>
      </c>
      <c r="X242" s="1" t="s">
        <v>146</v>
      </c>
      <c r="Y242" s="1" t="s">
        <v>190</v>
      </c>
      <c r="Z242" s="1" t="s">
        <v>3330</v>
      </c>
      <c r="AA242" s="1" t="s">
        <v>55</v>
      </c>
      <c r="AB242" s="1" t="s">
        <v>95</v>
      </c>
      <c r="AC242" s="1" t="s">
        <v>75</v>
      </c>
      <c r="AD242" s="1">
        <v>3.1</v>
      </c>
      <c r="AE242" s="1" t="s">
        <v>45</v>
      </c>
      <c r="AF242" s="1" t="s">
        <v>284</v>
      </c>
    </row>
    <row r="243" spans="1:32" ht="18" customHeight="1">
      <c r="A243" s="1" t="s">
        <v>895</v>
      </c>
      <c r="B243" s="1" t="s">
        <v>896</v>
      </c>
      <c r="C243" s="4" t="s">
        <v>3521</v>
      </c>
      <c r="D243" s="4" t="s">
        <v>3400</v>
      </c>
      <c r="E243" s="4" t="s">
        <v>3522</v>
      </c>
      <c r="F243" s="1" t="s">
        <v>142</v>
      </c>
      <c r="G243" s="1" t="s">
        <v>3391</v>
      </c>
      <c r="H243" s="1" t="s">
        <v>3392</v>
      </c>
      <c r="I243" s="1" t="s">
        <v>83</v>
      </c>
      <c r="J243" s="1" t="s">
        <v>50</v>
      </c>
      <c r="K243" s="1" t="s">
        <v>897</v>
      </c>
      <c r="L243" s="1" t="s">
        <v>189</v>
      </c>
      <c r="M243" s="1">
        <v>1447.49</v>
      </c>
      <c r="N243" s="1" t="s">
        <v>172</v>
      </c>
      <c r="O243" s="1">
        <v>100</v>
      </c>
      <c r="P243" s="1">
        <v>144749</v>
      </c>
      <c r="Q243" s="1"/>
      <c r="R243" s="7">
        <v>0.01</v>
      </c>
      <c r="S243" s="1">
        <v>4</v>
      </c>
      <c r="T243" s="1">
        <v>20</v>
      </c>
      <c r="U243" s="1">
        <v>-16</v>
      </c>
      <c r="V243" s="1" t="s">
        <v>270</v>
      </c>
      <c r="W243" s="1" t="s">
        <v>40</v>
      </c>
      <c r="X243" s="1" t="s">
        <v>105</v>
      </c>
      <c r="Y243" s="1" t="s">
        <v>212</v>
      </c>
      <c r="Z243" s="1" t="s">
        <v>3333</v>
      </c>
      <c r="AA243" s="1" t="s">
        <v>129</v>
      </c>
      <c r="AB243" s="1" t="s">
        <v>137</v>
      </c>
      <c r="AC243" s="1"/>
      <c r="AD243" s="1">
        <v>4</v>
      </c>
      <c r="AE243" s="1" t="s">
        <v>108</v>
      </c>
      <c r="AF243" s="1"/>
    </row>
    <row r="244" spans="1:32" ht="18" customHeight="1">
      <c r="A244" s="1" t="s">
        <v>898</v>
      </c>
      <c r="B244" s="1" t="s">
        <v>899</v>
      </c>
      <c r="C244" s="4" t="s">
        <v>3523</v>
      </c>
      <c r="D244" s="4">
        <v>46176</v>
      </c>
      <c r="E244" s="4" t="s">
        <v>3524</v>
      </c>
      <c r="F244" s="1" t="s">
        <v>867</v>
      </c>
      <c r="G244" s="1" t="s">
        <v>111</v>
      </c>
      <c r="H244" s="1" t="s">
        <v>194</v>
      </c>
      <c r="I244" s="1" t="s">
        <v>70</v>
      </c>
      <c r="J244" s="1" t="s">
        <v>112</v>
      </c>
      <c r="K244" s="1" t="s">
        <v>900</v>
      </c>
      <c r="L244" s="1" t="s">
        <v>218</v>
      </c>
      <c r="M244" s="1" t="s">
        <v>3525</v>
      </c>
      <c r="N244" s="1" t="s">
        <v>38</v>
      </c>
      <c r="O244" s="1">
        <v>150</v>
      </c>
      <c r="P244" s="1">
        <v>104352</v>
      </c>
      <c r="Q244" s="1">
        <v>0</v>
      </c>
      <c r="R244" s="7">
        <v>0</v>
      </c>
      <c r="S244" s="1">
        <v>18</v>
      </c>
      <c r="T244" s="1">
        <v>13</v>
      </c>
      <c r="U244" s="1">
        <v>5</v>
      </c>
      <c r="V244" s="1" t="s">
        <v>3328</v>
      </c>
      <c r="W244" s="1" t="s">
        <v>40</v>
      </c>
      <c r="X244" s="1" t="s">
        <v>105</v>
      </c>
      <c r="Y244" s="1"/>
      <c r="Z244" s="1" t="s">
        <v>43</v>
      </c>
      <c r="AA244" s="1"/>
      <c r="AB244" s="1" t="s">
        <v>44</v>
      </c>
      <c r="AC244" s="1"/>
      <c r="AD244" s="1">
        <v>3.4</v>
      </c>
      <c r="AE244" s="1" t="s">
        <v>45</v>
      </c>
      <c r="AF244" s="1" t="s">
        <v>386</v>
      </c>
    </row>
    <row r="245" spans="1:32" ht="18" customHeight="1">
      <c r="A245" s="1" t="s">
        <v>901</v>
      </c>
      <c r="B245" s="1" t="s">
        <v>902</v>
      </c>
      <c r="C245" s="4">
        <v>46042</v>
      </c>
      <c r="D245" s="4">
        <v>46055</v>
      </c>
      <c r="E245" s="4">
        <v>46045</v>
      </c>
      <c r="F245" s="1" t="s">
        <v>209</v>
      </c>
      <c r="G245" s="1" t="s">
        <v>210</v>
      </c>
      <c r="H245" s="1" t="s">
        <v>3365</v>
      </c>
      <c r="I245" s="1" t="s">
        <v>241</v>
      </c>
      <c r="J245" s="1" t="s">
        <v>153</v>
      </c>
      <c r="K245" s="1" t="s">
        <v>903</v>
      </c>
      <c r="L245" s="1" t="s">
        <v>295</v>
      </c>
      <c r="M245" s="1">
        <v>645.74</v>
      </c>
      <c r="N245" s="1" t="s">
        <v>159</v>
      </c>
      <c r="O245" s="1">
        <v>750</v>
      </c>
      <c r="P245" s="1">
        <v>484305</v>
      </c>
      <c r="Q245" s="1">
        <v>0</v>
      </c>
      <c r="R245" s="7">
        <v>0</v>
      </c>
      <c r="S245" s="1">
        <v>3</v>
      </c>
      <c r="T245" s="1">
        <v>13</v>
      </c>
      <c r="U245" s="1">
        <v>-10</v>
      </c>
      <c r="V245" s="1" t="s">
        <v>270</v>
      </c>
      <c r="W245" s="1" t="s">
        <v>40</v>
      </c>
      <c r="X245" s="1" t="s">
        <v>105</v>
      </c>
      <c r="Y245" s="1" t="s">
        <v>42</v>
      </c>
      <c r="Z245" s="1" t="s">
        <v>54</v>
      </c>
      <c r="AA245" s="1" t="s">
        <v>174</v>
      </c>
      <c r="AB245" s="1" t="s">
        <v>56</v>
      </c>
      <c r="AC245" s="1"/>
      <c r="AD245" s="1">
        <v>3.2</v>
      </c>
      <c r="AE245" s="1" t="s">
        <v>115</v>
      </c>
      <c r="AF245" s="1"/>
    </row>
    <row r="246" spans="1:32" ht="18" customHeight="1">
      <c r="A246" s="1" t="s">
        <v>904</v>
      </c>
      <c r="B246" s="1" t="s">
        <v>905</v>
      </c>
      <c r="C246" s="4">
        <v>46103</v>
      </c>
      <c r="D246" s="4">
        <v>46117</v>
      </c>
      <c r="E246" s="4">
        <v>46128</v>
      </c>
      <c r="F246" s="1" t="s">
        <v>100</v>
      </c>
      <c r="G246" s="1" t="s">
        <v>101</v>
      </c>
      <c r="H246" s="1" t="s">
        <v>3322</v>
      </c>
      <c r="I246" s="1" t="s">
        <v>70</v>
      </c>
      <c r="J246" s="1" t="s">
        <v>50</v>
      </c>
      <c r="K246" s="1" t="s">
        <v>906</v>
      </c>
      <c r="L246" s="1" t="s">
        <v>126</v>
      </c>
      <c r="M246" s="1">
        <v>1902.59</v>
      </c>
      <c r="N246" s="1" t="s">
        <v>159</v>
      </c>
      <c r="O246" s="1">
        <v>300</v>
      </c>
      <c r="P246" s="1">
        <v>570777</v>
      </c>
      <c r="Q246" s="1">
        <v>6</v>
      </c>
      <c r="R246" s="7">
        <v>0.02</v>
      </c>
      <c r="S246" s="1">
        <v>25</v>
      </c>
      <c r="T246" s="1">
        <v>14</v>
      </c>
      <c r="U246" s="1">
        <v>11</v>
      </c>
      <c r="V246" s="1" t="s">
        <v>39</v>
      </c>
      <c r="W246" s="1" t="s">
        <v>40</v>
      </c>
      <c r="X246" s="1" t="s">
        <v>105</v>
      </c>
      <c r="Y246" s="1" t="s">
        <v>212</v>
      </c>
      <c r="Z246" s="1" t="s">
        <v>107</v>
      </c>
      <c r="AA246" s="1" t="s">
        <v>136</v>
      </c>
      <c r="AB246" s="1" t="s">
        <v>147</v>
      </c>
      <c r="AC246" s="1"/>
      <c r="AD246" s="1">
        <v>3.4</v>
      </c>
      <c r="AE246" s="1" t="s">
        <v>184</v>
      </c>
      <c r="AF246" s="1" t="s">
        <v>46</v>
      </c>
    </row>
    <row r="247" spans="1:32" ht="18" customHeight="1">
      <c r="A247" s="1" t="s">
        <v>907</v>
      </c>
      <c r="B247" s="1" t="s">
        <v>908</v>
      </c>
      <c r="C247" s="4">
        <v>46043</v>
      </c>
      <c r="D247" s="4">
        <v>46049</v>
      </c>
      <c r="E247" s="4">
        <v>46041</v>
      </c>
      <c r="F247" s="1" t="s">
        <v>151</v>
      </c>
      <c r="G247" s="1" t="s">
        <v>3353</v>
      </c>
      <c r="H247" s="1" t="s">
        <v>3408</v>
      </c>
      <c r="I247" s="1" t="s">
        <v>61</v>
      </c>
      <c r="J247" s="1" t="s">
        <v>112</v>
      </c>
      <c r="K247" s="1" t="s">
        <v>909</v>
      </c>
      <c r="L247" s="1" t="s">
        <v>114</v>
      </c>
      <c r="M247" s="1">
        <v>273.17</v>
      </c>
      <c r="N247" s="1" t="s">
        <v>53</v>
      </c>
      <c r="O247" s="1">
        <v>-2000</v>
      </c>
      <c r="P247" s="1">
        <v>546340</v>
      </c>
      <c r="Q247" s="1">
        <v>36</v>
      </c>
      <c r="R247" s="7">
        <v>1.7999999999999999E-2</v>
      </c>
      <c r="S247" s="1">
        <v>-2</v>
      </c>
      <c r="T247" s="1">
        <v>6</v>
      </c>
      <c r="U247" s="1">
        <v>-8</v>
      </c>
      <c r="V247" s="1" t="s">
        <v>362</v>
      </c>
      <c r="W247" s="1" t="s">
        <v>40</v>
      </c>
      <c r="X247" s="1" t="s">
        <v>3324</v>
      </c>
      <c r="Y247" s="1" t="s">
        <v>66</v>
      </c>
      <c r="Z247" s="1" t="s">
        <v>3330</v>
      </c>
      <c r="AA247" s="1" t="s">
        <v>174</v>
      </c>
      <c r="AB247" s="1"/>
      <c r="AC247" s="1"/>
      <c r="AD247" s="1">
        <v>2.5</v>
      </c>
      <c r="AE247" s="1" t="s">
        <v>57</v>
      </c>
      <c r="AF247" s="1"/>
    </row>
    <row r="248" spans="1:32" ht="18" hidden="1" customHeight="1">
      <c r="A248" s="1" t="s">
        <v>910</v>
      </c>
      <c r="B248" s="1" t="s">
        <v>911</v>
      </c>
      <c r="C248" s="4">
        <v>46061</v>
      </c>
      <c r="D248" s="1">
        <v>46071</v>
      </c>
      <c r="E248" s="1">
        <v>46075</v>
      </c>
      <c r="F248" s="1" t="s">
        <v>60</v>
      </c>
      <c r="G248" s="1" t="s">
        <v>466</v>
      </c>
      <c r="H248" s="1" t="s">
        <v>3327</v>
      </c>
      <c r="I248" s="1" t="s">
        <v>49</v>
      </c>
      <c r="J248" s="1" t="s">
        <v>62</v>
      </c>
      <c r="K248" s="1" t="s">
        <v>912</v>
      </c>
      <c r="L248" s="1" t="s">
        <v>225</v>
      </c>
      <c r="M248" s="1">
        <v>507.39</v>
      </c>
      <c r="N248" s="1" t="s">
        <v>104</v>
      </c>
      <c r="O248" s="1">
        <v>250</v>
      </c>
      <c r="P248" s="1">
        <v>126847.5</v>
      </c>
      <c r="Q248" s="1">
        <v>17</v>
      </c>
      <c r="R248" s="7">
        <v>6.8000000000000005E-2</v>
      </c>
      <c r="S248" s="1">
        <v>14</v>
      </c>
      <c r="T248" s="1">
        <v>10</v>
      </c>
      <c r="U248" s="1">
        <v>4</v>
      </c>
      <c r="V248" s="1" t="s">
        <v>39</v>
      </c>
      <c r="W248" s="1" t="s">
        <v>74</v>
      </c>
      <c r="X248" s="1" t="s">
        <v>3329</v>
      </c>
      <c r="Y248" s="1" t="s">
        <v>106</v>
      </c>
      <c r="Z248" s="1" t="s">
        <v>54</v>
      </c>
      <c r="AA248" s="1" t="s">
        <v>206</v>
      </c>
      <c r="AB248" s="1"/>
      <c r="AC248" s="1" t="s">
        <v>373</v>
      </c>
      <c r="AD248" s="1">
        <v>2.5</v>
      </c>
      <c r="AE248" s="1" t="s">
        <v>184</v>
      </c>
      <c r="AF248" s="1" t="s">
        <v>77</v>
      </c>
    </row>
    <row r="249" spans="1:32" ht="18" customHeight="1">
      <c r="A249" s="1" t="s">
        <v>913</v>
      </c>
      <c r="B249" s="1" t="s">
        <v>914</v>
      </c>
      <c r="C249" s="4">
        <v>46056</v>
      </c>
      <c r="D249" s="4">
        <v>46070</v>
      </c>
      <c r="E249" s="4">
        <v>46067</v>
      </c>
      <c r="F249" s="1" t="s">
        <v>100</v>
      </c>
      <c r="G249" s="1" t="s">
        <v>101</v>
      </c>
      <c r="H249" s="1" t="s">
        <v>3322</v>
      </c>
      <c r="I249" s="1" t="s">
        <v>120</v>
      </c>
      <c r="J249" s="1" t="s">
        <v>50</v>
      </c>
      <c r="K249" s="1" t="s">
        <v>915</v>
      </c>
      <c r="L249" s="1" t="s">
        <v>145</v>
      </c>
      <c r="M249" s="1">
        <v>766.02</v>
      </c>
      <c r="N249" s="1" t="s">
        <v>159</v>
      </c>
      <c r="O249" s="1">
        <v>150</v>
      </c>
      <c r="P249" s="1">
        <v>114903</v>
      </c>
      <c r="Q249" s="1">
        <v>2</v>
      </c>
      <c r="R249" s="7">
        <v>1.3299999999999999E-2</v>
      </c>
      <c r="S249" s="1">
        <v>11</v>
      </c>
      <c r="T249" s="1">
        <v>14</v>
      </c>
      <c r="U249" s="1">
        <v>-3</v>
      </c>
      <c r="V249" s="1" t="s">
        <v>270</v>
      </c>
      <c r="W249" s="1" t="s">
        <v>40</v>
      </c>
      <c r="X249" s="1" t="s">
        <v>127</v>
      </c>
      <c r="Y249" s="1" t="s">
        <v>42</v>
      </c>
      <c r="Z249" s="1" t="s">
        <v>3333</v>
      </c>
      <c r="AA249" s="1" t="s">
        <v>174</v>
      </c>
      <c r="AB249" s="1" t="s">
        <v>137</v>
      </c>
      <c r="AC249" s="1"/>
      <c r="AD249" s="1">
        <v>3.2</v>
      </c>
      <c r="AE249" s="1" t="s">
        <v>108</v>
      </c>
      <c r="AF249" s="1" t="s">
        <v>130</v>
      </c>
    </row>
    <row r="250" spans="1:32" ht="18" customHeight="1">
      <c r="A250" s="1" t="s">
        <v>916</v>
      </c>
      <c r="B250" s="1" t="s">
        <v>917</v>
      </c>
      <c r="C250" s="4">
        <v>46200</v>
      </c>
      <c r="D250" s="4">
        <v>46213</v>
      </c>
      <c r="E250" s="4" t="s">
        <v>3526</v>
      </c>
      <c r="F250" s="1" t="s">
        <v>48</v>
      </c>
      <c r="G250" s="1" t="s">
        <v>3467</v>
      </c>
      <c r="H250" s="1" t="s">
        <v>3361</v>
      </c>
      <c r="I250" s="1" t="s">
        <v>70</v>
      </c>
      <c r="J250" s="1" t="s">
        <v>50</v>
      </c>
      <c r="K250" s="1" t="s">
        <v>918</v>
      </c>
      <c r="L250" s="1" t="s">
        <v>189</v>
      </c>
      <c r="M250" s="1">
        <v>184.92</v>
      </c>
      <c r="N250" s="1" t="s">
        <v>86</v>
      </c>
      <c r="O250" s="1">
        <v>150</v>
      </c>
      <c r="P250" s="1">
        <v>27738</v>
      </c>
      <c r="Q250" s="1">
        <v>0</v>
      </c>
      <c r="R250" s="7">
        <v>0</v>
      </c>
      <c r="S250" s="1">
        <v>13</v>
      </c>
      <c r="T250" s="1">
        <v>13</v>
      </c>
      <c r="U250" s="1">
        <v>0</v>
      </c>
      <c r="V250" s="1" t="s">
        <v>3337</v>
      </c>
      <c r="W250" s="1" t="s">
        <v>40</v>
      </c>
      <c r="X250" s="1" t="s">
        <v>105</v>
      </c>
      <c r="Y250" s="1" t="s">
        <v>212</v>
      </c>
      <c r="Z250" s="1" t="s">
        <v>107</v>
      </c>
      <c r="AA250" s="1" t="s">
        <v>129</v>
      </c>
      <c r="AB250" s="1" t="s">
        <v>95</v>
      </c>
      <c r="AC250" s="1"/>
      <c r="AD250" s="1">
        <v>4.3</v>
      </c>
      <c r="AE250" s="1" t="s">
        <v>108</v>
      </c>
      <c r="AF250" s="1"/>
    </row>
    <row r="251" spans="1:32" ht="18" hidden="1" customHeight="1">
      <c r="A251" s="1" t="s">
        <v>919</v>
      </c>
      <c r="B251" s="1" t="s">
        <v>920</v>
      </c>
      <c r="C251" s="4">
        <v>46041</v>
      </c>
      <c r="D251" s="1">
        <v>46056</v>
      </c>
      <c r="E251" s="1" t="s">
        <v>3527</v>
      </c>
      <c r="F251" s="1" t="s">
        <v>48</v>
      </c>
      <c r="G251" s="1" t="s">
        <v>232</v>
      </c>
      <c r="H251" s="1" t="s">
        <v>3361</v>
      </c>
      <c r="I251" s="1" t="s">
        <v>61</v>
      </c>
      <c r="J251" s="1" t="s">
        <v>50</v>
      </c>
      <c r="K251" s="1" t="s">
        <v>921</v>
      </c>
      <c r="L251" s="1" t="s">
        <v>189</v>
      </c>
      <c r="M251" s="1">
        <v>383.28</v>
      </c>
      <c r="N251" s="1" t="s">
        <v>38</v>
      </c>
      <c r="O251" s="1">
        <v>100</v>
      </c>
      <c r="P251" s="1">
        <v>38328</v>
      </c>
      <c r="Q251" s="1">
        <v>10</v>
      </c>
      <c r="R251" s="7">
        <v>0.1</v>
      </c>
      <c r="S251" s="1">
        <v>-5</v>
      </c>
      <c r="T251" s="1">
        <v>15</v>
      </c>
      <c r="U251" s="1">
        <v>-2</v>
      </c>
      <c r="V251" s="1" t="s">
        <v>270</v>
      </c>
      <c r="W251" s="1" t="s">
        <v>420</v>
      </c>
      <c r="X251" s="1" t="s">
        <v>127</v>
      </c>
      <c r="Y251" s="1"/>
      <c r="Z251" s="1" t="s">
        <v>107</v>
      </c>
      <c r="AA251" s="1" t="s">
        <v>174</v>
      </c>
      <c r="AB251" s="1" t="s">
        <v>56</v>
      </c>
      <c r="AC251" s="1" t="s">
        <v>96</v>
      </c>
      <c r="AD251" s="1">
        <v>3.2</v>
      </c>
      <c r="AE251" s="1" t="s">
        <v>115</v>
      </c>
      <c r="AF251" s="1" t="s">
        <v>284</v>
      </c>
    </row>
    <row r="252" spans="1:32" ht="18" customHeight="1">
      <c r="A252" s="1" t="s">
        <v>922</v>
      </c>
      <c r="B252" s="1" t="s">
        <v>923</v>
      </c>
      <c r="C252" s="4">
        <v>46044</v>
      </c>
      <c r="D252" s="4" t="s">
        <v>3528</v>
      </c>
      <c r="E252" s="4">
        <v>46067</v>
      </c>
      <c r="F252" s="1" t="s">
        <v>235</v>
      </c>
      <c r="G252" s="1" t="s">
        <v>3474</v>
      </c>
      <c r="H252" s="1" t="s">
        <v>479</v>
      </c>
      <c r="I252" s="1" t="s">
        <v>70</v>
      </c>
      <c r="J252" s="1" t="s">
        <v>71</v>
      </c>
      <c r="K252" s="1" t="s">
        <v>924</v>
      </c>
      <c r="L252" s="1" t="s">
        <v>553</v>
      </c>
      <c r="M252" s="1">
        <v>84.51</v>
      </c>
      <c r="N252" s="1" t="s">
        <v>159</v>
      </c>
      <c r="O252" s="1">
        <v>1000</v>
      </c>
      <c r="P252" s="1">
        <v>84510</v>
      </c>
      <c r="Q252" s="1">
        <v>35</v>
      </c>
      <c r="R252" s="7">
        <v>3.5000000000000003E-2</v>
      </c>
      <c r="S252" s="1">
        <v>23</v>
      </c>
      <c r="T252" s="1">
        <v>17</v>
      </c>
      <c r="U252" s="1">
        <v>6</v>
      </c>
      <c r="V252" s="1" t="s">
        <v>39</v>
      </c>
      <c r="W252" s="1" t="s">
        <v>40</v>
      </c>
      <c r="X252" s="1" t="s">
        <v>105</v>
      </c>
      <c r="Y252" s="1" t="s">
        <v>3334</v>
      </c>
      <c r="Z252" s="1" t="s">
        <v>54</v>
      </c>
      <c r="AA252" s="1" t="s">
        <v>88</v>
      </c>
      <c r="AB252" s="1" t="s">
        <v>191</v>
      </c>
      <c r="AC252" s="1"/>
      <c r="AD252" s="1">
        <v>1.4</v>
      </c>
      <c r="AE252" s="1" t="s">
        <v>108</v>
      </c>
      <c r="AF252" s="1" t="s">
        <v>46</v>
      </c>
    </row>
    <row r="253" spans="1:32" ht="18" customHeight="1">
      <c r="A253" s="1" t="s">
        <v>925</v>
      </c>
      <c r="B253" s="1" t="s">
        <v>926</v>
      </c>
      <c r="C253" s="4">
        <v>46175</v>
      </c>
      <c r="D253" s="4">
        <v>46191</v>
      </c>
      <c r="E253" s="4">
        <v>46179</v>
      </c>
      <c r="F253" s="1" t="s">
        <v>162</v>
      </c>
      <c r="G253" s="1" t="s">
        <v>3356</v>
      </c>
      <c r="H253" s="1" t="s">
        <v>152</v>
      </c>
      <c r="I253" s="1" t="s">
        <v>70</v>
      </c>
      <c r="J253" s="1" t="s">
        <v>163</v>
      </c>
      <c r="K253" s="1" t="s">
        <v>927</v>
      </c>
      <c r="L253" s="1" t="s">
        <v>171</v>
      </c>
      <c r="M253" s="1">
        <v>63.24</v>
      </c>
      <c r="N253" s="1" t="s">
        <v>159</v>
      </c>
      <c r="O253" s="1">
        <v>2000</v>
      </c>
      <c r="P253" s="1">
        <v>126480</v>
      </c>
      <c r="Q253" s="1">
        <v>22</v>
      </c>
      <c r="R253" s="7">
        <v>1.0999999999999999E-2</v>
      </c>
      <c r="S253" s="1">
        <v>4</v>
      </c>
      <c r="T253" s="1">
        <v>16</v>
      </c>
      <c r="U253" s="1">
        <v>-12</v>
      </c>
      <c r="V253" s="1" t="s">
        <v>87</v>
      </c>
      <c r="W253" s="1" t="s">
        <v>40</v>
      </c>
      <c r="X253" s="1"/>
      <c r="Y253" s="1" t="s">
        <v>66</v>
      </c>
      <c r="Z253" s="1" t="s">
        <v>54</v>
      </c>
      <c r="AA253" s="1"/>
      <c r="AB253" s="1"/>
      <c r="AC253" s="1"/>
      <c r="AD253" s="1">
        <v>3.9</v>
      </c>
      <c r="AE253" s="1" t="s">
        <v>184</v>
      </c>
      <c r="AF253" s="1" t="s">
        <v>130</v>
      </c>
    </row>
    <row r="254" spans="1:32" ht="18" customHeight="1">
      <c r="A254" s="1" t="s">
        <v>928</v>
      </c>
      <c r="B254" s="1" t="s">
        <v>929</v>
      </c>
      <c r="C254" s="4">
        <v>46034</v>
      </c>
      <c r="D254" s="4">
        <v>46050</v>
      </c>
      <c r="E254" s="4"/>
      <c r="F254" s="1" t="s">
        <v>48</v>
      </c>
      <c r="G254" s="1" t="s">
        <v>232</v>
      </c>
      <c r="H254" s="1" t="s">
        <v>3361</v>
      </c>
      <c r="I254" s="1" t="s">
        <v>92</v>
      </c>
      <c r="J254" s="1" t="s">
        <v>50</v>
      </c>
      <c r="K254" s="1" t="s">
        <v>930</v>
      </c>
      <c r="L254" s="1" t="s">
        <v>52</v>
      </c>
      <c r="M254" s="1">
        <v>2555.3200000000002</v>
      </c>
      <c r="N254" s="1" t="s">
        <v>53</v>
      </c>
      <c r="O254" s="1">
        <v>2000</v>
      </c>
      <c r="P254" s="1">
        <v>5110640</v>
      </c>
      <c r="Q254" s="1">
        <v>20</v>
      </c>
      <c r="R254" s="7">
        <v>0.01</v>
      </c>
      <c r="S254" s="1">
        <v>19</v>
      </c>
      <c r="T254" s="1">
        <v>16</v>
      </c>
      <c r="U254" s="1">
        <v>3</v>
      </c>
      <c r="V254" s="1" t="s">
        <v>135</v>
      </c>
      <c r="W254" s="1" t="s">
        <v>40</v>
      </c>
      <c r="X254" s="1"/>
      <c r="Y254" s="1"/>
      <c r="Z254" s="1" t="s">
        <v>54</v>
      </c>
      <c r="AA254" s="1" t="s">
        <v>136</v>
      </c>
      <c r="AB254" s="1" t="s">
        <v>56</v>
      </c>
      <c r="AC254" s="1"/>
      <c r="AD254" s="1">
        <v>3.5</v>
      </c>
      <c r="AE254" s="1" t="s">
        <v>76</v>
      </c>
      <c r="AF254" s="1" t="s">
        <v>148</v>
      </c>
    </row>
    <row r="255" spans="1:32" ht="18" customHeight="1">
      <c r="A255" s="1" t="s">
        <v>931</v>
      </c>
      <c r="B255" s="1" t="s">
        <v>932</v>
      </c>
      <c r="C255" s="4">
        <v>46136</v>
      </c>
      <c r="D255" s="4">
        <v>46159</v>
      </c>
      <c r="E255" s="4">
        <v>46157</v>
      </c>
      <c r="F255" s="1" t="s">
        <v>118</v>
      </c>
      <c r="G255" s="1" t="s">
        <v>119</v>
      </c>
      <c r="H255" s="1" t="s">
        <v>3369</v>
      </c>
      <c r="I255" s="1" t="s">
        <v>241</v>
      </c>
      <c r="J255" s="1" t="s">
        <v>62</v>
      </c>
      <c r="K255" s="1" t="s">
        <v>912</v>
      </c>
      <c r="L255" s="1" t="s">
        <v>64</v>
      </c>
      <c r="M255" s="1">
        <v>604.49</v>
      </c>
      <c r="N255" s="1" t="s">
        <v>104</v>
      </c>
      <c r="O255" s="1">
        <v>500</v>
      </c>
      <c r="P255" s="1">
        <v>302245</v>
      </c>
      <c r="Q255" s="1">
        <v>4</v>
      </c>
      <c r="R255" s="7">
        <v>8.0000000000000002E-3</v>
      </c>
      <c r="S255" s="1">
        <v>21</v>
      </c>
      <c r="T255" s="1">
        <v>23</v>
      </c>
      <c r="U255" s="1">
        <v>-2</v>
      </c>
      <c r="V255" s="1" t="s">
        <v>3352</v>
      </c>
      <c r="W255" s="1" t="s">
        <v>40</v>
      </c>
      <c r="X255" s="1" t="s">
        <v>3324</v>
      </c>
      <c r="Y255" s="1" t="s">
        <v>190</v>
      </c>
      <c r="Z255" s="1" t="s">
        <v>54</v>
      </c>
      <c r="AA255" s="1" t="s">
        <v>3341</v>
      </c>
      <c r="AB255" s="1" t="s">
        <v>95</v>
      </c>
      <c r="AC255" s="1"/>
      <c r="AD255" s="1" t="s">
        <v>138</v>
      </c>
      <c r="AE255" s="1" t="s">
        <v>57</v>
      </c>
      <c r="AF255" s="1"/>
    </row>
    <row r="256" spans="1:32" ht="18" customHeight="1">
      <c r="A256" s="1" t="s">
        <v>933</v>
      </c>
      <c r="B256" s="1" t="s">
        <v>934</v>
      </c>
      <c r="C256" s="4"/>
      <c r="D256" s="4">
        <v>46197</v>
      </c>
      <c r="E256" s="4">
        <v>46195</v>
      </c>
      <c r="F256" s="1" t="s">
        <v>162</v>
      </c>
      <c r="G256" s="1" t="s">
        <v>3444</v>
      </c>
      <c r="H256" s="1" t="s">
        <v>152</v>
      </c>
      <c r="I256" s="1" t="s">
        <v>49</v>
      </c>
      <c r="J256" s="1" t="s">
        <v>163</v>
      </c>
      <c r="K256" s="1" t="s">
        <v>935</v>
      </c>
      <c r="L256" s="1" t="s">
        <v>269</v>
      </c>
      <c r="M256" s="1">
        <v>1078.68</v>
      </c>
      <c r="N256" s="1" t="s">
        <v>104</v>
      </c>
      <c r="O256" s="1">
        <v>200</v>
      </c>
      <c r="P256" s="1">
        <v>215736</v>
      </c>
      <c r="Q256" s="1">
        <v>7</v>
      </c>
      <c r="R256" s="7">
        <v>3.5000000000000003E-2</v>
      </c>
      <c r="S256" s="1">
        <v>9</v>
      </c>
      <c r="T256" s="1">
        <v>11</v>
      </c>
      <c r="U256" s="1">
        <v>-2</v>
      </c>
      <c r="V256" s="1" t="s">
        <v>3337</v>
      </c>
      <c r="W256" s="1" t="s">
        <v>40</v>
      </c>
      <c r="X256" s="1" t="s">
        <v>41</v>
      </c>
      <c r="Y256" s="1" t="s">
        <v>66</v>
      </c>
      <c r="Z256" s="1" t="s">
        <v>128</v>
      </c>
      <c r="AA256" s="1"/>
      <c r="AB256" s="1" t="s">
        <v>56</v>
      </c>
      <c r="AC256" s="1"/>
      <c r="AD256" s="1">
        <v>3.7</v>
      </c>
      <c r="AE256" s="1" t="s">
        <v>139</v>
      </c>
      <c r="AF256" s="1"/>
    </row>
    <row r="257" spans="1:32" ht="18" customHeight="1">
      <c r="A257" s="1" t="s">
        <v>936</v>
      </c>
      <c r="B257" s="1" t="s">
        <v>937</v>
      </c>
      <c r="C257" s="4">
        <v>46135</v>
      </c>
      <c r="D257" s="4"/>
      <c r="E257" s="4">
        <v>46145</v>
      </c>
      <c r="F257" s="1" t="s">
        <v>162</v>
      </c>
      <c r="G257" s="1" t="s">
        <v>3356</v>
      </c>
      <c r="H257" s="1" t="s">
        <v>3327</v>
      </c>
      <c r="I257" s="1" t="s">
        <v>34</v>
      </c>
      <c r="J257" s="1" t="s">
        <v>163</v>
      </c>
      <c r="K257" s="1" t="s">
        <v>938</v>
      </c>
      <c r="L257" s="1" t="s">
        <v>165</v>
      </c>
      <c r="M257" s="1">
        <v>486.11</v>
      </c>
      <c r="N257" s="1" t="s">
        <v>159</v>
      </c>
      <c r="O257" s="1">
        <v>250</v>
      </c>
      <c r="P257" s="1">
        <v>121527.5</v>
      </c>
      <c r="Q257" s="1">
        <v>8</v>
      </c>
      <c r="R257" s="7">
        <v>3.2000000000000001E-2</v>
      </c>
      <c r="S257" s="1">
        <v>10</v>
      </c>
      <c r="T257" s="1">
        <v>9</v>
      </c>
      <c r="U257" s="1">
        <v>1</v>
      </c>
      <c r="V257" s="1" t="s">
        <v>166</v>
      </c>
      <c r="W257" s="1" t="s">
        <v>40</v>
      </c>
      <c r="X257" s="1" t="s">
        <v>146</v>
      </c>
      <c r="Y257" s="1"/>
      <c r="Z257" s="1" t="s">
        <v>3333</v>
      </c>
      <c r="AA257" s="1" t="s">
        <v>136</v>
      </c>
      <c r="AB257" s="1" t="s">
        <v>147</v>
      </c>
      <c r="AC257" s="1"/>
      <c r="AD257" s="1">
        <v>3.7</v>
      </c>
      <c r="AE257" s="1" t="s">
        <v>57</v>
      </c>
      <c r="AF257" s="1" t="s">
        <v>148</v>
      </c>
    </row>
    <row r="258" spans="1:32" ht="18" customHeight="1">
      <c r="A258" s="1" t="s">
        <v>939</v>
      </c>
      <c r="B258" s="1" t="s">
        <v>940</v>
      </c>
      <c r="C258" s="4" t="s">
        <v>3110</v>
      </c>
      <c r="D258" s="4">
        <v>46042</v>
      </c>
      <c r="E258" s="4">
        <v>46048</v>
      </c>
      <c r="F258" s="1" t="s">
        <v>48</v>
      </c>
      <c r="G258" s="1" t="s">
        <v>232</v>
      </c>
      <c r="H258" s="1" t="s">
        <v>3361</v>
      </c>
      <c r="I258" s="1" t="s">
        <v>70</v>
      </c>
      <c r="J258" s="1" t="s">
        <v>50</v>
      </c>
      <c r="K258" s="1" t="s">
        <v>941</v>
      </c>
      <c r="L258" s="1" t="s">
        <v>189</v>
      </c>
      <c r="M258" s="1">
        <v>627.47</v>
      </c>
      <c r="N258" s="1" t="s">
        <v>38</v>
      </c>
      <c r="O258" s="1">
        <v>1000</v>
      </c>
      <c r="P258" s="1">
        <v>627470</v>
      </c>
      <c r="Q258" s="1">
        <v>8</v>
      </c>
      <c r="R258" s="7">
        <v>8.0000000000000002E-3</v>
      </c>
      <c r="S258" s="1">
        <v>-5</v>
      </c>
      <c r="T258" s="1">
        <v>15</v>
      </c>
      <c r="U258" s="1">
        <v>6</v>
      </c>
      <c r="V258" s="1" t="s">
        <v>39</v>
      </c>
      <c r="W258" s="1" t="s">
        <v>40</v>
      </c>
      <c r="X258" s="1" t="s">
        <v>3324</v>
      </c>
      <c r="Y258" s="1" t="s">
        <v>3334</v>
      </c>
      <c r="Z258" s="1" t="s">
        <v>173</v>
      </c>
      <c r="AA258" s="1" t="s">
        <v>55</v>
      </c>
      <c r="AB258" s="1" t="s">
        <v>191</v>
      </c>
      <c r="AC258" s="1"/>
      <c r="AD258" s="1">
        <v>1.6</v>
      </c>
      <c r="AE258" s="1" t="s">
        <v>115</v>
      </c>
      <c r="AF258" s="1" t="s">
        <v>46</v>
      </c>
    </row>
    <row r="259" spans="1:32" ht="18" customHeight="1">
      <c r="A259" s="1" t="s">
        <v>942</v>
      </c>
      <c r="B259" s="1" t="s">
        <v>943</v>
      </c>
      <c r="C259" s="4">
        <v>46026</v>
      </c>
      <c r="D259" s="4">
        <v>46034</v>
      </c>
      <c r="E259" s="4">
        <v>46046</v>
      </c>
      <c r="F259" s="1" t="s">
        <v>100</v>
      </c>
      <c r="G259" s="1" t="s">
        <v>101</v>
      </c>
      <c r="H259" s="1" t="s">
        <v>3322</v>
      </c>
      <c r="I259" s="1" t="s">
        <v>49</v>
      </c>
      <c r="J259" s="1" t="s">
        <v>50</v>
      </c>
      <c r="K259" s="1" t="s">
        <v>944</v>
      </c>
      <c r="L259" s="1" t="s">
        <v>145</v>
      </c>
      <c r="M259" s="1" t="s">
        <v>3529</v>
      </c>
      <c r="N259" s="1" t="s">
        <v>38</v>
      </c>
      <c r="O259" s="1">
        <v>500</v>
      </c>
      <c r="P259" s="1">
        <v>1116625</v>
      </c>
      <c r="Q259" s="1">
        <v>1</v>
      </c>
      <c r="R259" s="7">
        <v>2E-3</v>
      </c>
      <c r="S259" s="1">
        <v>20</v>
      </c>
      <c r="T259" s="1">
        <v>8</v>
      </c>
      <c r="U259" s="1">
        <v>12</v>
      </c>
      <c r="V259" s="1" t="s">
        <v>39</v>
      </c>
      <c r="W259" s="1" t="s">
        <v>404</v>
      </c>
      <c r="X259" s="1" t="s">
        <v>105</v>
      </c>
      <c r="Y259" s="1"/>
      <c r="Z259" s="1" t="s">
        <v>43</v>
      </c>
      <c r="AA259" s="1" t="s">
        <v>174</v>
      </c>
      <c r="AB259" s="1" t="s">
        <v>44</v>
      </c>
      <c r="AC259" s="1"/>
      <c r="AD259" s="1">
        <v>3.3</v>
      </c>
      <c r="AE259" s="1" t="s">
        <v>184</v>
      </c>
      <c r="AF259" s="1" t="s">
        <v>46</v>
      </c>
    </row>
    <row r="260" spans="1:32" ht="18" customHeight="1">
      <c r="A260" s="1" t="s">
        <v>945</v>
      </c>
      <c r="B260" s="1" t="s">
        <v>946</v>
      </c>
      <c r="C260" s="4">
        <v>46179</v>
      </c>
      <c r="D260" s="4">
        <v>46186</v>
      </c>
      <c r="E260" s="4">
        <v>46189</v>
      </c>
      <c r="F260" s="1" t="s">
        <v>162</v>
      </c>
      <c r="G260" s="1" t="s">
        <v>3382</v>
      </c>
      <c r="H260" s="1" t="s">
        <v>3354</v>
      </c>
      <c r="I260" s="1" t="s">
        <v>83</v>
      </c>
      <c r="J260" s="1" t="s">
        <v>163</v>
      </c>
      <c r="K260" s="1" t="s">
        <v>947</v>
      </c>
      <c r="L260" s="1" t="s">
        <v>269</v>
      </c>
      <c r="M260" s="1">
        <v>1261.67</v>
      </c>
      <c r="N260" s="1" t="s">
        <v>38</v>
      </c>
      <c r="O260" s="1">
        <v>1500</v>
      </c>
      <c r="P260" s="1">
        <v>1892505</v>
      </c>
      <c r="Q260" s="1">
        <v>34</v>
      </c>
      <c r="R260" s="7">
        <v>2.2700000000000001E-2</v>
      </c>
      <c r="S260" s="1">
        <v>10</v>
      </c>
      <c r="T260" s="1">
        <v>7</v>
      </c>
      <c r="U260" s="1">
        <v>3</v>
      </c>
      <c r="V260" s="1" t="s">
        <v>135</v>
      </c>
      <c r="W260" s="1" t="s">
        <v>40</v>
      </c>
      <c r="X260" s="1" t="s">
        <v>41</v>
      </c>
      <c r="Y260" s="1"/>
      <c r="Z260" s="1" t="s">
        <v>173</v>
      </c>
      <c r="AA260" s="1" t="s">
        <v>88</v>
      </c>
      <c r="AB260" s="1"/>
      <c r="AC260" s="1"/>
      <c r="AD260" s="1">
        <v>3.3</v>
      </c>
      <c r="AE260" s="1" t="s">
        <v>45</v>
      </c>
      <c r="AF260" s="1" t="s">
        <v>46</v>
      </c>
    </row>
    <row r="261" spans="1:32" ht="18" customHeight="1">
      <c r="A261" s="1" t="s">
        <v>948</v>
      </c>
      <c r="B261" s="1" t="s">
        <v>949</v>
      </c>
      <c r="C261" s="4">
        <v>46185</v>
      </c>
      <c r="D261" s="4">
        <v>46199</v>
      </c>
      <c r="E261" s="4">
        <v>46202</v>
      </c>
      <c r="F261" s="1" t="s">
        <v>48</v>
      </c>
      <c r="G261" s="1" t="s">
        <v>232</v>
      </c>
      <c r="H261" s="1" t="s">
        <v>3322</v>
      </c>
      <c r="I261" s="1" t="s">
        <v>70</v>
      </c>
      <c r="J261" s="1" t="s">
        <v>50</v>
      </c>
      <c r="K261" s="1" t="s">
        <v>950</v>
      </c>
      <c r="L261" s="1" t="s">
        <v>126</v>
      </c>
      <c r="M261" s="1"/>
      <c r="N261" s="1" t="s">
        <v>104</v>
      </c>
      <c r="O261" s="1">
        <v>750</v>
      </c>
      <c r="P261" s="1">
        <v>3663525</v>
      </c>
      <c r="Q261" s="1">
        <v>0</v>
      </c>
      <c r="R261" s="7">
        <v>0</v>
      </c>
      <c r="S261" s="1">
        <v>17</v>
      </c>
      <c r="T261" s="1">
        <v>14</v>
      </c>
      <c r="U261" s="1">
        <v>3</v>
      </c>
      <c r="V261" s="1" t="s">
        <v>166</v>
      </c>
      <c r="W261" s="1"/>
      <c r="X261" s="1" t="s">
        <v>127</v>
      </c>
      <c r="Y261" s="1" t="s">
        <v>66</v>
      </c>
      <c r="Z261" s="1" t="s">
        <v>54</v>
      </c>
      <c r="AA261" s="1" t="s">
        <v>88</v>
      </c>
      <c r="AB261" s="1"/>
      <c r="AC261" s="1"/>
      <c r="AD261" s="1">
        <v>3.9</v>
      </c>
      <c r="AE261" s="1" t="s">
        <v>76</v>
      </c>
      <c r="AF261" s="1" t="s">
        <v>148</v>
      </c>
    </row>
    <row r="262" spans="1:32" ht="18" hidden="1" customHeight="1">
      <c r="A262" s="1" t="s">
        <v>685</v>
      </c>
      <c r="B262" s="1" t="s">
        <v>951</v>
      </c>
      <c r="C262" s="4">
        <v>46172</v>
      </c>
      <c r="D262" s="1">
        <v>46187</v>
      </c>
      <c r="E262" s="1">
        <v>46190</v>
      </c>
      <c r="F262" s="1" t="s">
        <v>235</v>
      </c>
      <c r="G262" s="1" t="s">
        <v>236</v>
      </c>
      <c r="H262" s="1" t="s">
        <v>479</v>
      </c>
      <c r="I262" s="1" t="s">
        <v>34</v>
      </c>
      <c r="J262" s="1" t="s">
        <v>62</v>
      </c>
      <c r="K262" s="1" t="s">
        <v>952</v>
      </c>
      <c r="L262" s="1" t="s">
        <v>122</v>
      </c>
      <c r="M262" s="1"/>
      <c r="N262" s="1" t="s">
        <v>104</v>
      </c>
      <c r="O262" s="1">
        <v>200</v>
      </c>
      <c r="P262" s="1">
        <v>143498</v>
      </c>
      <c r="Q262" s="1">
        <v>10</v>
      </c>
      <c r="R262" s="7">
        <v>0.05</v>
      </c>
      <c r="S262" s="1">
        <v>18</v>
      </c>
      <c r="T262" s="1">
        <v>15</v>
      </c>
      <c r="U262" s="1">
        <v>3</v>
      </c>
      <c r="V262" s="1" t="s">
        <v>3323</v>
      </c>
      <c r="W262" s="1" t="s">
        <v>3384</v>
      </c>
      <c r="X262" s="1" t="s">
        <v>105</v>
      </c>
      <c r="Y262" s="1" t="s">
        <v>42</v>
      </c>
      <c r="Z262" s="1" t="s">
        <v>54</v>
      </c>
      <c r="AA262" s="1" t="s">
        <v>88</v>
      </c>
      <c r="AB262" s="1" t="s">
        <v>147</v>
      </c>
      <c r="AC262" s="1" t="s">
        <v>183</v>
      </c>
      <c r="AD262" s="1" t="s">
        <v>3431</v>
      </c>
      <c r="AE262" s="1" t="s">
        <v>115</v>
      </c>
      <c r="AF262" s="1" t="s">
        <v>77</v>
      </c>
    </row>
    <row r="263" spans="1:32" ht="18" customHeight="1">
      <c r="A263" s="1" t="s">
        <v>953</v>
      </c>
      <c r="B263" s="1" t="s">
        <v>954</v>
      </c>
      <c r="C263" s="4">
        <v>46113</v>
      </c>
      <c r="D263" s="4">
        <v>46121</v>
      </c>
      <c r="E263" s="4" t="s">
        <v>3530</v>
      </c>
      <c r="F263" s="1" t="s">
        <v>215</v>
      </c>
      <c r="G263" s="1" t="s">
        <v>3502</v>
      </c>
      <c r="H263" s="1" t="s">
        <v>3408</v>
      </c>
      <c r="I263" s="1" t="s">
        <v>178</v>
      </c>
      <c r="J263" s="1" t="s">
        <v>35</v>
      </c>
      <c r="K263" s="1" t="s">
        <v>955</v>
      </c>
      <c r="L263" s="1" t="s">
        <v>180</v>
      </c>
      <c r="M263" s="1">
        <v>551.54999999999995</v>
      </c>
      <c r="N263" s="1" t="s">
        <v>53</v>
      </c>
      <c r="O263" s="1">
        <v>200</v>
      </c>
      <c r="P263" s="1">
        <v>110310</v>
      </c>
      <c r="Q263" s="1">
        <v>0</v>
      </c>
      <c r="R263" s="7">
        <v>0</v>
      </c>
      <c r="S263" s="1">
        <v>14</v>
      </c>
      <c r="T263" s="1">
        <v>8</v>
      </c>
      <c r="U263" s="1">
        <v>6</v>
      </c>
      <c r="V263" s="1" t="s">
        <v>205</v>
      </c>
      <c r="W263" s="1" t="s">
        <v>40</v>
      </c>
      <c r="X263" s="1" t="s">
        <v>41</v>
      </c>
      <c r="Y263" s="1" t="s">
        <v>106</v>
      </c>
      <c r="Z263" s="1" t="s">
        <v>128</v>
      </c>
      <c r="AA263" s="1" t="s">
        <v>136</v>
      </c>
      <c r="AB263" s="1" t="s">
        <v>95</v>
      </c>
      <c r="AC263" s="1"/>
      <c r="AD263" s="1">
        <v>2.5</v>
      </c>
      <c r="AE263" s="1" t="s">
        <v>115</v>
      </c>
      <c r="AF263" s="1" t="s">
        <v>46</v>
      </c>
    </row>
    <row r="264" spans="1:32" ht="18" customHeight="1">
      <c r="A264" s="1" t="s">
        <v>956</v>
      </c>
      <c r="B264" s="1" t="s">
        <v>957</v>
      </c>
      <c r="C264" s="4" t="s">
        <v>3531</v>
      </c>
      <c r="D264" s="4">
        <v>46064</v>
      </c>
      <c r="E264" s="4" t="s">
        <v>3400</v>
      </c>
      <c r="F264" s="1" t="s">
        <v>48</v>
      </c>
      <c r="G264" s="1" t="s">
        <v>232</v>
      </c>
      <c r="H264" s="1" t="s">
        <v>102</v>
      </c>
      <c r="I264" s="1" t="s">
        <v>92</v>
      </c>
      <c r="J264" s="1" t="s">
        <v>50</v>
      </c>
      <c r="K264" s="1" t="s">
        <v>958</v>
      </c>
      <c r="L264" s="1" t="s">
        <v>145</v>
      </c>
      <c r="M264" s="1">
        <v>3782.1</v>
      </c>
      <c r="N264" s="1" t="s">
        <v>65</v>
      </c>
      <c r="O264" s="1">
        <v>50</v>
      </c>
      <c r="P264" s="1">
        <v>189105</v>
      </c>
      <c r="Q264" s="1">
        <v>2</v>
      </c>
      <c r="R264" s="7">
        <v>0.04</v>
      </c>
      <c r="S264" s="1">
        <v>21</v>
      </c>
      <c r="T264" s="1">
        <v>16</v>
      </c>
      <c r="U264" s="1">
        <v>5</v>
      </c>
      <c r="V264" s="1" t="s">
        <v>39</v>
      </c>
      <c r="W264" s="1" t="s">
        <v>40</v>
      </c>
      <c r="X264" s="1" t="s">
        <v>105</v>
      </c>
      <c r="Y264" s="1" t="s">
        <v>106</v>
      </c>
      <c r="Z264" s="1"/>
      <c r="AA264" s="1" t="s">
        <v>88</v>
      </c>
      <c r="AB264" s="1" t="s">
        <v>56</v>
      </c>
      <c r="AC264" s="1"/>
      <c r="AD264" s="1">
        <v>3.4</v>
      </c>
      <c r="AE264" s="1" t="s">
        <v>184</v>
      </c>
      <c r="AF264" s="1" t="s">
        <v>46</v>
      </c>
    </row>
    <row r="265" spans="1:32" ht="18" customHeight="1">
      <c r="A265" s="1" t="s">
        <v>959</v>
      </c>
      <c r="B265" s="1" t="s">
        <v>960</v>
      </c>
      <c r="C265" s="4" t="s">
        <v>3532</v>
      </c>
      <c r="D265" s="4">
        <v>46099</v>
      </c>
      <c r="E265" s="4">
        <v>46104</v>
      </c>
      <c r="F265" s="1" t="s">
        <v>235</v>
      </c>
      <c r="G265" s="1" t="s">
        <v>236</v>
      </c>
      <c r="H265" s="1" t="s">
        <v>479</v>
      </c>
      <c r="I265" s="1" t="s">
        <v>49</v>
      </c>
      <c r="J265" s="1" t="s">
        <v>71</v>
      </c>
      <c r="K265" s="1" t="s">
        <v>961</v>
      </c>
      <c r="L265" s="1" t="s">
        <v>553</v>
      </c>
      <c r="M265" s="1">
        <v>329.62</v>
      </c>
      <c r="N265" s="1" t="s">
        <v>86</v>
      </c>
      <c r="O265" s="1">
        <v>75</v>
      </c>
      <c r="P265" s="1">
        <v>24721.5</v>
      </c>
      <c r="Q265" s="1">
        <v>1</v>
      </c>
      <c r="R265" s="7">
        <v>1.3299999999999999E-2</v>
      </c>
      <c r="S265" s="1">
        <v>20</v>
      </c>
      <c r="T265" s="1">
        <v>15</v>
      </c>
      <c r="U265" s="1">
        <v>5</v>
      </c>
      <c r="V265" s="1" t="s">
        <v>3328</v>
      </c>
      <c r="W265" s="1" t="s">
        <v>40</v>
      </c>
      <c r="X265" s="1" t="s">
        <v>105</v>
      </c>
      <c r="Y265" s="1" t="s">
        <v>3334</v>
      </c>
      <c r="Z265" s="1" t="s">
        <v>128</v>
      </c>
      <c r="AA265" s="1"/>
      <c r="AB265" s="1" t="s">
        <v>95</v>
      </c>
      <c r="AC265" s="1"/>
      <c r="AD265" s="1">
        <v>3.8</v>
      </c>
      <c r="AE265" s="1" t="s">
        <v>139</v>
      </c>
      <c r="AF265" s="1" t="s">
        <v>46</v>
      </c>
    </row>
    <row r="266" spans="1:32" ht="18" customHeight="1">
      <c r="A266" s="1" t="s">
        <v>962</v>
      </c>
      <c r="B266" s="1" t="s">
        <v>963</v>
      </c>
      <c r="C266" s="4">
        <v>46128</v>
      </c>
      <c r="D266" s="4" t="s">
        <v>3533</v>
      </c>
      <c r="E266" s="4">
        <v>46139</v>
      </c>
      <c r="F266" s="1" t="s">
        <v>215</v>
      </c>
      <c r="G266" s="1" t="s">
        <v>3502</v>
      </c>
      <c r="H266" s="1" t="s">
        <v>3354</v>
      </c>
      <c r="I266" s="1" t="s">
        <v>49</v>
      </c>
      <c r="J266" s="1" t="s">
        <v>112</v>
      </c>
      <c r="K266" s="1" t="s">
        <v>964</v>
      </c>
      <c r="L266" s="1" t="s">
        <v>246</v>
      </c>
      <c r="M266" s="1">
        <v>517.46</v>
      </c>
      <c r="N266" s="1" t="s">
        <v>104</v>
      </c>
      <c r="O266" s="1">
        <v>75</v>
      </c>
      <c r="P266" s="1">
        <v>38809.5</v>
      </c>
      <c r="Q266" s="1">
        <v>0</v>
      </c>
      <c r="R266" s="7">
        <v>0</v>
      </c>
      <c r="S266" s="1">
        <v>11</v>
      </c>
      <c r="T266" s="1">
        <v>5</v>
      </c>
      <c r="U266" s="1">
        <v>6</v>
      </c>
      <c r="V266" s="1" t="s">
        <v>3328</v>
      </c>
      <c r="W266" s="1" t="s">
        <v>40</v>
      </c>
      <c r="X266" s="1" t="s">
        <v>105</v>
      </c>
      <c r="Y266" s="1" t="s">
        <v>190</v>
      </c>
      <c r="Z266" s="1" t="s">
        <v>107</v>
      </c>
      <c r="AA266" s="1" t="s">
        <v>136</v>
      </c>
      <c r="AB266" s="1" t="s">
        <v>56</v>
      </c>
      <c r="AC266" s="1"/>
      <c r="AD266" s="1">
        <v>2.5</v>
      </c>
      <c r="AE266" s="1" t="s">
        <v>45</v>
      </c>
      <c r="AF266" s="1" t="s">
        <v>46</v>
      </c>
    </row>
    <row r="267" spans="1:32" ht="18" customHeight="1">
      <c r="A267" s="1" t="s">
        <v>965</v>
      </c>
      <c r="B267" s="1" t="s">
        <v>966</v>
      </c>
      <c r="C267" s="4">
        <v>46201</v>
      </c>
      <c r="D267" s="4">
        <v>46215</v>
      </c>
      <c r="E267" s="4">
        <v>46221</v>
      </c>
      <c r="F267" s="1" t="s">
        <v>100</v>
      </c>
      <c r="G267" s="1" t="s">
        <v>3343</v>
      </c>
      <c r="H267" s="1" t="s">
        <v>102</v>
      </c>
      <c r="I267" s="1" t="s">
        <v>70</v>
      </c>
      <c r="J267" s="1" t="s">
        <v>50</v>
      </c>
      <c r="K267" s="1" t="s">
        <v>967</v>
      </c>
      <c r="L267" s="1" t="s">
        <v>145</v>
      </c>
      <c r="M267" s="1">
        <v>939.88</v>
      </c>
      <c r="N267" s="1" t="s">
        <v>86</v>
      </c>
      <c r="O267" s="1">
        <v>500</v>
      </c>
      <c r="P267" s="1">
        <v>469940</v>
      </c>
      <c r="Q267" s="1">
        <v>11</v>
      </c>
      <c r="R267" s="7">
        <v>2.1999999999999999E-2</v>
      </c>
      <c r="S267" s="1">
        <v>20</v>
      </c>
      <c r="T267" s="1">
        <v>14</v>
      </c>
      <c r="U267" s="1">
        <v>6</v>
      </c>
      <c r="V267" s="1" t="s">
        <v>39</v>
      </c>
      <c r="W267" s="1" t="s">
        <v>40</v>
      </c>
      <c r="X267" s="1" t="s">
        <v>105</v>
      </c>
      <c r="Y267" s="1" t="s">
        <v>42</v>
      </c>
      <c r="Z267" s="1" t="s">
        <v>107</v>
      </c>
      <c r="AA267" s="1" t="s">
        <v>88</v>
      </c>
      <c r="AB267" s="1" t="s">
        <v>137</v>
      </c>
      <c r="AC267" s="1"/>
      <c r="AD267" s="1">
        <v>-1</v>
      </c>
      <c r="AE267" s="1" t="s">
        <v>115</v>
      </c>
      <c r="AF267" s="1" t="s">
        <v>46</v>
      </c>
    </row>
    <row r="268" spans="1:32" ht="18" customHeight="1">
      <c r="A268" s="1" t="s">
        <v>968</v>
      </c>
      <c r="B268" s="1" t="s">
        <v>969</v>
      </c>
      <c r="C268" s="4"/>
      <c r="D268" s="4">
        <v>46062</v>
      </c>
      <c r="E268" s="4"/>
      <c r="F268" s="1" t="s">
        <v>235</v>
      </c>
      <c r="G268" s="1" t="s">
        <v>236</v>
      </c>
      <c r="H268" s="1" t="s">
        <v>479</v>
      </c>
      <c r="I268" s="1" t="s">
        <v>178</v>
      </c>
      <c r="J268" s="1" t="s">
        <v>50</v>
      </c>
      <c r="K268" s="1" t="s">
        <v>125</v>
      </c>
      <c r="L268" s="1" t="s">
        <v>145</v>
      </c>
      <c r="M268" s="1">
        <v>1710.65</v>
      </c>
      <c r="N268" s="1" t="s">
        <v>86</v>
      </c>
      <c r="O268" s="1">
        <v>250</v>
      </c>
      <c r="P268" s="1">
        <v>427662.5</v>
      </c>
      <c r="Q268" s="1">
        <v>4</v>
      </c>
      <c r="R268" s="7">
        <v>1.6E-2</v>
      </c>
      <c r="S268" s="1">
        <v>17</v>
      </c>
      <c r="T268" s="1">
        <v>13</v>
      </c>
      <c r="U268" s="1">
        <v>4</v>
      </c>
      <c r="V268" s="1" t="s">
        <v>39</v>
      </c>
      <c r="W268" s="1" t="s">
        <v>40</v>
      </c>
      <c r="X268" s="1" t="s">
        <v>3329</v>
      </c>
      <c r="Y268" s="1"/>
      <c r="Z268" s="1" t="s">
        <v>43</v>
      </c>
      <c r="AA268" s="1" t="s">
        <v>129</v>
      </c>
      <c r="AB268" s="1" t="s">
        <v>137</v>
      </c>
      <c r="AC268" s="1"/>
      <c r="AD268" s="1">
        <v>4.3</v>
      </c>
      <c r="AE268" s="1" t="s">
        <v>139</v>
      </c>
      <c r="AF268" s="1" t="s">
        <v>46</v>
      </c>
    </row>
    <row r="269" spans="1:32" ht="18" customHeight="1">
      <c r="A269" s="1" t="s">
        <v>970</v>
      </c>
      <c r="B269" s="1" t="s">
        <v>971</v>
      </c>
      <c r="C269" s="4">
        <v>46123</v>
      </c>
      <c r="D269" s="4">
        <v>46141</v>
      </c>
      <c r="E269" s="4">
        <v>46145</v>
      </c>
      <c r="F269" s="1" t="s">
        <v>256</v>
      </c>
      <c r="G269" s="1" t="s">
        <v>3432</v>
      </c>
      <c r="H269" s="1" t="s">
        <v>258</v>
      </c>
      <c r="I269" s="1" t="s">
        <v>120</v>
      </c>
      <c r="J269" s="1" t="s">
        <v>71</v>
      </c>
      <c r="K269" s="1" t="s">
        <v>972</v>
      </c>
      <c r="L269" s="1" t="s">
        <v>337</v>
      </c>
      <c r="M269" s="1">
        <v>715.37</v>
      </c>
      <c r="N269" s="1" t="s">
        <v>291</v>
      </c>
      <c r="O269" s="1">
        <v>500</v>
      </c>
      <c r="P269" s="1">
        <v>357685</v>
      </c>
      <c r="Q269" s="1">
        <v>7</v>
      </c>
      <c r="R269" s="7">
        <v>1.4E-2</v>
      </c>
      <c r="S269" s="1">
        <v>22</v>
      </c>
      <c r="T269" s="1">
        <v>18</v>
      </c>
      <c r="U269" s="1">
        <v>4</v>
      </c>
      <c r="V269" s="1" t="s">
        <v>39</v>
      </c>
      <c r="W269" s="1" t="s">
        <v>40</v>
      </c>
      <c r="X269" s="1" t="s">
        <v>3324</v>
      </c>
      <c r="Y269" s="1" t="s">
        <v>190</v>
      </c>
      <c r="Z269" s="1" t="s">
        <v>54</v>
      </c>
      <c r="AA269" s="1" t="s">
        <v>3341</v>
      </c>
      <c r="AB269" s="1" t="s">
        <v>137</v>
      </c>
      <c r="AC269" s="1"/>
      <c r="AD269" s="1">
        <v>6</v>
      </c>
      <c r="AE269" s="1" t="s">
        <v>45</v>
      </c>
      <c r="AF269" s="1" t="s">
        <v>46</v>
      </c>
    </row>
    <row r="270" spans="1:32" ht="18" customHeight="1">
      <c r="A270" s="1" t="s">
        <v>973</v>
      </c>
      <c r="B270" s="1" t="s">
        <v>974</v>
      </c>
      <c r="C270" s="4">
        <v>46122</v>
      </c>
      <c r="D270" s="4">
        <v>46144</v>
      </c>
      <c r="E270" s="4">
        <v>46149</v>
      </c>
      <c r="F270" s="1" t="s">
        <v>118</v>
      </c>
      <c r="G270" s="1" t="s">
        <v>119</v>
      </c>
      <c r="H270" s="1" t="s">
        <v>301</v>
      </c>
      <c r="I270" s="1" t="s">
        <v>92</v>
      </c>
      <c r="J270" s="1" t="s">
        <v>62</v>
      </c>
      <c r="K270" s="1" t="s">
        <v>975</v>
      </c>
      <c r="L270" s="1" t="s">
        <v>225</v>
      </c>
      <c r="M270" s="1">
        <v>376.29</v>
      </c>
      <c r="N270" s="1" t="s">
        <v>104</v>
      </c>
      <c r="O270" s="1">
        <v>1500</v>
      </c>
      <c r="P270" s="1">
        <v>564435</v>
      </c>
      <c r="Q270" s="1">
        <v>32</v>
      </c>
      <c r="R270" s="7">
        <v>2.1299999999999999E-2</v>
      </c>
      <c r="S270" s="1">
        <v>27</v>
      </c>
      <c r="T270" s="1">
        <v>22</v>
      </c>
      <c r="U270" s="1">
        <v>5</v>
      </c>
      <c r="V270" s="1" t="s">
        <v>39</v>
      </c>
      <c r="W270" s="1" t="s">
        <v>40</v>
      </c>
      <c r="X270" s="1"/>
      <c r="Y270" s="1"/>
      <c r="Z270" s="1" t="s">
        <v>128</v>
      </c>
      <c r="AA270" s="1"/>
      <c r="AB270" s="1" t="s">
        <v>191</v>
      </c>
      <c r="AC270" s="1"/>
      <c r="AD270" s="1">
        <v>3.4</v>
      </c>
      <c r="AE270" s="1" t="s">
        <v>184</v>
      </c>
      <c r="AF270" s="1" t="s">
        <v>148</v>
      </c>
    </row>
    <row r="271" spans="1:32" ht="18" customHeight="1">
      <c r="A271" s="1" t="s">
        <v>976</v>
      </c>
      <c r="B271" s="1" t="s">
        <v>977</v>
      </c>
      <c r="C271" s="4">
        <v>46163</v>
      </c>
      <c r="D271" s="4">
        <v>46180</v>
      </c>
      <c r="E271" s="4">
        <v>46196</v>
      </c>
      <c r="F271" s="1" t="s">
        <v>118</v>
      </c>
      <c r="G271" s="1" t="s">
        <v>3393</v>
      </c>
      <c r="H271" s="1" t="s">
        <v>3340</v>
      </c>
      <c r="I271" s="1" t="s">
        <v>241</v>
      </c>
      <c r="J271" s="1" t="s">
        <v>62</v>
      </c>
      <c r="K271" s="1" t="s">
        <v>978</v>
      </c>
      <c r="L271" s="1" t="s">
        <v>64</v>
      </c>
      <c r="M271" s="1">
        <v>154.01</v>
      </c>
      <c r="N271" s="1" t="s">
        <v>38</v>
      </c>
      <c r="O271" s="1">
        <v>250</v>
      </c>
      <c r="P271" s="1">
        <v>38502.5</v>
      </c>
      <c r="Q271" s="1">
        <v>0</v>
      </c>
      <c r="R271" s="7">
        <v>0</v>
      </c>
      <c r="S271" s="1">
        <v>33</v>
      </c>
      <c r="T271" s="1">
        <v>17</v>
      </c>
      <c r="U271" s="1">
        <v>16</v>
      </c>
      <c r="V271" s="1" t="s">
        <v>39</v>
      </c>
      <c r="W271" s="1" t="s">
        <v>40</v>
      </c>
      <c r="X271" s="1" t="s">
        <v>127</v>
      </c>
      <c r="Y271" s="1"/>
      <c r="Z271" s="1" t="s">
        <v>43</v>
      </c>
      <c r="AA271" s="1" t="s">
        <v>55</v>
      </c>
      <c r="AB271" s="1" t="s">
        <v>191</v>
      </c>
      <c r="AC271" s="1"/>
      <c r="AD271" s="1">
        <v>1.5</v>
      </c>
      <c r="AE271" s="1" t="s">
        <v>76</v>
      </c>
      <c r="AF271" s="1" t="s">
        <v>148</v>
      </c>
    </row>
    <row r="272" spans="1:32" ht="18" customHeight="1">
      <c r="A272" s="1" t="s">
        <v>979</v>
      </c>
      <c r="B272" s="1" t="s">
        <v>980</v>
      </c>
      <c r="C272" s="4">
        <v>46030</v>
      </c>
      <c r="D272" s="4" t="s">
        <v>3400</v>
      </c>
      <c r="E272" s="4">
        <v>46039</v>
      </c>
      <c r="F272" s="1" t="s">
        <v>215</v>
      </c>
      <c r="G272" s="1" t="s">
        <v>216</v>
      </c>
      <c r="H272" s="1" t="s">
        <v>3327</v>
      </c>
      <c r="I272" s="1" t="s">
        <v>178</v>
      </c>
      <c r="J272" s="1" t="s">
        <v>62</v>
      </c>
      <c r="K272" s="1" t="s">
        <v>981</v>
      </c>
      <c r="L272" s="1" t="s">
        <v>64</v>
      </c>
      <c r="M272" s="1">
        <v>343.65</v>
      </c>
      <c r="N272" s="1" t="s">
        <v>65</v>
      </c>
      <c r="O272" s="1">
        <v>200</v>
      </c>
      <c r="P272" s="1">
        <v>68730</v>
      </c>
      <c r="Q272" s="1">
        <v>4</v>
      </c>
      <c r="R272" s="7">
        <v>0.02</v>
      </c>
      <c r="S272" s="1">
        <v>9</v>
      </c>
      <c r="T272" s="1">
        <v>5</v>
      </c>
      <c r="U272" s="1"/>
      <c r="V272" s="1" t="s">
        <v>39</v>
      </c>
      <c r="W272" s="1"/>
      <c r="X272" s="1" t="s">
        <v>41</v>
      </c>
      <c r="Y272" s="1"/>
      <c r="Z272" s="1"/>
      <c r="AA272" s="1" t="s">
        <v>3341</v>
      </c>
      <c r="AB272" s="1" t="s">
        <v>137</v>
      </c>
      <c r="AC272" s="1"/>
      <c r="AD272" s="1">
        <v>4.3</v>
      </c>
      <c r="AE272" s="1" t="s">
        <v>45</v>
      </c>
      <c r="AF272" s="1" t="s">
        <v>46</v>
      </c>
    </row>
    <row r="273" spans="1:32" ht="18" customHeight="1">
      <c r="A273" s="1" t="s">
        <v>982</v>
      </c>
      <c r="B273" s="1" t="s">
        <v>983</v>
      </c>
      <c r="C273" s="4" t="s">
        <v>3521</v>
      </c>
      <c r="D273" s="4">
        <v>46108</v>
      </c>
      <c r="E273" s="4">
        <v>46113</v>
      </c>
      <c r="F273" s="1" t="s">
        <v>100</v>
      </c>
      <c r="G273" s="1" t="s">
        <v>3485</v>
      </c>
      <c r="H273" s="1" t="s">
        <v>3322</v>
      </c>
      <c r="I273" s="1" t="s">
        <v>83</v>
      </c>
      <c r="J273" s="1" t="s">
        <v>35</v>
      </c>
      <c r="K273" s="1" t="s">
        <v>984</v>
      </c>
      <c r="L273" s="1" t="s">
        <v>85</v>
      </c>
      <c r="M273" s="1">
        <v>1600.77</v>
      </c>
      <c r="N273" s="1" t="s">
        <v>3534</v>
      </c>
      <c r="O273" s="1">
        <v>2000</v>
      </c>
      <c r="P273" s="1">
        <v>3201540</v>
      </c>
      <c r="Q273" s="1">
        <v>6</v>
      </c>
      <c r="R273" s="7">
        <v>3.0000000000000001E-3</v>
      </c>
      <c r="S273" s="1">
        <v>14</v>
      </c>
      <c r="T273" s="1">
        <v>9</v>
      </c>
      <c r="U273" s="1">
        <v>5</v>
      </c>
      <c r="V273" s="1" t="s">
        <v>3328</v>
      </c>
      <c r="W273" s="1" t="s">
        <v>40</v>
      </c>
      <c r="X273" s="1" t="s">
        <v>127</v>
      </c>
      <c r="Y273" s="1" t="s">
        <v>106</v>
      </c>
      <c r="Z273" s="1" t="s">
        <v>3333</v>
      </c>
      <c r="AA273" s="1"/>
      <c r="AB273" s="1" t="s">
        <v>95</v>
      </c>
      <c r="AC273" s="1"/>
      <c r="AD273" s="1">
        <v>4</v>
      </c>
      <c r="AE273" s="1" t="s">
        <v>184</v>
      </c>
      <c r="AF273" s="1" t="s">
        <v>148</v>
      </c>
    </row>
    <row r="274" spans="1:32" ht="18" customHeight="1">
      <c r="A274" s="1" t="s">
        <v>985</v>
      </c>
      <c r="B274" s="1" t="s">
        <v>986</v>
      </c>
      <c r="C274" s="4" t="s">
        <v>3535</v>
      </c>
      <c r="D274" s="4">
        <v>46144</v>
      </c>
      <c r="E274" s="4">
        <v>46138</v>
      </c>
      <c r="F274" s="1" t="s">
        <v>118</v>
      </c>
      <c r="G274" s="1" t="s">
        <v>119</v>
      </c>
      <c r="H274" s="1" t="s">
        <v>3407</v>
      </c>
      <c r="I274" s="1" t="s">
        <v>178</v>
      </c>
      <c r="J274" s="1" t="s">
        <v>62</v>
      </c>
      <c r="K274" s="1" t="s">
        <v>987</v>
      </c>
      <c r="L274" s="1" t="s">
        <v>64</v>
      </c>
      <c r="M274" s="1">
        <v>284.68</v>
      </c>
      <c r="N274" s="1" t="s">
        <v>104</v>
      </c>
      <c r="O274" s="1">
        <v>100</v>
      </c>
      <c r="P274" s="1"/>
      <c r="Q274" s="1">
        <v>1</v>
      </c>
      <c r="R274" s="7">
        <v>0.01</v>
      </c>
      <c r="S274" s="1">
        <v>14</v>
      </c>
      <c r="T274" s="1">
        <v>20</v>
      </c>
      <c r="U274" s="1">
        <v>-6</v>
      </c>
      <c r="V274" s="1" t="s">
        <v>270</v>
      </c>
      <c r="W274" s="1" t="s">
        <v>40</v>
      </c>
      <c r="X274" s="1" t="s">
        <v>105</v>
      </c>
      <c r="Y274" s="1" t="s">
        <v>190</v>
      </c>
      <c r="Z274" s="1" t="s">
        <v>173</v>
      </c>
      <c r="AA274" s="1" t="s">
        <v>88</v>
      </c>
      <c r="AB274" s="1" t="s">
        <v>95</v>
      </c>
      <c r="AC274" s="1"/>
      <c r="AD274" s="1">
        <v>2.2999999999999998</v>
      </c>
      <c r="AE274" s="1" t="s">
        <v>115</v>
      </c>
      <c r="AF274" s="1"/>
    </row>
    <row r="275" spans="1:32" ht="18" hidden="1" customHeight="1">
      <c r="A275" s="1" t="s">
        <v>988</v>
      </c>
      <c r="B275" s="1" t="s">
        <v>989</v>
      </c>
      <c r="C275" s="4" t="s">
        <v>3464</v>
      </c>
      <c r="D275" s="1">
        <v>46085</v>
      </c>
      <c r="E275" s="1" t="s">
        <v>3536</v>
      </c>
      <c r="F275" s="1" t="s">
        <v>32</v>
      </c>
      <c r="G275" s="1" t="s">
        <v>33</v>
      </c>
      <c r="H275" s="1" t="s">
        <v>3395</v>
      </c>
      <c r="I275" s="1" t="s">
        <v>49</v>
      </c>
      <c r="J275" s="1" t="s">
        <v>35</v>
      </c>
      <c r="K275" s="1" t="s">
        <v>990</v>
      </c>
      <c r="L275" s="1" t="s">
        <v>37</v>
      </c>
      <c r="M275" s="1">
        <v>3649.15</v>
      </c>
      <c r="N275" s="1" t="s">
        <v>159</v>
      </c>
      <c r="O275" s="1">
        <v>250</v>
      </c>
      <c r="P275" s="1">
        <v>912287.5</v>
      </c>
      <c r="Q275" s="1">
        <v>15</v>
      </c>
      <c r="R275" s="7">
        <v>0.06</v>
      </c>
      <c r="S275" s="1"/>
      <c r="T275" s="1">
        <v>19</v>
      </c>
      <c r="U275" s="1">
        <v>0</v>
      </c>
      <c r="V275" s="1" t="s">
        <v>270</v>
      </c>
      <c r="W275" s="1" t="s">
        <v>420</v>
      </c>
      <c r="X275" s="1"/>
      <c r="Y275" s="1" t="s">
        <v>212</v>
      </c>
      <c r="Z275" s="1" t="s">
        <v>173</v>
      </c>
      <c r="AA275" s="1" t="s">
        <v>3341</v>
      </c>
      <c r="AB275" s="1" t="s">
        <v>191</v>
      </c>
      <c r="AC275" s="1" t="s">
        <v>75</v>
      </c>
      <c r="AD275" s="1">
        <v>3.4</v>
      </c>
      <c r="AE275" s="1" t="s">
        <v>139</v>
      </c>
      <c r="AF275" s="1" t="s">
        <v>284</v>
      </c>
    </row>
    <row r="276" spans="1:32" ht="18" customHeight="1">
      <c r="A276" s="1" t="s">
        <v>991</v>
      </c>
      <c r="B276" s="1" t="s">
        <v>992</v>
      </c>
      <c r="C276" s="4">
        <v>46057</v>
      </c>
      <c r="D276" s="4">
        <v>46059</v>
      </c>
      <c r="E276" s="4">
        <v>46066</v>
      </c>
      <c r="F276" s="1" t="s">
        <v>162</v>
      </c>
      <c r="G276" s="1" t="s">
        <v>3444</v>
      </c>
      <c r="H276" s="1" t="s">
        <v>152</v>
      </c>
      <c r="I276" s="1" t="s">
        <v>92</v>
      </c>
      <c r="J276" s="1" t="s">
        <v>163</v>
      </c>
      <c r="K276" s="1" t="s">
        <v>993</v>
      </c>
      <c r="L276" s="1" t="s">
        <v>269</v>
      </c>
      <c r="M276" s="1">
        <v>2058.6</v>
      </c>
      <c r="N276" s="1" t="s">
        <v>65</v>
      </c>
      <c r="O276" s="1">
        <v>1500</v>
      </c>
      <c r="P276" s="1">
        <v>3087900</v>
      </c>
      <c r="Q276" s="1">
        <v>41</v>
      </c>
      <c r="R276" s="7">
        <v>2.7300000000000001E-2</v>
      </c>
      <c r="S276" s="1">
        <v>9</v>
      </c>
      <c r="T276" s="1"/>
      <c r="U276" s="1">
        <v>7</v>
      </c>
      <c r="V276" s="1" t="s">
        <v>205</v>
      </c>
      <c r="W276" s="1" t="s">
        <v>40</v>
      </c>
      <c r="X276" s="1"/>
      <c r="Y276" s="1" t="s">
        <v>3334</v>
      </c>
      <c r="Z276" s="1" t="s">
        <v>43</v>
      </c>
      <c r="AA276" s="1" t="s">
        <v>136</v>
      </c>
      <c r="AB276" s="1" t="s">
        <v>147</v>
      </c>
      <c r="AC276" s="1"/>
      <c r="AD276" s="1">
        <v>3</v>
      </c>
      <c r="AE276" s="1" t="s">
        <v>115</v>
      </c>
      <c r="AF276" s="1" t="s">
        <v>148</v>
      </c>
    </row>
    <row r="277" spans="1:32" ht="18" customHeight="1">
      <c r="A277" s="1" t="s">
        <v>994</v>
      </c>
      <c r="B277" s="1" t="s">
        <v>995</v>
      </c>
      <c r="C277" s="4">
        <v>46096</v>
      </c>
      <c r="D277" s="4">
        <v>46107</v>
      </c>
      <c r="E277" s="4">
        <v>46102</v>
      </c>
      <c r="F277" s="1" t="s">
        <v>69</v>
      </c>
      <c r="G277" s="1" t="s">
        <v>111</v>
      </c>
      <c r="H277" s="1" t="s">
        <v>194</v>
      </c>
      <c r="I277" s="1" t="s">
        <v>241</v>
      </c>
      <c r="J277" s="1" t="s">
        <v>153</v>
      </c>
      <c r="K277" s="1" t="s">
        <v>996</v>
      </c>
      <c r="L277" s="1" t="s">
        <v>155</v>
      </c>
      <c r="M277" s="1">
        <v>392.74</v>
      </c>
      <c r="N277" s="1" t="s">
        <v>86</v>
      </c>
      <c r="O277" s="1">
        <v>250</v>
      </c>
      <c r="P277" s="1">
        <v>98185</v>
      </c>
      <c r="Q277" s="1">
        <v>5</v>
      </c>
      <c r="R277" s="7">
        <v>0.02</v>
      </c>
      <c r="S277" s="1"/>
      <c r="T277" s="1">
        <v>11</v>
      </c>
      <c r="U277" s="1">
        <v>-5</v>
      </c>
      <c r="V277" s="1" t="s">
        <v>270</v>
      </c>
      <c r="W277" s="1" t="s">
        <v>40</v>
      </c>
      <c r="X277" s="1" t="s">
        <v>3324</v>
      </c>
      <c r="Y277" s="1"/>
      <c r="Z277" s="1" t="s">
        <v>3333</v>
      </c>
      <c r="AA277" s="1"/>
      <c r="AB277" s="1" t="s">
        <v>56</v>
      </c>
      <c r="AC277" s="1"/>
      <c r="AD277" s="1">
        <v>3.9</v>
      </c>
      <c r="AE277" s="1" t="s">
        <v>115</v>
      </c>
      <c r="AF277" s="1"/>
    </row>
    <row r="278" spans="1:32" ht="18" customHeight="1">
      <c r="A278" s="1" t="s">
        <v>997</v>
      </c>
      <c r="B278" s="1" t="s">
        <v>998</v>
      </c>
      <c r="C278" s="4">
        <v>46118</v>
      </c>
      <c r="D278" s="4">
        <v>46131</v>
      </c>
      <c r="E278" s="4" t="s">
        <v>3537</v>
      </c>
      <c r="F278" s="1" t="s">
        <v>209</v>
      </c>
      <c r="G278" s="1" t="s">
        <v>210</v>
      </c>
      <c r="H278" s="1" t="s">
        <v>316</v>
      </c>
      <c r="I278" s="1" t="s">
        <v>178</v>
      </c>
      <c r="J278" s="1" t="s">
        <v>153</v>
      </c>
      <c r="K278" s="1" t="s">
        <v>999</v>
      </c>
      <c r="L278" s="1" t="s">
        <v>204</v>
      </c>
      <c r="M278" s="1">
        <v>243.8</v>
      </c>
      <c r="N278" s="1" t="s">
        <v>53</v>
      </c>
      <c r="O278" s="1">
        <v>750</v>
      </c>
      <c r="P278" s="1">
        <v>182850</v>
      </c>
      <c r="Q278" s="1">
        <v>16</v>
      </c>
      <c r="R278" s="7">
        <v>2.1299999999999999E-2</v>
      </c>
      <c r="S278" s="1">
        <v>11</v>
      </c>
      <c r="T278" s="1">
        <v>13</v>
      </c>
      <c r="U278" s="1">
        <v>-2</v>
      </c>
      <c r="V278" s="1" t="s">
        <v>87</v>
      </c>
      <c r="W278" s="1" t="s">
        <v>40</v>
      </c>
      <c r="X278" s="1" t="s">
        <v>105</v>
      </c>
      <c r="Y278" s="1"/>
      <c r="Z278" s="1" t="s">
        <v>54</v>
      </c>
      <c r="AA278" s="1" t="s">
        <v>136</v>
      </c>
      <c r="AB278" s="1"/>
      <c r="AC278" s="1"/>
      <c r="AD278" s="1">
        <v>3.1</v>
      </c>
      <c r="AE278" s="1" t="s">
        <v>184</v>
      </c>
      <c r="AF278" s="1"/>
    </row>
    <row r="279" spans="1:32" ht="18" customHeight="1">
      <c r="A279" s="1" t="s">
        <v>1000</v>
      </c>
      <c r="B279" s="1" t="s">
        <v>1001</v>
      </c>
      <c r="C279" s="4">
        <v>46149</v>
      </c>
      <c r="D279" s="4">
        <v>46156</v>
      </c>
      <c r="E279" s="4">
        <v>46166</v>
      </c>
      <c r="F279" s="1" t="s">
        <v>60</v>
      </c>
      <c r="G279" s="1" t="s">
        <v>3488</v>
      </c>
      <c r="H279" s="1" t="s">
        <v>3354</v>
      </c>
      <c r="I279" s="1" t="s">
        <v>61</v>
      </c>
      <c r="J279" s="1" t="s">
        <v>62</v>
      </c>
      <c r="K279" s="1" t="s">
        <v>1002</v>
      </c>
      <c r="L279" s="1" t="s">
        <v>122</v>
      </c>
      <c r="M279" s="1">
        <v>748.93</v>
      </c>
      <c r="N279" s="1" t="s">
        <v>65</v>
      </c>
      <c r="O279" s="1">
        <v>150</v>
      </c>
      <c r="P279" s="1">
        <v>112339.5</v>
      </c>
      <c r="Q279" s="1">
        <v>5</v>
      </c>
      <c r="R279" s="7">
        <v>3.3300000000000003E-2</v>
      </c>
      <c r="S279" s="1">
        <v>17</v>
      </c>
      <c r="T279" s="1">
        <v>7</v>
      </c>
      <c r="U279" s="1">
        <v>10</v>
      </c>
      <c r="V279" s="1" t="s">
        <v>39</v>
      </c>
      <c r="W279" s="1" t="s">
        <v>40</v>
      </c>
      <c r="X279" s="1" t="s">
        <v>146</v>
      </c>
      <c r="Y279" s="1" t="s">
        <v>42</v>
      </c>
      <c r="Z279" s="1" t="s">
        <v>128</v>
      </c>
      <c r="AA279" s="1" t="s">
        <v>206</v>
      </c>
      <c r="AB279" s="1"/>
      <c r="AC279" s="1"/>
      <c r="AD279" s="1">
        <v>3.1</v>
      </c>
      <c r="AE279" s="1" t="s">
        <v>139</v>
      </c>
      <c r="AF279" s="1" t="s">
        <v>148</v>
      </c>
    </row>
    <row r="280" spans="1:32" ht="18" customHeight="1">
      <c r="A280" s="1" t="s">
        <v>1003</v>
      </c>
      <c r="B280" s="1" t="s">
        <v>1004</v>
      </c>
      <c r="C280" s="4">
        <v>46071</v>
      </c>
      <c r="D280" s="4">
        <v>46076</v>
      </c>
      <c r="E280" s="4">
        <v>46075</v>
      </c>
      <c r="F280" s="1" t="s">
        <v>151</v>
      </c>
      <c r="G280" s="1" t="s">
        <v>244</v>
      </c>
      <c r="H280" s="1" t="s">
        <v>3354</v>
      </c>
      <c r="I280" s="1" t="s">
        <v>178</v>
      </c>
      <c r="J280" s="1" t="s">
        <v>112</v>
      </c>
      <c r="K280" s="1" t="s">
        <v>1005</v>
      </c>
      <c r="L280" s="1" t="s">
        <v>218</v>
      </c>
      <c r="M280" s="1">
        <v>620.35</v>
      </c>
      <c r="N280" s="1" t="s">
        <v>53</v>
      </c>
      <c r="O280" s="1">
        <v>250</v>
      </c>
      <c r="P280" s="1">
        <v>155087.5</v>
      </c>
      <c r="Q280" s="1">
        <v>2</v>
      </c>
      <c r="R280" s="7">
        <v>8.0000000000000002E-3</v>
      </c>
      <c r="S280" s="1">
        <v>4</v>
      </c>
      <c r="T280" s="1">
        <v>5</v>
      </c>
      <c r="U280" s="1">
        <v>-1</v>
      </c>
      <c r="V280" s="1" t="s">
        <v>87</v>
      </c>
      <c r="W280" s="1" t="s">
        <v>40</v>
      </c>
      <c r="X280" s="1" t="s">
        <v>127</v>
      </c>
      <c r="Y280" s="1" t="s">
        <v>42</v>
      </c>
      <c r="Z280" s="1" t="s">
        <v>54</v>
      </c>
      <c r="AA280" s="1" t="s">
        <v>129</v>
      </c>
      <c r="AB280" s="1"/>
      <c r="AC280" s="1"/>
      <c r="AD280" s="1">
        <v>3.7</v>
      </c>
      <c r="AE280" s="1" t="s">
        <v>184</v>
      </c>
      <c r="AF280" s="1" t="s">
        <v>130</v>
      </c>
    </row>
    <row r="281" spans="1:32" ht="18" hidden="1" customHeight="1">
      <c r="A281" s="1" t="s">
        <v>1006</v>
      </c>
      <c r="B281" s="1" t="s">
        <v>1007</v>
      </c>
      <c r="C281" s="4">
        <v>46128</v>
      </c>
      <c r="D281" s="1">
        <v>46154</v>
      </c>
      <c r="E281" s="1">
        <v>46153</v>
      </c>
      <c r="F281" s="1" t="s">
        <v>32</v>
      </c>
      <c r="G281" s="1" t="s">
        <v>3422</v>
      </c>
      <c r="H281" s="1" t="s">
        <v>177</v>
      </c>
      <c r="I281" s="1" t="s">
        <v>83</v>
      </c>
      <c r="J281" s="1" t="s">
        <v>35</v>
      </c>
      <c r="K281" s="1" t="s">
        <v>1008</v>
      </c>
      <c r="L281" s="1" t="s">
        <v>37</v>
      </c>
      <c r="M281" s="1">
        <v>2890.21</v>
      </c>
      <c r="N281" s="1" t="s">
        <v>65</v>
      </c>
      <c r="O281" s="1">
        <v>300</v>
      </c>
      <c r="P281" s="1">
        <v>867063</v>
      </c>
      <c r="Q281" s="1">
        <v>-1</v>
      </c>
      <c r="R281" s="7">
        <v>9.6699999999999994E-2</v>
      </c>
      <c r="S281" s="1">
        <v>25</v>
      </c>
      <c r="T281" s="1">
        <v>26</v>
      </c>
      <c r="U281" s="1">
        <v>-1</v>
      </c>
      <c r="V281" s="1" t="s">
        <v>3352</v>
      </c>
      <c r="W281" s="1" t="s">
        <v>3384</v>
      </c>
      <c r="X281" s="1" t="s">
        <v>41</v>
      </c>
      <c r="Y281" s="1" t="s">
        <v>66</v>
      </c>
      <c r="Z281" s="1" t="s">
        <v>43</v>
      </c>
      <c r="AA281" s="1" t="s">
        <v>129</v>
      </c>
      <c r="AB281" s="1" t="s">
        <v>147</v>
      </c>
      <c r="AC281" s="1" t="s">
        <v>75</v>
      </c>
      <c r="AD281" s="1">
        <v>2.2000000000000002</v>
      </c>
      <c r="AE281" s="1" t="s">
        <v>57</v>
      </c>
      <c r="AF281" s="1" t="s">
        <v>97</v>
      </c>
    </row>
    <row r="282" spans="1:32" ht="18" customHeight="1">
      <c r="A282" s="1" t="s">
        <v>1009</v>
      </c>
      <c r="B282" s="1" t="s">
        <v>1010</v>
      </c>
      <c r="C282" s="4">
        <v>46117</v>
      </c>
      <c r="D282" s="4">
        <v>46120</v>
      </c>
      <c r="E282" s="4"/>
      <c r="F282" s="1" t="s">
        <v>151</v>
      </c>
      <c r="G282" s="1" t="s">
        <v>244</v>
      </c>
      <c r="H282" s="1" t="s">
        <v>3354</v>
      </c>
      <c r="I282" s="1" t="s">
        <v>92</v>
      </c>
      <c r="J282" s="1" t="s">
        <v>112</v>
      </c>
      <c r="K282" s="1" t="s">
        <v>1011</v>
      </c>
      <c r="L282" s="1" t="s">
        <v>218</v>
      </c>
      <c r="M282" s="1">
        <v>736.39</v>
      </c>
      <c r="N282" s="1" t="s">
        <v>53</v>
      </c>
      <c r="O282" s="1" t="s">
        <v>3538</v>
      </c>
      <c r="P282" s="1" t="s">
        <v>3539</v>
      </c>
      <c r="Q282" s="1">
        <v>3</v>
      </c>
      <c r="R282" s="7">
        <v>0.02</v>
      </c>
      <c r="S282" s="1">
        <v>9</v>
      </c>
      <c r="T282" s="1">
        <v>3</v>
      </c>
      <c r="U282" s="1">
        <v>6</v>
      </c>
      <c r="V282" s="1" t="s">
        <v>3328</v>
      </c>
      <c r="W282" s="1" t="s">
        <v>40</v>
      </c>
      <c r="X282" s="1" t="s">
        <v>127</v>
      </c>
      <c r="Y282" s="1" t="s">
        <v>3334</v>
      </c>
      <c r="Z282" s="1" t="s">
        <v>128</v>
      </c>
      <c r="AA282" s="1" t="s">
        <v>136</v>
      </c>
      <c r="AB282" s="1" t="s">
        <v>137</v>
      </c>
      <c r="AC282" s="1"/>
      <c r="AD282" s="1">
        <v>3.1</v>
      </c>
      <c r="AE282" s="1" t="s">
        <v>139</v>
      </c>
      <c r="AF282" s="1" t="s">
        <v>148</v>
      </c>
    </row>
    <row r="283" spans="1:32" ht="18" hidden="1" customHeight="1">
      <c r="A283" s="1" t="s">
        <v>149</v>
      </c>
      <c r="B283" s="1" t="s">
        <v>1012</v>
      </c>
      <c r="C283" s="4">
        <v>46118</v>
      </c>
      <c r="D283" s="1">
        <v>46135</v>
      </c>
      <c r="E283" s="1">
        <v>46137</v>
      </c>
      <c r="F283" s="1" t="s">
        <v>235</v>
      </c>
      <c r="G283" s="1" t="s">
        <v>3426</v>
      </c>
      <c r="H283" s="1" t="s">
        <v>479</v>
      </c>
      <c r="I283" s="1" t="s">
        <v>49</v>
      </c>
      <c r="J283" s="1" t="s">
        <v>71</v>
      </c>
      <c r="K283" s="1" t="s">
        <v>1013</v>
      </c>
      <c r="L283" s="1" t="s">
        <v>337</v>
      </c>
      <c r="M283" s="1">
        <v>688.68</v>
      </c>
      <c r="N283" s="1" t="s">
        <v>86</v>
      </c>
      <c r="O283" s="1">
        <v>150</v>
      </c>
      <c r="P283" s="1">
        <v>103302</v>
      </c>
      <c r="Q283" s="1">
        <v>7</v>
      </c>
      <c r="R283" s="7">
        <v>4.6699999999999998E-2</v>
      </c>
      <c r="S283" s="1">
        <v>19</v>
      </c>
      <c r="T283" s="1">
        <v>17</v>
      </c>
      <c r="U283" s="1">
        <v>2</v>
      </c>
      <c r="V283" s="1" t="s">
        <v>135</v>
      </c>
      <c r="W283" s="1" t="s">
        <v>3384</v>
      </c>
      <c r="X283" s="1"/>
      <c r="Y283" s="1" t="s">
        <v>190</v>
      </c>
      <c r="Z283" s="1"/>
      <c r="AA283" s="1" t="s">
        <v>136</v>
      </c>
      <c r="AB283" s="1" t="s">
        <v>95</v>
      </c>
      <c r="AC283" s="1" t="s">
        <v>183</v>
      </c>
      <c r="AD283" s="1">
        <v>1.3</v>
      </c>
      <c r="AE283" s="1" t="s">
        <v>108</v>
      </c>
      <c r="AF283" s="1" t="s">
        <v>185</v>
      </c>
    </row>
    <row r="284" spans="1:32" ht="18" customHeight="1">
      <c r="A284" s="1" t="s">
        <v>1014</v>
      </c>
      <c r="B284" s="1" t="s">
        <v>1015</v>
      </c>
      <c r="C284" s="4">
        <v>46184</v>
      </c>
      <c r="D284" s="4">
        <v>46191</v>
      </c>
      <c r="E284" s="4">
        <v>46200</v>
      </c>
      <c r="F284" s="1" t="s">
        <v>80</v>
      </c>
      <c r="G284" s="1" t="s">
        <v>3413</v>
      </c>
      <c r="H284" s="1"/>
      <c r="I284" s="1" t="s">
        <v>61</v>
      </c>
      <c r="J284" s="1" t="s">
        <v>35</v>
      </c>
      <c r="K284" s="1" t="s">
        <v>1016</v>
      </c>
      <c r="L284" s="1" t="s">
        <v>180</v>
      </c>
      <c r="M284" s="1">
        <v>4318.28</v>
      </c>
      <c r="N284" s="1" t="s">
        <v>38</v>
      </c>
      <c r="O284" s="1"/>
      <c r="P284" s="1">
        <v>1079570</v>
      </c>
      <c r="Q284" s="1">
        <v>2</v>
      </c>
      <c r="R284" s="7">
        <v>8.0000000000000002E-3</v>
      </c>
      <c r="S284" s="1">
        <v>16</v>
      </c>
      <c r="T284" s="1">
        <v>7</v>
      </c>
      <c r="U284" s="1">
        <v>9</v>
      </c>
      <c r="V284" s="1" t="s">
        <v>3328</v>
      </c>
      <c r="W284" s="1" t="s">
        <v>40</v>
      </c>
      <c r="X284" s="1" t="s">
        <v>105</v>
      </c>
      <c r="Y284" s="1" t="s">
        <v>106</v>
      </c>
      <c r="Z284" s="1" t="s">
        <v>173</v>
      </c>
      <c r="AA284" s="1" t="s">
        <v>136</v>
      </c>
      <c r="AB284" s="1"/>
      <c r="AC284" s="1"/>
      <c r="AD284" s="1">
        <v>1.9</v>
      </c>
      <c r="AE284" s="1" t="s">
        <v>45</v>
      </c>
      <c r="AF284" s="1" t="s">
        <v>46</v>
      </c>
    </row>
    <row r="285" spans="1:32" ht="18" customHeight="1">
      <c r="A285" s="1" t="s">
        <v>1017</v>
      </c>
      <c r="B285" s="1" t="s">
        <v>1018</v>
      </c>
      <c r="C285" s="4">
        <v>46045</v>
      </c>
      <c r="D285" s="4"/>
      <c r="E285" s="4">
        <v>46048</v>
      </c>
      <c r="F285" s="1" t="s">
        <v>162</v>
      </c>
      <c r="G285" s="1" t="s">
        <v>3444</v>
      </c>
      <c r="H285" s="1" t="s">
        <v>152</v>
      </c>
      <c r="I285" s="1" t="s">
        <v>70</v>
      </c>
      <c r="J285" s="1" t="s">
        <v>163</v>
      </c>
      <c r="K285" s="1" t="s">
        <v>1019</v>
      </c>
      <c r="L285" s="1" t="s">
        <v>269</v>
      </c>
      <c r="M285" s="1">
        <v>1683.52</v>
      </c>
      <c r="N285" s="1" t="s">
        <v>38</v>
      </c>
      <c r="O285" s="1">
        <v>1500</v>
      </c>
      <c r="P285" s="1">
        <v>2525280</v>
      </c>
      <c r="Q285" s="1">
        <v>38</v>
      </c>
      <c r="R285" s="7">
        <v>2.53E-2</v>
      </c>
      <c r="S285" s="1">
        <v>3</v>
      </c>
      <c r="T285" s="1">
        <v>6</v>
      </c>
      <c r="U285" s="1">
        <v>-3</v>
      </c>
      <c r="V285" s="1" t="s">
        <v>270</v>
      </c>
      <c r="W285" s="1" t="s">
        <v>40</v>
      </c>
      <c r="X285" s="1"/>
      <c r="Y285" s="1" t="s">
        <v>106</v>
      </c>
      <c r="Z285" s="1"/>
      <c r="AA285" s="1" t="s">
        <v>3341</v>
      </c>
      <c r="AB285" s="1"/>
      <c r="AC285" s="1"/>
      <c r="AD285" s="1">
        <v>2.5</v>
      </c>
      <c r="AE285" s="1" t="s">
        <v>45</v>
      </c>
      <c r="AF285" s="1" t="s">
        <v>130</v>
      </c>
    </row>
    <row r="286" spans="1:32" ht="18" customHeight="1">
      <c r="A286" s="1" t="s">
        <v>1020</v>
      </c>
      <c r="B286" s="1" t="s">
        <v>1021</v>
      </c>
      <c r="C286" s="4">
        <v>46123</v>
      </c>
      <c r="D286" s="4">
        <v>46141</v>
      </c>
      <c r="E286" s="4">
        <v>46138</v>
      </c>
      <c r="F286" s="1" t="s">
        <v>867</v>
      </c>
      <c r="G286" s="1" t="s">
        <v>257</v>
      </c>
      <c r="H286" s="1" t="s">
        <v>3420</v>
      </c>
      <c r="I286" s="1" t="s">
        <v>49</v>
      </c>
      <c r="J286" s="1" t="s">
        <v>153</v>
      </c>
      <c r="K286" s="1" t="s">
        <v>1022</v>
      </c>
      <c r="L286" s="1" t="s">
        <v>318</v>
      </c>
      <c r="M286" s="1">
        <v>85.6</v>
      </c>
      <c r="N286" s="1" t="s">
        <v>104</v>
      </c>
      <c r="O286" s="1">
        <v>150</v>
      </c>
      <c r="P286" s="1">
        <v>12840</v>
      </c>
      <c r="Q286" s="1">
        <v>1</v>
      </c>
      <c r="R286" s="7">
        <v>6.7000000000000002E-3</v>
      </c>
      <c r="S286" s="1">
        <v>15</v>
      </c>
      <c r="T286" s="1">
        <v>18</v>
      </c>
      <c r="U286" s="1"/>
      <c r="V286" s="1" t="s">
        <v>87</v>
      </c>
      <c r="W286" s="1" t="s">
        <v>40</v>
      </c>
      <c r="X286" s="1" t="s">
        <v>3329</v>
      </c>
      <c r="Y286" s="1" t="s">
        <v>42</v>
      </c>
      <c r="Z286" s="1" t="s">
        <v>54</v>
      </c>
      <c r="AA286" s="1" t="s">
        <v>3341</v>
      </c>
      <c r="AB286" s="1"/>
      <c r="AC286" s="1"/>
      <c r="AD286" s="1">
        <v>3.3</v>
      </c>
      <c r="AE286" s="1" t="s">
        <v>115</v>
      </c>
      <c r="AF286" s="1" t="s">
        <v>619</v>
      </c>
    </row>
    <row r="287" spans="1:32" ht="18" customHeight="1">
      <c r="A287" s="1" t="s">
        <v>1023</v>
      </c>
      <c r="B287" s="1" t="s">
        <v>1024</v>
      </c>
      <c r="C287" s="4">
        <v>46175</v>
      </c>
      <c r="D287" s="4">
        <v>46196</v>
      </c>
      <c r="E287" s="4">
        <v>46200</v>
      </c>
      <c r="F287" s="1" t="s">
        <v>90</v>
      </c>
      <c r="G287" s="1" t="s">
        <v>3346</v>
      </c>
      <c r="H287" s="1" t="s">
        <v>3425</v>
      </c>
      <c r="I287" s="1" t="s">
        <v>241</v>
      </c>
      <c r="J287" s="1" t="s">
        <v>71</v>
      </c>
      <c r="K287" s="1" t="s">
        <v>1025</v>
      </c>
      <c r="L287" s="1" t="s">
        <v>337</v>
      </c>
      <c r="M287" s="1">
        <v>653.33000000000004</v>
      </c>
      <c r="N287" s="1" t="s">
        <v>65</v>
      </c>
      <c r="O287" s="1">
        <v>500</v>
      </c>
      <c r="P287" s="1">
        <v>326665</v>
      </c>
      <c r="Q287" s="1">
        <v>6</v>
      </c>
      <c r="R287" s="7">
        <v>1.2E-2</v>
      </c>
      <c r="S287" s="1">
        <v>25</v>
      </c>
      <c r="T287" s="1">
        <v>21</v>
      </c>
      <c r="U287" s="1">
        <v>4</v>
      </c>
      <c r="V287" s="1" t="s">
        <v>3328</v>
      </c>
      <c r="W287" s="1" t="s">
        <v>40</v>
      </c>
      <c r="X287" s="1" t="s">
        <v>41</v>
      </c>
      <c r="Y287" s="1" t="s">
        <v>190</v>
      </c>
      <c r="Z287" s="1" t="s">
        <v>128</v>
      </c>
      <c r="AA287" s="1" t="s">
        <v>206</v>
      </c>
      <c r="AB287" s="1" t="s">
        <v>56</v>
      </c>
      <c r="AC287" s="1"/>
      <c r="AD287" s="1">
        <v>2.2999999999999998</v>
      </c>
      <c r="AE287" s="1" t="s">
        <v>139</v>
      </c>
      <c r="AF287" s="1" t="s">
        <v>46</v>
      </c>
    </row>
    <row r="288" spans="1:32" ht="18" customHeight="1">
      <c r="A288" s="1" t="s">
        <v>1026</v>
      </c>
      <c r="B288" s="1" t="s">
        <v>1027</v>
      </c>
      <c r="C288" s="4" t="s">
        <v>3406</v>
      </c>
      <c r="D288" s="4">
        <v>46208</v>
      </c>
      <c r="E288" s="4" t="s">
        <v>3540</v>
      </c>
      <c r="F288" s="1" t="s">
        <v>215</v>
      </c>
      <c r="G288" s="1" t="s">
        <v>3502</v>
      </c>
      <c r="H288" s="1" t="s">
        <v>152</v>
      </c>
      <c r="I288" s="1" t="s">
        <v>120</v>
      </c>
      <c r="J288" s="1" t="s">
        <v>112</v>
      </c>
      <c r="K288" s="1" t="s">
        <v>1028</v>
      </c>
      <c r="L288" s="1" t="s">
        <v>246</v>
      </c>
      <c r="M288" s="1">
        <v>733.63</v>
      </c>
      <c r="N288" s="1" t="s">
        <v>159</v>
      </c>
      <c r="O288" s="1">
        <v>300</v>
      </c>
      <c r="P288" s="1" t="s">
        <v>3541</v>
      </c>
      <c r="Q288" s="1"/>
      <c r="R288" s="7">
        <v>2.3300000000000001E-2</v>
      </c>
      <c r="S288" s="1">
        <v>10</v>
      </c>
      <c r="T288" s="1">
        <v>8</v>
      </c>
      <c r="U288" s="1">
        <v>2</v>
      </c>
      <c r="V288" s="1" t="s">
        <v>166</v>
      </c>
      <c r="W288" s="1" t="s">
        <v>40</v>
      </c>
      <c r="X288" s="1" t="s">
        <v>127</v>
      </c>
      <c r="Y288" s="1" t="s">
        <v>190</v>
      </c>
      <c r="Z288" s="1" t="s">
        <v>107</v>
      </c>
      <c r="AA288" s="1" t="s">
        <v>136</v>
      </c>
      <c r="AB288" s="1" t="s">
        <v>44</v>
      </c>
      <c r="AC288" s="1"/>
      <c r="AD288" s="1">
        <v>-1</v>
      </c>
      <c r="AE288" s="1" t="s">
        <v>45</v>
      </c>
      <c r="AF288" s="1" t="s">
        <v>148</v>
      </c>
    </row>
    <row r="289" spans="1:32" ht="18" customHeight="1">
      <c r="A289" s="1" t="s">
        <v>1029</v>
      </c>
      <c r="B289" s="1" t="s">
        <v>1030</v>
      </c>
      <c r="C289" s="4">
        <v>46191</v>
      </c>
      <c r="D289" s="4">
        <v>46198</v>
      </c>
      <c r="E289" s="4">
        <v>46211</v>
      </c>
      <c r="F289" s="1" t="s">
        <v>151</v>
      </c>
      <c r="G289" s="1" t="s">
        <v>244</v>
      </c>
      <c r="H289" s="1" t="s">
        <v>3354</v>
      </c>
      <c r="I289" s="1" t="s">
        <v>49</v>
      </c>
      <c r="J289" s="1" t="s">
        <v>112</v>
      </c>
      <c r="K289" s="1" t="s">
        <v>1031</v>
      </c>
      <c r="L289" s="1" t="s">
        <v>114</v>
      </c>
      <c r="M289" s="1">
        <v>547.79</v>
      </c>
      <c r="N289" s="1" t="s">
        <v>86</v>
      </c>
      <c r="O289" s="1" t="s">
        <v>3430</v>
      </c>
      <c r="P289" s="1">
        <v>136947.5</v>
      </c>
      <c r="Q289" s="1">
        <v>1</v>
      </c>
      <c r="R289" s="7">
        <v>4.0000000000000001E-3</v>
      </c>
      <c r="S289" s="1">
        <v>20</v>
      </c>
      <c r="T289" s="1">
        <v>7</v>
      </c>
      <c r="U289" s="1">
        <v>13</v>
      </c>
      <c r="V289" s="1" t="s">
        <v>205</v>
      </c>
      <c r="W289" s="1" t="s">
        <v>40</v>
      </c>
      <c r="X289" s="1" t="s">
        <v>3329</v>
      </c>
      <c r="Y289" s="1"/>
      <c r="Z289" s="1" t="s">
        <v>107</v>
      </c>
      <c r="AA289" s="1" t="s">
        <v>174</v>
      </c>
      <c r="AB289" s="1" t="s">
        <v>147</v>
      </c>
      <c r="AC289" s="1"/>
      <c r="AD289" s="1">
        <v>2.4</v>
      </c>
      <c r="AE289" s="1" t="s">
        <v>108</v>
      </c>
      <c r="AF289" s="1" t="s">
        <v>46</v>
      </c>
    </row>
    <row r="290" spans="1:32" ht="18" customHeight="1">
      <c r="A290" s="1" t="s">
        <v>1032</v>
      </c>
      <c r="B290" s="1" t="s">
        <v>1033</v>
      </c>
      <c r="C290" s="4">
        <v>46064</v>
      </c>
      <c r="D290" s="4">
        <v>46073</v>
      </c>
      <c r="E290" s="4">
        <v>46077</v>
      </c>
      <c r="F290" s="1" t="s">
        <v>80</v>
      </c>
      <c r="G290" s="1" t="s">
        <v>81</v>
      </c>
      <c r="H290" s="1" t="s">
        <v>82</v>
      </c>
      <c r="I290" s="1" t="s">
        <v>49</v>
      </c>
      <c r="J290" s="1" t="s">
        <v>112</v>
      </c>
      <c r="K290" s="1" t="s">
        <v>1034</v>
      </c>
      <c r="L290" s="1" t="s">
        <v>246</v>
      </c>
      <c r="M290" s="1">
        <v>34.130000000000003</v>
      </c>
      <c r="N290" s="1" t="s">
        <v>65</v>
      </c>
      <c r="O290" s="1">
        <v>150</v>
      </c>
      <c r="P290" s="1">
        <v>5119.5</v>
      </c>
      <c r="Q290" s="1">
        <v>2</v>
      </c>
      <c r="R290" s="7">
        <v>1.3299999999999999E-2</v>
      </c>
      <c r="S290" s="1">
        <v>13</v>
      </c>
      <c r="T290" s="1">
        <v>9</v>
      </c>
      <c r="U290" s="1">
        <v>4</v>
      </c>
      <c r="V290" s="1" t="s">
        <v>39</v>
      </c>
      <c r="W290" s="1" t="s">
        <v>40</v>
      </c>
      <c r="X290" s="1" t="s">
        <v>3329</v>
      </c>
      <c r="Y290" s="1" t="s">
        <v>66</v>
      </c>
      <c r="Z290" s="1" t="s">
        <v>107</v>
      </c>
      <c r="AA290" s="1" t="s">
        <v>206</v>
      </c>
      <c r="AB290" s="1" t="s">
        <v>44</v>
      </c>
      <c r="AC290" s="1"/>
      <c r="AD290" s="1">
        <v>2.6</v>
      </c>
      <c r="AE290" s="1" t="s">
        <v>115</v>
      </c>
      <c r="AF290" s="1" t="s">
        <v>46</v>
      </c>
    </row>
    <row r="291" spans="1:32" ht="18" customHeight="1">
      <c r="A291" s="1" t="s">
        <v>1035</v>
      </c>
      <c r="B291" s="1" t="s">
        <v>1036</v>
      </c>
      <c r="C291" s="4">
        <v>46055</v>
      </c>
      <c r="D291" s="4">
        <v>46075</v>
      </c>
      <c r="E291" s="4">
        <v>46068</v>
      </c>
      <c r="F291" s="1" t="s">
        <v>142</v>
      </c>
      <c r="G291" s="1" t="s">
        <v>3542</v>
      </c>
      <c r="H291" s="1" t="s">
        <v>3392</v>
      </c>
      <c r="I291" s="1" t="s">
        <v>61</v>
      </c>
      <c r="J291" s="1" t="s">
        <v>50</v>
      </c>
      <c r="K291" s="1" t="s">
        <v>1037</v>
      </c>
      <c r="L291" s="1" t="s">
        <v>126</v>
      </c>
      <c r="M291" s="1">
        <v>4437.2299999999996</v>
      </c>
      <c r="N291" s="1" t="s">
        <v>159</v>
      </c>
      <c r="O291" s="1">
        <v>250</v>
      </c>
      <c r="P291" s="1">
        <v>1109307.5</v>
      </c>
      <c r="Q291" s="1">
        <v>9</v>
      </c>
      <c r="R291" s="7">
        <v>3.5999999999999997E-2</v>
      </c>
      <c r="S291" s="1">
        <v>13</v>
      </c>
      <c r="T291" s="1">
        <v>20</v>
      </c>
      <c r="U291" s="1">
        <v>-7</v>
      </c>
      <c r="V291" s="1" t="s">
        <v>87</v>
      </c>
      <c r="W291" s="1" t="s">
        <v>40</v>
      </c>
      <c r="X291" s="1"/>
      <c r="Y291" s="1"/>
      <c r="Z291" s="1" t="s">
        <v>107</v>
      </c>
      <c r="AA291" s="1" t="s">
        <v>174</v>
      </c>
      <c r="AB291" s="1" t="s">
        <v>191</v>
      </c>
      <c r="AC291" s="1"/>
      <c r="AD291" s="1">
        <v>4.2</v>
      </c>
      <c r="AE291" s="1" t="s">
        <v>76</v>
      </c>
      <c r="AF291" s="1" t="s">
        <v>130</v>
      </c>
    </row>
    <row r="292" spans="1:32" ht="18" customHeight="1">
      <c r="A292" s="1" t="s">
        <v>1038</v>
      </c>
      <c r="B292" s="1" t="s">
        <v>1039</v>
      </c>
      <c r="C292" s="4">
        <v>46105</v>
      </c>
      <c r="D292" s="4">
        <v>46124</v>
      </c>
      <c r="E292" s="4">
        <v>46131</v>
      </c>
      <c r="F292" s="1" t="s">
        <v>32</v>
      </c>
      <c r="G292" s="1" t="s">
        <v>33</v>
      </c>
      <c r="H292" s="1" t="s">
        <v>177</v>
      </c>
      <c r="I292" s="1" t="s">
        <v>70</v>
      </c>
      <c r="J292" s="1" t="s">
        <v>35</v>
      </c>
      <c r="K292" s="1" t="s">
        <v>1040</v>
      </c>
      <c r="L292" s="1" t="s">
        <v>180</v>
      </c>
      <c r="M292" s="1">
        <v>1182.99</v>
      </c>
      <c r="N292" s="1" t="s">
        <v>104</v>
      </c>
      <c r="O292" s="1">
        <v>75</v>
      </c>
      <c r="P292" s="1">
        <v>88724.25</v>
      </c>
      <c r="Q292" s="1">
        <v>2</v>
      </c>
      <c r="R292" s="7">
        <v>2.6700000000000002E-2</v>
      </c>
      <c r="S292" s="1">
        <v>26</v>
      </c>
      <c r="T292" s="1">
        <v>19</v>
      </c>
      <c r="U292" s="1">
        <v>7</v>
      </c>
      <c r="V292" s="1" t="s">
        <v>3328</v>
      </c>
      <c r="W292" s="1" t="s">
        <v>404</v>
      </c>
      <c r="X292" s="1" t="s">
        <v>127</v>
      </c>
      <c r="Y292" s="1"/>
      <c r="Z292" s="1" t="s">
        <v>54</v>
      </c>
      <c r="AA292" s="1" t="s">
        <v>3341</v>
      </c>
      <c r="AB292" s="1" t="s">
        <v>191</v>
      </c>
      <c r="AC292" s="1"/>
      <c r="AD292" s="1">
        <v>2.4</v>
      </c>
      <c r="AE292" s="1" t="s">
        <v>57</v>
      </c>
      <c r="AF292" s="1" t="s">
        <v>148</v>
      </c>
    </row>
    <row r="293" spans="1:32" ht="18" customHeight="1">
      <c r="A293" s="1" t="s">
        <v>1041</v>
      </c>
      <c r="B293" s="1" t="s">
        <v>1042</v>
      </c>
      <c r="C293" s="4">
        <v>46033</v>
      </c>
      <c r="D293" s="4">
        <v>46042</v>
      </c>
      <c r="E293" s="4">
        <v>46052</v>
      </c>
      <c r="F293" s="1" t="s">
        <v>100</v>
      </c>
      <c r="G293" s="1" t="s">
        <v>101</v>
      </c>
      <c r="H293" s="1" t="s">
        <v>3361</v>
      </c>
      <c r="I293" s="1" t="s">
        <v>34</v>
      </c>
      <c r="J293" s="1" t="s">
        <v>50</v>
      </c>
      <c r="K293" s="1" t="s">
        <v>1043</v>
      </c>
      <c r="L293" s="1" t="s">
        <v>189</v>
      </c>
      <c r="M293" s="1">
        <v>1023.23</v>
      </c>
      <c r="N293" s="1" t="s">
        <v>86</v>
      </c>
      <c r="O293" s="1">
        <v>-100</v>
      </c>
      <c r="P293" s="1">
        <v>102323</v>
      </c>
      <c r="Q293" s="1">
        <v>1</v>
      </c>
      <c r="R293" s="7">
        <v>0.01</v>
      </c>
      <c r="S293" s="1">
        <v>19</v>
      </c>
      <c r="T293" s="1">
        <v>9</v>
      </c>
      <c r="U293" s="1">
        <v>10</v>
      </c>
      <c r="V293" s="1" t="s">
        <v>3328</v>
      </c>
      <c r="W293" s="1" t="s">
        <v>40</v>
      </c>
      <c r="X293" s="1" t="s">
        <v>41</v>
      </c>
      <c r="Y293" s="1" t="s">
        <v>42</v>
      </c>
      <c r="Z293" s="1" t="s">
        <v>3330</v>
      </c>
      <c r="AA293" s="1" t="s">
        <v>3341</v>
      </c>
      <c r="AB293" s="1" t="s">
        <v>95</v>
      </c>
      <c r="AC293" s="1"/>
      <c r="AD293" s="1">
        <v>1.1000000000000001</v>
      </c>
      <c r="AE293" s="1" t="s">
        <v>108</v>
      </c>
      <c r="AF293" s="1" t="s">
        <v>46</v>
      </c>
    </row>
    <row r="294" spans="1:32" ht="18" customHeight="1">
      <c r="A294" s="1" t="s">
        <v>1044</v>
      </c>
      <c r="B294" s="1" t="s">
        <v>1045</v>
      </c>
      <c r="C294" s="4" t="s">
        <v>3543</v>
      </c>
      <c r="D294" s="4" t="s">
        <v>3544</v>
      </c>
      <c r="E294" s="4">
        <v>46211</v>
      </c>
      <c r="F294" s="1" t="s">
        <v>215</v>
      </c>
      <c r="G294" s="1" t="s">
        <v>216</v>
      </c>
      <c r="H294" s="1" t="s">
        <v>3327</v>
      </c>
      <c r="I294" s="1" t="s">
        <v>120</v>
      </c>
      <c r="J294" s="1" t="s">
        <v>163</v>
      </c>
      <c r="K294" s="1" t="s">
        <v>1046</v>
      </c>
      <c r="L294" s="1" t="s">
        <v>269</v>
      </c>
      <c r="M294" s="1">
        <v>325.68</v>
      </c>
      <c r="N294" s="1" t="s">
        <v>38</v>
      </c>
      <c r="O294" s="1">
        <v>1500</v>
      </c>
      <c r="P294" s="1">
        <v>488520</v>
      </c>
      <c r="Q294" s="1">
        <v>12</v>
      </c>
      <c r="R294" s="7">
        <v>8.0000000000000002E-3</v>
      </c>
      <c r="S294" s="1">
        <v>13</v>
      </c>
      <c r="T294" s="1">
        <v>6</v>
      </c>
      <c r="U294" s="1">
        <v>7</v>
      </c>
      <c r="V294" s="1" t="s">
        <v>39</v>
      </c>
      <c r="W294" s="1" t="s">
        <v>40</v>
      </c>
      <c r="X294" s="1" t="s">
        <v>146</v>
      </c>
      <c r="Y294" s="1" t="s">
        <v>190</v>
      </c>
      <c r="Z294" s="1" t="s">
        <v>173</v>
      </c>
      <c r="AA294" s="1" t="s">
        <v>55</v>
      </c>
      <c r="AB294" s="1" t="s">
        <v>137</v>
      </c>
      <c r="AC294" s="1"/>
      <c r="AD294" s="1">
        <v>2.2999999999999998</v>
      </c>
      <c r="AE294" s="1" t="s">
        <v>139</v>
      </c>
      <c r="AF294" s="1" t="s">
        <v>148</v>
      </c>
    </row>
    <row r="295" spans="1:32" ht="18" customHeight="1">
      <c r="A295" s="1" t="s">
        <v>1047</v>
      </c>
      <c r="B295" s="1" t="s">
        <v>1048</v>
      </c>
      <c r="C295" s="4" t="s">
        <v>3545</v>
      </c>
      <c r="D295" s="4">
        <v>46116</v>
      </c>
      <c r="E295" s="4">
        <v>46116</v>
      </c>
      <c r="F295" s="1" t="s">
        <v>32</v>
      </c>
      <c r="G295" s="1" t="s">
        <v>33</v>
      </c>
      <c r="H295" s="1" t="s">
        <v>3395</v>
      </c>
      <c r="I295" s="1" t="s">
        <v>34</v>
      </c>
      <c r="J295" s="1" t="s">
        <v>153</v>
      </c>
      <c r="K295" s="1" t="s">
        <v>1049</v>
      </c>
      <c r="L295" s="1" t="s">
        <v>318</v>
      </c>
      <c r="M295" s="1">
        <v>19.670000000000002</v>
      </c>
      <c r="N295" s="1" t="s">
        <v>104</v>
      </c>
      <c r="O295" s="1">
        <v>75</v>
      </c>
      <c r="P295" s="1">
        <v>1475.25</v>
      </c>
      <c r="Q295" s="1">
        <v>0</v>
      </c>
      <c r="R295" s="7">
        <v>0</v>
      </c>
      <c r="S295" s="1">
        <v>21</v>
      </c>
      <c r="T295" s="1">
        <v>21</v>
      </c>
      <c r="U295" s="1">
        <v>0</v>
      </c>
      <c r="V295" s="1" t="s">
        <v>87</v>
      </c>
      <c r="W295" s="1" t="s">
        <v>40</v>
      </c>
      <c r="X295" s="1" t="s">
        <v>3329</v>
      </c>
      <c r="Y295" s="1" t="s">
        <v>42</v>
      </c>
      <c r="Z295" s="1"/>
      <c r="AA295" s="1" t="s">
        <v>3341</v>
      </c>
      <c r="AB295" s="1" t="s">
        <v>191</v>
      </c>
      <c r="AC295" s="1"/>
      <c r="AD295" s="1">
        <v>4.4000000000000004</v>
      </c>
      <c r="AE295" s="1" t="s">
        <v>108</v>
      </c>
      <c r="AF295" s="1"/>
    </row>
    <row r="296" spans="1:32" ht="18" customHeight="1">
      <c r="A296" s="1" t="s">
        <v>1050</v>
      </c>
      <c r="B296" s="1" t="s">
        <v>1051</v>
      </c>
      <c r="C296" s="4">
        <v>46050</v>
      </c>
      <c r="D296" s="4">
        <v>46073</v>
      </c>
      <c r="E296" s="4">
        <v>46071</v>
      </c>
      <c r="F296" s="1" t="s">
        <v>235</v>
      </c>
      <c r="G296" s="1" t="s">
        <v>236</v>
      </c>
      <c r="H296" s="1" t="s">
        <v>3371</v>
      </c>
      <c r="I296" s="1" t="s">
        <v>70</v>
      </c>
      <c r="J296" s="1" t="s">
        <v>50</v>
      </c>
      <c r="K296" s="1" t="s">
        <v>1052</v>
      </c>
      <c r="L296" s="1" t="s">
        <v>145</v>
      </c>
      <c r="M296" s="1">
        <v>2683.36</v>
      </c>
      <c r="N296" s="1"/>
      <c r="O296" s="1">
        <v>750</v>
      </c>
      <c r="P296" s="1">
        <v>2012520</v>
      </c>
      <c r="Q296" s="1">
        <v>3</v>
      </c>
      <c r="R296" s="7">
        <v>4.0000000000000001E-3</v>
      </c>
      <c r="S296" s="1">
        <v>21</v>
      </c>
      <c r="T296" s="1">
        <v>23</v>
      </c>
      <c r="U296" s="1">
        <v>-2</v>
      </c>
      <c r="V296" s="1" t="s">
        <v>270</v>
      </c>
      <c r="W296" s="1" t="s">
        <v>40</v>
      </c>
      <c r="X296" s="1" t="s">
        <v>105</v>
      </c>
      <c r="Y296" s="1" t="s">
        <v>190</v>
      </c>
      <c r="Z296" s="1" t="s">
        <v>43</v>
      </c>
      <c r="AA296" s="1" t="s">
        <v>3341</v>
      </c>
      <c r="AB296" s="1" t="s">
        <v>95</v>
      </c>
      <c r="AC296" s="1"/>
      <c r="AD296" s="1">
        <v>4.5999999999999996</v>
      </c>
      <c r="AE296" s="1" t="s">
        <v>139</v>
      </c>
      <c r="AF296" s="1"/>
    </row>
    <row r="297" spans="1:32" ht="18" customHeight="1">
      <c r="A297" s="1" t="s">
        <v>1053</v>
      </c>
      <c r="B297" s="1" t="s">
        <v>1054</v>
      </c>
      <c r="C297" s="4" t="s">
        <v>3546</v>
      </c>
      <c r="D297" s="4">
        <v>46209</v>
      </c>
      <c r="E297" s="4">
        <v>46211</v>
      </c>
      <c r="F297" s="1" t="s">
        <v>60</v>
      </c>
      <c r="G297" s="1" t="s">
        <v>466</v>
      </c>
      <c r="H297" s="1" t="s">
        <v>3408</v>
      </c>
      <c r="I297" s="1" t="s">
        <v>70</v>
      </c>
      <c r="J297" s="1" t="s">
        <v>62</v>
      </c>
      <c r="K297" s="1" t="s">
        <v>1055</v>
      </c>
      <c r="L297" s="1" t="s">
        <v>225</v>
      </c>
      <c r="M297" s="1">
        <v>606.79999999999995</v>
      </c>
      <c r="N297" s="1" t="s">
        <v>104</v>
      </c>
      <c r="O297" s="1">
        <v>2000</v>
      </c>
      <c r="P297" s="1" t="s">
        <v>3547</v>
      </c>
      <c r="Q297" s="1">
        <v>0</v>
      </c>
      <c r="R297" s="7">
        <v>0</v>
      </c>
      <c r="S297" s="1">
        <v>10</v>
      </c>
      <c r="T297" s="1">
        <v>8</v>
      </c>
      <c r="U297" s="1">
        <v>2</v>
      </c>
      <c r="V297" s="1" t="s">
        <v>3323</v>
      </c>
      <c r="W297" s="1" t="s">
        <v>40</v>
      </c>
      <c r="X297" s="1" t="s">
        <v>146</v>
      </c>
      <c r="Y297" s="1" t="s">
        <v>66</v>
      </c>
      <c r="Z297" s="1" t="s">
        <v>128</v>
      </c>
      <c r="AA297" s="1" t="s">
        <v>206</v>
      </c>
      <c r="AB297" s="1"/>
      <c r="AC297" s="1"/>
      <c r="AD297" s="1">
        <v>2.7</v>
      </c>
      <c r="AE297" s="1" t="s">
        <v>57</v>
      </c>
      <c r="AF297" s="1" t="s">
        <v>148</v>
      </c>
    </row>
    <row r="298" spans="1:32" ht="18" customHeight="1">
      <c r="A298" s="1" t="s">
        <v>704</v>
      </c>
      <c r="B298" s="1" t="s">
        <v>1056</v>
      </c>
      <c r="C298" s="4">
        <v>46049</v>
      </c>
      <c r="D298" s="4" t="s">
        <v>3436</v>
      </c>
      <c r="E298" s="4">
        <v>46073</v>
      </c>
      <c r="F298" s="1" t="s">
        <v>80</v>
      </c>
      <c r="G298" s="1" t="s">
        <v>81</v>
      </c>
      <c r="H298" s="1" t="s">
        <v>82</v>
      </c>
      <c r="I298" s="1" t="s">
        <v>120</v>
      </c>
      <c r="J298" s="1" t="s">
        <v>35</v>
      </c>
      <c r="K298" s="1" t="s">
        <v>1057</v>
      </c>
      <c r="L298" s="1" t="s">
        <v>200</v>
      </c>
      <c r="M298" s="1">
        <v>870.05</v>
      </c>
      <c r="N298" s="1" t="s">
        <v>38</v>
      </c>
      <c r="O298" s="1">
        <v>300</v>
      </c>
      <c r="P298" s="1">
        <v>261015</v>
      </c>
      <c r="Q298" s="1">
        <v>2</v>
      </c>
      <c r="R298" s="7">
        <v>6.7000000000000002E-3</v>
      </c>
      <c r="S298" s="1">
        <v>24</v>
      </c>
      <c r="T298" s="1">
        <v>15</v>
      </c>
      <c r="U298" s="1">
        <v>9</v>
      </c>
      <c r="V298" s="1" t="s">
        <v>3328</v>
      </c>
      <c r="W298" s="1"/>
      <c r="X298" s="1" t="s">
        <v>105</v>
      </c>
      <c r="Y298" s="1" t="s">
        <v>66</v>
      </c>
      <c r="Z298" s="1" t="s">
        <v>54</v>
      </c>
      <c r="AA298" s="1" t="s">
        <v>3341</v>
      </c>
      <c r="AB298" s="1" t="s">
        <v>147</v>
      </c>
      <c r="AC298" s="1"/>
      <c r="AD298" s="1">
        <v>1.4</v>
      </c>
      <c r="AE298" s="1" t="s">
        <v>45</v>
      </c>
      <c r="AF298" s="1" t="s">
        <v>46</v>
      </c>
    </row>
    <row r="299" spans="1:32" ht="18" customHeight="1">
      <c r="A299" s="1" t="s">
        <v>1058</v>
      </c>
      <c r="B299" s="1" t="s">
        <v>1059</v>
      </c>
      <c r="C299" s="4">
        <v>46063</v>
      </c>
      <c r="D299" s="4">
        <v>46066</v>
      </c>
      <c r="E299" s="4">
        <v>46072</v>
      </c>
      <c r="F299" s="1" t="s">
        <v>151</v>
      </c>
      <c r="G299" s="1" t="s">
        <v>244</v>
      </c>
      <c r="H299" s="1" t="s">
        <v>152</v>
      </c>
      <c r="I299" s="1" t="s">
        <v>83</v>
      </c>
      <c r="J299" s="1" t="s">
        <v>112</v>
      </c>
      <c r="K299" s="1" t="s">
        <v>561</v>
      </c>
      <c r="L299" s="1" t="s">
        <v>246</v>
      </c>
      <c r="M299" s="1">
        <v>628.46</v>
      </c>
      <c r="N299" s="1" t="s">
        <v>38</v>
      </c>
      <c r="O299" s="1">
        <v>75</v>
      </c>
      <c r="P299" s="1">
        <v>47134.5</v>
      </c>
      <c r="Q299" s="1">
        <v>1</v>
      </c>
      <c r="R299" s="7">
        <v>1.3299999999999999E-2</v>
      </c>
      <c r="S299" s="1">
        <v>9</v>
      </c>
      <c r="T299" s="1">
        <v>3</v>
      </c>
      <c r="U299" s="1">
        <v>6</v>
      </c>
      <c r="V299" s="1" t="s">
        <v>39</v>
      </c>
      <c r="W299" s="1" t="s">
        <v>40</v>
      </c>
      <c r="X299" s="1" t="s">
        <v>3324</v>
      </c>
      <c r="Y299" s="1" t="s">
        <v>3334</v>
      </c>
      <c r="Z299" s="1" t="s">
        <v>107</v>
      </c>
      <c r="AA299" s="1" t="s">
        <v>129</v>
      </c>
      <c r="AB299" s="1" t="s">
        <v>191</v>
      </c>
      <c r="AC299" s="1"/>
      <c r="AD299" s="1">
        <v>2.5</v>
      </c>
      <c r="AE299" s="1" t="s">
        <v>139</v>
      </c>
      <c r="AF299" s="1" t="s">
        <v>46</v>
      </c>
    </row>
    <row r="300" spans="1:32" ht="18" customHeight="1">
      <c r="A300" s="1" t="s">
        <v>1060</v>
      </c>
      <c r="B300" s="1" t="s">
        <v>1061</v>
      </c>
      <c r="C300" s="4">
        <v>46126</v>
      </c>
      <c r="D300" s="4">
        <v>46135</v>
      </c>
      <c r="E300" s="4" t="s">
        <v>3548</v>
      </c>
      <c r="F300" s="1" t="s">
        <v>215</v>
      </c>
      <c r="G300" s="1" t="s">
        <v>216</v>
      </c>
      <c r="H300" s="1" t="s">
        <v>3408</v>
      </c>
      <c r="I300" s="1" t="s">
        <v>61</v>
      </c>
      <c r="J300" s="1" t="s">
        <v>35</v>
      </c>
      <c r="K300" s="1" t="s">
        <v>1062</v>
      </c>
      <c r="L300" s="1" t="s">
        <v>200</v>
      </c>
      <c r="M300" s="1">
        <v>1091.25</v>
      </c>
      <c r="N300" s="1" t="s">
        <v>159</v>
      </c>
      <c r="O300" s="1">
        <v>50</v>
      </c>
      <c r="P300" s="1">
        <v>54562.5</v>
      </c>
      <c r="Q300" s="1">
        <v>0</v>
      </c>
      <c r="R300" s="7">
        <v>0</v>
      </c>
      <c r="S300" s="1">
        <v>19</v>
      </c>
      <c r="T300" s="1">
        <v>9</v>
      </c>
      <c r="U300" s="1">
        <v>10</v>
      </c>
      <c r="V300" s="1" t="s">
        <v>39</v>
      </c>
      <c r="W300" s="1" t="s">
        <v>40</v>
      </c>
      <c r="X300" s="1" t="s">
        <v>127</v>
      </c>
      <c r="Y300" s="1" t="s">
        <v>3334</v>
      </c>
      <c r="Z300" s="1" t="s">
        <v>54</v>
      </c>
      <c r="AA300" s="1" t="s">
        <v>174</v>
      </c>
      <c r="AB300" s="1" t="s">
        <v>191</v>
      </c>
      <c r="AC300" s="1"/>
      <c r="AD300" s="1">
        <v>1.6</v>
      </c>
      <c r="AE300" s="1" t="s">
        <v>184</v>
      </c>
      <c r="AF300" s="1" t="s">
        <v>148</v>
      </c>
    </row>
    <row r="301" spans="1:32" ht="18" customHeight="1">
      <c r="A301" s="1" t="s">
        <v>1063</v>
      </c>
      <c r="B301" s="1" t="s">
        <v>1064</v>
      </c>
      <c r="C301" s="4">
        <v>46029</v>
      </c>
      <c r="D301" s="4">
        <v>46034</v>
      </c>
      <c r="E301" s="4">
        <v>46029</v>
      </c>
      <c r="F301" s="1" t="s">
        <v>215</v>
      </c>
      <c r="G301" s="1" t="s">
        <v>3502</v>
      </c>
      <c r="H301" s="1" t="s">
        <v>3408</v>
      </c>
      <c r="I301" s="1" t="s">
        <v>49</v>
      </c>
      <c r="J301" s="1" t="s">
        <v>112</v>
      </c>
      <c r="K301" s="1" t="s">
        <v>1065</v>
      </c>
      <c r="L301" s="1" t="s">
        <v>114</v>
      </c>
      <c r="M301" s="1">
        <v>704.65</v>
      </c>
      <c r="N301" s="1" t="s">
        <v>159</v>
      </c>
      <c r="O301" s="1" t="s">
        <v>3549</v>
      </c>
      <c r="P301" s="1">
        <v>1056975</v>
      </c>
      <c r="Q301" s="1">
        <v>14</v>
      </c>
      <c r="R301" s="7">
        <v>9.2999999999999992E-3</v>
      </c>
      <c r="S301" s="1">
        <v>0</v>
      </c>
      <c r="T301" s="1">
        <v>5</v>
      </c>
      <c r="U301" s="1">
        <v>-5</v>
      </c>
      <c r="V301" s="1" t="s">
        <v>3352</v>
      </c>
      <c r="W301" s="1" t="s">
        <v>40</v>
      </c>
      <c r="X301" s="1"/>
      <c r="Y301" s="1" t="s">
        <v>3334</v>
      </c>
      <c r="Z301" s="1" t="s">
        <v>54</v>
      </c>
      <c r="AA301" s="1" t="s">
        <v>3341</v>
      </c>
      <c r="AB301" s="1" t="s">
        <v>56</v>
      </c>
      <c r="AC301" s="1"/>
      <c r="AD301" s="1">
        <v>4.8</v>
      </c>
      <c r="AE301" s="1" t="s">
        <v>57</v>
      </c>
      <c r="AF301" s="1" t="s">
        <v>130</v>
      </c>
    </row>
    <row r="302" spans="1:32" ht="18" customHeight="1">
      <c r="A302" s="1" t="s">
        <v>1066</v>
      </c>
      <c r="B302" s="1" t="s">
        <v>1067</v>
      </c>
      <c r="C302" s="4" t="s">
        <v>3550</v>
      </c>
      <c r="D302" s="4">
        <v>46135</v>
      </c>
      <c r="E302" s="4">
        <v>46127</v>
      </c>
      <c r="F302" s="1" t="s">
        <v>100</v>
      </c>
      <c r="G302" s="1" t="s">
        <v>3343</v>
      </c>
      <c r="H302" s="1" t="s">
        <v>3322</v>
      </c>
      <c r="I302" s="1" t="s">
        <v>34</v>
      </c>
      <c r="J302" s="1" t="s">
        <v>50</v>
      </c>
      <c r="K302" s="1" t="s">
        <v>1068</v>
      </c>
      <c r="L302" s="1" t="s">
        <v>52</v>
      </c>
      <c r="M302" s="1">
        <v>435.04</v>
      </c>
      <c r="N302" s="1" t="s">
        <v>86</v>
      </c>
      <c r="O302" s="1">
        <v>500</v>
      </c>
      <c r="P302" s="1" t="s">
        <v>3551</v>
      </c>
      <c r="Q302" s="1">
        <v>14</v>
      </c>
      <c r="R302" s="7">
        <v>2.8000000000000001E-2</v>
      </c>
      <c r="S302" s="1">
        <v>7</v>
      </c>
      <c r="T302" s="1" t="s">
        <v>3552</v>
      </c>
      <c r="U302" s="1">
        <v>-8</v>
      </c>
      <c r="V302" s="1" t="s">
        <v>3352</v>
      </c>
      <c r="W302" s="1" t="s">
        <v>40</v>
      </c>
      <c r="X302" s="1" t="s">
        <v>105</v>
      </c>
      <c r="Y302" s="1" t="s">
        <v>42</v>
      </c>
      <c r="Z302" s="1" t="s">
        <v>173</v>
      </c>
      <c r="AA302" s="1" t="s">
        <v>55</v>
      </c>
      <c r="AB302" s="1" t="s">
        <v>191</v>
      </c>
      <c r="AC302" s="1"/>
      <c r="AD302" s="1">
        <v>4.3</v>
      </c>
      <c r="AE302" s="1" t="s">
        <v>108</v>
      </c>
      <c r="AF302" s="1"/>
    </row>
    <row r="303" spans="1:32" ht="18" customHeight="1">
      <c r="A303" s="1" t="s">
        <v>1069</v>
      </c>
      <c r="B303" s="1" t="s">
        <v>1070</v>
      </c>
      <c r="C303" s="4">
        <v>46195</v>
      </c>
      <c r="D303" s="4">
        <v>46210</v>
      </c>
      <c r="E303" s="4">
        <v>46212</v>
      </c>
      <c r="F303" s="1" t="s">
        <v>256</v>
      </c>
      <c r="G303" s="1" t="s">
        <v>3432</v>
      </c>
      <c r="H303" s="1" t="s">
        <v>3433</v>
      </c>
      <c r="I303" s="1" t="s">
        <v>178</v>
      </c>
      <c r="J303" s="1" t="s">
        <v>153</v>
      </c>
      <c r="K303" s="1" t="s">
        <v>1071</v>
      </c>
      <c r="L303" s="1" t="s">
        <v>204</v>
      </c>
      <c r="M303" s="1">
        <v>533.51</v>
      </c>
      <c r="N303" s="1" t="s">
        <v>65</v>
      </c>
      <c r="O303" s="1">
        <v>2000</v>
      </c>
      <c r="P303" s="1">
        <v>1067020</v>
      </c>
      <c r="Q303" s="1">
        <v>74</v>
      </c>
      <c r="R303" s="7">
        <v>3.6999999999999998E-2</v>
      </c>
      <c r="S303" s="1">
        <v>17</v>
      </c>
      <c r="T303" s="1">
        <v>15</v>
      </c>
      <c r="U303" s="1" t="s">
        <v>3380</v>
      </c>
      <c r="V303" s="1" t="s">
        <v>166</v>
      </c>
      <c r="W303" s="1" t="s">
        <v>404</v>
      </c>
      <c r="X303" s="1" t="s">
        <v>127</v>
      </c>
      <c r="Y303" s="1" t="s">
        <v>106</v>
      </c>
      <c r="Z303" s="1" t="s">
        <v>173</v>
      </c>
      <c r="AA303" s="1" t="s">
        <v>129</v>
      </c>
      <c r="AB303" s="1" t="s">
        <v>95</v>
      </c>
      <c r="AC303" s="1"/>
      <c r="AD303" s="1">
        <v>2.7</v>
      </c>
      <c r="AE303" s="1" t="s">
        <v>115</v>
      </c>
      <c r="AF303" s="1" t="s">
        <v>148</v>
      </c>
    </row>
    <row r="304" spans="1:32" ht="18" hidden="1" customHeight="1">
      <c r="A304" s="1" t="s">
        <v>1072</v>
      </c>
      <c r="B304" s="1" t="s">
        <v>1073</v>
      </c>
      <c r="C304" s="4">
        <v>46075</v>
      </c>
      <c r="D304" s="1" t="s">
        <v>3400</v>
      </c>
      <c r="E304" s="1">
        <v>46089</v>
      </c>
      <c r="F304" s="1" t="s">
        <v>100</v>
      </c>
      <c r="G304" s="1" t="s">
        <v>3429</v>
      </c>
      <c r="H304" s="1" t="s">
        <v>3361</v>
      </c>
      <c r="I304" s="1" t="s">
        <v>120</v>
      </c>
      <c r="J304" s="1" t="s">
        <v>153</v>
      </c>
      <c r="K304" s="1" t="s">
        <v>1074</v>
      </c>
      <c r="L304" s="1" t="s">
        <v>204</v>
      </c>
      <c r="M304" s="1">
        <v>557.45000000000005</v>
      </c>
      <c r="N304" s="1" t="s">
        <v>65</v>
      </c>
      <c r="O304" s="1">
        <v>-1000</v>
      </c>
      <c r="P304" s="1">
        <v>557450</v>
      </c>
      <c r="Q304" s="1">
        <v>74</v>
      </c>
      <c r="R304" s="7">
        <v>7.3999999999999996E-2</v>
      </c>
      <c r="S304" s="1">
        <v>14</v>
      </c>
      <c r="T304" s="1">
        <v>12</v>
      </c>
      <c r="U304" s="1">
        <v>2</v>
      </c>
      <c r="V304" s="1" t="s">
        <v>166</v>
      </c>
      <c r="W304" s="1" t="s">
        <v>420</v>
      </c>
      <c r="X304" s="1" t="s">
        <v>146</v>
      </c>
      <c r="Y304" s="1" t="s">
        <v>66</v>
      </c>
      <c r="Z304" s="1" t="s">
        <v>54</v>
      </c>
      <c r="AA304" s="1" t="s">
        <v>3341</v>
      </c>
      <c r="AB304" s="1" t="s">
        <v>147</v>
      </c>
      <c r="AC304" s="1" t="s">
        <v>183</v>
      </c>
      <c r="AD304" s="1">
        <v>2.4</v>
      </c>
      <c r="AE304" s="1" t="s">
        <v>76</v>
      </c>
      <c r="AF304" s="1" t="s">
        <v>185</v>
      </c>
    </row>
    <row r="305" spans="1:32" ht="18" customHeight="1">
      <c r="A305" s="1" t="s">
        <v>1075</v>
      </c>
      <c r="B305" s="1" t="s">
        <v>1076</v>
      </c>
      <c r="C305" s="4" t="s">
        <v>3553</v>
      </c>
      <c r="D305" s="4">
        <v>46161</v>
      </c>
      <c r="E305" s="4" t="s">
        <v>3554</v>
      </c>
      <c r="F305" s="1" t="s">
        <v>209</v>
      </c>
      <c r="G305" s="1" t="s">
        <v>3482</v>
      </c>
      <c r="H305" s="1" t="s">
        <v>3365</v>
      </c>
      <c r="I305" s="1" t="s">
        <v>70</v>
      </c>
      <c r="J305" s="1" t="s">
        <v>153</v>
      </c>
      <c r="K305" s="1" t="s">
        <v>996</v>
      </c>
      <c r="L305" s="1" t="s">
        <v>204</v>
      </c>
      <c r="M305" s="1">
        <v>-82.56</v>
      </c>
      <c r="N305" s="1" t="s">
        <v>291</v>
      </c>
      <c r="O305" s="1">
        <v>250</v>
      </c>
      <c r="P305" s="1">
        <v>20640</v>
      </c>
      <c r="Q305" s="1">
        <v>0</v>
      </c>
      <c r="R305" s="7">
        <v>0</v>
      </c>
      <c r="S305" s="1">
        <v>8</v>
      </c>
      <c r="T305" s="1">
        <v>11</v>
      </c>
      <c r="U305" s="1">
        <v>-3</v>
      </c>
      <c r="V305" s="1" t="s">
        <v>270</v>
      </c>
      <c r="W305" s="1"/>
      <c r="X305" s="1" t="s">
        <v>146</v>
      </c>
      <c r="Y305" s="1" t="s">
        <v>212</v>
      </c>
      <c r="Z305" s="1" t="s">
        <v>173</v>
      </c>
      <c r="AA305" s="1" t="s">
        <v>206</v>
      </c>
      <c r="AB305" s="1" t="s">
        <v>147</v>
      </c>
      <c r="AC305" s="1"/>
      <c r="AD305" s="1">
        <v>2.2000000000000002</v>
      </c>
      <c r="AE305" s="1" t="s">
        <v>139</v>
      </c>
      <c r="AF305" s="1" t="s">
        <v>130</v>
      </c>
    </row>
    <row r="306" spans="1:32" ht="18" customHeight="1">
      <c r="A306" s="1" t="s">
        <v>1077</v>
      </c>
      <c r="B306" s="1" t="s">
        <v>1078</v>
      </c>
      <c r="C306" s="4">
        <v>46030</v>
      </c>
      <c r="D306" s="4">
        <v>46042</v>
      </c>
      <c r="E306" s="4">
        <v>46039</v>
      </c>
      <c r="F306" s="1" t="s">
        <v>80</v>
      </c>
      <c r="G306" s="1" t="s">
        <v>81</v>
      </c>
      <c r="H306" s="1" t="s">
        <v>3414</v>
      </c>
      <c r="I306" s="1" t="s">
        <v>70</v>
      </c>
      <c r="J306" s="1" t="s">
        <v>35</v>
      </c>
      <c r="K306" s="1" t="s">
        <v>1079</v>
      </c>
      <c r="L306" s="1" t="s">
        <v>37</v>
      </c>
      <c r="M306" s="1">
        <v>707.8</v>
      </c>
      <c r="N306" s="1" t="s">
        <v>86</v>
      </c>
      <c r="O306" s="1">
        <v>75</v>
      </c>
      <c r="P306" s="1" t="s">
        <v>3555</v>
      </c>
      <c r="Q306" s="1">
        <v>0</v>
      </c>
      <c r="R306" s="7">
        <v>0</v>
      </c>
      <c r="S306" s="1">
        <v>9</v>
      </c>
      <c r="T306" s="1">
        <v>12</v>
      </c>
      <c r="U306" s="1">
        <v>-3</v>
      </c>
      <c r="V306" s="1" t="s">
        <v>270</v>
      </c>
      <c r="W306" s="1" t="s">
        <v>40</v>
      </c>
      <c r="X306" s="1" t="s">
        <v>105</v>
      </c>
      <c r="Y306" s="1" t="s">
        <v>212</v>
      </c>
      <c r="Z306" s="1" t="s">
        <v>54</v>
      </c>
      <c r="AA306" s="1" t="s">
        <v>88</v>
      </c>
      <c r="AB306" s="1"/>
      <c r="AC306" s="1"/>
      <c r="AD306" s="1">
        <v>4.0999999999999996</v>
      </c>
      <c r="AE306" s="1" t="s">
        <v>184</v>
      </c>
      <c r="AF306" s="1"/>
    </row>
    <row r="307" spans="1:32" ht="18" customHeight="1">
      <c r="A307" s="1" t="s">
        <v>1080</v>
      </c>
      <c r="B307" s="1" t="s">
        <v>1081</v>
      </c>
      <c r="C307" s="4"/>
      <c r="D307" s="4">
        <v>46057</v>
      </c>
      <c r="E307" s="4">
        <v>46056</v>
      </c>
      <c r="F307" s="1" t="s">
        <v>80</v>
      </c>
      <c r="G307" s="1" t="s">
        <v>3413</v>
      </c>
      <c r="H307" s="1" t="s">
        <v>3442</v>
      </c>
      <c r="I307" s="1" t="s">
        <v>70</v>
      </c>
      <c r="J307" s="1" t="s">
        <v>35</v>
      </c>
      <c r="K307" s="1" t="s">
        <v>1082</v>
      </c>
      <c r="L307" s="1" t="s">
        <v>85</v>
      </c>
      <c r="M307" s="1">
        <v>1612.89</v>
      </c>
      <c r="N307" s="1" t="s">
        <v>159</v>
      </c>
      <c r="O307" s="1">
        <v>1500</v>
      </c>
      <c r="P307" s="1">
        <v>2419335</v>
      </c>
      <c r="Q307" s="1">
        <v>53</v>
      </c>
      <c r="R307" s="7">
        <v>3.5299999999999998E-2</v>
      </c>
      <c r="S307" s="1">
        <v>11</v>
      </c>
      <c r="T307" s="1">
        <v>12</v>
      </c>
      <c r="U307" s="1">
        <v>-1</v>
      </c>
      <c r="V307" s="1" t="s">
        <v>87</v>
      </c>
      <c r="W307" s="1" t="s">
        <v>40</v>
      </c>
      <c r="X307" s="1" t="s">
        <v>105</v>
      </c>
      <c r="Y307" s="1" t="s">
        <v>190</v>
      </c>
      <c r="Z307" s="1" t="s">
        <v>54</v>
      </c>
      <c r="AA307" s="1" t="s">
        <v>88</v>
      </c>
      <c r="AB307" s="1"/>
      <c r="AC307" s="1"/>
      <c r="AD307" s="1">
        <v>2.7</v>
      </c>
      <c r="AE307" s="1" t="s">
        <v>57</v>
      </c>
      <c r="AF307" s="1"/>
    </row>
    <row r="308" spans="1:32" ht="18" hidden="1" customHeight="1">
      <c r="A308" s="1" t="s">
        <v>1083</v>
      </c>
      <c r="B308" s="1" t="s">
        <v>1084</v>
      </c>
      <c r="C308" s="4">
        <v>46046</v>
      </c>
      <c r="D308" s="1">
        <v>46056</v>
      </c>
      <c r="E308" s="1" t="s">
        <v>3556</v>
      </c>
      <c r="F308" s="1" t="s">
        <v>209</v>
      </c>
      <c r="G308" s="1" t="s">
        <v>3389</v>
      </c>
      <c r="H308" s="1" t="s">
        <v>316</v>
      </c>
      <c r="I308" s="1" t="s">
        <v>83</v>
      </c>
      <c r="J308" s="1" t="s">
        <v>35</v>
      </c>
      <c r="K308" s="1" t="s">
        <v>1085</v>
      </c>
      <c r="L308" s="1" t="s">
        <v>200</v>
      </c>
      <c r="M308" s="1">
        <v>2589.08</v>
      </c>
      <c r="N308" s="1" t="s">
        <v>38</v>
      </c>
      <c r="O308" s="1">
        <v>75</v>
      </c>
      <c r="P308" s="1">
        <v>194181</v>
      </c>
      <c r="Q308" s="1">
        <v>4</v>
      </c>
      <c r="R308" s="7">
        <v>5.33E-2</v>
      </c>
      <c r="S308" s="1">
        <v>11</v>
      </c>
      <c r="T308" s="1">
        <v>10</v>
      </c>
      <c r="U308" s="1" t="s">
        <v>3380</v>
      </c>
      <c r="V308" s="1" t="s">
        <v>3323</v>
      </c>
      <c r="W308" s="1" t="s">
        <v>74</v>
      </c>
      <c r="X308" s="1" t="s">
        <v>41</v>
      </c>
      <c r="Y308" s="1" t="s">
        <v>66</v>
      </c>
      <c r="Z308" s="1" t="s">
        <v>3330</v>
      </c>
      <c r="AA308" s="1" t="s">
        <v>206</v>
      </c>
      <c r="AB308" s="1" t="s">
        <v>95</v>
      </c>
      <c r="AC308" s="1" t="s">
        <v>283</v>
      </c>
      <c r="AD308" s="1">
        <v>1.6</v>
      </c>
      <c r="AE308" s="1" t="s">
        <v>108</v>
      </c>
      <c r="AF308" s="1" t="s">
        <v>77</v>
      </c>
    </row>
    <row r="309" spans="1:32" ht="18" customHeight="1">
      <c r="A309" s="1" t="s">
        <v>1086</v>
      </c>
      <c r="B309" s="1" t="s">
        <v>1087</v>
      </c>
      <c r="C309" s="4" t="s">
        <v>3463</v>
      </c>
      <c r="D309" s="4">
        <v>46056</v>
      </c>
      <c r="E309" s="4">
        <v>46041</v>
      </c>
      <c r="F309" s="1" t="s">
        <v>69</v>
      </c>
      <c r="G309" s="1" t="s">
        <v>3331</v>
      </c>
      <c r="H309" s="1" t="s">
        <v>3338</v>
      </c>
      <c r="I309" s="1" t="s">
        <v>241</v>
      </c>
      <c r="J309" s="1" t="s">
        <v>50</v>
      </c>
      <c r="K309" s="1" t="s">
        <v>1088</v>
      </c>
      <c r="L309" s="1" t="s">
        <v>145</v>
      </c>
      <c r="M309" s="1">
        <v>1221.79</v>
      </c>
      <c r="N309" s="1" t="s">
        <v>104</v>
      </c>
      <c r="O309" s="1">
        <v>75</v>
      </c>
      <c r="P309" s="1">
        <v>91634.25</v>
      </c>
      <c r="Q309" s="1">
        <v>0</v>
      </c>
      <c r="R309" s="7">
        <v>0</v>
      </c>
      <c r="S309" s="1">
        <v>-2</v>
      </c>
      <c r="T309" s="1">
        <v>13</v>
      </c>
      <c r="U309" s="1">
        <v>-15</v>
      </c>
      <c r="V309" s="1" t="s">
        <v>362</v>
      </c>
      <c r="W309" s="1" t="s">
        <v>40</v>
      </c>
      <c r="X309" s="1" t="s">
        <v>105</v>
      </c>
      <c r="Y309" s="1" t="s">
        <v>212</v>
      </c>
      <c r="Z309" s="1" t="s">
        <v>128</v>
      </c>
      <c r="AA309" s="1" t="s">
        <v>174</v>
      </c>
      <c r="AB309" s="1"/>
      <c r="AC309" s="1"/>
      <c r="AD309" s="1">
        <v>4.2</v>
      </c>
      <c r="AE309" s="1" t="s">
        <v>76</v>
      </c>
      <c r="AF309" s="1"/>
    </row>
    <row r="310" spans="1:32" ht="18" customHeight="1">
      <c r="A310" s="1" t="s">
        <v>1089</v>
      </c>
      <c r="B310" s="1" t="s">
        <v>1090</v>
      </c>
      <c r="C310" s="4">
        <v>46106</v>
      </c>
      <c r="D310" s="4">
        <v>46109</v>
      </c>
      <c r="E310" s="4">
        <v>46117</v>
      </c>
      <c r="F310" s="1" t="s">
        <v>162</v>
      </c>
      <c r="G310" s="1" t="s">
        <v>3383</v>
      </c>
      <c r="H310" s="1" t="s">
        <v>3408</v>
      </c>
      <c r="I310" s="1" t="s">
        <v>70</v>
      </c>
      <c r="J310" s="1" t="s">
        <v>163</v>
      </c>
      <c r="K310" s="1" t="s">
        <v>1091</v>
      </c>
      <c r="L310" s="1" t="s">
        <v>171</v>
      </c>
      <c r="M310" s="1">
        <v>506.94</v>
      </c>
      <c r="N310" s="1" t="s">
        <v>38</v>
      </c>
      <c r="O310" s="1"/>
      <c r="P310" s="1">
        <v>1013880</v>
      </c>
      <c r="Q310" s="1"/>
      <c r="R310" s="7">
        <v>1.2500000000000001E-2</v>
      </c>
      <c r="S310" s="1">
        <v>-5</v>
      </c>
      <c r="T310" s="1" t="s">
        <v>3557</v>
      </c>
      <c r="U310" s="1">
        <v>8</v>
      </c>
      <c r="V310" s="1" t="s">
        <v>3328</v>
      </c>
      <c r="W310" s="1" t="s">
        <v>40</v>
      </c>
      <c r="X310" s="1" t="s">
        <v>105</v>
      </c>
      <c r="Y310" s="1" t="s">
        <v>212</v>
      </c>
      <c r="Z310" s="1" t="s">
        <v>3330</v>
      </c>
      <c r="AA310" s="1"/>
      <c r="AB310" s="1" t="s">
        <v>56</v>
      </c>
      <c r="AC310" s="1"/>
      <c r="AD310" s="1">
        <v>-1</v>
      </c>
      <c r="AE310" s="1" t="s">
        <v>108</v>
      </c>
      <c r="AF310" s="1" t="s">
        <v>46</v>
      </c>
    </row>
    <row r="311" spans="1:32" ht="18" customHeight="1">
      <c r="A311" s="1" t="s">
        <v>1092</v>
      </c>
      <c r="B311" s="1" t="s">
        <v>1093</v>
      </c>
      <c r="C311" s="4">
        <v>46065</v>
      </c>
      <c r="D311" s="4" t="s">
        <v>3436</v>
      </c>
      <c r="E311" s="4">
        <v>46083</v>
      </c>
      <c r="F311" s="1" t="s">
        <v>209</v>
      </c>
      <c r="G311" s="1" t="s">
        <v>3389</v>
      </c>
      <c r="H311" s="1" t="s">
        <v>3365</v>
      </c>
      <c r="I311" s="1" t="s">
        <v>70</v>
      </c>
      <c r="J311" s="1" t="s">
        <v>153</v>
      </c>
      <c r="K311" s="1" t="s">
        <v>1094</v>
      </c>
      <c r="L311" s="1" t="s">
        <v>155</v>
      </c>
      <c r="M311" s="1">
        <v>106.04</v>
      </c>
      <c r="N311" s="1" t="s">
        <v>38</v>
      </c>
      <c r="O311" s="1">
        <v>500</v>
      </c>
      <c r="P311" s="1">
        <v>53020</v>
      </c>
      <c r="Q311" s="1">
        <v>15</v>
      </c>
      <c r="R311" s="7">
        <v>0.03</v>
      </c>
      <c r="S311" s="1">
        <v>18</v>
      </c>
      <c r="T311" s="1">
        <v>8</v>
      </c>
      <c r="U311" s="1">
        <v>10</v>
      </c>
      <c r="V311" s="1" t="s">
        <v>39</v>
      </c>
      <c r="W311" s="1" t="s">
        <v>40</v>
      </c>
      <c r="X311" s="1" t="s">
        <v>3324</v>
      </c>
      <c r="Y311" s="1" t="s">
        <v>42</v>
      </c>
      <c r="Z311" s="1" t="s">
        <v>107</v>
      </c>
      <c r="AA311" s="1" t="s">
        <v>55</v>
      </c>
      <c r="AB311" s="1"/>
      <c r="AC311" s="1"/>
      <c r="AD311" s="1">
        <v>1.6</v>
      </c>
      <c r="AE311" s="1" t="s">
        <v>45</v>
      </c>
      <c r="AF311" s="1" t="s">
        <v>46</v>
      </c>
    </row>
    <row r="312" spans="1:32" ht="18" customHeight="1">
      <c r="A312" s="1" t="s">
        <v>1095</v>
      </c>
      <c r="B312" s="1" t="s">
        <v>1096</v>
      </c>
      <c r="C312" s="4">
        <v>46103</v>
      </c>
      <c r="D312" s="4" t="s">
        <v>3400</v>
      </c>
      <c r="E312" s="4">
        <v>46127</v>
      </c>
      <c r="F312" s="1" t="s">
        <v>118</v>
      </c>
      <c r="G312" s="1" t="s">
        <v>119</v>
      </c>
      <c r="H312" s="1" t="s">
        <v>3407</v>
      </c>
      <c r="I312" s="1" t="s">
        <v>61</v>
      </c>
      <c r="J312" s="1" t="s">
        <v>62</v>
      </c>
      <c r="K312" s="1" t="s">
        <v>1097</v>
      </c>
      <c r="L312" s="1" t="s">
        <v>64</v>
      </c>
      <c r="M312" s="1">
        <v>847.63</v>
      </c>
      <c r="N312" s="1" t="s">
        <v>65</v>
      </c>
      <c r="O312" s="1">
        <v>2000</v>
      </c>
      <c r="P312" s="1">
        <v>1695260</v>
      </c>
      <c r="Q312" s="1">
        <v>48</v>
      </c>
      <c r="R312" s="7">
        <v>2.4E-2</v>
      </c>
      <c r="S312" s="1">
        <v>24</v>
      </c>
      <c r="T312" s="1">
        <v>19</v>
      </c>
      <c r="U312" s="1">
        <v>5</v>
      </c>
      <c r="V312" s="1" t="s">
        <v>205</v>
      </c>
      <c r="W312" s="1" t="s">
        <v>40</v>
      </c>
      <c r="X312" s="1" t="s">
        <v>105</v>
      </c>
      <c r="Y312" s="1" t="s">
        <v>42</v>
      </c>
      <c r="Z312" s="1" t="s">
        <v>173</v>
      </c>
      <c r="AA312" s="1" t="s">
        <v>136</v>
      </c>
      <c r="AB312" s="1" t="s">
        <v>147</v>
      </c>
      <c r="AC312" s="1"/>
      <c r="AD312" s="1">
        <v>4.5</v>
      </c>
      <c r="AE312" s="1" t="s">
        <v>184</v>
      </c>
      <c r="AF312" s="1" t="s">
        <v>46</v>
      </c>
    </row>
    <row r="313" spans="1:32" ht="18" customHeight="1">
      <c r="A313" s="1" t="s">
        <v>1098</v>
      </c>
      <c r="B313" s="1" t="s">
        <v>1099</v>
      </c>
      <c r="C313" s="4" t="s">
        <v>3558</v>
      </c>
      <c r="D313" s="4">
        <v>46061</v>
      </c>
      <c r="E313" s="4" t="s">
        <v>3559</v>
      </c>
      <c r="F313" s="1" t="s">
        <v>118</v>
      </c>
      <c r="G313" s="1" t="s">
        <v>119</v>
      </c>
      <c r="H313" s="1" t="s">
        <v>3340</v>
      </c>
      <c r="I313" s="1" t="s">
        <v>83</v>
      </c>
      <c r="J313" s="1" t="s">
        <v>62</v>
      </c>
      <c r="K313" s="1" t="s">
        <v>1100</v>
      </c>
      <c r="L313" s="1" t="s">
        <v>225</v>
      </c>
      <c r="M313" s="1">
        <v>435.84</v>
      </c>
      <c r="N313" s="1" t="s">
        <v>104</v>
      </c>
      <c r="O313" s="1">
        <v>150</v>
      </c>
      <c r="P313" s="1">
        <v>65376</v>
      </c>
      <c r="Q313" s="1">
        <v>6</v>
      </c>
      <c r="R313" s="7">
        <v>0.04</v>
      </c>
      <c r="S313" s="1">
        <v>23</v>
      </c>
      <c r="T313" s="1">
        <v>20</v>
      </c>
      <c r="U313" s="1">
        <v>3</v>
      </c>
      <c r="V313" s="1" t="s">
        <v>166</v>
      </c>
      <c r="W313" s="1" t="s">
        <v>40</v>
      </c>
      <c r="X313" s="1" t="s">
        <v>105</v>
      </c>
      <c r="Y313" s="1" t="s">
        <v>42</v>
      </c>
      <c r="Z313" s="1" t="s">
        <v>173</v>
      </c>
      <c r="AA313" s="1" t="s">
        <v>3341</v>
      </c>
      <c r="AB313" s="1" t="s">
        <v>44</v>
      </c>
      <c r="AC313" s="1"/>
      <c r="AD313" s="1">
        <v>4</v>
      </c>
      <c r="AE313" s="1" t="s">
        <v>45</v>
      </c>
      <c r="AF313" s="1" t="s">
        <v>46</v>
      </c>
    </row>
    <row r="314" spans="1:32" ht="18" customHeight="1">
      <c r="A314" s="1" t="s">
        <v>1101</v>
      </c>
      <c r="B314" s="1" t="s">
        <v>1102</v>
      </c>
      <c r="C314" s="4">
        <v>46098</v>
      </c>
      <c r="D314" s="4">
        <v>46109</v>
      </c>
      <c r="E314" s="4">
        <v>46112</v>
      </c>
      <c r="F314" s="1" t="s">
        <v>69</v>
      </c>
      <c r="G314" s="1" t="s">
        <v>111</v>
      </c>
      <c r="H314" s="1" t="s">
        <v>3332</v>
      </c>
      <c r="I314" s="1" t="s">
        <v>83</v>
      </c>
      <c r="J314" s="1" t="s">
        <v>112</v>
      </c>
      <c r="K314" s="1" t="s">
        <v>1103</v>
      </c>
      <c r="L314" s="1" t="s">
        <v>246</v>
      </c>
      <c r="M314" s="1">
        <v>651.86</v>
      </c>
      <c r="N314" s="1" t="s">
        <v>104</v>
      </c>
      <c r="O314" s="1">
        <v>250</v>
      </c>
      <c r="P314" s="1">
        <v>162965</v>
      </c>
      <c r="Q314" s="1">
        <v>7</v>
      </c>
      <c r="R314" s="7">
        <v>2.8000000000000001E-2</v>
      </c>
      <c r="S314" s="1">
        <v>14</v>
      </c>
      <c r="T314" s="1">
        <v>11</v>
      </c>
      <c r="U314" s="1">
        <v>3</v>
      </c>
      <c r="V314" s="1" t="s">
        <v>3323</v>
      </c>
      <c r="W314" s="1" t="s">
        <v>40</v>
      </c>
      <c r="X314" s="1"/>
      <c r="Y314" s="1" t="s">
        <v>66</v>
      </c>
      <c r="Z314" s="1" t="s">
        <v>3333</v>
      </c>
      <c r="AA314" s="1" t="s">
        <v>174</v>
      </c>
      <c r="AB314" s="1" t="s">
        <v>137</v>
      </c>
      <c r="AC314" s="1"/>
      <c r="AD314" s="1">
        <v>3.7</v>
      </c>
      <c r="AE314" s="1" t="s">
        <v>45</v>
      </c>
      <c r="AF314" s="1" t="s">
        <v>148</v>
      </c>
    </row>
    <row r="315" spans="1:32" ht="18" hidden="1" customHeight="1">
      <c r="A315" s="1" t="s">
        <v>1104</v>
      </c>
      <c r="B315" s="1" t="s">
        <v>1105</v>
      </c>
      <c r="C315" s="4">
        <v>46151</v>
      </c>
      <c r="D315" s="1">
        <v>46163</v>
      </c>
      <c r="E315" s="1">
        <v>46160</v>
      </c>
      <c r="F315" s="1" t="s">
        <v>69</v>
      </c>
      <c r="G315" s="1" t="s">
        <v>111</v>
      </c>
      <c r="H315" s="1" t="s">
        <v>3332</v>
      </c>
      <c r="I315" s="1" t="s">
        <v>83</v>
      </c>
      <c r="J315" s="1" t="s">
        <v>153</v>
      </c>
      <c r="K315" s="1" t="s">
        <v>1106</v>
      </c>
      <c r="L315" s="1" t="s">
        <v>204</v>
      </c>
      <c r="M315" s="1">
        <v>674.77</v>
      </c>
      <c r="N315" s="1" t="s">
        <v>159</v>
      </c>
      <c r="O315" s="1">
        <v>300</v>
      </c>
      <c r="P315" s="1">
        <v>202431</v>
      </c>
      <c r="Q315" s="1">
        <v>16</v>
      </c>
      <c r="R315" s="7">
        <v>5.33E-2</v>
      </c>
      <c r="S315" s="1">
        <v>9</v>
      </c>
      <c r="T315" s="1">
        <v>12</v>
      </c>
      <c r="U315" s="1">
        <v>-3</v>
      </c>
      <c r="V315" s="1" t="s">
        <v>270</v>
      </c>
      <c r="W315" s="1" t="s">
        <v>420</v>
      </c>
      <c r="X315" s="1" t="s">
        <v>105</v>
      </c>
      <c r="Y315" s="1" t="s">
        <v>42</v>
      </c>
      <c r="Z315" s="1" t="s">
        <v>107</v>
      </c>
      <c r="AA315" s="1" t="s">
        <v>206</v>
      </c>
      <c r="AB315" s="1" t="s">
        <v>191</v>
      </c>
      <c r="AC315" s="1" t="s">
        <v>75</v>
      </c>
      <c r="AD315" s="1">
        <v>1.2</v>
      </c>
      <c r="AE315" s="1" t="s">
        <v>115</v>
      </c>
      <c r="AF315" s="1" t="s">
        <v>97</v>
      </c>
    </row>
    <row r="316" spans="1:32" ht="18" customHeight="1">
      <c r="A316" s="1" t="s">
        <v>1107</v>
      </c>
      <c r="B316" s="1" t="s">
        <v>1108</v>
      </c>
      <c r="C316" s="4">
        <v>46099</v>
      </c>
      <c r="D316" s="4">
        <v>46111</v>
      </c>
      <c r="E316" s="4">
        <v>46113</v>
      </c>
      <c r="F316" s="1" t="s">
        <v>60</v>
      </c>
      <c r="G316" s="1" t="s">
        <v>466</v>
      </c>
      <c r="H316" s="1" t="s">
        <v>3327</v>
      </c>
      <c r="I316" s="1" t="s">
        <v>92</v>
      </c>
      <c r="J316" s="1" t="s">
        <v>153</v>
      </c>
      <c r="K316" s="1" t="s">
        <v>1109</v>
      </c>
      <c r="L316" s="1" t="s">
        <v>204</v>
      </c>
      <c r="M316" s="1">
        <v>257.19</v>
      </c>
      <c r="N316" s="1" t="s">
        <v>159</v>
      </c>
      <c r="O316" s="1">
        <v>150</v>
      </c>
      <c r="P316" s="1">
        <v>38578.5</v>
      </c>
      <c r="Q316" s="1">
        <v>5</v>
      </c>
      <c r="R316" s="7">
        <v>3.3300000000000003E-2</v>
      </c>
      <c r="S316" s="1">
        <v>14</v>
      </c>
      <c r="T316" s="1">
        <v>12</v>
      </c>
      <c r="U316" s="1">
        <v>2</v>
      </c>
      <c r="V316" s="1" t="s">
        <v>135</v>
      </c>
      <c r="W316" s="1" t="s">
        <v>40</v>
      </c>
      <c r="X316" s="1" t="s">
        <v>105</v>
      </c>
      <c r="Y316" s="1"/>
      <c r="Z316" s="1" t="s">
        <v>3333</v>
      </c>
      <c r="AA316" s="1" t="s">
        <v>129</v>
      </c>
      <c r="AB316" s="1" t="s">
        <v>191</v>
      </c>
      <c r="AC316" s="1"/>
      <c r="AD316" s="1">
        <v>2.1</v>
      </c>
      <c r="AE316" s="1" t="s">
        <v>115</v>
      </c>
      <c r="AF316" s="1" t="s">
        <v>46</v>
      </c>
    </row>
    <row r="317" spans="1:32" ht="18" customHeight="1">
      <c r="A317" s="1" t="s">
        <v>1110</v>
      </c>
      <c r="B317" s="1" t="s">
        <v>1111</v>
      </c>
      <c r="C317" s="4">
        <v>46180</v>
      </c>
      <c r="D317" s="4">
        <v>46203</v>
      </c>
      <c r="E317" s="4">
        <v>46201</v>
      </c>
      <c r="F317" s="1" t="s">
        <v>118</v>
      </c>
      <c r="G317" s="1" t="s">
        <v>119</v>
      </c>
      <c r="H317" s="1" t="s">
        <v>3407</v>
      </c>
      <c r="I317" s="1" t="s">
        <v>92</v>
      </c>
      <c r="J317" s="1" t="s">
        <v>62</v>
      </c>
      <c r="K317" s="1" t="s">
        <v>1112</v>
      </c>
      <c r="L317" s="1" t="s">
        <v>64</v>
      </c>
      <c r="M317" s="1">
        <v>335.59</v>
      </c>
      <c r="N317" s="1" t="s">
        <v>38</v>
      </c>
      <c r="O317" s="1">
        <v>2000</v>
      </c>
      <c r="P317" s="1">
        <v>671180</v>
      </c>
      <c r="Q317" s="1">
        <v>46</v>
      </c>
      <c r="R317" s="7">
        <v>2.3E-2</v>
      </c>
      <c r="S317" s="1">
        <v>21</v>
      </c>
      <c r="T317" s="1">
        <v>23</v>
      </c>
      <c r="U317" s="1">
        <v>-2</v>
      </c>
      <c r="V317" s="1" t="s">
        <v>3352</v>
      </c>
      <c r="W317" s="1" t="s">
        <v>40</v>
      </c>
      <c r="X317" s="1"/>
      <c r="Y317" s="1" t="s">
        <v>190</v>
      </c>
      <c r="Z317" s="1" t="s">
        <v>3333</v>
      </c>
      <c r="AA317" s="1" t="s">
        <v>3341</v>
      </c>
      <c r="AB317" s="1" t="s">
        <v>137</v>
      </c>
      <c r="AC317" s="1"/>
      <c r="AD317" s="1">
        <v>4.7</v>
      </c>
      <c r="AE317" s="1" t="s">
        <v>45</v>
      </c>
      <c r="AF317" s="1" t="s">
        <v>130</v>
      </c>
    </row>
    <row r="318" spans="1:32" ht="18" customHeight="1">
      <c r="A318" s="1" t="s">
        <v>1113</v>
      </c>
      <c r="B318" s="1" t="s">
        <v>1114</v>
      </c>
      <c r="C318" s="4">
        <v>46187</v>
      </c>
      <c r="D318" s="4" t="s">
        <v>3400</v>
      </c>
      <c r="E318" s="4">
        <v>46204</v>
      </c>
      <c r="F318" s="1" t="s">
        <v>90</v>
      </c>
      <c r="G318" s="1" t="s">
        <v>91</v>
      </c>
      <c r="H318" s="1" t="s">
        <v>3425</v>
      </c>
      <c r="I318" s="1" t="s">
        <v>70</v>
      </c>
      <c r="J318" s="1" t="s">
        <v>71</v>
      </c>
      <c r="K318" s="1" t="s">
        <v>1115</v>
      </c>
      <c r="L318" s="1" t="s">
        <v>238</v>
      </c>
      <c r="M318" s="1">
        <v>497.21</v>
      </c>
      <c r="N318" s="1" t="s">
        <v>53</v>
      </c>
      <c r="O318" s="1">
        <v>-75</v>
      </c>
      <c r="P318" s="1">
        <v>37290.75</v>
      </c>
      <c r="Q318" s="1">
        <v>0</v>
      </c>
      <c r="R318" s="7">
        <v>0</v>
      </c>
      <c r="S318" s="1">
        <v>17</v>
      </c>
      <c r="T318" s="1">
        <v>13</v>
      </c>
      <c r="U318" s="1">
        <v>4</v>
      </c>
      <c r="V318" s="1" t="s">
        <v>3328</v>
      </c>
      <c r="W318" s="1" t="s">
        <v>40</v>
      </c>
      <c r="X318" s="1" t="s">
        <v>127</v>
      </c>
      <c r="Y318" s="1"/>
      <c r="Z318" s="1" t="s">
        <v>54</v>
      </c>
      <c r="AA318" s="1"/>
      <c r="AB318" s="1" t="s">
        <v>56</v>
      </c>
      <c r="AC318" s="1"/>
      <c r="AD318" s="1">
        <v>2.2000000000000002</v>
      </c>
      <c r="AE318" s="1" t="s">
        <v>115</v>
      </c>
      <c r="AF318" s="1" t="s">
        <v>148</v>
      </c>
    </row>
    <row r="319" spans="1:32" ht="18" customHeight="1">
      <c r="A319" s="1" t="s">
        <v>1116</v>
      </c>
      <c r="B319" s="1" t="s">
        <v>1117</v>
      </c>
      <c r="C319" s="4">
        <v>46143</v>
      </c>
      <c r="D319" s="4">
        <v>46168</v>
      </c>
      <c r="E319" s="4" t="s">
        <v>3560</v>
      </c>
      <c r="F319" s="1" t="s">
        <v>142</v>
      </c>
      <c r="G319" s="1" t="s">
        <v>3561</v>
      </c>
      <c r="H319" s="1" t="s">
        <v>169</v>
      </c>
      <c r="I319" s="1" t="s">
        <v>120</v>
      </c>
      <c r="J319" s="1" t="s">
        <v>50</v>
      </c>
      <c r="K319" s="1" t="s">
        <v>1118</v>
      </c>
      <c r="L319" s="1" t="s">
        <v>189</v>
      </c>
      <c r="M319" s="1">
        <v>342.07</v>
      </c>
      <c r="N319" s="1" t="s">
        <v>104</v>
      </c>
      <c r="O319" s="1">
        <v>2000</v>
      </c>
      <c r="P319" s="1">
        <v>684140</v>
      </c>
      <c r="Q319" s="1">
        <v>53</v>
      </c>
      <c r="R319" s="7">
        <v>2.6499999999999999E-2</v>
      </c>
      <c r="S319" s="1">
        <v>16</v>
      </c>
      <c r="T319" s="1">
        <v>25</v>
      </c>
      <c r="U319" s="1">
        <v>-9</v>
      </c>
      <c r="V319" s="1" t="s">
        <v>270</v>
      </c>
      <c r="W319" s="1" t="s">
        <v>40</v>
      </c>
      <c r="X319" s="1" t="s">
        <v>105</v>
      </c>
      <c r="Y319" s="1" t="s">
        <v>212</v>
      </c>
      <c r="Z319" s="1" t="s">
        <v>107</v>
      </c>
      <c r="AA319" s="1" t="s">
        <v>129</v>
      </c>
      <c r="AB319" s="1" t="s">
        <v>44</v>
      </c>
      <c r="AC319" s="1"/>
      <c r="AD319" s="1">
        <v>3.3</v>
      </c>
      <c r="AE319" s="1" t="s">
        <v>139</v>
      </c>
      <c r="AF319" s="1"/>
    </row>
    <row r="320" spans="1:32" ht="18" customHeight="1">
      <c r="A320" s="1" t="s">
        <v>1119</v>
      </c>
      <c r="B320" s="1" t="s">
        <v>1120</v>
      </c>
      <c r="C320" s="4">
        <v>46100</v>
      </c>
      <c r="D320" s="4" t="s">
        <v>3400</v>
      </c>
      <c r="E320" s="4">
        <v>46114</v>
      </c>
      <c r="F320" s="1" t="s">
        <v>100</v>
      </c>
      <c r="G320" s="1" t="s">
        <v>3485</v>
      </c>
      <c r="H320" s="1" t="s">
        <v>3361</v>
      </c>
      <c r="I320" s="1" t="s">
        <v>61</v>
      </c>
      <c r="J320" s="1" t="s">
        <v>112</v>
      </c>
      <c r="K320" s="1" t="s">
        <v>1121</v>
      </c>
      <c r="L320" s="1" t="s">
        <v>229</v>
      </c>
      <c r="M320" s="1">
        <v>17.77</v>
      </c>
      <c r="N320" s="1" t="s">
        <v>104</v>
      </c>
      <c r="O320" s="1">
        <v>1500</v>
      </c>
      <c r="P320" s="1"/>
      <c r="Q320" s="1">
        <v>40</v>
      </c>
      <c r="R320" s="7">
        <v>2.6700000000000002E-2</v>
      </c>
      <c r="S320" s="1">
        <v>14</v>
      </c>
      <c r="T320" s="1">
        <v>10</v>
      </c>
      <c r="U320" s="1">
        <v>4</v>
      </c>
      <c r="V320" s="1" t="s">
        <v>3328</v>
      </c>
      <c r="W320" s="1" t="s">
        <v>40</v>
      </c>
      <c r="X320" s="1" t="s">
        <v>3329</v>
      </c>
      <c r="Y320" s="1" t="s">
        <v>3334</v>
      </c>
      <c r="Z320" s="1" t="s">
        <v>128</v>
      </c>
      <c r="AA320" s="1" t="s">
        <v>174</v>
      </c>
      <c r="AB320" s="1"/>
      <c r="AC320" s="1"/>
      <c r="AD320" s="1">
        <v>3.7</v>
      </c>
      <c r="AE320" s="1" t="s">
        <v>115</v>
      </c>
      <c r="AF320" s="1" t="s">
        <v>46</v>
      </c>
    </row>
    <row r="321" spans="1:32" ht="18" hidden="1" customHeight="1">
      <c r="A321" s="1" t="s">
        <v>1122</v>
      </c>
      <c r="B321" s="1" t="s">
        <v>1123</v>
      </c>
      <c r="C321" s="4">
        <v>46098</v>
      </c>
      <c r="D321" s="1">
        <v>46110</v>
      </c>
      <c r="E321" s="1">
        <v>46107</v>
      </c>
      <c r="F321" s="1" t="s">
        <v>215</v>
      </c>
      <c r="G321" s="1" t="s">
        <v>216</v>
      </c>
      <c r="H321" s="1" t="s">
        <v>3327</v>
      </c>
      <c r="I321" s="1" t="s">
        <v>61</v>
      </c>
      <c r="J321" s="1" t="s">
        <v>112</v>
      </c>
      <c r="K321" s="1" t="s">
        <v>1124</v>
      </c>
      <c r="L321" s="1" t="s">
        <v>218</v>
      </c>
      <c r="M321" s="1">
        <v>318.11</v>
      </c>
      <c r="N321" s="1" t="s">
        <v>104</v>
      </c>
      <c r="O321" s="1">
        <v>500</v>
      </c>
      <c r="P321" s="1">
        <v>159055</v>
      </c>
      <c r="Q321" s="1">
        <v>23</v>
      </c>
      <c r="R321" s="7">
        <v>4.5999999999999999E-2</v>
      </c>
      <c r="S321" s="1">
        <v>-5</v>
      </c>
      <c r="T321" s="1">
        <v>12</v>
      </c>
      <c r="U321" s="1">
        <v>-3</v>
      </c>
      <c r="V321" s="1" t="s">
        <v>270</v>
      </c>
      <c r="W321" s="1" t="s">
        <v>366</v>
      </c>
      <c r="X321" s="1" t="s">
        <v>146</v>
      </c>
      <c r="Y321" s="1" t="s">
        <v>42</v>
      </c>
      <c r="Z321" s="1" t="s">
        <v>43</v>
      </c>
      <c r="AA321" s="1" t="s">
        <v>55</v>
      </c>
      <c r="AB321" s="1" t="s">
        <v>44</v>
      </c>
      <c r="AC321" s="1" t="s">
        <v>283</v>
      </c>
      <c r="AD321" s="1">
        <v>2.9</v>
      </c>
      <c r="AE321" s="1" t="s">
        <v>76</v>
      </c>
      <c r="AF321" s="1" t="s">
        <v>284</v>
      </c>
    </row>
    <row r="322" spans="1:32" ht="18" customHeight="1">
      <c r="A322" s="1" t="s">
        <v>1125</v>
      </c>
      <c r="B322" s="1" t="s">
        <v>1126</v>
      </c>
      <c r="C322" s="4" t="s">
        <v>3406</v>
      </c>
      <c r="D322" s="4">
        <v>46148</v>
      </c>
      <c r="E322" s="4">
        <v>46142</v>
      </c>
      <c r="F322" s="1" t="s">
        <v>48</v>
      </c>
      <c r="G322" s="1" t="s">
        <v>232</v>
      </c>
      <c r="H322" s="1" t="s">
        <v>3361</v>
      </c>
      <c r="I322" s="1" t="s">
        <v>49</v>
      </c>
      <c r="J322" s="1" t="s">
        <v>50</v>
      </c>
      <c r="K322" s="1" t="s">
        <v>1127</v>
      </c>
      <c r="L322" s="1" t="s">
        <v>52</v>
      </c>
      <c r="M322" s="1">
        <v>2397.5700000000002</v>
      </c>
      <c r="N322" s="1" t="s">
        <v>65</v>
      </c>
      <c r="O322" s="1">
        <v>200</v>
      </c>
      <c r="P322" s="1">
        <v>479514</v>
      </c>
      <c r="Q322" s="1">
        <v>6</v>
      </c>
      <c r="R322" s="7">
        <v>0.03</v>
      </c>
      <c r="S322" s="1">
        <v>10</v>
      </c>
      <c r="T322" s="1">
        <v>16</v>
      </c>
      <c r="U322" s="1">
        <v>-6</v>
      </c>
      <c r="V322" s="1" t="s">
        <v>270</v>
      </c>
      <c r="W322" s="1" t="s">
        <v>40</v>
      </c>
      <c r="X322" s="1" t="s">
        <v>105</v>
      </c>
      <c r="Y322" s="1" t="s">
        <v>3334</v>
      </c>
      <c r="Z322" s="1" t="s">
        <v>107</v>
      </c>
      <c r="AA322" s="1" t="s">
        <v>88</v>
      </c>
      <c r="AB322" s="1" t="s">
        <v>44</v>
      </c>
      <c r="AC322" s="1"/>
      <c r="AD322" s="1">
        <v>2.1</v>
      </c>
      <c r="AE322" s="1" t="s">
        <v>115</v>
      </c>
      <c r="AF322" s="1"/>
    </row>
    <row r="323" spans="1:32" ht="18" customHeight="1">
      <c r="A323" s="1" t="s">
        <v>1128</v>
      </c>
      <c r="B323" s="1" t="s">
        <v>1129</v>
      </c>
      <c r="C323" s="4">
        <v>46103</v>
      </c>
      <c r="D323" s="4">
        <v>46122</v>
      </c>
      <c r="E323" s="4">
        <v>46125</v>
      </c>
      <c r="F323" s="1" t="s">
        <v>118</v>
      </c>
      <c r="G323" s="1" t="s">
        <v>119</v>
      </c>
      <c r="H323" s="1" t="s">
        <v>3369</v>
      </c>
      <c r="I323" s="1" t="s">
        <v>70</v>
      </c>
      <c r="J323" s="1" t="s">
        <v>62</v>
      </c>
      <c r="K323" s="1" t="s">
        <v>1130</v>
      </c>
      <c r="L323" s="1" t="s">
        <v>94</v>
      </c>
      <c r="M323" s="1">
        <v>140.72</v>
      </c>
      <c r="N323" s="1" t="s">
        <v>53</v>
      </c>
      <c r="O323" s="1">
        <v>100</v>
      </c>
      <c r="P323" s="1">
        <v>14072</v>
      </c>
      <c r="Q323" s="1">
        <v>3</v>
      </c>
      <c r="R323" s="7">
        <v>0.03</v>
      </c>
      <c r="S323" s="1">
        <v>22</v>
      </c>
      <c r="T323" s="1">
        <v>19</v>
      </c>
      <c r="U323" s="1">
        <v>3</v>
      </c>
      <c r="V323" s="1" t="s">
        <v>3323</v>
      </c>
      <c r="W323" s="1" t="s">
        <v>40</v>
      </c>
      <c r="X323" s="1" t="s">
        <v>3324</v>
      </c>
      <c r="Y323" s="1" t="s">
        <v>3334</v>
      </c>
      <c r="Z323" s="1" t="s">
        <v>3330</v>
      </c>
      <c r="AA323" s="1" t="s">
        <v>3341</v>
      </c>
      <c r="AB323" s="1"/>
      <c r="AC323" s="1"/>
      <c r="AD323" s="1">
        <v>4.2</v>
      </c>
      <c r="AE323" s="1" t="s">
        <v>115</v>
      </c>
      <c r="AF323" s="1" t="s">
        <v>46</v>
      </c>
    </row>
    <row r="324" spans="1:32" ht="18" hidden="1" customHeight="1">
      <c r="A324" s="1" t="s">
        <v>1131</v>
      </c>
      <c r="B324" s="1" t="s">
        <v>1132</v>
      </c>
      <c r="C324" s="4" t="s">
        <v>3562</v>
      </c>
      <c r="D324" s="1">
        <v>46190</v>
      </c>
      <c r="E324" s="1" t="s">
        <v>3563</v>
      </c>
      <c r="F324" s="1" t="s">
        <v>48</v>
      </c>
      <c r="G324" s="1" t="s">
        <v>232</v>
      </c>
      <c r="H324" s="1" t="s">
        <v>102</v>
      </c>
      <c r="I324" s="1" t="s">
        <v>241</v>
      </c>
      <c r="J324" s="1" t="s">
        <v>50</v>
      </c>
      <c r="K324" s="1" t="s">
        <v>1133</v>
      </c>
      <c r="L324" s="1" t="s">
        <v>145</v>
      </c>
      <c r="M324" s="1" t="s">
        <v>3564</v>
      </c>
      <c r="N324" s="1" t="s">
        <v>86</v>
      </c>
      <c r="O324" s="1">
        <v>750</v>
      </c>
      <c r="P324" s="1">
        <v>1619272.5</v>
      </c>
      <c r="Q324" s="1">
        <v>32</v>
      </c>
      <c r="R324" s="7">
        <v>4.2700000000000002E-2</v>
      </c>
      <c r="S324" s="1">
        <v>19</v>
      </c>
      <c r="T324" s="1">
        <v>18</v>
      </c>
      <c r="U324" s="1">
        <v>1</v>
      </c>
      <c r="V324" s="1" t="s">
        <v>166</v>
      </c>
      <c r="W324" s="1" t="s">
        <v>3384</v>
      </c>
      <c r="X324" s="1" t="s">
        <v>41</v>
      </c>
      <c r="Y324" s="1"/>
      <c r="Z324" s="1" t="s">
        <v>3333</v>
      </c>
      <c r="AA324" s="1" t="s">
        <v>88</v>
      </c>
      <c r="AB324" s="1" t="s">
        <v>56</v>
      </c>
      <c r="AC324" s="1" t="s">
        <v>373</v>
      </c>
      <c r="AD324" s="1">
        <v>6</v>
      </c>
      <c r="AE324" s="1" t="s">
        <v>57</v>
      </c>
      <c r="AF324" s="1" t="s">
        <v>77</v>
      </c>
    </row>
    <row r="325" spans="1:32" ht="18" customHeight="1">
      <c r="A325" s="1" t="s">
        <v>1134</v>
      </c>
      <c r="B325" s="1" t="s">
        <v>1135</v>
      </c>
      <c r="C325" s="4">
        <v>46183</v>
      </c>
      <c r="D325" s="4">
        <v>46195</v>
      </c>
      <c r="E325" s="4">
        <v>46205</v>
      </c>
      <c r="F325" s="1" t="s">
        <v>162</v>
      </c>
      <c r="G325" s="1" t="s">
        <v>3444</v>
      </c>
      <c r="H325" s="1" t="s">
        <v>3408</v>
      </c>
      <c r="I325" s="1" t="s">
        <v>70</v>
      </c>
      <c r="J325" s="1" t="s">
        <v>163</v>
      </c>
      <c r="K325" s="1" t="s">
        <v>1136</v>
      </c>
      <c r="L325" s="1" t="s">
        <v>269</v>
      </c>
      <c r="M325" s="1">
        <v>540.4</v>
      </c>
      <c r="N325" s="1" t="s">
        <v>172</v>
      </c>
      <c r="O325" s="1">
        <v>100</v>
      </c>
      <c r="P325" s="1">
        <v>54040</v>
      </c>
      <c r="Q325" s="1">
        <v>0</v>
      </c>
      <c r="R325" s="7">
        <v>0</v>
      </c>
      <c r="S325" s="1">
        <v>22</v>
      </c>
      <c r="T325" s="1">
        <v>12</v>
      </c>
      <c r="U325" s="1">
        <v>10</v>
      </c>
      <c r="V325" s="1" t="s">
        <v>39</v>
      </c>
      <c r="W325" s="1" t="s">
        <v>40</v>
      </c>
      <c r="X325" s="1" t="s">
        <v>105</v>
      </c>
      <c r="Y325" s="1" t="s">
        <v>190</v>
      </c>
      <c r="Z325" s="1" t="s">
        <v>3333</v>
      </c>
      <c r="AA325" s="1" t="s">
        <v>129</v>
      </c>
      <c r="AB325" s="1" t="s">
        <v>56</v>
      </c>
      <c r="AC325" s="1"/>
      <c r="AD325" s="1">
        <v>2.1</v>
      </c>
      <c r="AE325" s="1" t="s">
        <v>115</v>
      </c>
      <c r="AF325" s="1" t="s">
        <v>46</v>
      </c>
    </row>
    <row r="326" spans="1:32" ht="18" customHeight="1">
      <c r="A326" s="1" t="s">
        <v>1137</v>
      </c>
      <c r="B326" s="1" t="s">
        <v>1138</v>
      </c>
      <c r="C326" s="4">
        <v>46123</v>
      </c>
      <c r="D326" s="4"/>
      <c r="E326" s="4" t="s">
        <v>3452</v>
      </c>
      <c r="F326" s="1" t="s">
        <v>69</v>
      </c>
      <c r="G326" s="1" t="s">
        <v>111</v>
      </c>
      <c r="H326" s="1" t="s">
        <v>194</v>
      </c>
      <c r="I326" s="1" t="s">
        <v>120</v>
      </c>
      <c r="J326" s="1" t="s">
        <v>112</v>
      </c>
      <c r="K326" s="1" t="s">
        <v>1139</v>
      </c>
      <c r="L326" s="1" t="s">
        <v>229</v>
      </c>
      <c r="M326" s="1">
        <v>758.89</v>
      </c>
      <c r="N326" s="1" t="s">
        <v>159</v>
      </c>
      <c r="O326" s="1">
        <v>150</v>
      </c>
      <c r="P326" s="1">
        <v>113833.5</v>
      </c>
      <c r="Q326" s="1">
        <v>4</v>
      </c>
      <c r="R326" s="7">
        <v>2.6700000000000002E-2</v>
      </c>
      <c r="S326" s="1">
        <v>13</v>
      </c>
      <c r="T326" s="1">
        <v>8</v>
      </c>
      <c r="U326" s="1">
        <v>5</v>
      </c>
      <c r="V326" s="1" t="s">
        <v>39</v>
      </c>
      <c r="W326" s="1"/>
      <c r="X326" s="1" t="s">
        <v>3329</v>
      </c>
      <c r="Y326" s="1" t="s">
        <v>3334</v>
      </c>
      <c r="Z326" s="1" t="s">
        <v>173</v>
      </c>
      <c r="AA326" s="1" t="s">
        <v>88</v>
      </c>
      <c r="AB326" s="1" t="s">
        <v>191</v>
      </c>
      <c r="AC326" s="1"/>
      <c r="AD326" s="1">
        <v>4</v>
      </c>
      <c r="AE326" s="1" t="s">
        <v>115</v>
      </c>
      <c r="AF326" s="1" t="s">
        <v>46</v>
      </c>
    </row>
    <row r="327" spans="1:32" ht="18" hidden="1" customHeight="1">
      <c r="A327" s="1" t="s">
        <v>1140</v>
      </c>
      <c r="B327" s="1" t="s">
        <v>1141</v>
      </c>
      <c r="C327" s="4" t="s">
        <v>3565</v>
      </c>
      <c r="D327" s="1">
        <v>46175</v>
      </c>
      <c r="E327" s="1">
        <v>46178</v>
      </c>
      <c r="F327" s="1" t="s">
        <v>209</v>
      </c>
      <c r="G327" s="1" t="s">
        <v>3482</v>
      </c>
      <c r="H327" s="1" t="s">
        <v>3390</v>
      </c>
      <c r="I327" s="1" t="s">
        <v>83</v>
      </c>
      <c r="J327" s="1" t="s">
        <v>153</v>
      </c>
      <c r="K327" s="1" t="s">
        <v>1142</v>
      </c>
      <c r="L327" s="1" t="s">
        <v>155</v>
      </c>
      <c r="M327" s="1">
        <v>697.31</v>
      </c>
      <c r="N327" s="1" t="s">
        <v>104</v>
      </c>
      <c r="O327" s="1">
        <v>150</v>
      </c>
      <c r="P327" s="1">
        <v>104596.5</v>
      </c>
      <c r="Q327" s="1">
        <v>7</v>
      </c>
      <c r="R327" s="7">
        <v>4.6699999999999998E-2</v>
      </c>
      <c r="S327" s="1">
        <v>14</v>
      </c>
      <c r="T327" s="1">
        <v>11</v>
      </c>
      <c r="U327" s="1">
        <v>3</v>
      </c>
      <c r="V327" s="1" t="s">
        <v>166</v>
      </c>
      <c r="W327" s="1" t="s">
        <v>74</v>
      </c>
      <c r="X327" s="1" t="s">
        <v>3329</v>
      </c>
      <c r="Y327" s="1" t="s">
        <v>106</v>
      </c>
      <c r="Z327" s="1" t="s">
        <v>3330</v>
      </c>
      <c r="AA327" s="1" t="s">
        <v>129</v>
      </c>
      <c r="AB327" s="1" t="s">
        <v>137</v>
      </c>
      <c r="AC327" s="1" t="s">
        <v>75</v>
      </c>
      <c r="AD327" s="1">
        <v>1.4</v>
      </c>
      <c r="AE327" s="1" t="s">
        <v>184</v>
      </c>
      <c r="AF327" s="1" t="s">
        <v>77</v>
      </c>
    </row>
    <row r="328" spans="1:32" ht="18" customHeight="1">
      <c r="A328" s="1" t="s">
        <v>1143</v>
      </c>
      <c r="B328" s="1" t="s">
        <v>1144</v>
      </c>
      <c r="C328" s="4" t="s">
        <v>3566</v>
      </c>
      <c r="D328" s="4">
        <v>46044</v>
      </c>
      <c r="E328" s="4">
        <v>46049</v>
      </c>
      <c r="F328" s="1" t="s">
        <v>142</v>
      </c>
      <c r="G328" s="1" t="s">
        <v>143</v>
      </c>
      <c r="H328" s="1" t="s">
        <v>3405</v>
      </c>
      <c r="I328" s="1" t="s">
        <v>241</v>
      </c>
      <c r="J328" s="1" t="s">
        <v>163</v>
      </c>
      <c r="K328" s="1" t="s">
        <v>1145</v>
      </c>
      <c r="L328" s="1" t="s">
        <v>165</v>
      </c>
      <c r="M328" s="1">
        <v>2245.85</v>
      </c>
      <c r="N328" s="1" t="s">
        <v>53</v>
      </c>
      <c r="O328" s="1">
        <v>200</v>
      </c>
      <c r="P328" s="1">
        <v>449170</v>
      </c>
      <c r="Q328" s="1">
        <v>3</v>
      </c>
      <c r="R328" s="7">
        <v>1.4999999999999999E-2</v>
      </c>
      <c r="S328" s="1" t="s">
        <v>3567</v>
      </c>
      <c r="T328" s="1">
        <v>18</v>
      </c>
      <c r="U328" s="1" t="s">
        <v>3380</v>
      </c>
      <c r="V328" s="1" t="s">
        <v>205</v>
      </c>
      <c r="W328" s="1" t="s">
        <v>40</v>
      </c>
      <c r="X328" s="1"/>
      <c r="Y328" s="1" t="s">
        <v>190</v>
      </c>
      <c r="Z328" s="1" t="s">
        <v>43</v>
      </c>
      <c r="AA328" s="1" t="s">
        <v>136</v>
      </c>
      <c r="AB328" s="1" t="s">
        <v>137</v>
      </c>
      <c r="AC328" s="1"/>
      <c r="AD328" s="1">
        <v>3.7</v>
      </c>
      <c r="AE328" s="1" t="s">
        <v>108</v>
      </c>
      <c r="AF328" s="1" t="s">
        <v>148</v>
      </c>
    </row>
    <row r="329" spans="1:32" ht="18" customHeight="1">
      <c r="A329" s="1" t="s">
        <v>1146</v>
      </c>
      <c r="B329" s="1" t="s">
        <v>1147</v>
      </c>
      <c r="C329" s="4">
        <v>46182</v>
      </c>
      <c r="D329" s="4">
        <v>46192</v>
      </c>
      <c r="E329" s="4">
        <v>46201</v>
      </c>
      <c r="F329" s="1" t="s">
        <v>209</v>
      </c>
      <c r="G329" s="1" t="s">
        <v>3482</v>
      </c>
      <c r="H329" s="1" t="s">
        <v>3390</v>
      </c>
      <c r="I329" s="1" t="s">
        <v>83</v>
      </c>
      <c r="J329" s="1" t="s">
        <v>153</v>
      </c>
      <c r="K329" s="1" t="s">
        <v>1148</v>
      </c>
      <c r="L329" s="1" t="s">
        <v>295</v>
      </c>
      <c r="M329" s="1">
        <v>179.44</v>
      </c>
      <c r="N329" s="1" t="s">
        <v>159</v>
      </c>
      <c r="O329" s="1">
        <v>50</v>
      </c>
      <c r="P329" s="1">
        <v>8972</v>
      </c>
      <c r="Q329" s="1">
        <v>2</v>
      </c>
      <c r="R329" s="7">
        <v>0.04</v>
      </c>
      <c r="S329" s="1">
        <v>19</v>
      </c>
      <c r="T329" s="1">
        <v>10</v>
      </c>
      <c r="U329" s="1">
        <v>9</v>
      </c>
      <c r="V329" s="1" t="s">
        <v>3328</v>
      </c>
      <c r="W329" s="1" t="s">
        <v>40</v>
      </c>
      <c r="X329" s="1" t="s">
        <v>105</v>
      </c>
      <c r="Y329" s="1" t="s">
        <v>212</v>
      </c>
      <c r="Z329" s="1" t="s">
        <v>54</v>
      </c>
      <c r="AA329" s="1" t="s">
        <v>3341</v>
      </c>
      <c r="AB329" s="1" t="s">
        <v>137</v>
      </c>
      <c r="AC329" s="1"/>
      <c r="AD329" s="1">
        <v>2.4</v>
      </c>
      <c r="AE329" s="1" t="s">
        <v>115</v>
      </c>
      <c r="AF329" s="1" t="s">
        <v>46</v>
      </c>
    </row>
    <row r="330" spans="1:32" ht="18" customHeight="1">
      <c r="A330" s="1" t="s">
        <v>1149</v>
      </c>
      <c r="B330" s="1" t="s">
        <v>1150</v>
      </c>
      <c r="C330" s="4" t="s">
        <v>3568</v>
      </c>
      <c r="D330" s="4">
        <v>46173</v>
      </c>
      <c r="E330" s="4">
        <v>46187</v>
      </c>
      <c r="F330" s="1" t="s">
        <v>209</v>
      </c>
      <c r="G330" s="1" t="s">
        <v>3389</v>
      </c>
      <c r="H330" s="1" t="s">
        <v>3365</v>
      </c>
      <c r="I330" s="1" t="s">
        <v>92</v>
      </c>
      <c r="J330" s="1" t="s">
        <v>153</v>
      </c>
      <c r="K330" s="1" t="s">
        <v>1151</v>
      </c>
      <c r="L330" s="1" t="s">
        <v>155</v>
      </c>
      <c r="M330" s="1">
        <v>737.77</v>
      </c>
      <c r="N330" s="1" t="s">
        <v>104</v>
      </c>
      <c r="O330" s="1">
        <v>50</v>
      </c>
      <c r="P330" s="1">
        <v>36888.5</v>
      </c>
      <c r="Q330" s="1">
        <v>1</v>
      </c>
      <c r="R330" s="7">
        <v>0.02</v>
      </c>
      <c r="S330" s="1">
        <v>26</v>
      </c>
      <c r="T330" s="1">
        <v>12</v>
      </c>
      <c r="U330" s="1">
        <v>14</v>
      </c>
      <c r="V330" s="1" t="s">
        <v>3328</v>
      </c>
      <c r="W330" s="1" t="s">
        <v>40</v>
      </c>
      <c r="X330" s="1" t="s">
        <v>105</v>
      </c>
      <c r="Y330" s="1" t="s">
        <v>3334</v>
      </c>
      <c r="Z330" s="1" t="s">
        <v>128</v>
      </c>
      <c r="AA330" s="1" t="s">
        <v>174</v>
      </c>
      <c r="AB330" s="1" t="s">
        <v>56</v>
      </c>
      <c r="AC330" s="1"/>
      <c r="AD330" s="1">
        <v>2.5</v>
      </c>
      <c r="AE330" s="1" t="s">
        <v>184</v>
      </c>
      <c r="AF330" s="1" t="s">
        <v>46</v>
      </c>
    </row>
    <row r="331" spans="1:32" ht="18" customHeight="1">
      <c r="A331" s="1" t="s">
        <v>1152</v>
      </c>
      <c r="B331" s="1" t="s">
        <v>1153</v>
      </c>
      <c r="C331" s="4">
        <v>46153</v>
      </c>
      <c r="D331" s="4">
        <v>46156</v>
      </c>
      <c r="E331" s="4">
        <v>46162</v>
      </c>
      <c r="F331" s="1" t="s">
        <v>151</v>
      </c>
      <c r="G331" s="1" t="s">
        <v>244</v>
      </c>
      <c r="H331" s="1" t="s">
        <v>3327</v>
      </c>
      <c r="I331" s="1" t="s">
        <v>61</v>
      </c>
      <c r="J331" s="1" t="s">
        <v>62</v>
      </c>
      <c r="K331" s="1" t="s">
        <v>1154</v>
      </c>
      <c r="L331" s="1" t="s">
        <v>122</v>
      </c>
      <c r="M331" s="1">
        <v>736.94</v>
      </c>
      <c r="N331" s="1" t="s">
        <v>65</v>
      </c>
      <c r="O331" s="1">
        <v>1000</v>
      </c>
      <c r="P331" s="1">
        <v>736940</v>
      </c>
      <c r="Q331" s="1">
        <v>0</v>
      </c>
      <c r="R331" s="7">
        <v>0</v>
      </c>
      <c r="S331" s="1">
        <v>9</v>
      </c>
      <c r="T331" s="1">
        <v>3</v>
      </c>
      <c r="U331" s="1">
        <v>6</v>
      </c>
      <c r="V331" s="1" t="s">
        <v>39</v>
      </c>
      <c r="W331" s="1" t="s">
        <v>40</v>
      </c>
      <c r="X331" s="1" t="s">
        <v>3324</v>
      </c>
      <c r="Y331" s="1" t="s">
        <v>66</v>
      </c>
      <c r="Z331" s="1" t="s">
        <v>3333</v>
      </c>
      <c r="AA331" s="1" t="s">
        <v>129</v>
      </c>
      <c r="AB331" s="1" t="s">
        <v>56</v>
      </c>
      <c r="AC331" s="1"/>
      <c r="AD331" s="1" t="s">
        <v>3431</v>
      </c>
      <c r="AE331" s="1" t="s">
        <v>76</v>
      </c>
      <c r="AF331" s="1" t="s">
        <v>46</v>
      </c>
    </row>
    <row r="332" spans="1:32" ht="18" hidden="1" customHeight="1">
      <c r="A332" s="1" t="s">
        <v>1155</v>
      </c>
      <c r="B332" s="1" t="s">
        <v>1156</v>
      </c>
      <c r="C332" s="4" t="s">
        <v>3455</v>
      </c>
      <c r="D332" s="1"/>
      <c r="E332" s="1">
        <v>46192</v>
      </c>
      <c r="F332" s="1" t="s">
        <v>69</v>
      </c>
      <c r="G332" s="1" t="s">
        <v>111</v>
      </c>
      <c r="H332" s="1" t="s">
        <v>3338</v>
      </c>
      <c r="I332" s="1" t="s">
        <v>34</v>
      </c>
      <c r="J332" s="1" t="s">
        <v>112</v>
      </c>
      <c r="K332" s="1" t="s">
        <v>1157</v>
      </c>
      <c r="L332" s="1" t="s">
        <v>246</v>
      </c>
      <c r="M332" s="1">
        <v>371.04</v>
      </c>
      <c r="N332" s="1" t="s">
        <v>65</v>
      </c>
      <c r="O332" s="1">
        <v>1000</v>
      </c>
      <c r="P332" s="1">
        <v>371040</v>
      </c>
      <c r="Q332" s="1">
        <v>48</v>
      </c>
      <c r="R332" s="7">
        <v>4.8000000000000001E-2</v>
      </c>
      <c r="S332" s="1">
        <v>-1</v>
      </c>
      <c r="T332" s="1">
        <v>10</v>
      </c>
      <c r="U332" s="1">
        <v>-11</v>
      </c>
      <c r="V332" s="1" t="s">
        <v>362</v>
      </c>
      <c r="W332" s="1" t="s">
        <v>420</v>
      </c>
      <c r="X332" s="1" t="s">
        <v>105</v>
      </c>
      <c r="Y332" s="1" t="s">
        <v>42</v>
      </c>
      <c r="Z332" s="1" t="s">
        <v>107</v>
      </c>
      <c r="AA332" s="1" t="s">
        <v>88</v>
      </c>
      <c r="AB332" s="1"/>
      <c r="AC332" s="1" t="s">
        <v>75</v>
      </c>
      <c r="AD332" s="1" t="s">
        <v>138</v>
      </c>
      <c r="AE332" s="1" t="s">
        <v>57</v>
      </c>
      <c r="AF332" s="1" t="s">
        <v>97</v>
      </c>
    </row>
    <row r="333" spans="1:32" ht="18" customHeight="1">
      <c r="A333" s="1" t="s">
        <v>1158</v>
      </c>
      <c r="B333" s="1" t="s">
        <v>1159</v>
      </c>
      <c r="C333" s="4" t="s">
        <v>3569</v>
      </c>
      <c r="D333" s="4" t="s">
        <v>3400</v>
      </c>
      <c r="E333" s="4">
        <v>46196</v>
      </c>
      <c r="F333" s="1" t="s">
        <v>235</v>
      </c>
      <c r="G333" s="1" t="s">
        <v>236</v>
      </c>
      <c r="H333" s="1"/>
      <c r="I333" s="1" t="s">
        <v>70</v>
      </c>
      <c r="J333" s="1" t="s">
        <v>71</v>
      </c>
      <c r="K333" s="1" t="s">
        <v>1160</v>
      </c>
      <c r="L333" s="1" t="s">
        <v>553</v>
      </c>
      <c r="M333" s="1">
        <v>687.55</v>
      </c>
      <c r="N333" s="1" t="s">
        <v>38</v>
      </c>
      <c r="O333" s="1">
        <v>300</v>
      </c>
      <c r="P333" s="1">
        <v>206265</v>
      </c>
      <c r="Q333" s="1">
        <v>9</v>
      </c>
      <c r="R333" s="7">
        <v>0.03</v>
      </c>
      <c r="S333" s="1">
        <v>11</v>
      </c>
      <c r="T333" s="1">
        <v>17</v>
      </c>
      <c r="U333" s="1">
        <v>-6</v>
      </c>
      <c r="V333" s="1" t="s">
        <v>270</v>
      </c>
      <c r="W333" s="1" t="s">
        <v>40</v>
      </c>
      <c r="X333" s="1" t="s">
        <v>105</v>
      </c>
      <c r="Y333" s="1" t="s">
        <v>212</v>
      </c>
      <c r="Z333" s="1" t="s">
        <v>3333</v>
      </c>
      <c r="AA333" s="1" t="s">
        <v>129</v>
      </c>
      <c r="AB333" s="1" t="s">
        <v>147</v>
      </c>
      <c r="AC333" s="1"/>
      <c r="AD333" s="1">
        <v>3.2</v>
      </c>
      <c r="AE333" s="1" t="s">
        <v>115</v>
      </c>
      <c r="AF333" s="1"/>
    </row>
    <row r="334" spans="1:32" ht="18" hidden="1" customHeight="1">
      <c r="A334" s="1" t="s">
        <v>1161</v>
      </c>
      <c r="B334" s="1" t="s">
        <v>1162</v>
      </c>
      <c r="C334" s="4">
        <v>46170</v>
      </c>
      <c r="D334" s="1">
        <v>46180</v>
      </c>
      <c r="E334" s="1">
        <v>46184</v>
      </c>
      <c r="F334" s="1" t="s">
        <v>209</v>
      </c>
      <c r="G334" s="1" t="s">
        <v>3389</v>
      </c>
      <c r="H334" s="1" t="s">
        <v>3390</v>
      </c>
      <c r="I334" s="1" t="s">
        <v>34</v>
      </c>
      <c r="J334" s="1" t="s">
        <v>153</v>
      </c>
      <c r="K334" s="1" t="s">
        <v>1163</v>
      </c>
      <c r="L334" s="1" t="s">
        <v>204</v>
      </c>
      <c r="M334" s="1"/>
      <c r="N334" s="1" t="s">
        <v>53</v>
      </c>
      <c r="O334" s="1">
        <v>2000</v>
      </c>
      <c r="P334" s="1">
        <v>1195360</v>
      </c>
      <c r="Q334" s="1">
        <v>110</v>
      </c>
      <c r="R334" s="7">
        <v>5.5E-2</v>
      </c>
      <c r="S334" s="1">
        <v>14</v>
      </c>
      <c r="T334" s="1">
        <v>10</v>
      </c>
      <c r="U334" s="1">
        <v>4</v>
      </c>
      <c r="V334" s="1" t="s">
        <v>39</v>
      </c>
      <c r="W334" s="1" t="s">
        <v>74</v>
      </c>
      <c r="X334" s="1" t="s">
        <v>105</v>
      </c>
      <c r="Y334" s="1" t="s">
        <v>66</v>
      </c>
      <c r="Z334" s="1" t="s">
        <v>107</v>
      </c>
      <c r="AA334" s="1" t="s">
        <v>129</v>
      </c>
      <c r="AB334" s="1" t="s">
        <v>56</v>
      </c>
      <c r="AC334" s="1" t="s">
        <v>283</v>
      </c>
      <c r="AD334" s="1">
        <v>2.2999999999999998</v>
      </c>
      <c r="AE334" s="1" t="s">
        <v>108</v>
      </c>
      <c r="AF334" s="1" t="s">
        <v>77</v>
      </c>
    </row>
    <row r="335" spans="1:32" ht="18" customHeight="1">
      <c r="A335" s="1" t="s">
        <v>1164</v>
      </c>
      <c r="B335" s="1" t="s">
        <v>1165</v>
      </c>
      <c r="C335" s="4">
        <v>46099</v>
      </c>
      <c r="D335" s="4">
        <v>46113</v>
      </c>
      <c r="E335" s="4">
        <v>46112</v>
      </c>
      <c r="F335" s="1" t="s">
        <v>69</v>
      </c>
      <c r="G335" s="1" t="s">
        <v>111</v>
      </c>
      <c r="H335" s="1" t="s">
        <v>194</v>
      </c>
      <c r="I335" s="1" t="s">
        <v>70</v>
      </c>
      <c r="J335" s="1" t="s">
        <v>112</v>
      </c>
      <c r="K335" s="1" t="s">
        <v>1166</v>
      </c>
      <c r="L335" s="1" t="s">
        <v>114</v>
      </c>
      <c r="M335" s="1">
        <v>589.66</v>
      </c>
      <c r="N335" s="1" t="s">
        <v>65</v>
      </c>
      <c r="O335" s="1">
        <v>250</v>
      </c>
      <c r="P335" s="1">
        <v>147415</v>
      </c>
      <c r="Q335" s="1">
        <v>5</v>
      </c>
      <c r="R335" s="7">
        <v>0.02</v>
      </c>
      <c r="S335" s="1">
        <v>13</v>
      </c>
      <c r="T335" s="1" t="s">
        <v>3570</v>
      </c>
      <c r="U335" s="1">
        <v>-1</v>
      </c>
      <c r="V335" s="1" t="s">
        <v>3352</v>
      </c>
      <c r="W335" s="1" t="s">
        <v>40</v>
      </c>
      <c r="X335" s="1" t="s">
        <v>3329</v>
      </c>
      <c r="Y335" s="1"/>
      <c r="Z335" s="1" t="s">
        <v>3330</v>
      </c>
      <c r="AA335" s="1" t="s">
        <v>55</v>
      </c>
      <c r="AB335" s="1" t="s">
        <v>137</v>
      </c>
      <c r="AC335" s="1"/>
      <c r="AD335" s="1">
        <v>4.5999999999999996</v>
      </c>
      <c r="AE335" s="1" t="s">
        <v>45</v>
      </c>
      <c r="AF335" s="1"/>
    </row>
    <row r="336" spans="1:32" ht="18" customHeight="1">
      <c r="A336" s="1" t="s">
        <v>1167</v>
      </c>
      <c r="B336" s="1" t="s">
        <v>1168</v>
      </c>
      <c r="C336" s="4">
        <v>46024</v>
      </c>
      <c r="D336" s="4"/>
      <c r="E336" s="4">
        <v>46036</v>
      </c>
      <c r="F336" s="1" t="s">
        <v>60</v>
      </c>
      <c r="G336" s="1" t="s">
        <v>466</v>
      </c>
      <c r="H336" s="1" t="s">
        <v>152</v>
      </c>
      <c r="I336" s="1" t="s">
        <v>34</v>
      </c>
      <c r="J336" s="1" t="s">
        <v>62</v>
      </c>
      <c r="K336" s="1" t="s">
        <v>1169</v>
      </c>
      <c r="L336" s="1" t="s">
        <v>94</v>
      </c>
      <c r="M336" s="1">
        <v>618.41</v>
      </c>
      <c r="N336" s="1" t="s">
        <v>38</v>
      </c>
      <c r="O336" s="1">
        <v>1000</v>
      </c>
      <c r="P336" s="1">
        <v>618410</v>
      </c>
      <c r="Q336" s="1">
        <v>27</v>
      </c>
      <c r="R336" s="7">
        <v>2.7E-2</v>
      </c>
      <c r="S336" s="1">
        <v>12</v>
      </c>
      <c r="T336" s="1">
        <v>9</v>
      </c>
      <c r="U336" s="1">
        <v>3</v>
      </c>
      <c r="V336" s="1" t="s">
        <v>3323</v>
      </c>
      <c r="W336" s="1" t="s">
        <v>40</v>
      </c>
      <c r="X336" s="1" t="s">
        <v>3324</v>
      </c>
      <c r="Y336" s="1" t="s">
        <v>190</v>
      </c>
      <c r="Z336" s="1" t="s">
        <v>3333</v>
      </c>
      <c r="AA336" s="1" t="s">
        <v>174</v>
      </c>
      <c r="AB336" s="1" t="s">
        <v>56</v>
      </c>
      <c r="AC336" s="1"/>
      <c r="AD336" s="1">
        <v>4.8</v>
      </c>
      <c r="AE336" s="1" t="s">
        <v>57</v>
      </c>
      <c r="AF336" s="1" t="s">
        <v>46</v>
      </c>
    </row>
    <row r="337" spans="1:32" ht="18" hidden="1" customHeight="1">
      <c r="A337" s="1" t="s">
        <v>1170</v>
      </c>
      <c r="B337" s="1" t="s">
        <v>1171</v>
      </c>
      <c r="C337" s="4">
        <v>46183</v>
      </c>
      <c r="D337" s="1">
        <v>46195</v>
      </c>
      <c r="E337" s="1"/>
      <c r="F337" s="1" t="s">
        <v>100</v>
      </c>
      <c r="G337" s="1" t="s">
        <v>101</v>
      </c>
      <c r="H337" s="1" t="s">
        <v>3361</v>
      </c>
      <c r="I337" s="1" t="s">
        <v>61</v>
      </c>
      <c r="J337" s="1" t="s">
        <v>50</v>
      </c>
      <c r="K337" s="1" t="s">
        <v>1172</v>
      </c>
      <c r="L337" s="1" t="s">
        <v>52</v>
      </c>
      <c r="M337" s="1">
        <v>922.45</v>
      </c>
      <c r="N337" s="1" t="s">
        <v>86</v>
      </c>
      <c r="O337" s="1">
        <v>1500</v>
      </c>
      <c r="P337" s="1">
        <v>1383675</v>
      </c>
      <c r="Q337" s="1">
        <v>110</v>
      </c>
      <c r="R337" s="7">
        <v>7.3300000000000004E-2</v>
      </c>
      <c r="S337" s="1">
        <v>10</v>
      </c>
      <c r="T337" s="1">
        <v>12</v>
      </c>
      <c r="U337" s="1">
        <v>-2</v>
      </c>
      <c r="V337" s="1" t="s">
        <v>87</v>
      </c>
      <c r="W337" s="1" t="s">
        <v>420</v>
      </c>
      <c r="X337" s="1"/>
      <c r="Y337" s="1" t="s">
        <v>190</v>
      </c>
      <c r="Z337" s="1" t="s">
        <v>3333</v>
      </c>
      <c r="AA337" s="1" t="s">
        <v>206</v>
      </c>
      <c r="AB337" s="1" t="s">
        <v>147</v>
      </c>
      <c r="AC337" s="1" t="s">
        <v>96</v>
      </c>
      <c r="AD337" s="1">
        <v>1.2</v>
      </c>
      <c r="AE337" s="1" t="s">
        <v>76</v>
      </c>
      <c r="AF337" s="1" t="s">
        <v>284</v>
      </c>
    </row>
    <row r="338" spans="1:32" ht="18" hidden="1" customHeight="1">
      <c r="A338" s="1" t="s">
        <v>1173</v>
      </c>
      <c r="B338" s="1" t="s">
        <v>1174</v>
      </c>
      <c r="C338" s="4" t="s">
        <v>3571</v>
      </c>
      <c r="D338" s="1">
        <v>46142</v>
      </c>
      <c r="E338" s="1"/>
      <c r="F338" s="1" t="s">
        <v>235</v>
      </c>
      <c r="G338" s="1" t="s">
        <v>3474</v>
      </c>
      <c r="H338" s="1" t="s">
        <v>3371</v>
      </c>
      <c r="I338" s="1" t="s">
        <v>83</v>
      </c>
      <c r="J338" s="1" t="s">
        <v>71</v>
      </c>
      <c r="K338" s="1" t="s">
        <v>1175</v>
      </c>
      <c r="L338" s="1" t="s">
        <v>238</v>
      </c>
      <c r="M338" s="1">
        <v>475.39</v>
      </c>
      <c r="N338" s="1" t="s">
        <v>104</v>
      </c>
      <c r="O338" s="1">
        <v>200</v>
      </c>
      <c r="P338" s="1">
        <v>95078</v>
      </c>
      <c r="Q338" s="1">
        <v>9</v>
      </c>
      <c r="R338" s="7">
        <v>4.4999999999999998E-2</v>
      </c>
      <c r="S338" s="1">
        <v>18</v>
      </c>
      <c r="T338" s="1">
        <v>18</v>
      </c>
      <c r="U338" s="1">
        <v>0</v>
      </c>
      <c r="V338" s="1" t="s">
        <v>270</v>
      </c>
      <c r="W338" s="1" t="s">
        <v>74</v>
      </c>
      <c r="X338" s="1" t="s">
        <v>105</v>
      </c>
      <c r="Y338" s="1"/>
      <c r="Z338" s="1" t="s">
        <v>54</v>
      </c>
      <c r="AA338" s="1" t="s">
        <v>129</v>
      </c>
      <c r="AB338" s="1" t="s">
        <v>95</v>
      </c>
      <c r="AC338" s="1" t="s">
        <v>75</v>
      </c>
      <c r="AD338" s="1">
        <v>2.8</v>
      </c>
      <c r="AE338" s="1" t="s">
        <v>45</v>
      </c>
      <c r="AF338" s="1" t="s">
        <v>97</v>
      </c>
    </row>
    <row r="339" spans="1:32" ht="18" hidden="1" customHeight="1">
      <c r="A339" s="1" t="s">
        <v>1176</v>
      </c>
      <c r="B339" s="1" t="s">
        <v>1177</v>
      </c>
      <c r="C339" s="4">
        <v>46023</v>
      </c>
      <c r="D339" s="1">
        <v>46039</v>
      </c>
      <c r="E339" s="1">
        <v>46042</v>
      </c>
      <c r="F339" s="1" t="s">
        <v>235</v>
      </c>
      <c r="G339" s="1" t="s">
        <v>236</v>
      </c>
      <c r="H339" s="1" t="s">
        <v>479</v>
      </c>
      <c r="I339" s="1" t="s">
        <v>83</v>
      </c>
      <c r="J339" s="1" t="s">
        <v>71</v>
      </c>
      <c r="K339" s="1" t="s">
        <v>1178</v>
      </c>
      <c r="L339" s="1" t="s">
        <v>553</v>
      </c>
      <c r="M339" s="1">
        <v>602.78</v>
      </c>
      <c r="N339" s="1" t="s">
        <v>159</v>
      </c>
      <c r="O339" s="1">
        <v>300</v>
      </c>
      <c r="P339" s="1">
        <v>180834</v>
      </c>
      <c r="Q339" s="1">
        <v>13</v>
      </c>
      <c r="R339" s="7">
        <v>4.3299999999999998E-2</v>
      </c>
      <c r="S339" s="1">
        <v>19</v>
      </c>
      <c r="T339" s="1">
        <v>16</v>
      </c>
      <c r="U339" s="1">
        <v>3</v>
      </c>
      <c r="V339" s="1" t="s">
        <v>166</v>
      </c>
      <c r="W339" s="1" t="s">
        <v>3384</v>
      </c>
      <c r="X339" s="1" t="s">
        <v>3329</v>
      </c>
      <c r="Y339" s="1"/>
      <c r="Z339" s="1" t="s">
        <v>107</v>
      </c>
      <c r="AA339" s="1" t="s">
        <v>55</v>
      </c>
      <c r="AB339" s="1"/>
      <c r="AC339" s="1" t="s">
        <v>283</v>
      </c>
      <c r="AD339" s="1">
        <v>2.2000000000000002</v>
      </c>
      <c r="AE339" s="1" t="s">
        <v>76</v>
      </c>
      <c r="AF339" s="1" t="s">
        <v>77</v>
      </c>
    </row>
    <row r="340" spans="1:32" ht="18" customHeight="1">
      <c r="A340" s="1" t="s">
        <v>1179</v>
      </c>
      <c r="B340" s="1" t="s">
        <v>1180</v>
      </c>
      <c r="C340" s="4">
        <v>46129</v>
      </c>
      <c r="D340" s="4">
        <v>46135</v>
      </c>
      <c r="E340" s="4">
        <v>46144</v>
      </c>
      <c r="F340" s="1" t="s">
        <v>209</v>
      </c>
      <c r="G340" s="1" t="s">
        <v>210</v>
      </c>
      <c r="H340" s="1" t="s">
        <v>3390</v>
      </c>
      <c r="I340" s="1" t="s">
        <v>92</v>
      </c>
      <c r="J340" s="1" t="s">
        <v>153</v>
      </c>
      <c r="K340" s="1" t="s">
        <v>1181</v>
      </c>
      <c r="L340" s="1" t="s">
        <v>318</v>
      </c>
      <c r="M340" s="1">
        <v>104.74</v>
      </c>
      <c r="N340" s="1" t="s">
        <v>159</v>
      </c>
      <c r="O340" s="1">
        <v>150</v>
      </c>
      <c r="P340" s="1">
        <v>15711</v>
      </c>
      <c r="Q340" s="1">
        <v>6</v>
      </c>
      <c r="R340" s="7">
        <v>0.04</v>
      </c>
      <c r="S340" s="1">
        <v>15</v>
      </c>
      <c r="T340" s="1">
        <v>6</v>
      </c>
      <c r="U340" s="1">
        <v>9</v>
      </c>
      <c r="V340" s="1" t="s">
        <v>39</v>
      </c>
      <c r="W340" s="1" t="s">
        <v>40</v>
      </c>
      <c r="X340" s="1" t="s">
        <v>105</v>
      </c>
      <c r="Y340" s="1" t="s">
        <v>106</v>
      </c>
      <c r="Z340" s="1"/>
      <c r="AA340" s="1" t="s">
        <v>129</v>
      </c>
      <c r="AB340" s="1" t="s">
        <v>95</v>
      </c>
      <c r="AC340" s="1"/>
      <c r="AD340" s="1">
        <v>1.9</v>
      </c>
      <c r="AE340" s="1" t="s">
        <v>57</v>
      </c>
      <c r="AF340" s="1" t="s">
        <v>46</v>
      </c>
    </row>
    <row r="341" spans="1:32" ht="18" customHeight="1">
      <c r="A341" s="1" t="s">
        <v>1182</v>
      </c>
      <c r="B341" s="1" t="s">
        <v>1183</v>
      </c>
      <c r="C341" s="4">
        <v>46038</v>
      </c>
      <c r="D341" s="4">
        <v>46053</v>
      </c>
      <c r="E341" s="4" t="s">
        <v>3572</v>
      </c>
      <c r="F341" s="1" t="s">
        <v>80</v>
      </c>
      <c r="G341" s="1" t="s">
        <v>3470</v>
      </c>
      <c r="H341" s="1" t="s">
        <v>3442</v>
      </c>
      <c r="I341" s="1" t="s">
        <v>92</v>
      </c>
      <c r="J341" s="1" t="s">
        <v>35</v>
      </c>
      <c r="K341" s="1" t="s">
        <v>1184</v>
      </c>
      <c r="L341" s="1" t="s">
        <v>37</v>
      </c>
      <c r="M341" s="1">
        <v>525.99</v>
      </c>
      <c r="N341" s="1" t="s">
        <v>172</v>
      </c>
      <c r="O341" s="1">
        <v>300</v>
      </c>
      <c r="P341" s="1">
        <v>157797</v>
      </c>
      <c r="Q341" s="1">
        <v>4</v>
      </c>
      <c r="R341" s="7">
        <v>1.3299999999999999E-2</v>
      </c>
      <c r="S341" s="1">
        <v>11</v>
      </c>
      <c r="T341" s="1">
        <v>15</v>
      </c>
      <c r="U341" s="1">
        <v>-4</v>
      </c>
      <c r="V341" s="1" t="s">
        <v>270</v>
      </c>
      <c r="W341" s="1" t="s">
        <v>40</v>
      </c>
      <c r="X341" s="1" t="s">
        <v>105</v>
      </c>
      <c r="Y341" s="1" t="s">
        <v>106</v>
      </c>
      <c r="Z341" s="1" t="s">
        <v>3330</v>
      </c>
      <c r="AA341" s="1" t="s">
        <v>174</v>
      </c>
      <c r="AB341" s="1" t="s">
        <v>95</v>
      </c>
      <c r="AC341" s="1"/>
      <c r="AD341" s="1">
        <v>2.1</v>
      </c>
      <c r="AE341" s="1" t="s">
        <v>115</v>
      </c>
      <c r="AF341" s="1"/>
    </row>
    <row r="342" spans="1:32" ht="18" customHeight="1">
      <c r="A342" s="1" t="s">
        <v>1185</v>
      </c>
      <c r="B342" s="1" t="s">
        <v>1186</v>
      </c>
      <c r="C342" s="4">
        <v>46061</v>
      </c>
      <c r="D342" s="4">
        <v>46081</v>
      </c>
      <c r="E342" s="4">
        <v>46077</v>
      </c>
      <c r="F342" s="1" t="s">
        <v>90</v>
      </c>
      <c r="G342" s="1" t="s">
        <v>91</v>
      </c>
      <c r="H342" s="1" t="s">
        <v>3336</v>
      </c>
      <c r="I342" s="1" t="s">
        <v>61</v>
      </c>
      <c r="J342" s="1" t="s">
        <v>71</v>
      </c>
      <c r="K342" s="1" t="s">
        <v>1187</v>
      </c>
      <c r="L342" s="1" t="s">
        <v>73</v>
      </c>
      <c r="M342" s="1"/>
      <c r="N342" s="1" t="s">
        <v>65</v>
      </c>
      <c r="O342" s="1">
        <v>75</v>
      </c>
      <c r="P342" s="1">
        <v>41789.25</v>
      </c>
      <c r="Q342" s="1">
        <v>0</v>
      </c>
      <c r="R342" s="7">
        <v>0</v>
      </c>
      <c r="S342" s="1">
        <v>16</v>
      </c>
      <c r="T342" s="1">
        <v>20</v>
      </c>
      <c r="U342" s="1">
        <v>-4</v>
      </c>
      <c r="V342" s="1" t="s">
        <v>270</v>
      </c>
      <c r="W342" s="1" t="s">
        <v>649</v>
      </c>
      <c r="X342" s="1" t="s">
        <v>146</v>
      </c>
      <c r="Y342" s="1" t="s">
        <v>42</v>
      </c>
      <c r="Z342" s="1" t="s">
        <v>3333</v>
      </c>
      <c r="AA342" s="1" t="s">
        <v>88</v>
      </c>
      <c r="AB342" s="1" t="s">
        <v>137</v>
      </c>
      <c r="AC342" s="1"/>
      <c r="AD342" s="1">
        <v>4.2</v>
      </c>
      <c r="AE342" s="1" t="s">
        <v>108</v>
      </c>
      <c r="AF342" s="1" t="s">
        <v>130</v>
      </c>
    </row>
    <row r="343" spans="1:32" ht="18" customHeight="1">
      <c r="A343" s="1" t="s">
        <v>1188</v>
      </c>
      <c r="B343" s="1" t="s">
        <v>1189</v>
      </c>
      <c r="C343" s="4">
        <v>46087</v>
      </c>
      <c r="D343" s="4">
        <v>46094</v>
      </c>
      <c r="E343" s="4">
        <v>46100</v>
      </c>
      <c r="F343" s="1" t="s">
        <v>60</v>
      </c>
      <c r="G343" s="1" t="s">
        <v>466</v>
      </c>
      <c r="H343" s="1" t="s">
        <v>3354</v>
      </c>
      <c r="I343" s="1" t="s">
        <v>49</v>
      </c>
      <c r="J343" s="1" t="s">
        <v>71</v>
      </c>
      <c r="K343" s="1" t="s">
        <v>1190</v>
      </c>
      <c r="L343" s="1" t="s">
        <v>238</v>
      </c>
      <c r="M343" s="1">
        <v>220.34</v>
      </c>
      <c r="N343" s="1" t="s">
        <v>65</v>
      </c>
      <c r="O343" s="1">
        <v>1500</v>
      </c>
      <c r="P343" s="1">
        <v>330510</v>
      </c>
      <c r="Q343" s="1">
        <v>10</v>
      </c>
      <c r="R343" s="7">
        <v>6.7000000000000002E-3</v>
      </c>
      <c r="S343" s="1">
        <v>13</v>
      </c>
      <c r="T343" s="1">
        <v>7</v>
      </c>
      <c r="U343" s="1">
        <v>6</v>
      </c>
      <c r="V343" s="1" t="s">
        <v>3328</v>
      </c>
      <c r="W343" s="1" t="s">
        <v>40</v>
      </c>
      <c r="X343" s="1" t="s">
        <v>105</v>
      </c>
      <c r="Y343" s="1" t="s">
        <v>190</v>
      </c>
      <c r="Z343" s="1" t="s">
        <v>3330</v>
      </c>
      <c r="AA343" s="1" t="s">
        <v>206</v>
      </c>
      <c r="AB343" s="1" t="s">
        <v>137</v>
      </c>
      <c r="AC343" s="1"/>
      <c r="AD343" s="1">
        <v>1.9</v>
      </c>
      <c r="AE343" s="1" t="s">
        <v>108</v>
      </c>
      <c r="AF343" s="1" t="s">
        <v>46</v>
      </c>
    </row>
    <row r="344" spans="1:32" ht="18" customHeight="1">
      <c r="A344" s="1" t="s">
        <v>1191</v>
      </c>
      <c r="B344" s="1" t="s">
        <v>1192</v>
      </c>
      <c r="C344" s="4">
        <v>46095</v>
      </c>
      <c r="D344" s="4">
        <v>46105</v>
      </c>
      <c r="E344" s="4" t="s">
        <v>3573</v>
      </c>
      <c r="F344" s="1" t="s">
        <v>100</v>
      </c>
      <c r="G344" s="1" t="s">
        <v>101</v>
      </c>
      <c r="H344" s="1" t="s">
        <v>3322</v>
      </c>
      <c r="I344" s="1" t="s">
        <v>178</v>
      </c>
      <c r="J344" s="1" t="s">
        <v>112</v>
      </c>
      <c r="K344" s="1" t="s">
        <v>1193</v>
      </c>
      <c r="L344" s="1" t="s">
        <v>246</v>
      </c>
      <c r="M344" s="1"/>
      <c r="N344" s="1" t="s">
        <v>53</v>
      </c>
      <c r="O344" s="1">
        <v>2000</v>
      </c>
      <c r="P344" s="1">
        <v>29900</v>
      </c>
      <c r="Q344" s="1">
        <v>57</v>
      </c>
      <c r="R344" s="7">
        <v>2.8500000000000001E-2</v>
      </c>
      <c r="S344" s="1">
        <v>12</v>
      </c>
      <c r="T344" s="1">
        <v>10</v>
      </c>
      <c r="U344" s="1">
        <v>2</v>
      </c>
      <c r="V344" s="1" t="s">
        <v>135</v>
      </c>
      <c r="W344" s="1" t="s">
        <v>40</v>
      </c>
      <c r="X344" s="1" t="s">
        <v>127</v>
      </c>
      <c r="Y344" s="1" t="s">
        <v>42</v>
      </c>
      <c r="Z344" s="1" t="s">
        <v>3330</v>
      </c>
      <c r="AA344" s="1"/>
      <c r="AB344" s="1" t="s">
        <v>147</v>
      </c>
      <c r="AC344" s="1"/>
      <c r="AD344" s="1">
        <v>3.8</v>
      </c>
      <c r="AE344" s="1" t="s">
        <v>108</v>
      </c>
      <c r="AF344" s="1" t="s">
        <v>148</v>
      </c>
    </row>
    <row r="345" spans="1:32" ht="18" customHeight="1">
      <c r="A345" s="1" t="s">
        <v>1194</v>
      </c>
      <c r="B345" s="1" t="s">
        <v>1195</v>
      </c>
      <c r="C345" s="4" t="s">
        <v>3521</v>
      </c>
      <c r="D345" s="4" t="s">
        <v>3400</v>
      </c>
      <c r="E345" s="4" t="s">
        <v>3574</v>
      </c>
      <c r="F345" s="1" t="s">
        <v>69</v>
      </c>
      <c r="G345" s="1" t="s">
        <v>3362</v>
      </c>
      <c r="H345" s="1" t="s">
        <v>3332</v>
      </c>
      <c r="I345" s="1" t="s">
        <v>83</v>
      </c>
      <c r="J345" s="1" t="s">
        <v>153</v>
      </c>
      <c r="K345" s="1" t="s">
        <v>1196</v>
      </c>
      <c r="L345" s="1" t="s">
        <v>295</v>
      </c>
      <c r="M345" s="1">
        <v>128.88999999999999</v>
      </c>
      <c r="N345" s="1" t="s">
        <v>65</v>
      </c>
      <c r="O345" s="1">
        <v>500</v>
      </c>
      <c r="P345" s="1">
        <v>64445</v>
      </c>
      <c r="Q345" s="1">
        <v>6</v>
      </c>
      <c r="R345" s="7">
        <v>1.2E-2</v>
      </c>
      <c r="S345" s="1">
        <v>10</v>
      </c>
      <c r="T345" s="1">
        <v>19</v>
      </c>
      <c r="U345" s="1">
        <v>-9</v>
      </c>
      <c r="V345" s="1" t="s">
        <v>3337</v>
      </c>
      <c r="W345" s="1" t="s">
        <v>40</v>
      </c>
      <c r="X345" s="1" t="s">
        <v>105</v>
      </c>
      <c r="Y345" s="1" t="s">
        <v>212</v>
      </c>
      <c r="Z345" s="1" t="s">
        <v>3333</v>
      </c>
      <c r="AA345" s="1"/>
      <c r="AB345" s="1" t="s">
        <v>147</v>
      </c>
      <c r="AC345" s="1"/>
      <c r="AD345" s="1">
        <v>4.3</v>
      </c>
      <c r="AE345" s="1" t="s">
        <v>115</v>
      </c>
      <c r="AF345" s="1"/>
    </row>
    <row r="346" spans="1:32" ht="18" customHeight="1">
      <c r="A346" s="1" t="s">
        <v>1197</v>
      </c>
      <c r="B346" s="1" t="s">
        <v>1198</v>
      </c>
      <c r="C346" s="4">
        <v>46124</v>
      </c>
      <c r="D346" s="4">
        <v>46127</v>
      </c>
      <c r="E346" s="4">
        <v>46136</v>
      </c>
      <c r="F346" s="1" t="s">
        <v>215</v>
      </c>
      <c r="G346" s="1" t="s">
        <v>216</v>
      </c>
      <c r="H346" s="1" t="s">
        <v>152</v>
      </c>
      <c r="I346" s="1" t="s">
        <v>178</v>
      </c>
      <c r="J346" s="1" t="s">
        <v>112</v>
      </c>
      <c r="K346" s="1" t="s">
        <v>1199</v>
      </c>
      <c r="L346" s="1" t="s">
        <v>246</v>
      </c>
      <c r="M346" s="1">
        <v>269.98</v>
      </c>
      <c r="N346" s="1" t="s">
        <v>104</v>
      </c>
      <c r="O346" s="1">
        <v>100</v>
      </c>
      <c r="P346" s="1">
        <v>26998</v>
      </c>
      <c r="Q346" s="1">
        <v>1</v>
      </c>
      <c r="R346" s="7">
        <v>0.01</v>
      </c>
      <c r="S346" s="1">
        <v>12</v>
      </c>
      <c r="T346" s="1">
        <v>3</v>
      </c>
      <c r="U346" s="1">
        <v>9</v>
      </c>
      <c r="V346" s="1" t="s">
        <v>39</v>
      </c>
      <c r="W346" s="1" t="s">
        <v>40</v>
      </c>
      <c r="X346" s="1" t="s">
        <v>127</v>
      </c>
      <c r="Y346" s="1" t="s">
        <v>212</v>
      </c>
      <c r="Z346" s="1" t="s">
        <v>3333</v>
      </c>
      <c r="AA346" s="1" t="s">
        <v>88</v>
      </c>
      <c r="AB346" s="1" t="s">
        <v>191</v>
      </c>
      <c r="AC346" s="1"/>
      <c r="AD346" s="1">
        <v>2.8</v>
      </c>
      <c r="AE346" s="1" t="s">
        <v>76</v>
      </c>
      <c r="AF346" s="1" t="s">
        <v>148</v>
      </c>
    </row>
    <row r="347" spans="1:32" ht="18" customHeight="1">
      <c r="A347" s="1" t="s">
        <v>1200</v>
      </c>
      <c r="B347" s="1" t="s">
        <v>1201</v>
      </c>
      <c r="C347" s="4">
        <v>46173</v>
      </c>
      <c r="D347" s="4">
        <v>46191</v>
      </c>
      <c r="E347" s="4">
        <v>46183</v>
      </c>
      <c r="F347" s="1" t="s">
        <v>90</v>
      </c>
      <c r="G347" s="1" t="s">
        <v>91</v>
      </c>
      <c r="H347" s="1" t="s">
        <v>3336</v>
      </c>
      <c r="I347" s="1" t="s">
        <v>178</v>
      </c>
      <c r="J347" s="1" t="s">
        <v>35</v>
      </c>
      <c r="K347" s="1" t="s">
        <v>1202</v>
      </c>
      <c r="L347" s="1" t="s">
        <v>85</v>
      </c>
      <c r="M347" s="1">
        <v>558.82000000000005</v>
      </c>
      <c r="N347" s="1" t="s">
        <v>86</v>
      </c>
      <c r="O347" s="1">
        <v>500</v>
      </c>
      <c r="P347" s="1">
        <v>279410</v>
      </c>
      <c r="Q347" s="1">
        <v>6</v>
      </c>
      <c r="R347" s="7">
        <v>1.2E-2</v>
      </c>
      <c r="S347" s="1">
        <v>10</v>
      </c>
      <c r="T347" s="1">
        <v>18</v>
      </c>
      <c r="U347" s="1">
        <v>-8</v>
      </c>
      <c r="V347" s="1" t="s">
        <v>87</v>
      </c>
      <c r="W347" s="1" t="s">
        <v>40</v>
      </c>
      <c r="X347" s="1" t="s">
        <v>105</v>
      </c>
      <c r="Y347" s="1" t="s">
        <v>190</v>
      </c>
      <c r="Z347" s="1" t="s">
        <v>107</v>
      </c>
      <c r="AA347" s="1" t="s">
        <v>206</v>
      </c>
      <c r="AB347" s="1" t="s">
        <v>137</v>
      </c>
      <c r="AC347" s="1"/>
      <c r="AD347" s="1">
        <v>3.2</v>
      </c>
      <c r="AE347" s="1" t="s">
        <v>184</v>
      </c>
      <c r="AF347" s="1"/>
    </row>
    <row r="348" spans="1:32" ht="18" customHeight="1">
      <c r="A348" s="1" t="s">
        <v>1203</v>
      </c>
      <c r="B348" s="1" t="s">
        <v>1204</v>
      </c>
      <c r="C348" s="4">
        <v>46096</v>
      </c>
      <c r="D348" s="4">
        <v>46112</v>
      </c>
      <c r="E348" s="4">
        <v>46113</v>
      </c>
      <c r="F348" s="1" t="s">
        <v>80</v>
      </c>
      <c r="G348" s="1" t="s">
        <v>3470</v>
      </c>
      <c r="H348" s="1" t="s">
        <v>82</v>
      </c>
      <c r="I348" s="1" t="s">
        <v>34</v>
      </c>
      <c r="J348" s="1" t="s">
        <v>35</v>
      </c>
      <c r="K348" s="1" t="s">
        <v>1205</v>
      </c>
      <c r="L348" s="1" t="s">
        <v>85</v>
      </c>
      <c r="M348" s="1">
        <v>3101.01</v>
      </c>
      <c r="N348" s="1" t="s">
        <v>86</v>
      </c>
      <c r="O348" s="1" t="s">
        <v>3575</v>
      </c>
      <c r="P348" s="1">
        <v>310101</v>
      </c>
      <c r="Q348" s="1">
        <v>0</v>
      </c>
      <c r="R348" s="7">
        <v>0</v>
      </c>
      <c r="S348" s="1">
        <v>17</v>
      </c>
      <c r="T348" s="1">
        <v>16</v>
      </c>
      <c r="U348" s="1">
        <v>1</v>
      </c>
      <c r="V348" s="1" t="s">
        <v>135</v>
      </c>
      <c r="W348" s="1" t="s">
        <v>40</v>
      </c>
      <c r="X348" s="1" t="s">
        <v>105</v>
      </c>
      <c r="Y348" s="1" t="s">
        <v>106</v>
      </c>
      <c r="Z348" s="1" t="s">
        <v>128</v>
      </c>
      <c r="AA348" s="1" t="s">
        <v>206</v>
      </c>
      <c r="AB348" s="1" t="s">
        <v>147</v>
      </c>
      <c r="AC348" s="1"/>
      <c r="AD348" s="1">
        <v>4.8</v>
      </c>
      <c r="AE348" s="1" t="s">
        <v>184</v>
      </c>
      <c r="AF348" s="1" t="s">
        <v>46</v>
      </c>
    </row>
    <row r="349" spans="1:32" ht="18" customHeight="1">
      <c r="A349" s="1" t="s">
        <v>1206</v>
      </c>
      <c r="B349" s="1" t="s">
        <v>1207</v>
      </c>
      <c r="C349" s="4">
        <v>46107</v>
      </c>
      <c r="D349" s="4">
        <v>46122</v>
      </c>
      <c r="E349" s="4">
        <v>46122</v>
      </c>
      <c r="F349" s="1" t="s">
        <v>100</v>
      </c>
      <c r="G349" s="1" t="s">
        <v>3343</v>
      </c>
      <c r="H349" s="1"/>
      <c r="I349" s="1" t="s">
        <v>34</v>
      </c>
      <c r="J349" s="1" t="s">
        <v>50</v>
      </c>
      <c r="K349" s="1" t="s">
        <v>1208</v>
      </c>
      <c r="L349" s="1" t="s">
        <v>189</v>
      </c>
      <c r="M349" s="1">
        <v>545.36</v>
      </c>
      <c r="N349" s="1" t="s">
        <v>53</v>
      </c>
      <c r="O349" s="1">
        <v>500</v>
      </c>
      <c r="P349" s="1">
        <v>272680</v>
      </c>
      <c r="Q349" s="1">
        <v>10</v>
      </c>
      <c r="R349" s="7">
        <v>0.02</v>
      </c>
      <c r="S349" s="1">
        <v>15</v>
      </c>
      <c r="T349" s="1">
        <v>15</v>
      </c>
      <c r="U349" s="1">
        <v>0</v>
      </c>
      <c r="V349" s="1" t="s">
        <v>3352</v>
      </c>
      <c r="W349" s="1" t="s">
        <v>40</v>
      </c>
      <c r="X349" s="1" t="s">
        <v>127</v>
      </c>
      <c r="Y349" s="1" t="s">
        <v>190</v>
      </c>
      <c r="Z349" s="1" t="s">
        <v>173</v>
      </c>
      <c r="AA349" s="1" t="s">
        <v>174</v>
      </c>
      <c r="AB349" s="1"/>
      <c r="AC349" s="1"/>
      <c r="AD349" s="1">
        <v>4.2</v>
      </c>
      <c r="AE349" s="1" t="s">
        <v>184</v>
      </c>
      <c r="AF349" s="1" t="s">
        <v>130</v>
      </c>
    </row>
    <row r="350" spans="1:32" ht="18" customHeight="1">
      <c r="A350" s="1" t="s">
        <v>1209</v>
      </c>
      <c r="B350" s="1" t="s">
        <v>1210</v>
      </c>
      <c r="C350" s="4">
        <v>46091</v>
      </c>
      <c r="D350" s="4">
        <v>46104</v>
      </c>
      <c r="E350" s="4">
        <v>46088</v>
      </c>
      <c r="F350" s="1" t="s">
        <v>60</v>
      </c>
      <c r="G350" s="1" t="s">
        <v>466</v>
      </c>
      <c r="H350" s="1" t="s">
        <v>3354</v>
      </c>
      <c r="I350" s="1" t="s">
        <v>92</v>
      </c>
      <c r="J350" s="1" t="s">
        <v>62</v>
      </c>
      <c r="K350" s="1" t="s">
        <v>1211</v>
      </c>
      <c r="L350" s="1" t="s">
        <v>64</v>
      </c>
      <c r="M350" s="1">
        <v>479.22</v>
      </c>
      <c r="N350" s="1" t="s">
        <v>38</v>
      </c>
      <c r="O350" s="1">
        <v>300</v>
      </c>
      <c r="P350" s="1">
        <v>143766</v>
      </c>
      <c r="Q350" s="1">
        <v>9</v>
      </c>
      <c r="R350" s="7">
        <v>0.03</v>
      </c>
      <c r="S350" s="1">
        <v>-3</v>
      </c>
      <c r="T350" s="1">
        <v>13</v>
      </c>
      <c r="U350" s="1">
        <v>-16</v>
      </c>
      <c r="V350" s="1" t="s">
        <v>362</v>
      </c>
      <c r="W350" s="1" t="s">
        <v>649</v>
      </c>
      <c r="X350" s="1" t="s">
        <v>105</v>
      </c>
      <c r="Y350" s="1" t="s">
        <v>106</v>
      </c>
      <c r="Z350" s="1"/>
      <c r="AA350" s="1" t="s">
        <v>129</v>
      </c>
      <c r="AB350" s="1" t="s">
        <v>191</v>
      </c>
      <c r="AC350" s="1"/>
      <c r="AD350" s="1">
        <v>3.6</v>
      </c>
      <c r="AE350" s="1" t="s">
        <v>76</v>
      </c>
      <c r="AF350" s="1"/>
    </row>
    <row r="351" spans="1:32" ht="18" customHeight="1">
      <c r="A351" s="1" t="s">
        <v>1212</v>
      </c>
      <c r="B351" s="1" t="s">
        <v>1213</v>
      </c>
      <c r="C351" s="4">
        <v>46083</v>
      </c>
      <c r="D351" s="4">
        <v>46084</v>
      </c>
      <c r="E351" s="4" t="s">
        <v>3576</v>
      </c>
      <c r="F351" s="1" t="s">
        <v>151</v>
      </c>
      <c r="G351" s="1" t="s">
        <v>244</v>
      </c>
      <c r="H351" s="1" t="s">
        <v>3408</v>
      </c>
      <c r="I351" s="1" t="s">
        <v>34</v>
      </c>
      <c r="J351" s="1" t="s">
        <v>112</v>
      </c>
      <c r="K351" s="1" t="s">
        <v>1214</v>
      </c>
      <c r="L351" s="1" t="s">
        <v>246</v>
      </c>
      <c r="M351" s="1">
        <v>821.58</v>
      </c>
      <c r="N351" s="1" t="s">
        <v>38</v>
      </c>
      <c r="O351" s="1">
        <v>750</v>
      </c>
      <c r="P351" s="1">
        <v>616185</v>
      </c>
      <c r="Q351" s="1">
        <v>0</v>
      </c>
      <c r="R351" s="7">
        <v>0</v>
      </c>
      <c r="S351" s="1">
        <v>0</v>
      </c>
      <c r="T351" s="1">
        <v>1</v>
      </c>
      <c r="U351" s="1">
        <v>-1</v>
      </c>
      <c r="V351" s="1" t="s">
        <v>270</v>
      </c>
      <c r="W351" s="1" t="s">
        <v>40</v>
      </c>
      <c r="X351" s="1"/>
      <c r="Y351" s="1" t="s">
        <v>106</v>
      </c>
      <c r="Z351" s="1"/>
      <c r="AA351" s="1" t="s">
        <v>206</v>
      </c>
      <c r="AB351" s="1" t="s">
        <v>44</v>
      </c>
      <c r="AC351" s="1"/>
      <c r="AD351" s="1">
        <v>3.7</v>
      </c>
      <c r="AE351" s="1" t="s">
        <v>76</v>
      </c>
      <c r="AF351" s="1" t="s">
        <v>130</v>
      </c>
    </row>
    <row r="352" spans="1:32" ht="18" customHeight="1">
      <c r="A352" s="1" t="s">
        <v>1215</v>
      </c>
      <c r="B352" s="1" t="s">
        <v>1216</v>
      </c>
      <c r="C352" s="4">
        <v>46166</v>
      </c>
      <c r="D352" s="4">
        <v>46182</v>
      </c>
      <c r="E352" s="4">
        <v>46178</v>
      </c>
      <c r="F352" s="1" t="s">
        <v>100</v>
      </c>
      <c r="G352" s="1" t="s">
        <v>101</v>
      </c>
      <c r="H352" s="1" t="s">
        <v>3361</v>
      </c>
      <c r="I352" s="1" t="s">
        <v>92</v>
      </c>
      <c r="J352" s="1" t="s">
        <v>50</v>
      </c>
      <c r="K352" s="1" t="s">
        <v>1217</v>
      </c>
      <c r="L352" s="1" t="s">
        <v>145</v>
      </c>
      <c r="M352" s="1">
        <v>918.51</v>
      </c>
      <c r="N352" s="1" t="s">
        <v>159</v>
      </c>
      <c r="O352" s="1">
        <v>50</v>
      </c>
      <c r="P352" s="1">
        <v>45925.5</v>
      </c>
      <c r="Q352" s="1">
        <v>0</v>
      </c>
      <c r="R352" s="7">
        <v>0</v>
      </c>
      <c r="S352" s="1">
        <v>12</v>
      </c>
      <c r="T352" s="1">
        <v>16</v>
      </c>
      <c r="U352" s="1">
        <v>-4</v>
      </c>
      <c r="V352" s="1" t="s">
        <v>87</v>
      </c>
      <c r="W352" s="1" t="s">
        <v>40</v>
      </c>
      <c r="X352" s="1" t="s">
        <v>146</v>
      </c>
      <c r="Y352" s="1" t="s">
        <v>3334</v>
      </c>
      <c r="Z352" s="1" t="s">
        <v>54</v>
      </c>
      <c r="AA352" s="1" t="s">
        <v>206</v>
      </c>
      <c r="AB352" s="1" t="s">
        <v>191</v>
      </c>
      <c r="AC352" s="1"/>
      <c r="AD352" s="1">
        <v>4.9000000000000004</v>
      </c>
      <c r="AE352" s="1" t="s">
        <v>115</v>
      </c>
      <c r="AF352" s="1" t="s">
        <v>130</v>
      </c>
    </row>
    <row r="353" spans="1:32" ht="18" customHeight="1">
      <c r="A353" s="1" t="s">
        <v>785</v>
      </c>
      <c r="B353" s="1" t="s">
        <v>1218</v>
      </c>
      <c r="C353" s="4">
        <v>46160</v>
      </c>
      <c r="D353" s="4">
        <v>46175</v>
      </c>
      <c r="E353" s="4">
        <v>46176</v>
      </c>
      <c r="F353" s="1" t="s">
        <v>32</v>
      </c>
      <c r="G353" s="1" t="s">
        <v>33</v>
      </c>
      <c r="H353" s="1" t="s">
        <v>177</v>
      </c>
      <c r="I353" s="1" t="s">
        <v>178</v>
      </c>
      <c r="J353" s="1" t="s">
        <v>35</v>
      </c>
      <c r="K353" s="1" t="s">
        <v>310</v>
      </c>
      <c r="L353" s="1" t="s">
        <v>180</v>
      </c>
      <c r="M353" s="1">
        <v>1570.41</v>
      </c>
      <c r="N353" s="1" t="s">
        <v>38</v>
      </c>
      <c r="O353" s="1">
        <v>75</v>
      </c>
      <c r="P353" s="1"/>
      <c r="Q353" s="1">
        <v>0</v>
      </c>
      <c r="R353" s="7">
        <v>0</v>
      </c>
      <c r="S353" s="1">
        <v>16</v>
      </c>
      <c r="T353" s="1">
        <v>15</v>
      </c>
      <c r="U353" s="1">
        <v>1</v>
      </c>
      <c r="V353" s="1" t="s">
        <v>135</v>
      </c>
      <c r="W353" s="1" t="s">
        <v>40</v>
      </c>
      <c r="X353" s="1" t="s">
        <v>127</v>
      </c>
      <c r="Y353" s="1" t="s">
        <v>106</v>
      </c>
      <c r="Z353" s="1" t="s">
        <v>3330</v>
      </c>
      <c r="AA353" s="1" t="s">
        <v>174</v>
      </c>
      <c r="AB353" s="1" t="s">
        <v>147</v>
      </c>
      <c r="AC353" s="1"/>
      <c r="AD353" s="1">
        <v>4.8</v>
      </c>
      <c r="AE353" s="1" t="s">
        <v>76</v>
      </c>
      <c r="AF353" s="1" t="s">
        <v>148</v>
      </c>
    </row>
    <row r="354" spans="1:32" ht="18" customHeight="1">
      <c r="A354" s="1" t="s">
        <v>1188</v>
      </c>
      <c r="B354" s="1" t="s">
        <v>1219</v>
      </c>
      <c r="C354" s="4" t="s">
        <v>3406</v>
      </c>
      <c r="D354" s="4" t="s">
        <v>3436</v>
      </c>
      <c r="E354" s="4">
        <v>46113</v>
      </c>
      <c r="F354" s="1" t="s">
        <v>48</v>
      </c>
      <c r="G354" s="1" t="s">
        <v>232</v>
      </c>
      <c r="H354" s="1" t="s">
        <v>102</v>
      </c>
      <c r="I354" s="1" t="s">
        <v>70</v>
      </c>
      <c r="J354" s="1" t="s">
        <v>50</v>
      </c>
      <c r="K354" s="1" t="s">
        <v>1220</v>
      </c>
      <c r="L354" s="1" t="s">
        <v>189</v>
      </c>
      <c r="M354" s="1">
        <v>974.96</v>
      </c>
      <c r="N354" s="1" t="s">
        <v>159</v>
      </c>
      <c r="O354" s="1">
        <v>200</v>
      </c>
      <c r="P354" s="1">
        <v>194992</v>
      </c>
      <c r="Q354" s="1">
        <v>8</v>
      </c>
      <c r="R354" s="7">
        <v>0.04</v>
      </c>
      <c r="S354" s="1">
        <v>20</v>
      </c>
      <c r="T354" s="1">
        <v>13</v>
      </c>
      <c r="U354" s="1">
        <v>7</v>
      </c>
      <c r="V354" s="1" t="s">
        <v>205</v>
      </c>
      <c r="W354" s="1" t="s">
        <v>40</v>
      </c>
      <c r="X354" s="1" t="s">
        <v>3324</v>
      </c>
      <c r="Y354" s="1" t="s">
        <v>212</v>
      </c>
      <c r="Z354" s="1" t="s">
        <v>3333</v>
      </c>
      <c r="AA354" s="1" t="s">
        <v>136</v>
      </c>
      <c r="AB354" s="1"/>
      <c r="AC354" s="1"/>
      <c r="AD354" s="1">
        <v>1.9</v>
      </c>
      <c r="AE354" s="1" t="s">
        <v>45</v>
      </c>
      <c r="AF354" s="1" t="s">
        <v>46</v>
      </c>
    </row>
    <row r="355" spans="1:32" ht="18" customHeight="1">
      <c r="A355" s="1" t="s">
        <v>1221</v>
      </c>
      <c r="B355" s="1" t="s">
        <v>1222</v>
      </c>
      <c r="C355" s="4">
        <v>46174</v>
      </c>
      <c r="D355" s="4">
        <v>46194</v>
      </c>
      <c r="E355" s="4">
        <v>46196</v>
      </c>
      <c r="F355" s="1" t="s">
        <v>142</v>
      </c>
      <c r="G355" s="1" t="s">
        <v>143</v>
      </c>
      <c r="H355" s="1" t="s">
        <v>3392</v>
      </c>
      <c r="I355" s="1" t="s">
        <v>34</v>
      </c>
      <c r="J355" s="1" t="s">
        <v>50</v>
      </c>
      <c r="K355" s="1" t="s">
        <v>1223</v>
      </c>
      <c r="L355" s="1" t="s">
        <v>52</v>
      </c>
      <c r="M355" s="1">
        <v>3321.79</v>
      </c>
      <c r="N355" s="1" t="s">
        <v>38</v>
      </c>
      <c r="O355" s="1">
        <v>500</v>
      </c>
      <c r="P355" s="1">
        <v>1660895</v>
      </c>
      <c r="Q355" s="1">
        <v>18</v>
      </c>
      <c r="R355" s="7">
        <v>3.5999999999999997E-2</v>
      </c>
      <c r="S355" s="1">
        <v>22</v>
      </c>
      <c r="T355" s="1">
        <v>20</v>
      </c>
      <c r="U355" s="1">
        <v>2</v>
      </c>
      <c r="V355" s="1" t="s">
        <v>3323</v>
      </c>
      <c r="W355" s="1" t="s">
        <v>40</v>
      </c>
      <c r="X355" s="1" t="s">
        <v>3324</v>
      </c>
      <c r="Y355" s="1" t="s">
        <v>3334</v>
      </c>
      <c r="Z355" s="1" t="s">
        <v>128</v>
      </c>
      <c r="AA355" s="1" t="s">
        <v>129</v>
      </c>
      <c r="AB355" s="1" t="s">
        <v>56</v>
      </c>
      <c r="AC355" s="1"/>
      <c r="AD355" s="1">
        <v>2.2999999999999998</v>
      </c>
      <c r="AE355" s="1" t="s">
        <v>184</v>
      </c>
      <c r="AF355" s="1" t="s">
        <v>46</v>
      </c>
    </row>
    <row r="356" spans="1:32" ht="18" customHeight="1">
      <c r="A356" s="1" t="s">
        <v>1224</v>
      </c>
      <c r="B356" s="1" t="s">
        <v>1225</v>
      </c>
      <c r="C356" s="4">
        <v>46146</v>
      </c>
      <c r="D356" s="4" t="s">
        <v>3400</v>
      </c>
      <c r="E356" s="4">
        <v>46143</v>
      </c>
      <c r="F356" s="1" t="s">
        <v>151</v>
      </c>
      <c r="G356" s="1" t="s">
        <v>3351</v>
      </c>
      <c r="H356" s="1" t="s">
        <v>152</v>
      </c>
      <c r="I356" s="1" t="s">
        <v>61</v>
      </c>
      <c r="J356" s="1" t="s">
        <v>112</v>
      </c>
      <c r="K356" s="1" t="s">
        <v>1226</v>
      </c>
      <c r="L356" s="1" t="s">
        <v>218</v>
      </c>
      <c r="M356" s="1">
        <v>586.88</v>
      </c>
      <c r="N356" s="1" t="s">
        <v>104</v>
      </c>
      <c r="O356" s="1">
        <v>250</v>
      </c>
      <c r="P356" s="1">
        <v>146720</v>
      </c>
      <c r="Q356" s="1">
        <v>1</v>
      </c>
      <c r="R356" s="7">
        <v>4.0000000000000001E-3</v>
      </c>
      <c r="S356" s="1">
        <v>-3</v>
      </c>
      <c r="T356" s="1">
        <v>6</v>
      </c>
      <c r="U356" s="1">
        <v>-9</v>
      </c>
      <c r="V356" s="1" t="s">
        <v>362</v>
      </c>
      <c r="W356" s="1" t="s">
        <v>40</v>
      </c>
      <c r="X356" s="1" t="s">
        <v>127</v>
      </c>
      <c r="Y356" s="1"/>
      <c r="Z356" s="1" t="s">
        <v>107</v>
      </c>
      <c r="AA356" s="1"/>
      <c r="AB356" s="1" t="s">
        <v>137</v>
      </c>
      <c r="AC356" s="1"/>
      <c r="AD356" s="1">
        <v>5</v>
      </c>
      <c r="AE356" s="1" t="s">
        <v>45</v>
      </c>
      <c r="AF356" s="1" t="s">
        <v>130</v>
      </c>
    </row>
    <row r="357" spans="1:32" ht="18" customHeight="1">
      <c r="A357" s="1" t="s">
        <v>1227</v>
      </c>
      <c r="B357" s="1" t="s">
        <v>1228</v>
      </c>
      <c r="C357" s="4">
        <v>46143</v>
      </c>
      <c r="D357" s="4">
        <v>46153</v>
      </c>
      <c r="E357" s="4">
        <v>46141</v>
      </c>
      <c r="F357" s="1" t="s">
        <v>60</v>
      </c>
      <c r="G357" s="1" t="s">
        <v>3488</v>
      </c>
      <c r="H357" s="1" t="s">
        <v>3408</v>
      </c>
      <c r="I357" s="1" t="s">
        <v>83</v>
      </c>
      <c r="J357" s="1" t="s">
        <v>35</v>
      </c>
      <c r="K357" s="1" t="s">
        <v>1229</v>
      </c>
      <c r="L357" s="1" t="s">
        <v>85</v>
      </c>
      <c r="M357" s="1">
        <v>542.9</v>
      </c>
      <c r="N357" s="1" t="s">
        <v>104</v>
      </c>
      <c r="O357" s="1">
        <v>100</v>
      </c>
      <c r="P357" s="1">
        <v>54290</v>
      </c>
      <c r="Q357" s="1">
        <v>0</v>
      </c>
      <c r="R357" s="7">
        <v>0</v>
      </c>
      <c r="S357" s="1">
        <v>-2</v>
      </c>
      <c r="T357" s="1">
        <v>10</v>
      </c>
      <c r="U357" s="1">
        <v>-12</v>
      </c>
      <c r="V357" s="1" t="s">
        <v>362</v>
      </c>
      <c r="W357" s="1" t="s">
        <v>40</v>
      </c>
      <c r="X357" s="1" t="s">
        <v>3324</v>
      </c>
      <c r="Y357" s="1"/>
      <c r="Z357" s="1" t="s">
        <v>3330</v>
      </c>
      <c r="AA357" s="1" t="s">
        <v>3341</v>
      </c>
      <c r="AB357" s="1" t="s">
        <v>137</v>
      </c>
      <c r="AC357" s="1"/>
      <c r="AD357" s="1">
        <v>3.2</v>
      </c>
      <c r="AE357" s="1" t="s">
        <v>115</v>
      </c>
      <c r="AF357" s="1"/>
    </row>
    <row r="358" spans="1:32" ht="18" hidden="1" customHeight="1">
      <c r="A358" s="1" t="s">
        <v>1230</v>
      </c>
      <c r="B358" s="1" t="s">
        <v>1231</v>
      </c>
      <c r="C358" s="4" t="s">
        <v>3577</v>
      </c>
      <c r="D358" s="1">
        <v>46107</v>
      </c>
      <c r="E358" s="1">
        <v>46108</v>
      </c>
      <c r="F358" s="1" t="s">
        <v>90</v>
      </c>
      <c r="G358" s="1" t="s">
        <v>91</v>
      </c>
      <c r="H358" s="1"/>
      <c r="I358" s="1" t="s">
        <v>92</v>
      </c>
      <c r="J358" s="1" t="s">
        <v>71</v>
      </c>
      <c r="K358" s="1" t="s">
        <v>1232</v>
      </c>
      <c r="L358" s="1" t="s">
        <v>73</v>
      </c>
      <c r="M358" s="1">
        <v>335.46</v>
      </c>
      <c r="N358" s="1" t="s">
        <v>159</v>
      </c>
      <c r="O358" s="1">
        <v>500</v>
      </c>
      <c r="P358" s="1">
        <v>167730</v>
      </c>
      <c r="Q358" s="1">
        <v>21</v>
      </c>
      <c r="R358" s="7">
        <v>4.2000000000000003E-2</v>
      </c>
      <c r="S358" s="1">
        <v>16</v>
      </c>
      <c r="T358" s="1">
        <v>15</v>
      </c>
      <c r="U358" s="1">
        <v>1</v>
      </c>
      <c r="V358" s="1" t="s">
        <v>3323</v>
      </c>
      <c r="W358" s="1" t="s">
        <v>3384</v>
      </c>
      <c r="X358" s="1" t="s">
        <v>105</v>
      </c>
      <c r="Y358" s="1" t="s">
        <v>106</v>
      </c>
      <c r="Z358" s="1" t="s">
        <v>54</v>
      </c>
      <c r="AA358" s="1" t="s">
        <v>136</v>
      </c>
      <c r="AB358" s="1" t="s">
        <v>191</v>
      </c>
      <c r="AC358" s="1" t="s">
        <v>373</v>
      </c>
      <c r="AD358" s="1">
        <v>1.2</v>
      </c>
      <c r="AE358" s="1" t="s">
        <v>115</v>
      </c>
      <c r="AF358" s="1" t="s">
        <v>77</v>
      </c>
    </row>
    <row r="359" spans="1:32" ht="18" hidden="1" customHeight="1">
      <c r="A359" s="1" t="s">
        <v>1233</v>
      </c>
      <c r="B359" s="1" t="s">
        <v>1234</v>
      </c>
      <c r="C359" s="4" t="s">
        <v>3553</v>
      </c>
      <c r="D359" s="1">
        <v>46165</v>
      </c>
      <c r="E359" s="1">
        <v>46166</v>
      </c>
      <c r="F359" s="1" t="s">
        <v>142</v>
      </c>
      <c r="G359" s="1" t="s">
        <v>143</v>
      </c>
      <c r="H359" s="1" t="s">
        <v>169</v>
      </c>
      <c r="I359" s="1" t="s">
        <v>61</v>
      </c>
      <c r="J359" s="1" t="s">
        <v>71</v>
      </c>
      <c r="K359" s="1" t="s">
        <v>1232</v>
      </c>
      <c r="L359" s="1" t="s">
        <v>553</v>
      </c>
      <c r="M359" s="1">
        <v>365.14</v>
      </c>
      <c r="N359" s="1" t="s">
        <v>65</v>
      </c>
      <c r="O359" s="1">
        <v>300</v>
      </c>
      <c r="P359" s="1">
        <v>109542</v>
      </c>
      <c r="Q359" s="1">
        <v>15</v>
      </c>
      <c r="R359" s="7">
        <v>0.05</v>
      </c>
      <c r="S359" s="1">
        <v>16</v>
      </c>
      <c r="T359" s="1">
        <v>15</v>
      </c>
      <c r="U359" s="1">
        <v>1</v>
      </c>
      <c r="V359" s="1" t="s">
        <v>3323</v>
      </c>
      <c r="W359" s="1" t="s">
        <v>420</v>
      </c>
      <c r="X359" s="1" t="s">
        <v>105</v>
      </c>
      <c r="Y359" s="1"/>
      <c r="Z359" s="1" t="s">
        <v>173</v>
      </c>
      <c r="AA359" s="1" t="s">
        <v>174</v>
      </c>
      <c r="AB359" s="1" t="s">
        <v>44</v>
      </c>
      <c r="AC359" s="1" t="s">
        <v>373</v>
      </c>
      <c r="AD359" s="1">
        <v>3.1</v>
      </c>
      <c r="AE359" s="1" t="s">
        <v>108</v>
      </c>
      <c r="AF359" s="1" t="s">
        <v>77</v>
      </c>
    </row>
    <row r="360" spans="1:32" ht="18" customHeight="1">
      <c r="A360" s="1" t="s">
        <v>1235</v>
      </c>
      <c r="B360" s="1" t="s">
        <v>1236</v>
      </c>
      <c r="C360" s="4">
        <v>46192</v>
      </c>
      <c r="D360" s="4" t="s">
        <v>3400</v>
      </c>
      <c r="E360" s="4" t="s">
        <v>3578</v>
      </c>
      <c r="F360" s="1" t="s">
        <v>151</v>
      </c>
      <c r="G360" s="1" t="s">
        <v>244</v>
      </c>
      <c r="H360" s="1" t="s">
        <v>3354</v>
      </c>
      <c r="I360" s="1" t="s">
        <v>83</v>
      </c>
      <c r="J360" s="1" t="s">
        <v>112</v>
      </c>
      <c r="K360" s="1" t="s">
        <v>1237</v>
      </c>
      <c r="L360" s="1" t="s">
        <v>218</v>
      </c>
      <c r="M360" s="1">
        <v>332.43</v>
      </c>
      <c r="N360" s="1" t="s">
        <v>65</v>
      </c>
      <c r="O360" s="1">
        <v>100</v>
      </c>
      <c r="P360" s="1">
        <v>33243</v>
      </c>
      <c r="Q360" s="1">
        <v>4</v>
      </c>
      <c r="R360" s="7">
        <v>0.04</v>
      </c>
      <c r="S360" s="1">
        <v>6</v>
      </c>
      <c r="T360" s="1">
        <v>3</v>
      </c>
      <c r="U360" s="1">
        <v>3</v>
      </c>
      <c r="V360" s="1" t="s">
        <v>166</v>
      </c>
      <c r="W360" s="1" t="s">
        <v>40</v>
      </c>
      <c r="X360" s="1" t="s">
        <v>105</v>
      </c>
      <c r="Y360" s="1" t="s">
        <v>3334</v>
      </c>
      <c r="Z360" s="1" t="s">
        <v>43</v>
      </c>
      <c r="AA360" s="1" t="s">
        <v>88</v>
      </c>
      <c r="AB360" s="1" t="s">
        <v>56</v>
      </c>
      <c r="AC360" s="1"/>
      <c r="AD360" s="1">
        <v>3.1</v>
      </c>
      <c r="AE360" s="1" t="s">
        <v>57</v>
      </c>
      <c r="AF360" s="1" t="s">
        <v>46</v>
      </c>
    </row>
    <row r="361" spans="1:32" ht="18" customHeight="1">
      <c r="A361" s="1" t="s">
        <v>1238</v>
      </c>
      <c r="B361" s="1" t="s">
        <v>1239</v>
      </c>
      <c r="C361" s="4">
        <v>46060</v>
      </c>
      <c r="D361" s="4"/>
      <c r="E361" s="4">
        <v>46075</v>
      </c>
      <c r="F361" s="1" t="s">
        <v>80</v>
      </c>
      <c r="G361" s="1" t="s">
        <v>3470</v>
      </c>
      <c r="H361" s="1" t="s">
        <v>82</v>
      </c>
      <c r="I361" s="1" t="s">
        <v>120</v>
      </c>
      <c r="J361" s="1" t="s">
        <v>35</v>
      </c>
      <c r="K361" s="1" t="s">
        <v>1240</v>
      </c>
      <c r="L361" s="1" t="s">
        <v>180</v>
      </c>
      <c r="M361" s="1">
        <v>2979.42</v>
      </c>
      <c r="N361" s="1" t="s">
        <v>159</v>
      </c>
      <c r="O361" s="1">
        <v>300</v>
      </c>
      <c r="P361" s="1">
        <v>893826</v>
      </c>
      <c r="Q361" s="1">
        <v>0</v>
      </c>
      <c r="R361" s="7">
        <v>0</v>
      </c>
      <c r="S361" s="1">
        <v>15</v>
      </c>
      <c r="T361" s="1">
        <v>8</v>
      </c>
      <c r="U361" s="1">
        <v>7</v>
      </c>
      <c r="V361" s="1" t="s">
        <v>39</v>
      </c>
      <c r="W361" s="1" t="s">
        <v>40</v>
      </c>
      <c r="X361" s="1"/>
      <c r="Y361" s="1" t="s">
        <v>42</v>
      </c>
      <c r="Z361" s="1" t="s">
        <v>173</v>
      </c>
      <c r="AA361" s="1"/>
      <c r="AB361" s="1" t="s">
        <v>95</v>
      </c>
      <c r="AC361" s="1"/>
      <c r="AD361" s="1">
        <v>2.8</v>
      </c>
      <c r="AE361" s="1" t="s">
        <v>57</v>
      </c>
      <c r="AF361" s="1" t="s">
        <v>148</v>
      </c>
    </row>
    <row r="362" spans="1:32" ht="18" customHeight="1">
      <c r="A362" s="1" t="s">
        <v>1241</v>
      </c>
      <c r="B362" s="1" t="s">
        <v>1242</v>
      </c>
      <c r="C362" s="4">
        <v>46162</v>
      </c>
      <c r="D362" s="4">
        <v>46169</v>
      </c>
      <c r="E362" s="4">
        <v>46174</v>
      </c>
      <c r="F362" s="1" t="s">
        <v>80</v>
      </c>
      <c r="G362" s="1" t="s">
        <v>81</v>
      </c>
      <c r="H362" s="1" t="s">
        <v>3442</v>
      </c>
      <c r="I362" s="1" t="s">
        <v>49</v>
      </c>
      <c r="J362" s="1" t="s">
        <v>35</v>
      </c>
      <c r="K362" s="1" t="s">
        <v>1243</v>
      </c>
      <c r="L362" s="1" t="s">
        <v>200</v>
      </c>
      <c r="M362" s="1">
        <v>201.41</v>
      </c>
      <c r="N362" s="1" t="s">
        <v>104</v>
      </c>
      <c r="O362" s="1">
        <v>250</v>
      </c>
      <c r="P362" s="1">
        <v>50352.5</v>
      </c>
      <c r="Q362" s="1">
        <v>0</v>
      </c>
      <c r="R362" s="7">
        <v>0</v>
      </c>
      <c r="S362" s="1">
        <v>12</v>
      </c>
      <c r="T362" s="1">
        <v>7</v>
      </c>
      <c r="U362" s="1">
        <v>5</v>
      </c>
      <c r="V362" s="1" t="s">
        <v>205</v>
      </c>
      <c r="W362" s="1" t="s">
        <v>40</v>
      </c>
      <c r="X362" s="1" t="s">
        <v>41</v>
      </c>
      <c r="Y362" s="1" t="s">
        <v>42</v>
      </c>
      <c r="Z362" s="1" t="s">
        <v>128</v>
      </c>
      <c r="AA362" s="1"/>
      <c r="AB362" s="1" t="s">
        <v>56</v>
      </c>
      <c r="AC362" s="1"/>
      <c r="AD362" s="1">
        <v>4.5999999999999996</v>
      </c>
      <c r="AE362" s="1" t="s">
        <v>45</v>
      </c>
      <c r="AF362" s="1" t="s">
        <v>46</v>
      </c>
    </row>
    <row r="363" spans="1:32" ht="18" customHeight="1">
      <c r="A363" s="1" t="s">
        <v>1244</v>
      </c>
      <c r="B363" s="1" t="s">
        <v>1245</v>
      </c>
      <c r="C363" s="4">
        <v>46065</v>
      </c>
      <c r="D363" s="4">
        <v>46079</v>
      </c>
      <c r="E363" s="4" t="s">
        <v>3579</v>
      </c>
      <c r="F363" s="1" t="s">
        <v>235</v>
      </c>
      <c r="G363" s="1" t="s">
        <v>236</v>
      </c>
      <c r="H363" s="1" t="s">
        <v>3374</v>
      </c>
      <c r="I363" s="1" t="s">
        <v>178</v>
      </c>
      <c r="J363" s="1" t="s">
        <v>71</v>
      </c>
      <c r="K363" s="1" t="s">
        <v>1246</v>
      </c>
      <c r="L363" s="1" t="s">
        <v>553</v>
      </c>
      <c r="M363" s="1">
        <v>345.45</v>
      </c>
      <c r="N363" s="1" t="s">
        <v>38</v>
      </c>
      <c r="O363" s="1">
        <v>100</v>
      </c>
      <c r="P363" s="1">
        <v>34545</v>
      </c>
      <c r="Q363" s="1">
        <v>0</v>
      </c>
      <c r="R363" s="7">
        <v>0</v>
      </c>
      <c r="S363" s="1">
        <v>11</v>
      </c>
      <c r="T363" s="1">
        <v>14</v>
      </c>
      <c r="U363" s="1">
        <v>-3</v>
      </c>
      <c r="V363" s="1" t="s">
        <v>87</v>
      </c>
      <c r="W363" s="1" t="s">
        <v>40</v>
      </c>
      <c r="X363" s="1"/>
      <c r="Y363" s="1" t="s">
        <v>212</v>
      </c>
      <c r="Z363" s="1" t="s">
        <v>107</v>
      </c>
      <c r="AA363" s="1" t="s">
        <v>136</v>
      </c>
      <c r="AB363" s="1" t="s">
        <v>56</v>
      </c>
      <c r="AC363" s="1"/>
      <c r="AD363" s="1">
        <v>3</v>
      </c>
      <c r="AE363" s="1" t="s">
        <v>139</v>
      </c>
      <c r="AF363" s="1" t="s">
        <v>130</v>
      </c>
    </row>
    <row r="364" spans="1:32" ht="18" customHeight="1">
      <c r="A364" s="1" t="s">
        <v>959</v>
      </c>
      <c r="B364" s="1" t="s">
        <v>1247</v>
      </c>
      <c r="C364" s="4">
        <v>46109</v>
      </c>
      <c r="D364" s="4">
        <v>46120</v>
      </c>
      <c r="E364" s="4" t="s">
        <v>3550</v>
      </c>
      <c r="F364" s="1" t="s">
        <v>209</v>
      </c>
      <c r="G364" s="1" t="s">
        <v>210</v>
      </c>
      <c r="H364" s="1" t="s">
        <v>316</v>
      </c>
      <c r="I364" s="1" t="s">
        <v>83</v>
      </c>
      <c r="J364" s="1" t="s">
        <v>153</v>
      </c>
      <c r="K364" s="1" t="s">
        <v>1248</v>
      </c>
      <c r="L364" s="1" t="s">
        <v>155</v>
      </c>
      <c r="M364" s="1">
        <v>80.37</v>
      </c>
      <c r="N364" s="1" t="s">
        <v>86</v>
      </c>
      <c r="O364" s="1">
        <v>150</v>
      </c>
      <c r="P364" s="1">
        <v>12055.5</v>
      </c>
      <c r="Q364" s="1">
        <v>1</v>
      </c>
      <c r="R364" s="7">
        <v>6.7000000000000002E-3</v>
      </c>
      <c r="S364" s="1"/>
      <c r="T364" s="1">
        <v>11</v>
      </c>
      <c r="U364" s="1">
        <v>0</v>
      </c>
      <c r="V364" s="1" t="s">
        <v>3337</v>
      </c>
      <c r="W364" s="1" t="s">
        <v>40</v>
      </c>
      <c r="X364" s="1" t="s">
        <v>127</v>
      </c>
      <c r="Y364" s="1" t="s">
        <v>106</v>
      </c>
      <c r="Z364" s="1"/>
      <c r="AA364" s="1" t="s">
        <v>136</v>
      </c>
      <c r="AB364" s="1"/>
      <c r="AC364" s="1"/>
      <c r="AD364" s="1">
        <v>2.9</v>
      </c>
      <c r="AE364" s="1" t="s">
        <v>57</v>
      </c>
      <c r="AF364" s="1" t="s">
        <v>130</v>
      </c>
    </row>
    <row r="365" spans="1:32" ht="18" hidden="1" customHeight="1">
      <c r="A365" s="1" t="s">
        <v>1249</v>
      </c>
      <c r="B365" s="1" t="s">
        <v>1250</v>
      </c>
      <c r="C365" s="4">
        <v>46087</v>
      </c>
      <c r="D365" s="1">
        <v>46099</v>
      </c>
      <c r="E365" s="1">
        <v>46110</v>
      </c>
      <c r="F365" s="1" t="s">
        <v>100</v>
      </c>
      <c r="G365" s="1" t="s">
        <v>3343</v>
      </c>
      <c r="H365" s="1" t="s">
        <v>3361</v>
      </c>
      <c r="I365" s="1" t="s">
        <v>34</v>
      </c>
      <c r="J365" s="1" t="s">
        <v>50</v>
      </c>
      <c r="K365" s="1" t="s">
        <v>1251</v>
      </c>
      <c r="L365" s="1" t="s">
        <v>52</v>
      </c>
      <c r="M365" s="1">
        <v>1534.4</v>
      </c>
      <c r="N365" s="1" t="s">
        <v>38</v>
      </c>
      <c r="O365" s="1">
        <v>50</v>
      </c>
      <c r="P365" s="1">
        <v>76720</v>
      </c>
      <c r="Q365" s="1">
        <v>4</v>
      </c>
      <c r="R365" s="7">
        <v>0.08</v>
      </c>
      <c r="S365" s="1">
        <v>23</v>
      </c>
      <c r="T365" s="1">
        <v>12</v>
      </c>
      <c r="U365" s="1">
        <v>11</v>
      </c>
      <c r="V365" s="1" t="s">
        <v>3328</v>
      </c>
      <c r="W365" s="1" t="s">
        <v>366</v>
      </c>
      <c r="X365" s="1" t="s">
        <v>41</v>
      </c>
      <c r="Y365" s="1" t="s">
        <v>42</v>
      </c>
      <c r="Z365" s="1" t="s">
        <v>107</v>
      </c>
      <c r="AA365" s="1" t="s">
        <v>129</v>
      </c>
      <c r="AB365" s="1" t="s">
        <v>95</v>
      </c>
      <c r="AC365" s="1" t="s">
        <v>183</v>
      </c>
      <c r="AD365" s="1">
        <v>2.2000000000000002</v>
      </c>
      <c r="AE365" s="1" t="s">
        <v>45</v>
      </c>
      <c r="AF365" s="1" t="s">
        <v>77</v>
      </c>
    </row>
    <row r="366" spans="1:32" ht="18" customHeight="1">
      <c r="A366" s="1" t="s">
        <v>1252</v>
      </c>
      <c r="B366" s="1" t="s">
        <v>1253</v>
      </c>
      <c r="C366" s="4" t="s">
        <v>3363</v>
      </c>
      <c r="D366" s="4">
        <v>46080</v>
      </c>
      <c r="E366" s="4" t="s">
        <v>3580</v>
      </c>
      <c r="F366" s="1" t="s">
        <v>142</v>
      </c>
      <c r="G366" s="1" t="s">
        <v>143</v>
      </c>
      <c r="H366" s="1" t="s">
        <v>3405</v>
      </c>
      <c r="I366" s="1" t="s">
        <v>241</v>
      </c>
      <c r="J366" s="1" t="s">
        <v>50</v>
      </c>
      <c r="K366" s="1" t="s">
        <v>1254</v>
      </c>
      <c r="L366" s="1" t="s">
        <v>52</v>
      </c>
      <c r="M366" s="1">
        <v>2513.84</v>
      </c>
      <c r="N366" s="1" t="s">
        <v>53</v>
      </c>
      <c r="O366" s="1">
        <v>750</v>
      </c>
      <c r="P366" s="1"/>
      <c r="Q366" s="1">
        <v>12</v>
      </c>
      <c r="R366" s="7">
        <v>1.6E-2</v>
      </c>
      <c r="S366" s="1">
        <v>27</v>
      </c>
      <c r="T366" s="1"/>
      <c r="U366" s="1">
        <v>11</v>
      </c>
      <c r="V366" s="1" t="s">
        <v>205</v>
      </c>
      <c r="W366" s="1" t="s">
        <v>40</v>
      </c>
      <c r="X366" s="1" t="s">
        <v>105</v>
      </c>
      <c r="Y366" s="1" t="s">
        <v>66</v>
      </c>
      <c r="Z366" s="1" t="s">
        <v>173</v>
      </c>
      <c r="AA366" s="1"/>
      <c r="AB366" s="1" t="s">
        <v>95</v>
      </c>
      <c r="AC366" s="1"/>
      <c r="AD366" s="1">
        <v>2</v>
      </c>
      <c r="AE366" s="1" t="s">
        <v>108</v>
      </c>
      <c r="AF366" s="1" t="s">
        <v>46</v>
      </c>
    </row>
    <row r="367" spans="1:32" ht="18" customHeight="1">
      <c r="A367" s="1" t="s">
        <v>1255</v>
      </c>
      <c r="B367" s="1" t="s">
        <v>1256</v>
      </c>
      <c r="C367" s="4">
        <v>46131</v>
      </c>
      <c r="D367" s="4" t="s">
        <v>3581</v>
      </c>
      <c r="E367" s="4">
        <v>46140</v>
      </c>
      <c r="F367" s="1" t="s">
        <v>151</v>
      </c>
      <c r="G367" s="1" t="s">
        <v>3353</v>
      </c>
      <c r="H367" s="1" t="s">
        <v>3408</v>
      </c>
      <c r="I367" s="1" t="s">
        <v>49</v>
      </c>
      <c r="J367" s="1" t="s">
        <v>112</v>
      </c>
      <c r="K367" s="1" t="s">
        <v>1257</v>
      </c>
      <c r="L367" s="1" t="s">
        <v>218</v>
      </c>
      <c r="M367" s="1">
        <v>235.41</v>
      </c>
      <c r="N367" s="1" t="s">
        <v>53</v>
      </c>
      <c r="O367" s="1">
        <v>500</v>
      </c>
      <c r="P367" s="1">
        <v>117705</v>
      </c>
      <c r="Q367" s="1">
        <v>10</v>
      </c>
      <c r="R367" s="7">
        <v>0.02</v>
      </c>
      <c r="S367" s="1">
        <v>9</v>
      </c>
      <c r="T367" s="1">
        <v>7</v>
      </c>
      <c r="U367" s="1">
        <v>2</v>
      </c>
      <c r="V367" s="1" t="s">
        <v>3323</v>
      </c>
      <c r="W367" s="1" t="s">
        <v>40</v>
      </c>
      <c r="X367" s="1" t="s">
        <v>3329</v>
      </c>
      <c r="Y367" s="1"/>
      <c r="Z367" s="1" t="s">
        <v>128</v>
      </c>
      <c r="AA367" s="1"/>
      <c r="AB367" s="1" t="s">
        <v>56</v>
      </c>
      <c r="AC367" s="1"/>
      <c r="AD367" s="1">
        <v>3</v>
      </c>
      <c r="AE367" s="1" t="s">
        <v>184</v>
      </c>
      <c r="AF367" s="1" t="s">
        <v>46</v>
      </c>
    </row>
    <row r="368" spans="1:32" ht="18" hidden="1" customHeight="1">
      <c r="A368" s="1" t="s">
        <v>1258</v>
      </c>
      <c r="B368" s="1" t="s">
        <v>1259</v>
      </c>
      <c r="C368" s="4" t="s">
        <v>3582</v>
      </c>
      <c r="D368" s="1">
        <v>46214</v>
      </c>
      <c r="E368" s="1">
        <v>46207</v>
      </c>
      <c r="F368" s="1" t="s">
        <v>235</v>
      </c>
      <c r="G368" s="1" t="s">
        <v>3426</v>
      </c>
      <c r="H368" s="1" t="s">
        <v>479</v>
      </c>
      <c r="I368" s="1" t="s">
        <v>34</v>
      </c>
      <c r="J368" s="1" t="s">
        <v>71</v>
      </c>
      <c r="K368" s="1" t="s">
        <v>1260</v>
      </c>
      <c r="L368" s="1" t="s">
        <v>553</v>
      </c>
      <c r="M368" s="1"/>
      <c r="N368" s="1" t="s">
        <v>38</v>
      </c>
      <c r="O368" s="1">
        <v>150</v>
      </c>
      <c r="P368" s="1">
        <v>64164</v>
      </c>
      <c r="Q368" s="1">
        <v>10</v>
      </c>
      <c r="R368" s="7">
        <v>6.6699999999999995E-2</v>
      </c>
      <c r="S368" s="1">
        <v>17</v>
      </c>
      <c r="T368" s="1">
        <v>24</v>
      </c>
      <c r="U368" s="1">
        <v>-7</v>
      </c>
      <c r="V368" s="1" t="s">
        <v>87</v>
      </c>
      <c r="W368" s="1" t="s">
        <v>3384</v>
      </c>
      <c r="X368" s="1" t="s">
        <v>41</v>
      </c>
      <c r="Y368" s="1" t="s">
        <v>106</v>
      </c>
      <c r="Z368" s="1" t="s">
        <v>128</v>
      </c>
      <c r="AA368" s="1" t="s">
        <v>136</v>
      </c>
      <c r="AB368" s="1" t="s">
        <v>44</v>
      </c>
      <c r="AC368" s="1" t="s">
        <v>283</v>
      </c>
      <c r="AD368" s="1">
        <v>2</v>
      </c>
      <c r="AE368" s="1" t="s">
        <v>184</v>
      </c>
      <c r="AF368" s="1" t="s">
        <v>97</v>
      </c>
    </row>
    <row r="369" spans="1:32" ht="18" customHeight="1">
      <c r="A369" s="1" t="s">
        <v>1261</v>
      </c>
      <c r="B369" s="1" t="s">
        <v>1262</v>
      </c>
      <c r="C369" s="4" t="s">
        <v>3445</v>
      </c>
      <c r="D369" s="4">
        <v>46213</v>
      </c>
      <c r="E369" s="4" t="s">
        <v>3452</v>
      </c>
      <c r="F369" s="1" t="s">
        <v>215</v>
      </c>
      <c r="G369" s="1" t="s">
        <v>216</v>
      </c>
      <c r="H369" s="1" t="s">
        <v>3354</v>
      </c>
      <c r="I369" s="1" t="s">
        <v>178</v>
      </c>
      <c r="J369" s="1" t="s">
        <v>112</v>
      </c>
      <c r="K369" s="1" t="s">
        <v>1263</v>
      </c>
      <c r="L369" s="1" t="s">
        <v>246</v>
      </c>
      <c r="M369" s="1">
        <v>679.37</v>
      </c>
      <c r="N369" s="1" t="s">
        <v>159</v>
      </c>
      <c r="O369" s="1">
        <v>300</v>
      </c>
      <c r="P369" s="1">
        <v>203811</v>
      </c>
      <c r="Q369" s="1">
        <v>3</v>
      </c>
      <c r="R369" s="7">
        <v>0.01</v>
      </c>
      <c r="S369" s="1">
        <v>9</v>
      </c>
      <c r="T369" s="1">
        <v>10</v>
      </c>
      <c r="U369" s="1">
        <v>-1</v>
      </c>
      <c r="V369" s="1" t="s">
        <v>3337</v>
      </c>
      <c r="W369" s="1" t="s">
        <v>40</v>
      </c>
      <c r="X369" s="1" t="s">
        <v>146</v>
      </c>
      <c r="Y369" s="1" t="s">
        <v>42</v>
      </c>
      <c r="Z369" s="1" t="s">
        <v>173</v>
      </c>
      <c r="AA369" s="1" t="s">
        <v>136</v>
      </c>
      <c r="AB369" s="1" t="s">
        <v>137</v>
      </c>
      <c r="AC369" s="1"/>
      <c r="AD369" s="1"/>
      <c r="AE369" s="1" t="s">
        <v>108</v>
      </c>
      <c r="AF369" s="1" t="s">
        <v>130</v>
      </c>
    </row>
    <row r="370" spans="1:32" ht="18" customHeight="1">
      <c r="A370" s="1" t="s">
        <v>1264</v>
      </c>
      <c r="B370" s="1" t="s">
        <v>1265</v>
      </c>
      <c r="C370" s="4">
        <v>46149</v>
      </c>
      <c r="D370" s="4">
        <v>46171</v>
      </c>
      <c r="E370" s="4">
        <v>46178</v>
      </c>
      <c r="F370" s="1" t="s">
        <v>32</v>
      </c>
      <c r="G370" s="1" t="s">
        <v>33</v>
      </c>
      <c r="H370" s="1" t="s">
        <v>177</v>
      </c>
      <c r="I370" s="1" t="s">
        <v>49</v>
      </c>
      <c r="J370" s="1" t="s">
        <v>35</v>
      </c>
      <c r="K370" s="1" t="s">
        <v>486</v>
      </c>
      <c r="L370" s="1" t="s">
        <v>180</v>
      </c>
      <c r="M370" s="1">
        <v>239.05</v>
      </c>
      <c r="N370" s="1" t="s">
        <v>86</v>
      </c>
      <c r="O370" s="1">
        <v>50</v>
      </c>
      <c r="P370" s="1">
        <v>11952.5</v>
      </c>
      <c r="Q370" s="1">
        <v>0</v>
      </c>
      <c r="R370" s="7">
        <v>0</v>
      </c>
      <c r="S370" s="1">
        <v>29</v>
      </c>
      <c r="T370" s="1">
        <v>22</v>
      </c>
      <c r="U370" s="1">
        <v>7</v>
      </c>
      <c r="V370" s="1" t="s">
        <v>3328</v>
      </c>
      <c r="W370" s="1" t="s">
        <v>40</v>
      </c>
      <c r="X370" s="1" t="s">
        <v>3329</v>
      </c>
      <c r="Y370" s="1" t="s">
        <v>66</v>
      </c>
      <c r="Z370" s="1" t="s">
        <v>3333</v>
      </c>
      <c r="AA370" s="1" t="s">
        <v>174</v>
      </c>
      <c r="AB370" s="1" t="s">
        <v>56</v>
      </c>
      <c r="AC370" s="1"/>
      <c r="AD370" s="1">
        <v>1.2</v>
      </c>
      <c r="AE370" s="1" t="s">
        <v>139</v>
      </c>
      <c r="AF370" s="1" t="s">
        <v>46</v>
      </c>
    </row>
    <row r="371" spans="1:32" ht="18" customHeight="1">
      <c r="A371" s="1" t="s">
        <v>1266</v>
      </c>
      <c r="B371" s="1" t="s">
        <v>1267</v>
      </c>
      <c r="C371" s="4">
        <v>46146</v>
      </c>
      <c r="D371" s="4">
        <v>46158</v>
      </c>
      <c r="E371" s="4">
        <v>46160</v>
      </c>
      <c r="F371" s="1" t="s">
        <v>60</v>
      </c>
      <c r="G371" s="1" t="s">
        <v>466</v>
      </c>
      <c r="H371" s="1" t="s">
        <v>3408</v>
      </c>
      <c r="I371" s="1" t="s">
        <v>61</v>
      </c>
      <c r="J371" s="1" t="s">
        <v>62</v>
      </c>
      <c r="K371" s="1" t="s">
        <v>1268</v>
      </c>
      <c r="L371" s="1" t="s">
        <v>122</v>
      </c>
      <c r="M371" s="1">
        <v>145.19</v>
      </c>
      <c r="N371" s="1" t="s">
        <v>104</v>
      </c>
      <c r="O371" s="1">
        <v>75</v>
      </c>
      <c r="P371" s="1">
        <v>10889.25</v>
      </c>
      <c r="Q371" s="1">
        <v>1</v>
      </c>
      <c r="R371" s="7">
        <v>1.3299999999999999E-2</v>
      </c>
      <c r="S371" s="1">
        <v>14</v>
      </c>
      <c r="T371" s="1">
        <v>12</v>
      </c>
      <c r="U371" s="1">
        <v>2</v>
      </c>
      <c r="V371" s="1" t="s">
        <v>135</v>
      </c>
      <c r="W371" s="1"/>
      <c r="X371" s="1" t="s">
        <v>127</v>
      </c>
      <c r="Y371" s="1" t="s">
        <v>42</v>
      </c>
      <c r="Z371" s="1" t="s">
        <v>128</v>
      </c>
      <c r="AA371" s="1" t="s">
        <v>3341</v>
      </c>
      <c r="AB371" s="1" t="s">
        <v>56</v>
      </c>
      <c r="AC371" s="1"/>
      <c r="AD371" s="1">
        <v>3.8</v>
      </c>
      <c r="AE371" s="1" t="s">
        <v>57</v>
      </c>
      <c r="AF371" s="1" t="s">
        <v>148</v>
      </c>
    </row>
    <row r="372" spans="1:32" ht="18" hidden="1" customHeight="1">
      <c r="A372" s="1" t="s">
        <v>1269</v>
      </c>
      <c r="B372" s="1" t="s">
        <v>1270</v>
      </c>
      <c r="C372" s="4">
        <v>46047</v>
      </c>
      <c r="D372" s="1"/>
      <c r="E372" s="1">
        <v>46075</v>
      </c>
      <c r="F372" s="1" t="s">
        <v>69</v>
      </c>
      <c r="G372" s="1" t="s">
        <v>111</v>
      </c>
      <c r="H372" s="1" t="s">
        <v>3338</v>
      </c>
      <c r="I372" s="1" t="s">
        <v>34</v>
      </c>
      <c r="J372" s="1" t="s">
        <v>112</v>
      </c>
      <c r="K372" s="1" t="s">
        <v>1271</v>
      </c>
      <c r="L372" s="1" t="s">
        <v>246</v>
      </c>
      <c r="M372" s="1">
        <v>431.96</v>
      </c>
      <c r="N372" s="1" t="s">
        <v>65</v>
      </c>
      <c r="O372" s="1">
        <v>75</v>
      </c>
      <c r="P372" s="1">
        <v>32397</v>
      </c>
      <c r="Q372" s="1">
        <v>6</v>
      </c>
      <c r="R372" s="7">
        <v>0.08</v>
      </c>
      <c r="S372" s="1">
        <v>28</v>
      </c>
      <c r="T372" s="1">
        <v>12</v>
      </c>
      <c r="U372" s="1">
        <v>16</v>
      </c>
      <c r="V372" s="1" t="s">
        <v>39</v>
      </c>
      <c r="W372" s="1" t="s">
        <v>366</v>
      </c>
      <c r="X372" s="1" t="s">
        <v>105</v>
      </c>
      <c r="Y372" s="1" t="s">
        <v>212</v>
      </c>
      <c r="Z372" s="1" t="s">
        <v>3333</v>
      </c>
      <c r="AA372" s="1" t="s">
        <v>3341</v>
      </c>
      <c r="AB372" s="1" t="s">
        <v>95</v>
      </c>
      <c r="AC372" s="1" t="s">
        <v>75</v>
      </c>
      <c r="AD372" s="1">
        <v>2.2000000000000002</v>
      </c>
      <c r="AE372" s="1" t="s">
        <v>108</v>
      </c>
      <c r="AF372" s="1" t="s">
        <v>77</v>
      </c>
    </row>
    <row r="373" spans="1:32" ht="18" customHeight="1">
      <c r="A373" s="1" t="s">
        <v>1272</v>
      </c>
      <c r="B373" s="1" t="s">
        <v>1273</v>
      </c>
      <c r="C373" s="4">
        <v>46134</v>
      </c>
      <c r="D373" s="4">
        <v>46142</v>
      </c>
      <c r="E373" s="4" t="s">
        <v>3583</v>
      </c>
      <c r="F373" s="1" t="s">
        <v>209</v>
      </c>
      <c r="G373" s="1" t="s">
        <v>210</v>
      </c>
      <c r="H373" s="1" t="s">
        <v>3390</v>
      </c>
      <c r="I373" s="1" t="s">
        <v>83</v>
      </c>
      <c r="J373" s="1" t="s">
        <v>153</v>
      </c>
      <c r="K373" s="1" t="s">
        <v>1274</v>
      </c>
      <c r="L373" s="1" t="s">
        <v>318</v>
      </c>
      <c r="M373" s="1">
        <v>218.59</v>
      </c>
      <c r="N373" s="1" t="s">
        <v>38</v>
      </c>
      <c r="O373" s="1">
        <v>1000</v>
      </c>
      <c r="P373" s="1">
        <v>218590</v>
      </c>
      <c r="Q373" s="1">
        <v>39</v>
      </c>
      <c r="R373" s="7">
        <v>3.9E-2</v>
      </c>
      <c r="S373" s="1">
        <v>16</v>
      </c>
      <c r="T373" s="1">
        <v>8</v>
      </c>
      <c r="U373" s="1">
        <v>8</v>
      </c>
      <c r="V373" s="1" t="s">
        <v>3328</v>
      </c>
      <c r="W373" s="1" t="s">
        <v>40</v>
      </c>
      <c r="X373" s="1" t="s">
        <v>146</v>
      </c>
      <c r="Y373" s="1" t="s">
        <v>42</v>
      </c>
      <c r="Z373" s="1"/>
      <c r="AA373" s="1"/>
      <c r="AB373" s="1"/>
      <c r="AC373" s="1"/>
      <c r="AD373" s="1" t="s">
        <v>3431</v>
      </c>
      <c r="AE373" s="1" t="s">
        <v>57</v>
      </c>
      <c r="AF373" s="1" t="s">
        <v>148</v>
      </c>
    </row>
    <row r="374" spans="1:32" ht="18" customHeight="1">
      <c r="A374" s="1" t="s">
        <v>1275</v>
      </c>
      <c r="B374" s="1" t="s">
        <v>1276</v>
      </c>
      <c r="C374" s="4" t="s">
        <v>3584</v>
      </c>
      <c r="D374" s="4">
        <v>46178</v>
      </c>
      <c r="E374" s="4" t="s">
        <v>3585</v>
      </c>
      <c r="F374" s="1" t="s">
        <v>118</v>
      </c>
      <c r="G374" s="1" t="s">
        <v>3461</v>
      </c>
      <c r="H374" s="1" t="s">
        <v>3340</v>
      </c>
      <c r="I374" s="1" t="s">
        <v>70</v>
      </c>
      <c r="J374" s="1" t="s">
        <v>62</v>
      </c>
      <c r="K374" s="1" t="s">
        <v>1277</v>
      </c>
      <c r="L374" s="1" t="s">
        <v>122</v>
      </c>
      <c r="M374" s="1">
        <v>712.49</v>
      </c>
      <c r="N374" s="1" t="s">
        <v>65</v>
      </c>
      <c r="O374" s="1">
        <v>100</v>
      </c>
      <c r="P374" s="1">
        <v>71249</v>
      </c>
      <c r="Q374" s="1">
        <v>0</v>
      </c>
      <c r="R374" s="7">
        <v>0</v>
      </c>
      <c r="S374" s="1">
        <v>22</v>
      </c>
      <c r="T374" s="1">
        <v>23</v>
      </c>
      <c r="U374" s="1">
        <v>-1</v>
      </c>
      <c r="V374" s="1" t="s">
        <v>87</v>
      </c>
      <c r="W374" s="1" t="s">
        <v>40</v>
      </c>
      <c r="X374" s="1" t="s">
        <v>3324</v>
      </c>
      <c r="Y374" s="1" t="s">
        <v>212</v>
      </c>
      <c r="Z374" s="1" t="s">
        <v>43</v>
      </c>
      <c r="AA374" s="1"/>
      <c r="AB374" s="1" t="s">
        <v>191</v>
      </c>
      <c r="AC374" s="1"/>
      <c r="AD374" s="1">
        <v>3.4</v>
      </c>
      <c r="AE374" s="1" t="s">
        <v>108</v>
      </c>
      <c r="AF374" s="1"/>
    </row>
    <row r="375" spans="1:32" ht="18" customHeight="1">
      <c r="A375" s="1" t="s">
        <v>1278</v>
      </c>
      <c r="B375" s="1" t="s">
        <v>1279</v>
      </c>
      <c r="C375" s="4">
        <v>46087</v>
      </c>
      <c r="D375" s="4">
        <v>46090</v>
      </c>
      <c r="E375" s="4">
        <v>46098</v>
      </c>
      <c r="F375" s="1" t="s">
        <v>162</v>
      </c>
      <c r="G375" s="1" t="s">
        <v>3444</v>
      </c>
      <c r="H375" s="1" t="s">
        <v>3354</v>
      </c>
      <c r="I375" s="1" t="s">
        <v>83</v>
      </c>
      <c r="J375" s="1" t="s">
        <v>71</v>
      </c>
      <c r="K375" s="1" t="s">
        <v>1280</v>
      </c>
      <c r="L375" s="1" t="s">
        <v>238</v>
      </c>
      <c r="M375" s="1">
        <v>751.64</v>
      </c>
      <c r="N375" s="1" t="s">
        <v>38</v>
      </c>
      <c r="O375" s="1">
        <v>300</v>
      </c>
      <c r="P375" s="1">
        <v>225492</v>
      </c>
      <c r="Q375" s="1">
        <v>6</v>
      </c>
      <c r="R375" s="7">
        <v>0.02</v>
      </c>
      <c r="S375" s="1">
        <v>11</v>
      </c>
      <c r="T375" s="1">
        <v>3</v>
      </c>
      <c r="U375" s="1">
        <v>8</v>
      </c>
      <c r="V375" s="1" t="s">
        <v>39</v>
      </c>
      <c r="W375" s="1" t="s">
        <v>40</v>
      </c>
      <c r="X375" s="1" t="s">
        <v>127</v>
      </c>
      <c r="Y375" s="1" t="s">
        <v>42</v>
      </c>
      <c r="Z375" s="1" t="s">
        <v>128</v>
      </c>
      <c r="AA375" s="1" t="s">
        <v>206</v>
      </c>
      <c r="AB375" s="1" t="s">
        <v>147</v>
      </c>
      <c r="AC375" s="1"/>
      <c r="AD375" s="1">
        <v>1.4</v>
      </c>
      <c r="AE375" s="1" t="s">
        <v>45</v>
      </c>
      <c r="AF375" s="1" t="s">
        <v>148</v>
      </c>
    </row>
    <row r="376" spans="1:32" ht="18" hidden="1" customHeight="1">
      <c r="A376" s="1" t="s">
        <v>1281</v>
      </c>
      <c r="B376" s="1" t="s">
        <v>1282</v>
      </c>
      <c r="C376" s="4">
        <v>46169</v>
      </c>
      <c r="D376" s="1" t="s">
        <v>3586</v>
      </c>
      <c r="E376" s="1">
        <v>46190</v>
      </c>
      <c r="F376" s="1" t="s">
        <v>90</v>
      </c>
      <c r="G376" s="1" t="s">
        <v>3440</v>
      </c>
      <c r="H376" s="1" t="s">
        <v>3425</v>
      </c>
      <c r="I376" s="1" t="s">
        <v>178</v>
      </c>
      <c r="J376" s="1" t="s">
        <v>71</v>
      </c>
      <c r="K376" s="1" t="s">
        <v>1283</v>
      </c>
      <c r="L376" s="1" t="s">
        <v>337</v>
      </c>
      <c r="M376" s="1" t="s">
        <v>3587</v>
      </c>
      <c r="N376" s="1" t="s">
        <v>104</v>
      </c>
      <c r="O376" s="1">
        <v>75</v>
      </c>
      <c r="P376" s="1">
        <v>56790.75</v>
      </c>
      <c r="Q376" s="1">
        <v>4</v>
      </c>
      <c r="R376" s="7">
        <v>5.33E-2</v>
      </c>
      <c r="S376" s="1">
        <v>21</v>
      </c>
      <c r="T376" s="1">
        <v>14</v>
      </c>
      <c r="U376" s="1">
        <v>7</v>
      </c>
      <c r="V376" s="1" t="s">
        <v>205</v>
      </c>
      <c r="W376" s="1" t="s">
        <v>366</v>
      </c>
      <c r="X376" s="1"/>
      <c r="Y376" s="1" t="s">
        <v>106</v>
      </c>
      <c r="Z376" s="1" t="s">
        <v>173</v>
      </c>
      <c r="AA376" s="1" t="s">
        <v>3341</v>
      </c>
      <c r="AB376" s="1" t="s">
        <v>56</v>
      </c>
      <c r="AC376" s="1" t="s">
        <v>75</v>
      </c>
      <c r="AD376" s="1">
        <v>1.6</v>
      </c>
      <c r="AE376" s="1" t="s">
        <v>57</v>
      </c>
      <c r="AF376" s="1" t="s">
        <v>185</v>
      </c>
    </row>
    <row r="377" spans="1:32" ht="18" customHeight="1">
      <c r="A377" s="1" t="s">
        <v>1284</v>
      </c>
      <c r="B377" s="1" t="s">
        <v>1285</v>
      </c>
      <c r="C377" s="4">
        <v>46093</v>
      </c>
      <c r="D377" s="4">
        <v>46101</v>
      </c>
      <c r="E377" s="4">
        <v>46094</v>
      </c>
      <c r="F377" s="1" t="s">
        <v>162</v>
      </c>
      <c r="G377" s="1" t="s">
        <v>3383</v>
      </c>
      <c r="H377" s="1" t="s">
        <v>3408</v>
      </c>
      <c r="I377" s="1" t="s">
        <v>83</v>
      </c>
      <c r="J377" s="1" t="s">
        <v>50</v>
      </c>
      <c r="K377" s="1" t="s">
        <v>676</v>
      </c>
      <c r="L377" s="1" t="s">
        <v>145</v>
      </c>
      <c r="M377" s="1">
        <v>2313.62</v>
      </c>
      <c r="N377" s="1" t="s">
        <v>53</v>
      </c>
      <c r="O377" s="1">
        <v>50</v>
      </c>
      <c r="P377" s="1">
        <v>115681</v>
      </c>
      <c r="Q377" s="1">
        <v>1</v>
      </c>
      <c r="R377" s="7">
        <v>0.02</v>
      </c>
      <c r="S377" s="1">
        <v>1</v>
      </c>
      <c r="T377" s="1">
        <v>8</v>
      </c>
      <c r="U377" s="1">
        <v>-7</v>
      </c>
      <c r="V377" s="1" t="s">
        <v>270</v>
      </c>
      <c r="W377" s="1" t="s">
        <v>40</v>
      </c>
      <c r="X377" s="1" t="s">
        <v>3329</v>
      </c>
      <c r="Y377" s="1" t="s">
        <v>106</v>
      </c>
      <c r="Z377" s="1" t="s">
        <v>3330</v>
      </c>
      <c r="AA377" s="1" t="s">
        <v>206</v>
      </c>
      <c r="AB377" s="1" t="s">
        <v>191</v>
      </c>
      <c r="AC377" s="1"/>
      <c r="AD377" s="1">
        <v>4</v>
      </c>
      <c r="AE377" s="1" t="s">
        <v>45</v>
      </c>
      <c r="AF377" s="1"/>
    </row>
    <row r="378" spans="1:32" ht="18" customHeight="1">
      <c r="A378" s="1" t="s">
        <v>1286</v>
      </c>
      <c r="B378" s="1" t="s">
        <v>1287</v>
      </c>
      <c r="C378" s="4">
        <v>46149</v>
      </c>
      <c r="D378" s="4" t="s">
        <v>3436</v>
      </c>
      <c r="E378" s="4" t="s">
        <v>3588</v>
      </c>
      <c r="F378" s="1" t="s">
        <v>100</v>
      </c>
      <c r="G378" s="1" t="s">
        <v>3429</v>
      </c>
      <c r="H378" s="1" t="s">
        <v>3322</v>
      </c>
      <c r="I378" s="1" t="s">
        <v>49</v>
      </c>
      <c r="J378" s="1" t="s">
        <v>50</v>
      </c>
      <c r="K378" s="1" t="s">
        <v>1288</v>
      </c>
      <c r="L378" s="1" t="s">
        <v>189</v>
      </c>
      <c r="M378" s="1"/>
      <c r="N378" s="1" t="s">
        <v>65</v>
      </c>
      <c r="O378" s="1">
        <v>75</v>
      </c>
      <c r="P378" s="1">
        <v>168696</v>
      </c>
      <c r="Q378" s="1">
        <v>1</v>
      </c>
      <c r="R378" s="7">
        <v>1.3299999999999999E-2</v>
      </c>
      <c r="S378" s="1">
        <v>7</v>
      </c>
      <c r="T378" s="1">
        <v>8</v>
      </c>
      <c r="U378" s="1">
        <v>-1</v>
      </c>
      <c r="V378" s="1" t="s">
        <v>3352</v>
      </c>
      <c r="W378" s="1" t="s">
        <v>40</v>
      </c>
      <c r="X378" s="1" t="s">
        <v>105</v>
      </c>
      <c r="Y378" s="1" t="s">
        <v>3334</v>
      </c>
      <c r="Z378" s="1" t="s">
        <v>54</v>
      </c>
      <c r="AA378" s="1" t="s">
        <v>129</v>
      </c>
      <c r="AB378" s="1" t="s">
        <v>56</v>
      </c>
      <c r="AC378" s="1"/>
      <c r="AD378" s="1">
        <v>2.6</v>
      </c>
      <c r="AE378" s="1" t="s">
        <v>184</v>
      </c>
      <c r="AF378" s="1"/>
    </row>
    <row r="379" spans="1:32" ht="18" customHeight="1">
      <c r="A379" s="1" t="s">
        <v>1289</v>
      </c>
      <c r="B379" s="1" t="s">
        <v>1290</v>
      </c>
      <c r="C379" s="4">
        <v>46164</v>
      </c>
      <c r="D379" s="4">
        <v>46176</v>
      </c>
      <c r="E379" s="4">
        <v>46182</v>
      </c>
      <c r="F379" s="1" t="s">
        <v>235</v>
      </c>
      <c r="G379" s="1" t="s">
        <v>236</v>
      </c>
      <c r="H379" s="1" t="s">
        <v>479</v>
      </c>
      <c r="I379" s="1" t="s">
        <v>92</v>
      </c>
      <c r="J379" s="1" t="s">
        <v>71</v>
      </c>
      <c r="K379" s="1" t="s">
        <v>1291</v>
      </c>
      <c r="L379" s="1" t="s">
        <v>238</v>
      </c>
      <c r="M379" s="1">
        <v>668.46</v>
      </c>
      <c r="N379" s="1" t="s">
        <v>104</v>
      </c>
      <c r="O379" s="1">
        <v>100</v>
      </c>
      <c r="P379" s="1">
        <v>66846</v>
      </c>
      <c r="Q379" s="1">
        <v>4</v>
      </c>
      <c r="R379" s="7">
        <v>0.04</v>
      </c>
      <c r="S379" s="1">
        <v>18</v>
      </c>
      <c r="T379" s="1">
        <v>12</v>
      </c>
      <c r="U379" s="1">
        <v>6</v>
      </c>
      <c r="V379" s="1" t="s">
        <v>205</v>
      </c>
      <c r="W379" s="1"/>
      <c r="X379" s="1"/>
      <c r="Y379" s="1" t="s">
        <v>42</v>
      </c>
      <c r="Z379" s="1" t="s">
        <v>173</v>
      </c>
      <c r="AA379" s="1" t="s">
        <v>3341</v>
      </c>
      <c r="AB379" s="1" t="s">
        <v>95</v>
      </c>
      <c r="AC379" s="1"/>
      <c r="AD379" s="1">
        <v>1.2</v>
      </c>
      <c r="AE379" s="1" t="s">
        <v>76</v>
      </c>
      <c r="AF379" s="1" t="s">
        <v>148</v>
      </c>
    </row>
    <row r="380" spans="1:32" ht="18" customHeight="1">
      <c r="A380" s="1" t="s">
        <v>1292</v>
      </c>
      <c r="B380" s="1" t="s">
        <v>1293</v>
      </c>
      <c r="C380" s="4">
        <v>46065</v>
      </c>
      <c r="D380" s="4">
        <v>46082</v>
      </c>
      <c r="E380" s="4">
        <v>46074</v>
      </c>
      <c r="F380" s="1" t="s">
        <v>100</v>
      </c>
      <c r="G380" s="1" t="s">
        <v>101</v>
      </c>
      <c r="H380" s="1" t="s">
        <v>102</v>
      </c>
      <c r="I380" s="1" t="s">
        <v>34</v>
      </c>
      <c r="J380" s="1" t="s">
        <v>50</v>
      </c>
      <c r="K380" s="1" t="s">
        <v>1294</v>
      </c>
      <c r="L380" s="1" t="s">
        <v>126</v>
      </c>
      <c r="M380" s="1"/>
      <c r="N380" s="1" t="s">
        <v>86</v>
      </c>
      <c r="O380" s="1">
        <v>1500</v>
      </c>
      <c r="P380" s="1">
        <v>0</v>
      </c>
      <c r="Q380" s="1">
        <v>29</v>
      </c>
      <c r="R380" s="7">
        <v>1.9300000000000001E-2</v>
      </c>
      <c r="S380" s="1">
        <v>9</v>
      </c>
      <c r="T380" s="1">
        <v>17</v>
      </c>
      <c r="U380" s="1">
        <v>-8</v>
      </c>
      <c r="V380" s="1" t="s">
        <v>3337</v>
      </c>
      <c r="W380" s="1" t="s">
        <v>40</v>
      </c>
      <c r="X380" s="1" t="s">
        <v>105</v>
      </c>
      <c r="Y380" s="1" t="s">
        <v>42</v>
      </c>
      <c r="Z380" s="1" t="s">
        <v>107</v>
      </c>
      <c r="AA380" s="1" t="s">
        <v>129</v>
      </c>
      <c r="AB380" s="1"/>
      <c r="AC380" s="1"/>
      <c r="AD380" s="1">
        <v>4.4000000000000004</v>
      </c>
      <c r="AE380" s="1" t="s">
        <v>57</v>
      </c>
      <c r="AF380" s="1"/>
    </row>
    <row r="381" spans="1:32" ht="18" customHeight="1">
      <c r="A381" s="1" t="s">
        <v>1295</v>
      </c>
      <c r="B381" s="1" t="s">
        <v>1296</v>
      </c>
      <c r="C381" s="4">
        <v>46168</v>
      </c>
      <c r="D381" s="4">
        <v>46189</v>
      </c>
      <c r="E381" s="4">
        <v>46180</v>
      </c>
      <c r="F381" s="1" t="s">
        <v>118</v>
      </c>
      <c r="G381" s="1" t="s">
        <v>119</v>
      </c>
      <c r="H381" s="1" t="s">
        <v>301</v>
      </c>
      <c r="I381" s="1" t="s">
        <v>34</v>
      </c>
      <c r="J381" s="1" t="s">
        <v>62</v>
      </c>
      <c r="K381" s="1" t="s">
        <v>1297</v>
      </c>
      <c r="L381" s="1" t="s">
        <v>225</v>
      </c>
      <c r="M381" s="1">
        <v>11.17</v>
      </c>
      <c r="N381" s="1" t="s">
        <v>38</v>
      </c>
      <c r="O381" s="1">
        <v>1000</v>
      </c>
      <c r="P381" s="1">
        <v>11170</v>
      </c>
      <c r="Q381" s="1">
        <v>33</v>
      </c>
      <c r="R381" s="7">
        <v>3.3000000000000002E-2</v>
      </c>
      <c r="S381" s="1">
        <v>12</v>
      </c>
      <c r="T381" s="1"/>
      <c r="U381" s="1">
        <v>-9</v>
      </c>
      <c r="V381" s="1" t="s">
        <v>270</v>
      </c>
      <c r="W381" s="1" t="s">
        <v>40</v>
      </c>
      <c r="X381" s="1" t="s">
        <v>146</v>
      </c>
      <c r="Y381" s="1" t="s">
        <v>190</v>
      </c>
      <c r="Z381" s="1" t="s">
        <v>128</v>
      </c>
      <c r="AA381" s="1" t="s">
        <v>206</v>
      </c>
      <c r="AB381" s="1" t="s">
        <v>44</v>
      </c>
      <c r="AC381" s="1"/>
      <c r="AD381" s="1">
        <v>2.7</v>
      </c>
      <c r="AE381" s="1" t="s">
        <v>57</v>
      </c>
      <c r="AF381" s="1" t="s">
        <v>130</v>
      </c>
    </row>
    <row r="382" spans="1:32" ht="18" hidden="1" customHeight="1">
      <c r="A382" s="1" t="s">
        <v>58</v>
      </c>
      <c r="B382" s="1" t="s">
        <v>1298</v>
      </c>
      <c r="C382" s="4">
        <v>46148</v>
      </c>
      <c r="D382" s="1" t="s">
        <v>3400</v>
      </c>
      <c r="E382" s="1">
        <v>46170</v>
      </c>
      <c r="F382" s="1" t="s">
        <v>100</v>
      </c>
      <c r="G382" s="1" t="s">
        <v>101</v>
      </c>
      <c r="H382" s="1" t="s">
        <v>3361</v>
      </c>
      <c r="I382" s="1" t="s">
        <v>70</v>
      </c>
      <c r="J382" s="1" t="s">
        <v>50</v>
      </c>
      <c r="K382" s="1" t="s">
        <v>1299</v>
      </c>
      <c r="L382" s="1" t="s">
        <v>145</v>
      </c>
      <c r="M382" s="1">
        <v>2188.73</v>
      </c>
      <c r="N382" s="1" t="s">
        <v>159</v>
      </c>
      <c r="O382" s="1">
        <v>500</v>
      </c>
      <c r="P382" s="1">
        <v>1094365</v>
      </c>
      <c r="Q382" s="1">
        <v>21</v>
      </c>
      <c r="R382" s="7">
        <v>4.2000000000000003E-2</v>
      </c>
      <c r="S382" s="1">
        <v>22</v>
      </c>
      <c r="T382" s="1">
        <v>18</v>
      </c>
      <c r="U382" s="1">
        <v>4</v>
      </c>
      <c r="V382" s="1" t="s">
        <v>205</v>
      </c>
      <c r="W382" s="1" t="s">
        <v>366</v>
      </c>
      <c r="X382" s="1" t="s">
        <v>3324</v>
      </c>
      <c r="Y382" s="1"/>
      <c r="Z382" s="1" t="s">
        <v>3333</v>
      </c>
      <c r="AA382" s="1" t="s">
        <v>55</v>
      </c>
      <c r="AB382" s="1" t="s">
        <v>56</v>
      </c>
      <c r="AC382" s="1" t="s">
        <v>183</v>
      </c>
      <c r="AD382" s="1">
        <v>2.2999999999999998</v>
      </c>
      <c r="AE382" s="1" t="s">
        <v>76</v>
      </c>
      <c r="AF382" s="1" t="s">
        <v>77</v>
      </c>
    </row>
    <row r="383" spans="1:32" ht="18" customHeight="1">
      <c r="A383" s="1" t="s">
        <v>1300</v>
      </c>
      <c r="B383" s="1" t="s">
        <v>1301</v>
      </c>
      <c r="C383" s="4">
        <v>46113</v>
      </c>
      <c r="D383" s="4">
        <v>46129</v>
      </c>
      <c r="E383" s="4">
        <v>46119</v>
      </c>
      <c r="F383" s="1" t="s">
        <v>256</v>
      </c>
      <c r="G383" s="1" t="s">
        <v>3432</v>
      </c>
      <c r="H383" s="1" t="s">
        <v>3420</v>
      </c>
      <c r="I383" s="1" t="s">
        <v>49</v>
      </c>
      <c r="J383" s="1" t="s">
        <v>153</v>
      </c>
      <c r="K383" s="1" t="s">
        <v>1302</v>
      </c>
      <c r="L383" s="1" t="s">
        <v>318</v>
      </c>
      <c r="M383" s="1">
        <v>263.02999999999997</v>
      </c>
      <c r="N383" s="1" t="s">
        <v>159</v>
      </c>
      <c r="O383" s="1">
        <v>750</v>
      </c>
      <c r="P383" s="1">
        <v>197272.5</v>
      </c>
      <c r="Q383" s="1">
        <v>19</v>
      </c>
      <c r="R383" s="7">
        <v>2.53E-2</v>
      </c>
      <c r="S383" s="1" t="s">
        <v>3589</v>
      </c>
      <c r="T383" s="1">
        <v>16</v>
      </c>
      <c r="U383" s="1">
        <v>-10</v>
      </c>
      <c r="V383" s="1" t="s">
        <v>270</v>
      </c>
      <c r="W383" s="1" t="s">
        <v>40</v>
      </c>
      <c r="X383" s="1" t="s">
        <v>41</v>
      </c>
      <c r="Y383" s="1" t="s">
        <v>3334</v>
      </c>
      <c r="Z383" s="1" t="s">
        <v>107</v>
      </c>
      <c r="AA383" s="1" t="s">
        <v>55</v>
      </c>
      <c r="AB383" s="1" t="s">
        <v>56</v>
      </c>
      <c r="AC383" s="1"/>
      <c r="AD383" s="1">
        <v>4.5999999999999996</v>
      </c>
      <c r="AE383" s="1" t="s">
        <v>57</v>
      </c>
      <c r="AF383" s="1"/>
    </row>
    <row r="384" spans="1:32" ht="18" customHeight="1">
      <c r="A384" s="1" t="s">
        <v>1303</v>
      </c>
      <c r="B384" s="1" t="s">
        <v>1304</v>
      </c>
      <c r="C384" s="4" t="s">
        <v>3590</v>
      </c>
      <c r="D384" s="4">
        <v>46092</v>
      </c>
      <c r="E384" s="4">
        <v>46090</v>
      </c>
      <c r="F384" s="1" t="s">
        <v>60</v>
      </c>
      <c r="G384" s="1" t="s">
        <v>3326</v>
      </c>
      <c r="H384" s="1" t="s">
        <v>3354</v>
      </c>
      <c r="I384" s="1" t="s">
        <v>92</v>
      </c>
      <c r="J384" s="1" t="s">
        <v>163</v>
      </c>
      <c r="K384" s="1" t="s">
        <v>1305</v>
      </c>
      <c r="L384" s="1" t="s">
        <v>269</v>
      </c>
      <c r="M384" s="1">
        <v>640.83000000000004</v>
      </c>
      <c r="N384" s="1" t="s">
        <v>53</v>
      </c>
      <c r="O384" s="1">
        <v>75</v>
      </c>
      <c r="P384" s="1">
        <v>48062.25</v>
      </c>
      <c r="Q384" s="1">
        <v>0</v>
      </c>
      <c r="R384" s="7">
        <v>0</v>
      </c>
      <c r="S384" s="1"/>
      <c r="T384" s="1">
        <v>9</v>
      </c>
      <c r="U384" s="1">
        <v>-2</v>
      </c>
      <c r="V384" s="1" t="s">
        <v>87</v>
      </c>
      <c r="W384" s="1" t="s">
        <v>40</v>
      </c>
      <c r="X384" s="1" t="s">
        <v>3329</v>
      </c>
      <c r="Y384" s="1" t="s">
        <v>3334</v>
      </c>
      <c r="Z384" s="1"/>
      <c r="AA384" s="1" t="s">
        <v>88</v>
      </c>
      <c r="AB384" s="1" t="s">
        <v>44</v>
      </c>
      <c r="AC384" s="1"/>
      <c r="AD384" s="1">
        <v>3.2</v>
      </c>
      <c r="AE384" s="1" t="s">
        <v>139</v>
      </c>
      <c r="AF384" s="1"/>
    </row>
    <row r="385" spans="1:32" ht="18" customHeight="1">
      <c r="A385" s="1" t="s">
        <v>1306</v>
      </c>
      <c r="B385" s="1" t="s">
        <v>1307</v>
      </c>
      <c r="C385" s="4">
        <v>46136</v>
      </c>
      <c r="D385" s="4">
        <v>46159</v>
      </c>
      <c r="E385" s="4">
        <v>46148</v>
      </c>
      <c r="F385" s="1" t="s">
        <v>392</v>
      </c>
      <c r="G385" s="1" t="s">
        <v>236</v>
      </c>
      <c r="H385" s="1" t="s">
        <v>3371</v>
      </c>
      <c r="I385" s="1" t="s">
        <v>92</v>
      </c>
      <c r="J385" s="1" t="s">
        <v>71</v>
      </c>
      <c r="K385" s="1" t="s">
        <v>667</v>
      </c>
      <c r="L385" s="1" t="s">
        <v>238</v>
      </c>
      <c r="M385" s="1">
        <v>330.56</v>
      </c>
      <c r="N385" s="1" t="s">
        <v>38</v>
      </c>
      <c r="O385" s="1">
        <v>750</v>
      </c>
      <c r="P385" s="1">
        <v>247920</v>
      </c>
      <c r="Q385" s="1">
        <v>20</v>
      </c>
      <c r="R385" s="7">
        <v>2.6700000000000002E-2</v>
      </c>
      <c r="S385" s="1">
        <v>12</v>
      </c>
      <c r="T385" s="1">
        <v>23</v>
      </c>
      <c r="U385" s="1">
        <v>-11</v>
      </c>
      <c r="V385" s="1" t="s">
        <v>3352</v>
      </c>
      <c r="W385" s="1" t="s">
        <v>40</v>
      </c>
      <c r="X385" s="1" t="s">
        <v>127</v>
      </c>
      <c r="Y385" s="1" t="s">
        <v>42</v>
      </c>
      <c r="Z385" s="1" t="s">
        <v>128</v>
      </c>
      <c r="AA385" s="1" t="s">
        <v>206</v>
      </c>
      <c r="AB385" s="1"/>
      <c r="AC385" s="1"/>
      <c r="AD385" s="1">
        <v>2.5</v>
      </c>
      <c r="AE385" s="1" t="s">
        <v>76</v>
      </c>
      <c r="AF385" s="1" t="s">
        <v>1308</v>
      </c>
    </row>
    <row r="386" spans="1:32" ht="18" hidden="1" customHeight="1">
      <c r="A386" s="1" t="s">
        <v>1309</v>
      </c>
      <c r="B386" s="1" t="s">
        <v>1310</v>
      </c>
      <c r="C386" s="4">
        <v>46180</v>
      </c>
      <c r="D386" s="1">
        <v>46195</v>
      </c>
      <c r="E386" s="1">
        <v>46196</v>
      </c>
      <c r="F386" s="1" t="s">
        <v>48</v>
      </c>
      <c r="G386" s="1" t="s">
        <v>232</v>
      </c>
      <c r="H386" s="1" t="s">
        <v>702</v>
      </c>
      <c r="I386" s="1" t="s">
        <v>120</v>
      </c>
      <c r="J386" s="1" t="s">
        <v>50</v>
      </c>
      <c r="K386" s="1" t="s">
        <v>1311</v>
      </c>
      <c r="L386" s="1" t="s">
        <v>126</v>
      </c>
      <c r="M386" s="1">
        <v>1827.87</v>
      </c>
      <c r="N386" s="1" t="s">
        <v>159</v>
      </c>
      <c r="O386" s="1">
        <v>100</v>
      </c>
      <c r="P386" s="1">
        <v>182787</v>
      </c>
      <c r="Q386" s="1">
        <v>5</v>
      </c>
      <c r="R386" s="7">
        <v>0.05</v>
      </c>
      <c r="S386" s="1">
        <v>16</v>
      </c>
      <c r="T386" s="1">
        <v>15</v>
      </c>
      <c r="U386" s="1">
        <v>1</v>
      </c>
      <c r="V386" s="1" t="s">
        <v>3323</v>
      </c>
      <c r="W386" s="1" t="s">
        <v>420</v>
      </c>
      <c r="X386" s="1" t="s">
        <v>105</v>
      </c>
      <c r="Y386" s="1" t="s">
        <v>190</v>
      </c>
      <c r="Z386" s="1" t="s">
        <v>3333</v>
      </c>
      <c r="AA386" s="1"/>
      <c r="AB386" s="1" t="s">
        <v>137</v>
      </c>
      <c r="AC386" s="1" t="s">
        <v>283</v>
      </c>
      <c r="AD386" s="1">
        <v>2.1</v>
      </c>
      <c r="AE386" s="1" t="s">
        <v>45</v>
      </c>
      <c r="AF386" s="1" t="s">
        <v>77</v>
      </c>
    </row>
    <row r="387" spans="1:32" ht="18" customHeight="1">
      <c r="A387" s="1" t="s">
        <v>1312</v>
      </c>
      <c r="B387" s="1" t="s">
        <v>1313</v>
      </c>
      <c r="C387" s="4">
        <v>46093</v>
      </c>
      <c r="D387" s="4">
        <v>46116</v>
      </c>
      <c r="E387" s="4" t="s">
        <v>3591</v>
      </c>
      <c r="F387" s="1" t="s">
        <v>118</v>
      </c>
      <c r="G387" s="1" t="s">
        <v>3461</v>
      </c>
      <c r="H387" s="1" t="s">
        <v>301</v>
      </c>
      <c r="I387" s="1" t="s">
        <v>92</v>
      </c>
      <c r="J387" s="1" t="s">
        <v>62</v>
      </c>
      <c r="K387" s="1" t="s">
        <v>1314</v>
      </c>
      <c r="L387" s="1" t="s">
        <v>225</v>
      </c>
      <c r="M387" s="1">
        <v>751.95</v>
      </c>
      <c r="N387" s="1" t="s">
        <v>104</v>
      </c>
      <c r="O387" s="1">
        <v>150</v>
      </c>
      <c r="P387" s="1">
        <v>112792.5</v>
      </c>
      <c r="Q387" s="1">
        <v>5</v>
      </c>
      <c r="R387" s="7">
        <v>3.3300000000000003E-2</v>
      </c>
      <c r="S387" s="1">
        <v>30</v>
      </c>
      <c r="T387" s="1">
        <v>23</v>
      </c>
      <c r="U387" s="1">
        <v>7</v>
      </c>
      <c r="V387" s="1" t="s">
        <v>39</v>
      </c>
      <c r="W387" s="1" t="s">
        <v>40</v>
      </c>
      <c r="X387" s="1" t="s">
        <v>127</v>
      </c>
      <c r="Y387" s="1"/>
      <c r="Z387" s="1"/>
      <c r="AA387" s="1"/>
      <c r="AB387" s="1" t="s">
        <v>191</v>
      </c>
      <c r="AC387" s="1"/>
      <c r="AD387" s="1">
        <v>2.7</v>
      </c>
      <c r="AE387" s="1" t="s">
        <v>108</v>
      </c>
      <c r="AF387" s="1" t="s">
        <v>148</v>
      </c>
    </row>
    <row r="388" spans="1:32" ht="18" hidden="1" customHeight="1">
      <c r="A388" s="1" t="s">
        <v>1315</v>
      </c>
      <c r="B388" s="1" t="s">
        <v>1316</v>
      </c>
      <c r="C388" s="4">
        <v>46116</v>
      </c>
      <c r="D388" s="1">
        <v>46133</v>
      </c>
      <c r="E388" s="1">
        <v>46136</v>
      </c>
      <c r="F388" s="1" t="s">
        <v>32</v>
      </c>
      <c r="G388" s="1" t="s">
        <v>3422</v>
      </c>
      <c r="H388" s="1" t="s">
        <v>3395</v>
      </c>
      <c r="I388" s="1" t="s">
        <v>83</v>
      </c>
      <c r="J388" s="1" t="s">
        <v>35</v>
      </c>
      <c r="K388" s="1" t="s">
        <v>1317</v>
      </c>
      <c r="L388" s="1" t="s">
        <v>200</v>
      </c>
      <c r="M388" s="1">
        <v>-995.05</v>
      </c>
      <c r="N388" s="1" t="s">
        <v>65</v>
      </c>
      <c r="O388" s="1">
        <v>750</v>
      </c>
      <c r="P388" s="1">
        <v>746287.5</v>
      </c>
      <c r="Q388" s="1">
        <v>69</v>
      </c>
      <c r="R388" s="7">
        <v>9.1999999999999998E-2</v>
      </c>
      <c r="S388" s="1">
        <v>20</v>
      </c>
      <c r="T388" s="1">
        <v>17</v>
      </c>
      <c r="U388" s="1">
        <v>3</v>
      </c>
      <c r="V388" s="1" t="s">
        <v>166</v>
      </c>
      <c r="W388" s="1" t="s">
        <v>366</v>
      </c>
      <c r="X388" s="1" t="s">
        <v>3324</v>
      </c>
      <c r="Y388" s="1"/>
      <c r="Z388" s="1" t="s">
        <v>173</v>
      </c>
      <c r="AA388" s="1" t="s">
        <v>129</v>
      </c>
      <c r="AB388" s="1" t="s">
        <v>137</v>
      </c>
      <c r="AC388" s="1" t="s">
        <v>96</v>
      </c>
      <c r="AD388" s="1">
        <v>2</v>
      </c>
      <c r="AE388" s="1" t="s">
        <v>45</v>
      </c>
      <c r="AF388" s="1" t="s">
        <v>77</v>
      </c>
    </row>
    <row r="389" spans="1:32" ht="18" hidden="1" customHeight="1">
      <c r="A389" s="1" t="s">
        <v>1318</v>
      </c>
      <c r="B389" s="1" t="s">
        <v>1319</v>
      </c>
      <c r="C389" s="4" t="s">
        <v>3592</v>
      </c>
      <c r="D389" s="1">
        <v>46091</v>
      </c>
      <c r="E389" s="1">
        <v>46091</v>
      </c>
      <c r="F389" s="1" t="s">
        <v>60</v>
      </c>
      <c r="G389" s="1" t="s">
        <v>466</v>
      </c>
      <c r="H389" s="1" t="s">
        <v>3327</v>
      </c>
      <c r="I389" s="1" t="s">
        <v>70</v>
      </c>
      <c r="J389" s="1" t="s">
        <v>62</v>
      </c>
      <c r="K389" s="1" t="s">
        <v>1320</v>
      </c>
      <c r="L389" s="1" t="s">
        <v>122</v>
      </c>
      <c r="M389" s="1">
        <v>492.3</v>
      </c>
      <c r="N389" s="1" t="s">
        <v>104</v>
      </c>
      <c r="O389" s="1">
        <v>750</v>
      </c>
      <c r="P389" s="1">
        <v>369225</v>
      </c>
      <c r="Q389" s="1">
        <v>36</v>
      </c>
      <c r="R389" s="7">
        <v>4.8000000000000001E-2</v>
      </c>
      <c r="S389" s="1">
        <v>15</v>
      </c>
      <c r="T389" s="1">
        <v>15</v>
      </c>
      <c r="U389" s="1">
        <v>0</v>
      </c>
      <c r="V389" s="1" t="s">
        <v>3352</v>
      </c>
      <c r="W389" s="1" t="s">
        <v>74</v>
      </c>
      <c r="X389" s="1" t="s">
        <v>127</v>
      </c>
      <c r="Y389" s="1" t="s">
        <v>3334</v>
      </c>
      <c r="Z389" s="1" t="s">
        <v>3333</v>
      </c>
      <c r="AA389" s="1" t="s">
        <v>136</v>
      </c>
      <c r="AB389" s="1" t="s">
        <v>191</v>
      </c>
      <c r="AC389" s="1" t="s">
        <v>283</v>
      </c>
      <c r="AD389" s="1">
        <v>2.6</v>
      </c>
      <c r="AE389" s="1" t="s">
        <v>76</v>
      </c>
      <c r="AF389" s="1" t="s">
        <v>284</v>
      </c>
    </row>
    <row r="390" spans="1:32" ht="18" customHeight="1">
      <c r="A390" s="1" t="s">
        <v>1321</v>
      </c>
      <c r="B390" s="1" t="s">
        <v>1322</v>
      </c>
      <c r="C390" s="4">
        <v>46145</v>
      </c>
      <c r="D390" s="4"/>
      <c r="E390" s="4" t="s">
        <v>3593</v>
      </c>
      <c r="F390" s="1" t="s">
        <v>142</v>
      </c>
      <c r="G390" s="1" t="s">
        <v>3561</v>
      </c>
      <c r="H390" s="1" t="s">
        <v>3392</v>
      </c>
      <c r="I390" s="1" t="s">
        <v>92</v>
      </c>
      <c r="J390" s="1" t="s">
        <v>50</v>
      </c>
      <c r="K390" s="1" t="s">
        <v>1323</v>
      </c>
      <c r="L390" s="1" t="s">
        <v>189</v>
      </c>
      <c r="M390" s="1">
        <v>2802.16</v>
      </c>
      <c r="N390" s="1" t="s">
        <v>159</v>
      </c>
      <c r="O390" s="1">
        <v>750</v>
      </c>
      <c r="P390" s="1">
        <v>2101620</v>
      </c>
      <c r="Q390" s="1">
        <v>17</v>
      </c>
      <c r="R390" s="7">
        <v>2.2700000000000001E-2</v>
      </c>
      <c r="S390" s="1"/>
      <c r="T390" s="1">
        <v>19</v>
      </c>
      <c r="U390" s="1">
        <v>11</v>
      </c>
      <c r="V390" s="1" t="s">
        <v>205</v>
      </c>
      <c r="W390" s="1" t="s">
        <v>40</v>
      </c>
      <c r="X390" s="1" t="s">
        <v>105</v>
      </c>
      <c r="Y390" s="1"/>
      <c r="Z390" s="1" t="s">
        <v>107</v>
      </c>
      <c r="AA390" s="1" t="s">
        <v>3341</v>
      </c>
      <c r="AB390" s="1" t="s">
        <v>191</v>
      </c>
      <c r="AC390" s="1"/>
      <c r="AD390" s="1">
        <v>2.6</v>
      </c>
      <c r="AE390" s="1" t="s">
        <v>115</v>
      </c>
      <c r="AF390" s="1" t="s">
        <v>46</v>
      </c>
    </row>
    <row r="391" spans="1:32" ht="18" customHeight="1">
      <c r="A391" s="1" t="s">
        <v>1324</v>
      </c>
      <c r="B391" s="1" t="s">
        <v>1325</v>
      </c>
      <c r="C391" s="4">
        <v>46194</v>
      </c>
      <c r="D391" s="4">
        <v>46204</v>
      </c>
      <c r="E391" s="4">
        <v>46200</v>
      </c>
      <c r="F391" s="1" t="s">
        <v>69</v>
      </c>
      <c r="G391" s="1" t="s">
        <v>3362</v>
      </c>
      <c r="H391" s="1" t="s">
        <v>194</v>
      </c>
      <c r="I391" s="1" t="s">
        <v>92</v>
      </c>
      <c r="J391" s="1" t="s">
        <v>112</v>
      </c>
      <c r="K391" s="1" t="s">
        <v>1326</v>
      </c>
      <c r="L391" s="1" t="s">
        <v>114</v>
      </c>
      <c r="M391" s="1">
        <v>513.33000000000004</v>
      </c>
      <c r="N391" s="1" t="s">
        <v>86</v>
      </c>
      <c r="O391" s="1">
        <v>750</v>
      </c>
      <c r="P391" s="1">
        <v>384997.5</v>
      </c>
      <c r="Q391" s="1">
        <v>30</v>
      </c>
      <c r="R391" s="7">
        <v>0.04</v>
      </c>
      <c r="S391" s="1">
        <v>6</v>
      </c>
      <c r="T391" s="1">
        <v>10</v>
      </c>
      <c r="U391" s="1">
        <v>-4</v>
      </c>
      <c r="V391" s="1" t="s">
        <v>270</v>
      </c>
      <c r="W391" s="1" t="s">
        <v>40</v>
      </c>
      <c r="X391" s="1" t="s">
        <v>105</v>
      </c>
      <c r="Y391" s="1" t="s">
        <v>106</v>
      </c>
      <c r="Z391" s="1" t="s">
        <v>3330</v>
      </c>
      <c r="AA391" s="1" t="s">
        <v>129</v>
      </c>
      <c r="AB391" s="1" t="s">
        <v>147</v>
      </c>
      <c r="AC391" s="1"/>
      <c r="AD391" s="1">
        <v>3.5</v>
      </c>
      <c r="AE391" s="1" t="s">
        <v>115</v>
      </c>
      <c r="AF391" s="1"/>
    </row>
    <row r="392" spans="1:32" ht="18" customHeight="1">
      <c r="A392" s="1" t="s">
        <v>1327</v>
      </c>
      <c r="B392" s="1" t="s">
        <v>1328</v>
      </c>
      <c r="C392" s="4" t="s">
        <v>3594</v>
      </c>
      <c r="D392" s="4">
        <v>46171</v>
      </c>
      <c r="E392" s="4">
        <v>46171</v>
      </c>
      <c r="F392" s="1" t="s">
        <v>90</v>
      </c>
      <c r="G392" s="1" t="s">
        <v>3346</v>
      </c>
      <c r="H392" s="1" t="s">
        <v>3336</v>
      </c>
      <c r="I392" s="1" t="s">
        <v>120</v>
      </c>
      <c r="J392" s="1" t="s">
        <v>71</v>
      </c>
      <c r="K392" s="1" t="s">
        <v>1329</v>
      </c>
      <c r="L392" s="1" t="s">
        <v>238</v>
      </c>
      <c r="M392" s="1">
        <v>756.13</v>
      </c>
      <c r="N392" s="1" t="s">
        <v>53</v>
      </c>
      <c r="O392" s="1">
        <v>1500</v>
      </c>
      <c r="P392" s="1">
        <v>1134195</v>
      </c>
      <c r="Q392" s="1">
        <v>0</v>
      </c>
      <c r="R392" s="7">
        <v>0</v>
      </c>
      <c r="S392" s="1"/>
      <c r="T392" s="1">
        <v>18</v>
      </c>
      <c r="U392" s="1">
        <v>0</v>
      </c>
      <c r="V392" s="1" t="s">
        <v>3352</v>
      </c>
      <c r="W392" s="1" t="s">
        <v>40</v>
      </c>
      <c r="X392" s="1" t="s">
        <v>3329</v>
      </c>
      <c r="Y392" s="1" t="s">
        <v>42</v>
      </c>
      <c r="Z392" s="1" t="s">
        <v>54</v>
      </c>
      <c r="AA392" s="1"/>
      <c r="AB392" s="1" t="s">
        <v>95</v>
      </c>
      <c r="AC392" s="1"/>
      <c r="AD392" s="1">
        <v>2.2999999999999998</v>
      </c>
      <c r="AE392" s="1" t="s">
        <v>57</v>
      </c>
      <c r="AF392" s="1"/>
    </row>
    <row r="393" spans="1:32" ht="18" hidden="1" customHeight="1">
      <c r="A393" s="1" t="s">
        <v>1330</v>
      </c>
      <c r="B393" s="1" t="s">
        <v>1331</v>
      </c>
      <c r="C393" s="4">
        <v>46184</v>
      </c>
      <c r="D393" s="1">
        <v>46197</v>
      </c>
      <c r="E393" s="1">
        <v>46195</v>
      </c>
      <c r="F393" s="1" t="s">
        <v>256</v>
      </c>
      <c r="G393" s="1" t="s">
        <v>257</v>
      </c>
      <c r="H393" s="1" t="s">
        <v>258</v>
      </c>
      <c r="I393" s="1" t="s">
        <v>92</v>
      </c>
      <c r="J393" s="1" t="s">
        <v>153</v>
      </c>
      <c r="K393" s="1" t="s">
        <v>1332</v>
      </c>
      <c r="L393" s="1" t="s">
        <v>318</v>
      </c>
      <c r="M393" s="1">
        <v>67.75</v>
      </c>
      <c r="N393" s="1" t="s">
        <v>53</v>
      </c>
      <c r="O393" s="1">
        <v>100</v>
      </c>
      <c r="P393" s="1">
        <v>6775</v>
      </c>
      <c r="Q393" s="1">
        <v>6</v>
      </c>
      <c r="R393" s="7">
        <v>0.06</v>
      </c>
      <c r="S393" s="1">
        <v>11</v>
      </c>
      <c r="T393" s="1">
        <v>13</v>
      </c>
      <c r="U393" s="1">
        <v>-2</v>
      </c>
      <c r="V393" s="1" t="s">
        <v>3337</v>
      </c>
      <c r="W393" s="1" t="s">
        <v>74</v>
      </c>
      <c r="X393" s="1"/>
      <c r="Y393" s="1" t="s">
        <v>66</v>
      </c>
      <c r="Z393" s="1" t="s">
        <v>3333</v>
      </c>
      <c r="AA393" s="1"/>
      <c r="AB393" s="1"/>
      <c r="AC393" s="1" t="s">
        <v>373</v>
      </c>
      <c r="AD393" s="1">
        <v>2</v>
      </c>
      <c r="AE393" s="1" t="s">
        <v>57</v>
      </c>
      <c r="AF393" s="1" t="s">
        <v>284</v>
      </c>
    </row>
    <row r="394" spans="1:32" ht="18" customHeight="1">
      <c r="A394" s="1" t="s">
        <v>1333</v>
      </c>
      <c r="B394" s="1" t="s">
        <v>1334</v>
      </c>
      <c r="C394" s="4">
        <v>46200</v>
      </c>
      <c r="D394" s="4">
        <v>46208</v>
      </c>
      <c r="E394" s="4">
        <v>46210</v>
      </c>
      <c r="F394" s="1" t="s">
        <v>215</v>
      </c>
      <c r="G394" s="1" t="s">
        <v>3415</v>
      </c>
      <c r="H394" s="1" t="s">
        <v>3354</v>
      </c>
      <c r="I394" s="1" t="s">
        <v>92</v>
      </c>
      <c r="J394" s="1" t="s">
        <v>112</v>
      </c>
      <c r="K394" s="1" t="s">
        <v>1335</v>
      </c>
      <c r="L394" s="1" t="s">
        <v>246</v>
      </c>
      <c r="M394" s="1">
        <v>206.59</v>
      </c>
      <c r="N394" s="1" t="s">
        <v>53</v>
      </c>
      <c r="O394" s="1">
        <v>1000</v>
      </c>
      <c r="P394" s="1">
        <v>206590</v>
      </c>
      <c r="Q394" s="1">
        <v>21</v>
      </c>
      <c r="R394" s="7">
        <v>2.1000000000000001E-2</v>
      </c>
      <c r="S394" s="1">
        <v>10</v>
      </c>
      <c r="T394" s="1">
        <v>8</v>
      </c>
      <c r="U394" s="1">
        <v>2</v>
      </c>
      <c r="V394" s="1" t="s">
        <v>166</v>
      </c>
      <c r="W394" s="1" t="s">
        <v>40</v>
      </c>
      <c r="X394" s="1" t="s">
        <v>105</v>
      </c>
      <c r="Y394" s="1" t="s">
        <v>42</v>
      </c>
      <c r="Z394" s="1" t="s">
        <v>54</v>
      </c>
      <c r="AA394" s="1"/>
      <c r="AB394" s="1" t="s">
        <v>191</v>
      </c>
      <c r="AC394" s="1"/>
      <c r="AD394" s="1">
        <v>3</v>
      </c>
      <c r="AE394" s="1" t="s">
        <v>115</v>
      </c>
      <c r="AF394" s="1" t="s">
        <v>46</v>
      </c>
    </row>
    <row r="395" spans="1:32" ht="18" customHeight="1">
      <c r="A395" s="1" t="s">
        <v>1336</v>
      </c>
      <c r="B395" s="1" t="s">
        <v>1337</v>
      </c>
      <c r="C395" s="4" t="s">
        <v>3477</v>
      </c>
      <c r="D395" s="4">
        <v>46080</v>
      </c>
      <c r="E395" s="4" t="s">
        <v>3595</v>
      </c>
      <c r="F395" s="1" t="s">
        <v>80</v>
      </c>
      <c r="G395" s="1" t="s">
        <v>81</v>
      </c>
      <c r="H395" s="1" t="s">
        <v>3414</v>
      </c>
      <c r="I395" s="1" t="s">
        <v>92</v>
      </c>
      <c r="J395" s="1" t="s">
        <v>153</v>
      </c>
      <c r="K395" s="1" t="s">
        <v>1338</v>
      </c>
      <c r="L395" s="1" t="s">
        <v>204</v>
      </c>
      <c r="M395" s="1">
        <v>159.93</v>
      </c>
      <c r="N395" s="1" t="s">
        <v>159</v>
      </c>
      <c r="O395" s="1">
        <v>-50</v>
      </c>
      <c r="P395" s="1">
        <v>7996.5</v>
      </c>
      <c r="Q395" s="1">
        <v>0</v>
      </c>
      <c r="R395" s="7">
        <v>0</v>
      </c>
      <c r="S395" s="1">
        <v>17</v>
      </c>
      <c r="T395" s="1">
        <v>17</v>
      </c>
      <c r="U395" s="1">
        <v>0</v>
      </c>
      <c r="V395" s="1" t="s">
        <v>3337</v>
      </c>
      <c r="W395" s="1" t="s">
        <v>40</v>
      </c>
      <c r="X395" s="1" t="s">
        <v>105</v>
      </c>
      <c r="Y395" s="1" t="s">
        <v>212</v>
      </c>
      <c r="Z395" s="1" t="s">
        <v>107</v>
      </c>
      <c r="AA395" s="1"/>
      <c r="AB395" s="1" t="s">
        <v>44</v>
      </c>
      <c r="AC395" s="1"/>
      <c r="AD395" s="1">
        <v>2.4</v>
      </c>
      <c r="AE395" s="1" t="s">
        <v>57</v>
      </c>
      <c r="AF395" s="1"/>
    </row>
    <row r="396" spans="1:32" ht="18" customHeight="1">
      <c r="A396" s="1" t="s">
        <v>1339</v>
      </c>
      <c r="B396" s="1" t="s">
        <v>1340</v>
      </c>
      <c r="C396" s="4">
        <v>46126</v>
      </c>
      <c r="D396" s="4">
        <v>46148</v>
      </c>
      <c r="E396" s="4">
        <v>46141</v>
      </c>
      <c r="F396" s="1" t="s">
        <v>32</v>
      </c>
      <c r="G396" s="1" t="s">
        <v>33</v>
      </c>
      <c r="H396" s="1" t="s">
        <v>3319</v>
      </c>
      <c r="I396" s="1" t="s">
        <v>83</v>
      </c>
      <c r="J396" s="1" t="s">
        <v>35</v>
      </c>
      <c r="K396" s="1" t="s">
        <v>1341</v>
      </c>
      <c r="L396" s="1" t="s">
        <v>37</v>
      </c>
      <c r="M396" s="1">
        <v>1642.47</v>
      </c>
      <c r="N396" s="1" t="s">
        <v>159</v>
      </c>
      <c r="O396" s="1">
        <v>300</v>
      </c>
      <c r="P396" s="1" t="s">
        <v>3596</v>
      </c>
      <c r="Q396" s="1">
        <v>7</v>
      </c>
      <c r="R396" s="7">
        <v>2.3300000000000001E-2</v>
      </c>
      <c r="S396" s="1">
        <v>15</v>
      </c>
      <c r="T396" s="1">
        <v>22</v>
      </c>
      <c r="U396" s="1"/>
      <c r="V396" s="1" t="s">
        <v>270</v>
      </c>
      <c r="W396" s="1" t="s">
        <v>40</v>
      </c>
      <c r="X396" s="1" t="s">
        <v>41</v>
      </c>
      <c r="Y396" s="1" t="s">
        <v>190</v>
      </c>
      <c r="Z396" s="1" t="s">
        <v>128</v>
      </c>
      <c r="AA396" s="1" t="s">
        <v>174</v>
      </c>
      <c r="AB396" s="1"/>
      <c r="AC396" s="1"/>
      <c r="AD396" s="1">
        <v>2.6</v>
      </c>
      <c r="AE396" s="1" t="s">
        <v>45</v>
      </c>
      <c r="AF396" s="1"/>
    </row>
    <row r="397" spans="1:32" ht="18" customHeight="1">
      <c r="A397" s="1" t="s">
        <v>1342</v>
      </c>
      <c r="B397" s="1" t="s">
        <v>1343</v>
      </c>
      <c r="C397" s="4" t="s">
        <v>3597</v>
      </c>
      <c r="D397" s="4"/>
      <c r="E397" s="4">
        <v>46133</v>
      </c>
      <c r="F397" s="1" t="s">
        <v>162</v>
      </c>
      <c r="G397" s="1" t="s">
        <v>3383</v>
      </c>
      <c r="H397" s="1" t="s">
        <v>3327</v>
      </c>
      <c r="I397" s="1" t="s">
        <v>241</v>
      </c>
      <c r="J397" s="1" t="s">
        <v>163</v>
      </c>
      <c r="K397" s="1" t="s">
        <v>1344</v>
      </c>
      <c r="L397" s="1" t="s">
        <v>171</v>
      </c>
      <c r="M397" s="1" t="s">
        <v>3598</v>
      </c>
      <c r="N397" s="1" t="s">
        <v>38</v>
      </c>
      <c r="O397" s="1">
        <v>-1500</v>
      </c>
      <c r="P397" s="1">
        <v>3979815</v>
      </c>
      <c r="Q397" s="1">
        <v>16</v>
      </c>
      <c r="R397" s="7">
        <v>1.0699999999999999E-2</v>
      </c>
      <c r="S397" s="1">
        <v>19</v>
      </c>
      <c r="T397" s="1">
        <v>11</v>
      </c>
      <c r="U397" s="1">
        <v>8</v>
      </c>
      <c r="V397" s="1" t="s">
        <v>3328</v>
      </c>
      <c r="W397" s="1" t="s">
        <v>40</v>
      </c>
      <c r="X397" s="1" t="s">
        <v>146</v>
      </c>
      <c r="Y397" s="1" t="s">
        <v>212</v>
      </c>
      <c r="Z397" s="1" t="s">
        <v>54</v>
      </c>
      <c r="AA397" s="1" t="s">
        <v>88</v>
      </c>
      <c r="AB397" s="1" t="s">
        <v>56</v>
      </c>
      <c r="AC397" s="1"/>
      <c r="AD397" s="1">
        <v>3.2</v>
      </c>
      <c r="AE397" s="1" t="s">
        <v>139</v>
      </c>
      <c r="AF397" s="1" t="s">
        <v>148</v>
      </c>
    </row>
    <row r="398" spans="1:32" ht="18" hidden="1" customHeight="1">
      <c r="A398" s="1" t="s">
        <v>1345</v>
      </c>
      <c r="B398" s="1" t="s">
        <v>1346</v>
      </c>
      <c r="C398" s="4"/>
      <c r="D398" s="1">
        <v>46212</v>
      </c>
      <c r="E398" s="1">
        <v>46210</v>
      </c>
      <c r="F398" s="1" t="s">
        <v>90</v>
      </c>
      <c r="G398" s="1" t="s">
        <v>3440</v>
      </c>
      <c r="H398" s="1" t="s">
        <v>3425</v>
      </c>
      <c r="I398" s="1" t="s">
        <v>61</v>
      </c>
      <c r="J398" s="1" t="s">
        <v>62</v>
      </c>
      <c r="K398" s="1" t="s">
        <v>1347</v>
      </c>
      <c r="L398" s="1" t="s">
        <v>94</v>
      </c>
      <c r="M398" s="1">
        <v>383.36</v>
      </c>
      <c r="N398" s="1" t="s">
        <v>104</v>
      </c>
      <c r="O398" s="1">
        <v>500</v>
      </c>
      <c r="P398" s="1">
        <v>191680</v>
      </c>
      <c r="Q398" s="1">
        <v>35</v>
      </c>
      <c r="R398" s="7">
        <v>7.0000000000000007E-2</v>
      </c>
      <c r="S398" s="1">
        <v>15</v>
      </c>
      <c r="T398" s="1">
        <v>17</v>
      </c>
      <c r="U398" s="1">
        <v>-2</v>
      </c>
      <c r="V398" s="1" t="s">
        <v>270</v>
      </c>
      <c r="W398" s="1" t="s">
        <v>3384</v>
      </c>
      <c r="X398" s="1" t="s">
        <v>105</v>
      </c>
      <c r="Y398" s="1" t="s">
        <v>212</v>
      </c>
      <c r="Z398" s="1" t="s">
        <v>128</v>
      </c>
      <c r="AA398" s="1" t="s">
        <v>129</v>
      </c>
      <c r="AB398" s="1" t="s">
        <v>147</v>
      </c>
      <c r="AC398" s="1" t="s">
        <v>283</v>
      </c>
      <c r="AD398" s="1">
        <v>3</v>
      </c>
      <c r="AE398" s="1" t="s">
        <v>139</v>
      </c>
      <c r="AF398" s="1" t="s">
        <v>97</v>
      </c>
    </row>
    <row r="399" spans="1:32" ht="18" customHeight="1">
      <c r="A399" s="1" t="s">
        <v>1348</v>
      </c>
      <c r="B399" s="1" t="s">
        <v>1349</v>
      </c>
      <c r="C399" s="4">
        <v>46134</v>
      </c>
      <c r="D399" s="4">
        <v>46146</v>
      </c>
      <c r="E399" s="4">
        <v>46149</v>
      </c>
      <c r="F399" s="1" t="s">
        <v>80</v>
      </c>
      <c r="G399" s="1" t="s">
        <v>81</v>
      </c>
      <c r="H399" s="1" t="s">
        <v>3442</v>
      </c>
      <c r="I399" s="1" t="s">
        <v>70</v>
      </c>
      <c r="J399" s="1" t="s">
        <v>35</v>
      </c>
      <c r="K399" s="1" t="s">
        <v>811</v>
      </c>
      <c r="L399" s="1" t="s">
        <v>37</v>
      </c>
      <c r="M399" s="1">
        <v>614.20000000000005</v>
      </c>
      <c r="N399" s="1" t="s">
        <v>38</v>
      </c>
      <c r="O399" s="1">
        <v>300</v>
      </c>
      <c r="P399" s="1">
        <v>184260</v>
      </c>
      <c r="Q399" s="1">
        <v>0</v>
      </c>
      <c r="R399" s="7">
        <v>0</v>
      </c>
      <c r="S399" s="1">
        <v>15</v>
      </c>
      <c r="T399" s="1">
        <v>12</v>
      </c>
      <c r="U399" s="1">
        <v>3</v>
      </c>
      <c r="V399" s="1" t="s">
        <v>166</v>
      </c>
      <c r="W399" s="1" t="s">
        <v>40</v>
      </c>
      <c r="X399" s="1" t="s">
        <v>105</v>
      </c>
      <c r="Y399" s="1" t="s">
        <v>42</v>
      </c>
      <c r="Z399" s="1" t="s">
        <v>54</v>
      </c>
      <c r="AA399" s="1" t="s">
        <v>129</v>
      </c>
      <c r="AB399" s="1" t="s">
        <v>56</v>
      </c>
      <c r="AC399" s="1"/>
      <c r="AD399" s="1">
        <v>4.8</v>
      </c>
      <c r="AE399" s="1" t="s">
        <v>108</v>
      </c>
      <c r="AF399" s="1" t="s">
        <v>46</v>
      </c>
    </row>
    <row r="400" spans="1:32" ht="18" customHeight="1">
      <c r="A400" s="1" t="s">
        <v>1350</v>
      </c>
      <c r="B400" s="1" t="s">
        <v>1351</v>
      </c>
      <c r="C400" s="4">
        <v>46201</v>
      </c>
      <c r="D400" s="4" t="s">
        <v>3400</v>
      </c>
      <c r="E400" s="4">
        <v>46221</v>
      </c>
      <c r="F400" s="1" t="s">
        <v>100</v>
      </c>
      <c r="G400" s="1" t="s">
        <v>3485</v>
      </c>
      <c r="H400" s="1" t="s">
        <v>102</v>
      </c>
      <c r="I400" s="1" t="s">
        <v>61</v>
      </c>
      <c r="J400" s="1" t="s">
        <v>50</v>
      </c>
      <c r="K400" s="1" t="s">
        <v>1352</v>
      </c>
      <c r="L400" s="1" t="s">
        <v>189</v>
      </c>
      <c r="M400" s="1">
        <v>2726.6</v>
      </c>
      <c r="N400" s="1" t="s">
        <v>38</v>
      </c>
      <c r="O400" s="1">
        <v>750</v>
      </c>
      <c r="P400" s="1">
        <v>2044950</v>
      </c>
      <c r="Q400" s="1">
        <v>18</v>
      </c>
      <c r="R400" s="7">
        <v>2.4E-2</v>
      </c>
      <c r="S400" s="1" t="s">
        <v>3599</v>
      </c>
      <c r="T400" s="1">
        <v>11</v>
      </c>
      <c r="U400" s="1">
        <v>9</v>
      </c>
      <c r="V400" s="1" t="s">
        <v>205</v>
      </c>
      <c r="W400" s="1" t="s">
        <v>40</v>
      </c>
      <c r="X400" s="1" t="s">
        <v>105</v>
      </c>
      <c r="Y400" s="1" t="s">
        <v>212</v>
      </c>
      <c r="Z400" s="1" t="s">
        <v>3333</v>
      </c>
      <c r="AA400" s="1" t="s">
        <v>129</v>
      </c>
      <c r="AB400" s="1" t="s">
        <v>137</v>
      </c>
      <c r="AC400" s="1"/>
      <c r="AD400" s="1"/>
      <c r="AE400" s="1" t="s">
        <v>57</v>
      </c>
      <c r="AF400" s="1" t="s">
        <v>46</v>
      </c>
    </row>
    <row r="401" spans="1:32" ht="18" customHeight="1">
      <c r="A401" s="1" t="s">
        <v>1353</v>
      </c>
      <c r="B401" s="1" t="s">
        <v>1354</v>
      </c>
      <c r="C401" s="4">
        <v>46033</v>
      </c>
      <c r="D401" s="4">
        <v>46049</v>
      </c>
      <c r="E401" s="4" t="s">
        <v>3556</v>
      </c>
      <c r="F401" s="1" t="s">
        <v>118</v>
      </c>
      <c r="G401" s="1" t="s">
        <v>119</v>
      </c>
      <c r="H401" s="1" t="s">
        <v>3369</v>
      </c>
      <c r="I401" s="1" t="s">
        <v>61</v>
      </c>
      <c r="J401" s="1" t="s">
        <v>62</v>
      </c>
      <c r="K401" s="1" t="s">
        <v>1355</v>
      </c>
      <c r="L401" s="1" t="s">
        <v>94</v>
      </c>
      <c r="M401" s="1">
        <v>323.39</v>
      </c>
      <c r="N401" s="1" t="s">
        <v>159</v>
      </c>
      <c r="O401" s="1">
        <v>500</v>
      </c>
      <c r="P401" s="1">
        <v>161695</v>
      </c>
      <c r="Q401" s="1">
        <v>15</v>
      </c>
      <c r="R401" s="7">
        <v>0.03</v>
      </c>
      <c r="S401" s="1">
        <v>24</v>
      </c>
      <c r="T401" s="1">
        <v>16</v>
      </c>
      <c r="U401" s="1">
        <v>8</v>
      </c>
      <c r="V401" s="1" t="s">
        <v>205</v>
      </c>
      <c r="W401" s="1" t="s">
        <v>40</v>
      </c>
      <c r="X401" s="1"/>
      <c r="Y401" s="1" t="s">
        <v>212</v>
      </c>
      <c r="Z401" s="1" t="s">
        <v>43</v>
      </c>
      <c r="AA401" s="1" t="s">
        <v>3341</v>
      </c>
      <c r="AB401" s="1" t="s">
        <v>44</v>
      </c>
      <c r="AC401" s="1"/>
      <c r="AD401" s="1">
        <v>1.7</v>
      </c>
      <c r="AE401" s="1" t="s">
        <v>139</v>
      </c>
      <c r="AF401" s="1" t="s">
        <v>148</v>
      </c>
    </row>
    <row r="402" spans="1:32" ht="18" customHeight="1">
      <c r="A402" s="1" t="s">
        <v>1356</v>
      </c>
      <c r="B402" s="1" t="s">
        <v>1357</v>
      </c>
      <c r="C402" s="4">
        <v>46045</v>
      </c>
      <c r="D402" s="4">
        <v>46064</v>
      </c>
      <c r="E402" s="4" t="s">
        <v>3600</v>
      </c>
      <c r="F402" s="1" t="s">
        <v>48</v>
      </c>
      <c r="G402" s="1" t="s">
        <v>232</v>
      </c>
      <c r="H402" s="1" t="s">
        <v>3361</v>
      </c>
      <c r="I402" s="1" t="s">
        <v>70</v>
      </c>
      <c r="J402" s="1" t="s">
        <v>50</v>
      </c>
      <c r="K402" s="1" t="s">
        <v>1358</v>
      </c>
      <c r="L402" s="1" t="s">
        <v>189</v>
      </c>
      <c r="M402" s="1">
        <v>1110.23</v>
      </c>
      <c r="N402" s="1" t="s">
        <v>86</v>
      </c>
      <c r="O402" s="1">
        <v>1500</v>
      </c>
      <c r="P402" s="1">
        <v>1665345</v>
      </c>
      <c r="Q402" s="1">
        <v>29</v>
      </c>
      <c r="R402" s="7">
        <v>1.9300000000000001E-2</v>
      </c>
      <c r="S402" s="1">
        <v>13</v>
      </c>
      <c r="T402" s="1">
        <v>19</v>
      </c>
      <c r="U402" s="1">
        <v>-6</v>
      </c>
      <c r="V402" s="1" t="s">
        <v>270</v>
      </c>
      <c r="W402" s="1" t="s">
        <v>404</v>
      </c>
      <c r="X402" s="1" t="s">
        <v>3324</v>
      </c>
      <c r="Y402" s="1" t="s">
        <v>190</v>
      </c>
      <c r="Z402" s="1" t="s">
        <v>128</v>
      </c>
      <c r="AA402" s="1" t="s">
        <v>129</v>
      </c>
      <c r="AB402" s="1" t="s">
        <v>137</v>
      </c>
      <c r="AC402" s="1"/>
      <c r="AD402" s="1">
        <v>4.2</v>
      </c>
      <c r="AE402" s="1" t="s">
        <v>57</v>
      </c>
      <c r="AF402" s="1"/>
    </row>
    <row r="403" spans="1:32" ht="18" customHeight="1">
      <c r="A403" s="1" t="s">
        <v>1359</v>
      </c>
      <c r="B403" s="1" t="s">
        <v>1360</v>
      </c>
      <c r="C403" s="4">
        <v>46023</v>
      </c>
      <c r="D403" s="4">
        <v>46040</v>
      </c>
      <c r="E403" s="4" t="s">
        <v>3601</v>
      </c>
      <c r="F403" s="1" t="s">
        <v>118</v>
      </c>
      <c r="G403" s="1" t="s">
        <v>119</v>
      </c>
      <c r="H403" s="1" t="s">
        <v>301</v>
      </c>
      <c r="I403" s="1" t="s">
        <v>49</v>
      </c>
      <c r="J403" s="1" t="s">
        <v>50</v>
      </c>
      <c r="K403" s="1" t="s">
        <v>1361</v>
      </c>
      <c r="L403" s="1" t="s">
        <v>126</v>
      </c>
      <c r="M403" s="1">
        <v>4423.5200000000004</v>
      </c>
      <c r="N403" s="1" t="s">
        <v>159</v>
      </c>
      <c r="O403" s="1">
        <v>50</v>
      </c>
      <c r="P403" s="1">
        <v>221176</v>
      </c>
      <c r="Q403" s="1">
        <v>0</v>
      </c>
      <c r="R403" s="7">
        <v>0</v>
      </c>
      <c r="S403" s="1">
        <v>19</v>
      </c>
      <c r="T403" s="1">
        <v>17</v>
      </c>
      <c r="U403" s="1">
        <v>2</v>
      </c>
      <c r="V403" s="1" t="s">
        <v>3323</v>
      </c>
      <c r="W403" s="1" t="s">
        <v>40</v>
      </c>
      <c r="X403" s="1" t="s">
        <v>105</v>
      </c>
      <c r="Y403" s="1" t="s">
        <v>212</v>
      </c>
      <c r="Z403" s="1" t="s">
        <v>3330</v>
      </c>
      <c r="AA403" s="1" t="s">
        <v>136</v>
      </c>
      <c r="AB403" s="1" t="s">
        <v>56</v>
      </c>
      <c r="AC403" s="1"/>
      <c r="AD403" s="1">
        <v>3.5</v>
      </c>
      <c r="AE403" s="1" t="s">
        <v>45</v>
      </c>
      <c r="AF403" s="1" t="s">
        <v>46</v>
      </c>
    </row>
    <row r="404" spans="1:32" ht="18" customHeight="1">
      <c r="A404" s="1" t="s">
        <v>1362</v>
      </c>
      <c r="B404" s="1" t="s">
        <v>1363</v>
      </c>
      <c r="C404" s="4" t="s">
        <v>3602</v>
      </c>
      <c r="D404" s="4">
        <v>46145</v>
      </c>
      <c r="E404" s="4">
        <v>46139</v>
      </c>
      <c r="F404" s="1" t="s">
        <v>235</v>
      </c>
      <c r="G404" s="1" t="s">
        <v>236</v>
      </c>
      <c r="H404" s="1" t="s">
        <v>479</v>
      </c>
      <c r="I404" s="1" t="s">
        <v>241</v>
      </c>
      <c r="J404" s="1" t="s">
        <v>71</v>
      </c>
      <c r="K404" s="1" t="s">
        <v>1364</v>
      </c>
      <c r="L404" s="1" t="s">
        <v>337</v>
      </c>
      <c r="M404" s="1">
        <v>360.15</v>
      </c>
      <c r="N404" s="1" t="s">
        <v>65</v>
      </c>
      <c r="O404" s="1">
        <v>500</v>
      </c>
      <c r="P404" s="1">
        <v>180075</v>
      </c>
      <c r="Q404" s="1">
        <v>7</v>
      </c>
      <c r="R404" s="7">
        <v>1.4E-2</v>
      </c>
      <c r="S404" s="1">
        <v>14</v>
      </c>
      <c r="T404" s="1">
        <v>20</v>
      </c>
      <c r="U404" s="1">
        <v>-6</v>
      </c>
      <c r="V404" s="1" t="s">
        <v>3352</v>
      </c>
      <c r="W404" s="1" t="s">
        <v>40</v>
      </c>
      <c r="X404" s="1" t="s">
        <v>3324</v>
      </c>
      <c r="Y404" s="1" t="s">
        <v>3334</v>
      </c>
      <c r="Z404" s="1" t="s">
        <v>54</v>
      </c>
      <c r="AA404" s="1" t="s">
        <v>174</v>
      </c>
      <c r="AB404" s="1" t="s">
        <v>56</v>
      </c>
      <c r="AC404" s="1"/>
      <c r="AD404" s="1">
        <v>2.8</v>
      </c>
      <c r="AE404" s="1" t="s">
        <v>184</v>
      </c>
      <c r="AF404" s="1"/>
    </row>
    <row r="405" spans="1:32" ht="18" customHeight="1">
      <c r="A405" s="1" t="s">
        <v>1365</v>
      </c>
      <c r="B405" s="1" t="s">
        <v>1366</v>
      </c>
      <c r="C405" s="4">
        <v>46036</v>
      </c>
      <c r="D405" s="4">
        <v>46048</v>
      </c>
      <c r="E405" s="4" t="s">
        <v>3497</v>
      </c>
      <c r="F405" s="1" t="s">
        <v>60</v>
      </c>
      <c r="G405" s="1" t="s">
        <v>3488</v>
      </c>
      <c r="H405" s="1" t="s">
        <v>3354</v>
      </c>
      <c r="I405" s="1" t="s">
        <v>70</v>
      </c>
      <c r="J405" s="1" t="s">
        <v>62</v>
      </c>
      <c r="K405" s="1" t="s">
        <v>1367</v>
      </c>
      <c r="L405" s="1" t="s">
        <v>225</v>
      </c>
      <c r="M405" s="1">
        <v>672.96</v>
      </c>
      <c r="N405" s="1" t="s">
        <v>159</v>
      </c>
      <c r="O405" s="1">
        <v>500</v>
      </c>
      <c r="P405" s="1">
        <v>336480</v>
      </c>
      <c r="Q405" s="1">
        <v>7</v>
      </c>
      <c r="R405" s="7">
        <v>1.4E-2</v>
      </c>
      <c r="S405" s="1">
        <v>14</v>
      </c>
      <c r="T405" s="1">
        <v>12</v>
      </c>
      <c r="U405" s="1">
        <v>2</v>
      </c>
      <c r="V405" s="1" t="s">
        <v>135</v>
      </c>
      <c r="W405" s="1" t="s">
        <v>40</v>
      </c>
      <c r="X405" s="1"/>
      <c r="Y405" s="1" t="s">
        <v>106</v>
      </c>
      <c r="Z405" s="1" t="s">
        <v>3330</v>
      </c>
      <c r="AA405" s="1" t="s">
        <v>136</v>
      </c>
      <c r="AB405" s="1" t="s">
        <v>95</v>
      </c>
      <c r="AC405" s="1"/>
      <c r="AD405" s="1">
        <v>4</v>
      </c>
      <c r="AE405" s="1" t="s">
        <v>76</v>
      </c>
      <c r="AF405" s="1" t="s">
        <v>148</v>
      </c>
    </row>
    <row r="406" spans="1:32" ht="18" customHeight="1">
      <c r="A406" s="1" t="s">
        <v>1368</v>
      </c>
      <c r="B406" s="1" t="s">
        <v>1369</v>
      </c>
      <c r="C406" s="4" t="s">
        <v>3603</v>
      </c>
      <c r="D406" s="4"/>
      <c r="E406" s="4">
        <v>46072</v>
      </c>
      <c r="F406" s="1" t="s">
        <v>100</v>
      </c>
      <c r="G406" s="1" t="s">
        <v>101</v>
      </c>
      <c r="H406" s="1" t="s">
        <v>3361</v>
      </c>
      <c r="I406" s="1" t="s">
        <v>49</v>
      </c>
      <c r="J406" s="1" t="s">
        <v>50</v>
      </c>
      <c r="K406" s="1" t="s">
        <v>1370</v>
      </c>
      <c r="L406" s="1" t="s">
        <v>145</v>
      </c>
      <c r="M406" s="1">
        <v>1484.37</v>
      </c>
      <c r="N406" s="1" t="s">
        <v>86</v>
      </c>
      <c r="O406" s="1">
        <v>200</v>
      </c>
      <c r="P406" s="1">
        <v>296874</v>
      </c>
      <c r="Q406" s="1">
        <v>4</v>
      </c>
      <c r="R406" s="7">
        <v>0.02</v>
      </c>
      <c r="S406" s="1">
        <v>4</v>
      </c>
      <c r="T406" s="1">
        <v>15</v>
      </c>
      <c r="U406" s="1">
        <v>-11</v>
      </c>
      <c r="V406" s="1" t="s">
        <v>87</v>
      </c>
      <c r="W406" s="1" t="s">
        <v>40</v>
      </c>
      <c r="X406" s="1" t="s">
        <v>41</v>
      </c>
      <c r="Y406" s="1" t="s">
        <v>42</v>
      </c>
      <c r="Z406" s="1" t="s">
        <v>3330</v>
      </c>
      <c r="AA406" s="1" t="s">
        <v>3341</v>
      </c>
      <c r="AB406" s="1" t="s">
        <v>137</v>
      </c>
      <c r="AC406" s="1"/>
      <c r="AD406" s="1">
        <v>2.5</v>
      </c>
      <c r="AE406" s="1" t="s">
        <v>45</v>
      </c>
      <c r="AF406" s="1"/>
    </row>
    <row r="407" spans="1:32" ht="18" hidden="1" customHeight="1">
      <c r="A407" s="1" t="s">
        <v>1371</v>
      </c>
      <c r="B407" s="1" t="s">
        <v>1372</v>
      </c>
      <c r="C407" s="4">
        <v>46173</v>
      </c>
      <c r="D407" s="1" t="s">
        <v>3436</v>
      </c>
      <c r="E407" s="1">
        <v>46182</v>
      </c>
      <c r="F407" s="1" t="s">
        <v>256</v>
      </c>
      <c r="G407" s="1" t="s">
        <v>257</v>
      </c>
      <c r="H407" s="1" t="s">
        <v>258</v>
      </c>
      <c r="I407" s="1" t="s">
        <v>83</v>
      </c>
      <c r="J407" s="1" t="s">
        <v>153</v>
      </c>
      <c r="K407" s="1" t="s">
        <v>1373</v>
      </c>
      <c r="L407" s="1" t="s">
        <v>318</v>
      </c>
      <c r="M407" s="1">
        <v>581.37</v>
      </c>
      <c r="N407" s="1" t="s">
        <v>65</v>
      </c>
      <c r="O407" s="1"/>
      <c r="P407" s="1">
        <v>43602.75</v>
      </c>
      <c r="Q407" s="1">
        <v>12</v>
      </c>
      <c r="R407" s="7">
        <v>0.16</v>
      </c>
      <c r="S407" s="1">
        <v>9</v>
      </c>
      <c r="T407" s="1">
        <v>14</v>
      </c>
      <c r="U407" s="1">
        <v>-5</v>
      </c>
      <c r="V407" s="1" t="s">
        <v>87</v>
      </c>
      <c r="W407" s="1" t="s">
        <v>366</v>
      </c>
      <c r="X407" s="1"/>
      <c r="Y407" s="1"/>
      <c r="Z407" s="1"/>
      <c r="AA407" s="1" t="s">
        <v>55</v>
      </c>
      <c r="AB407" s="1" t="s">
        <v>191</v>
      </c>
      <c r="AC407" s="1" t="s">
        <v>283</v>
      </c>
      <c r="AD407" s="1">
        <v>1.5</v>
      </c>
      <c r="AE407" s="1" t="s">
        <v>108</v>
      </c>
      <c r="AF407" s="1" t="s">
        <v>284</v>
      </c>
    </row>
    <row r="408" spans="1:32" ht="18" customHeight="1">
      <c r="A408" s="1" t="s">
        <v>1374</v>
      </c>
      <c r="B408" s="1" t="s">
        <v>1375</v>
      </c>
      <c r="C408" s="4">
        <v>46194</v>
      </c>
      <c r="D408" s="4">
        <v>46209</v>
      </c>
      <c r="E408" s="4" t="s">
        <v>3604</v>
      </c>
      <c r="F408" s="1" t="s">
        <v>235</v>
      </c>
      <c r="G408" s="1" t="s">
        <v>236</v>
      </c>
      <c r="H408" s="1" t="s">
        <v>3374</v>
      </c>
      <c r="I408" s="1" t="s">
        <v>70</v>
      </c>
      <c r="J408" s="1" t="s">
        <v>71</v>
      </c>
      <c r="K408" s="1" t="s">
        <v>1376</v>
      </c>
      <c r="L408" s="1" t="s">
        <v>73</v>
      </c>
      <c r="M408" s="1">
        <v>752.57</v>
      </c>
      <c r="N408" s="1" t="s">
        <v>65</v>
      </c>
      <c r="O408" s="1">
        <v>75</v>
      </c>
      <c r="P408" s="1">
        <v>56442.75</v>
      </c>
      <c r="Q408" s="1">
        <v>3</v>
      </c>
      <c r="R408" s="7">
        <v>0.04</v>
      </c>
      <c r="S408" s="1">
        <v>21</v>
      </c>
      <c r="T408" s="1">
        <v>15</v>
      </c>
      <c r="U408" s="1">
        <v>6</v>
      </c>
      <c r="V408" s="1" t="s">
        <v>39</v>
      </c>
      <c r="W408" s="1" t="s">
        <v>40</v>
      </c>
      <c r="X408" s="1" t="s">
        <v>127</v>
      </c>
      <c r="Y408" s="1" t="s">
        <v>212</v>
      </c>
      <c r="Z408" s="1"/>
      <c r="AA408" s="1" t="s">
        <v>174</v>
      </c>
      <c r="AB408" s="1" t="s">
        <v>95</v>
      </c>
      <c r="AC408" s="1"/>
      <c r="AD408" s="1">
        <v>1.2</v>
      </c>
      <c r="AE408" s="1" t="s">
        <v>115</v>
      </c>
      <c r="AF408" s="1" t="s">
        <v>148</v>
      </c>
    </row>
    <row r="409" spans="1:32" ht="18" customHeight="1">
      <c r="A409" s="1" t="s">
        <v>1377</v>
      </c>
      <c r="B409" s="1" t="s">
        <v>1378</v>
      </c>
      <c r="C409" s="4">
        <v>46063</v>
      </c>
      <c r="D409" s="4"/>
      <c r="E409" s="4">
        <v>46078</v>
      </c>
      <c r="F409" s="1" t="s">
        <v>48</v>
      </c>
      <c r="G409" s="1" t="s">
        <v>232</v>
      </c>
      <c r="H409" s="1" t="s">
        <v>3322</v>
      </c>
      <c r="I409" s="1" t="s">
        <v>61</v>
      </c>
      <c r="J409" s="1" t="s">
        <v>62</v>
      </c>
      <c r="K409" s="1" t="s">
        <v>1379</v>
      </c>
      <c r="L409" s="1" t="s">
        <v>225</v>
      </c>
      <c r="M409" s="1">
        <v>37.409999999999997</v>
      </c>
      <c r="N409" s="1" t="s">
        <v>86</v>
      </c>
      <c r="O409" s="1">
        <v>75</v>
      </c>
      <c r="P409" s="1">
        <v>2805.75</v>
      </c>
      <c r="Q409" s="1">
        <v>1</v>
      </c>
      <c r="R409" s="7">
        <v>1.3299999999999999E-2</v>
      </c>
      <c r="S409" s="1" t="s">
        <v>3406</v>
      </c>
      <c r="T409" s="1">
        <v>9</v>
      </c>
      <c r="U409" s="1">
        <v>6</v>
      </c>
      <c r="V409" s="1" t="s">
        <v>39</v>
      </c>
      <c r="W409" s="1" t="s">
        <v>40</v>
      </c>
      <c r="X409" s="1" t="s">
        <v>127</v>
      </c>
      <c r="Y409" s="1" t="s">
        <v>66</v>
      </c>
      <c r="Z409" s="1" t="s">
        <v>128</v>
      </c>
      <c r="AA409" s="1" t="s">
        <v>3341</v>
      </c>
      <c r="AB409" s="1" t="s">
        <v>137</v>
      </c>
      <c r="AC409" s="1"/>
      <c r="AD409" s="1">
        <v>3.3</v>
      </c>
      <c r="AE409" s="1" t="s">
        <v>115</v>
      </c>
      <c r="AF409" s="1" t="s">
        <v>148</v>
      </c>
    </row>
    <row r="410" spans="1:32" ht="18" customHeight="1">
      <c r="A410" s="1" t="s">
        <v>1380</v>
      </c>
      <c r="B410" s="1" t="s">
        <v>1381</v>
      </c>
      <c r="C410" s="4">
        <v>46178</v>
      </c>
      <c r="D410" s="4">
        <v>46192</v>
      </c>
      <c r="E410" s="4">
        <v>46195</v>
      </c>
      <c r="F410" s="1" t="s">
        <v>80</v>
      </c>
      <c r="G410" s="1" t="s">
        <v>81</v>
      </c>
      <c r="H410" s="1" t="s">
        <v>82</v>
      </c>
      <c r="I410" s="1" t="s">
        <v>178</v>
      </c>
      <c r="J410" s="1" t="s">
        <v>35</v>
      </c>
      <c r="K410" s="1" t="s">
        <v>1382</v>
      </c>
      <c r="L410" s="1" t="s">
        <v>200</v>
      </c>
      <c r="M410" s="1">
        <v>363.34</v>
      </c>
      <c r="N410" s="1" t="s">
        <v>86</v>
      </c>
      <c r="O410" s="1">
        <v>100</v>
      </c>
      <c r="P410" s="1">
        <v>36334</v>
      </c>
      <c r="Q410" s="1">
        <v>0</v>
      </c>
      <c r="R410" s="7">
        <v>0</v>
      </c>
      <c r="S410" s="1"/>
      <c r="T410" s="1">
        <v>14</v>
      </c>
      <c r="U410" s="1">
        <v>3</v>
      </c>
      <c r="V410" s="1" t="s">
        <v>3323</v>
      </c>
      <c r="W410" s="1" t="s">
        <v>40</v>
      </c>
      <c r="X410" s="1" t="s">
        <v>3329</v>
      </c>
      <c r="Y410" s="1" t="s">
        <v>66</v>
      </c>
      <c r="Z410" s="1" t="s">
        <v>173</v>
      </c>
      <c r="AA410" s="1"/>
      <c r="AB410" s="1" t="s">
        <v>191</v>
      </c>
      <c r="AC410" s="1"/>
      <c r="AD410" s="1">
        <v>2.9</v>
      </c>
      <c r="AE410" s="1" t="s">
        <v>76</v>
      </c>
      <c r="AF410" s="1" t="s">
        <v>46</v>
      </c>
    </row>
    <row r="411" spans="1:32" ht="18" customHeight="1">
      <c r="A411" s="1" t="s">
        <v>1383</v>
      </c>
      <c r="B411" s="1" t="s">
        <v>1384</v>
      </c>
      <c r="C411" s="4">
        <v>46027</v>
      </c>
      <c r="D411" s="4" t="s">
        <v>3436</v>
      </c>
      <c r="E411" s="4">
        <v>46043</v>
      </c>
      <c r="F411" s="1" t="s">
        <v>80</v>
      </c>
      <c r="G411" s="1" t="s">
        <v>3470</v>
      </c>
      <c r="H411" s="1" t="s">
        <v>3442</v>
      </c>
      <c r="I411" s="1" t="s">
        <v>241</v>
      </c>
      <c r="J411" s="1" t="s">
        <v>35</v>
      </c>
      <c r="K411" s="1" t="s">
        <v>1385</v>
      </c>
      <c r="L411" s="1" t="s">
        <v>200</v>
      </c>
      <c r="M411" s="1">
        <v>1503.17</v>
      </c>
      <c r="N411" s="1" t="s">
        <v>38</v>
      </c>
      <c r="O411" s="1">
        <v>750</v>
      </c>
      <c r="P411" s="1">
        <v>1127377.5</v>
      </c>
      <c r="Q411" s="1">
        <v>7</v>
      </c>
      <c r="R411" s="7">
        <v>9.2999999999999992E-3</v>
      </c>
      <c r="S411" s="1">
        <v>16</v>
      </c>
      <c r="T411" s="1">
        <v>12</v>
      </c>
      <c r="U411" s="1">
        <v>4</v>
      </c>
      <c r="V411" s="1" t="s">
        <v>205</v>
      </c>
      <c r="W411" s="1" t="s">
        <v>40</v>
      </c>
      <c r="X411" s="1" t="s">
        <v>105</v>
      </c>
      <c r="Y411" s="1" t="s">
        <v>212</v>
      </c>
      <c r="Z411" s="1"/>
      <c r="AA411" s="1" t="s">
        <v>136</v>
      </c>
      <c r="AB411" s="1" t="s">
        <v>56</v>
      </c>
      <c r="AC411" s="1"/>
      <c r="AD411" s="1">
        <v>4</v>
      </c>
      <c r="AE411" s="1" t="s">
        <v>108</v>
      </c>
      <c r="AF411" s="1" t="s">
        <v>46</v>
      </c>
    </row>
    <row r="412" spans="1:32" ht="18" customHeight="1">
      <c r="A412" s="1" t="s">
        <v>1386</v>
      </c>
      <c r="B412" s="1" t="s">
        <v>1387</v>
      </c>
      <c r="C412" s="4" t="s">
        <v>3375</v>
      </c>
      <c r="D412" s="4" t="s">
        <v>3605</v>
      </c>
      <c r="E412" s="4">
        <v>46094</v>
      </c>
      <c r="F412" s="1" t="s">
        <v>151</v>
      </c>
      <c r="G412" s="1" t="s">
        <v>3353</v>
      </c>
      <c r="H412" s="1" t="s">
        <v>3354</v>
      </c>
      <c r="I412" s="1" t="s">
        <v>70</v>
      </c>
      <c r="J412" s="1" t="s">
        <v>112</v>
      </c>
      <c r="K412" s="1" t="s">
        <v>1388</v>
      </c>
      <c r="L412" s="1" t="s">
        <v>114</v>
      </c>
      <c r="M412" s="1" t="s">
        <v>3606</v>
      </c>
      <c r="N412" s="1" t="s">
        <v>65</v>
      </c>
      <c r="O412" s="1">
        <v>1000</v>
      </c>
      <c r="P412" s="1">
        <v>180390</v>
      </c>
      <c r="Q412" s="1">
        <v>16</v>
      </c>
      <c r="R412" s="7">
        <v>1.6E-2</v>
      </c>
      <c r="S412" s="1">
        <v>4</v>
      </c>
      <c r="T412" s="1">
        <v>7</v>
      </c>
      <c r="U412" s="1">
        <v>-3</v>
      </c>
      <c r="V412" s="1" t="s">
        <v>87</v>
      </c>
      <c r="W412" s="1" t="s">
        <v>40</v>
      </c>
      <c r="X412" s="1" t="s">
        <v>105</v>
      </c>
      <c r="Y412" s="1" t="s">
        <v>190</v>
      </c>
      <c r="Z412" s="1" t="s">
        <v>43</v>
      </c>
      <c r="AA412" s="1" t="s">
        <v>136</v>
      </c>
      <c r="AB412" s="1" t="s">
        <v>56</v>
      </c>
      <c r="AC412" s="1"/>
      <c r="AD412" s="1">
        <v>3.7</v>
      </c>
      <c r="AE412" s="1" t="s">
        <v>57</v>
      </c>
      <c r="AF412" s="1"/>
    </row>
    <row r="413" spans="1:32" ht="18" customHeight="1">
      <c r="A413" s="1" t="s">
        <v>1389</v>
      </c>
      <c r="B413" s="1" t="s">
        <v>1390</v>
      </c>
      <c r="C413" s="4">
        <v>46065</v>
      </c>
      <c r="D413" s="4">
        <v>46081</v>
      </c>
      <c r="E413" s="4">
        <v>46077</v>
      </c>
      <c r="F413" s="1" t="s">
        <v>48</v>
      </c>
      <c r="G413" s="1" t="s">
        <v>232</v>
      </c>
      <c r="H413" s="1" t="s">
        <v>3322</v>
      </c>
      <c r="I413" s="1" t="s">
        <v>120</v>
      </c>
      <c r="J413" s="1" t="s">
        <v>50</v>
      </c>
      <c r="K413" s="1" t="s">
        <v>1391</v>
      </c>
      <c r="L413" s="1" t="s">
        <v>145</v>
      </c>
      <c r="M413" s="1">
        <v>867.59</v>
      </c>
      <c r="N413" s="1" t="s">
        <v>38</v>
      </c>
      <c r="O413" s="1">
        <v>50</v>
      </c>
      <c r="P413" s="1" t="s">
        <v>3607</v>
      </c>
      <c r="Q413" s="1">
        <v>2</v>
      </c>
      <c r="R413" s="7">
        <v>0.04</v>
      </c>
      <c r="S413" s="1">
        <v>12</v>
      </c>
      <c r="T413" s="1">
        <v>16</v>
      </c>
      <c r="U413" s="1">
        <v>-4</v>
      </c>
      <c r="V413" s="1" t="s">
        <v>3337</v>
      </c>
      <c r="W413" s="1" t="s">
        <v>40</v>
      </c>
      <c r="X413" s="1" t="s">
        <v>3329</v>
      </c>
      <c r="Y413" s="1" t="s">
        <v>66</v>
      </c>
      <c r="Z413" s="1" t="s">
        <v>54</v>
      </c>
      <c r="AA413" s="1"/>
      <c r="AB413" s="1" t="s">
        <v>191</v>
      </c>
      <c r="AC413" s="1"/>
      <c r="AD413" s="1">
        <v>2.1</v>
      </c>
      <c r="AE413" s="1" t="s">
        <v>115</v>
      </c>
      <c r="AF413" s="1"/>
    </row>
    <row r="414" spans="1:32" ht="18" customHeight="1">
      <c r="A414" s="1" t="s">
        <v>1392</v>
      </c>
      <c r="B414" s="1" t="s">
        <v>1393</v>
      </c>
      <c r="C414" s="4">
        <v>46136</v>
      </c>
      <c r="D414" s="4">
        <v>46148</v>
      </c>
      <c r="E414" s="4"/>
      <c r="F414" s="1" t="s">
        <v>48</v>
      </c>
      <c r="G414" s="1" t="s">
        <v>232</v>
      </c>
      <c r="H414" s="1" t="s">
        <v>3322</v>
      </c>
      <c r="I414" s="1" t="s">
        <v>83</v>
      </c>
      <c r="J414" s="1" t="s">
        <v>50</v>
      </c>
      <c r="K414" s="1" t="s">
        <v>1394</v>
      </c>
      <c r="L414" s="1" t="s">
        <v>145</v>
      </c>
      <c r="M414" s="1">
        <v>869.14</v>
      </c>
      <c r="N414" s="1"/>
      <c r="O414" s="1">
        <v>1000</v>
      </c>
      <c r="P414" s="1">
        <v>869140</v>
      </c>
      <c r="Q414" s="1">
        <v>6</v>
      </c>
      <c r="R414" s="7">
        <v>6.0000000000000001E-3</v>
      </c>
      <c r="S414" s="1">
        <v>17</v>
      </c>
      <c r="T414" s="1">
        <v>12</v>
      </c>
      <c r="U414" s="1">
        <v>5</v>
      </c>
      <c r="V414" s="1" t="s">
        <v>39</v>
      </c>
      <c r="W414" s="1" t="s">
        <v>40</v>
      </c>
      <c r="X414" s="1" t="s">
        <v>105</v>
      </c>
      <c r="Y414" s="1" t="s">
        <v>106</v>
      </c>
      <c r="Z414" s="1" t="s">
        <v>3330</v>
      </c>
      <c r="AA414" s="1"/>
      <c r="AB414" s="1" t="s">
        <v>147</v>
      </c>
      <c r="AC414" s="1"/>
      <c r="AD414" s="1">
        <v>4.7</v>
      </c>
      <c r="AE414" s="1" t="s">
        <v>115</v>
      </c>
      <c r="AF414" s="1" t="s">
        <v>46</v>
      </c>
    </row>
    <row r="415" spans="1:32" ht="18" customHeight="1">
      <c r="A415" s="1" t="s">
        <v>1395</v>
      </c>
      <c r="B415" s="1" t="s">
        <v>1396</v>
      </c>
      <c r="C415" s="4">
        <v>46032</v>
      </c>
      <c r="D415" s="4">
        <v>46043</v>
      </c>
      <c r="E415" s="4">
        <v>46045</v>
      </c>
      <c r="F415" s="1" t="s">
        <v>215</v>
      </c>
      <c r="G415" s="1" t="s">
        <v>216</v>
      </c>
      <c r="H415" s="1" t="s">
        <v>3408</v>
      </c>
      <c r="I415" s="1" t="s">
        <v>92</v>
      </c>
      <c r="J415" s="1" t="s">
        <v>50</v>
      </c>
      <c r="K415" s="1" t="s">
        <v>1397</v>
      </c>
      <c r="L415" s="1" t="s">
        <v>189</v>
      </c>
      <c r="M415" s="1">
        <v>3441.38</v>
      </c>
      <c r="N415" s="1" t="s">
        <v>104</v>
      </c>
      <c r="O415" s="1">
        <v>-1000</v>
      </c>
      <c r="P415" s="1">
        <v>3441380</v>
      </c>
      <c r="Q415" s="1">
        <v>24</v>
      </c>
      <c r="R415" s="7">
        <v>2.4E-2</v>
      </c>
      <c r="S415" s="1">
        <v>13</v>
      </c>
      <c r="T415" s="1">
        <v>11</v>
      </c>
      <c r="U415" s="1">
        <v>2</v>
      </c>
      <c r="V415" s="1" t="s">
        <v>3323</v>
      </c>
      <c r="W415" s="1" t="s">
        <v>40</v>
      </c>
      <c r="X415" s="1" t="s">
        <v>127</v>
      </c>
      <c r="Y415" s="1"/>
      <c r="Z415" s="1" t="s">
        <v>107</v>
      </c>
      <c r="AA415" s="1" t="s">
        <v>129</v>
      </c>
      <c r="AB415" s="1" t="s">
        <v>44</v>
      </c>
      <c r="AC415" s="1"/>
      <c r="AD415" s="1">
        <v>3.6</v>
      </c>
      <c r="AE415" s="1" t="s">
        <v>76</v>
      </c>
      <c r="AF415" s="1" t="s">
        <v>148</v>
      </c>
    </row>
    <row r="416" spans="1:32" ht="18" customHeight="1">
      <c r="A416" s="1" t="s">
        <v>1398</v>
      </c>
      <c r="B416" s="1" t="s">
        <v>1399</v>
      </c>
      <c r="C416" s="4">
        <v>46066</v>
      </c>
      <c r="D416" s="4">
        <v>46073</v>
      </c>
      <c r="E416" s="4">
        <v>46076</v>
      </c>
      <c r="F416" s="1" t="s">
        <v>69</v>
      </c>
      <c r="G416" s="1" t="s">
        <v>111</v>
      </c>
      <c r="H416" s="1" t="s">
        <v>3338</v>
      </c>
      <c r="I416" s="1" t="s">
        <v>49</v>
      </c>
      <c r="J416" s="1" t="s">
        <v>112</v>
      </c>
      <c r="K416" s="1" t="s">
        <v>1400</v>
      </c>
      <c r="L416" s="1" t="s">
        <v>246</v>
      </c>
      <c r="M416" s="1">
        <v>72.75</v>
      </c>
      <c r="N416" s="1" t="s">
        <v>38</v>
      </c>
      <c r="O416" s="1">
        <v>100</v>
      </c>
      <c r="P416" s="1">
        <v>7275</v>
      </c>
      <c r="Q416" s="1">
        <v>1</v>
      </c>
      <c r="R416" s="7">
        <v>0.01</v>
      </c>
      <c r="S416" s="1">
        <v>10</v>
      </c>
      <c r="T416" s="1">
        <v>7</v>
      </c>
      <c r="U416" s="1">
        <v>3</v>
      </c>
      <c r="V416" s="1" t="s">
        <v>135</v>
      </c>
      <c r="W416" s="1" t="s">
        <v>40</v>
      </c>
      <c r="X416" s="1" t="s">
        <v>41</v>
      </c>
      <c r="Y416" s="1" t="s">
        <v>3334</v>
      </c>
      <c r="Z416" s="1" t="s">
        <v>3330</v>
      </c>
      <c r="AA416" s="1" t="s">
        <v>206</v>
      </c>
      <c r="AB416" s="1" t="s">
        <v>95</v>
      </c>
      <c r="AC416" s="1"/>
      <c r="AD416" s="1">
        <v>3.3</v>
      </c>
      <c r="AE416" s="1" t="s">
        <v>139</v>
      </c>
      <c r="AF416" s="1" t="s">
        <v>46</v>
      </c>
    </row>
    <row r="417" spans="1:32" ht="18" customHeight="1">
      <c r="A417" s="1" t="s">
        <v>1401</v>
      </c>
      <c r="B417" s="1" t="s">
        <v>1402</v>
      </c>
      <c r="C417" s="4">
        <v>46180</v>
      </c>
      <c r="D417" s="4">
        <v>46194</v>
      </c>
      <c r="E417" s="4">
        <v>46191</v>
      </c>
      <c r="F417" s="1" t="s">
        <v>48</v>
      </c>
      <c r="G417" s="1"/>
      <c r="H417" s="1" t="s">
        <v>3361</v>
      </c>
      <c r="I417" s="1" t="s">
        <v>34</v>
      </c>
      <c r="J417" s="1" t="s">
        <v>50</v>
      </c>
      <c r="K417" s="1" t="s">
        <v>1403</v>
      </c>
      <c r="L417" s="1" t="s">
        <v>189</v>
      </c>
      <c r="M417" s="1">
        <v>121.22</v>
      </c>
      <c r="N417" s="1" t="s">
        <v>104</v>
      </c>
      <c r="O417" s="1">
        <v>100</v>
      </c>
      <c r="P417" s="1">
        <v>12122</v>
      </c>
      <c r="Q417" s="1">
        <v>0</v>
      </c>
      <c r="R417" s="7">
        <v>0</v>
      </c>
      <c r="S417" s="1">
        <v>11</v>
      </c>
      <c r="T417" s="1">
        <v>14</v>
      </c>
      <c r="U417" s="1">
        <v>-3</v>
      </c>
      <c r="V417" s="1" t="s">
        <v>3352</v>
      </c>
      <c r="W417" s="1" t="s">
        <v>40</v>
      </c>
      <c r="X417" s="1" t="s">
        <v>3324</v>
      </c>
      <c r="Y417" s="1" t="s">
        <v>190</v>
      </c>
      <c r="Z417" s="1" t="s">
        <v>128</v>
      </c>
      <c r="AA417" s="1" t="s">
        <v>55</v>
      </c>
      <c r="AB417" s="1" t="s">
        <v>95</v>
      </c>
      <c r="AC417" s="1"/>
      <c r="AD417" s="1">
        <v>3.7</v>
      </c>
      <c r="AE417" s="1" t="s">
        <v>76</v>
      </c>
      <c r="AF417" s="1"/>
    </row>
    <row r="418" spans="1:32" ht="18" customHeight="1">
      <c r="A418" s="1" t="s">
        <v>1404</v>
      </c>
      <c r="B418" s="1" t="s">
        <v>1405</v>
      </c>
      <c r="C418" s="4"/>
      <c r="D418" s="4">
        <v>46073</v>
      </c>
      <c r="E418" s="4">
        <v>46082</v>
      </c>
      <c r="F418" s="1" t="s">
        <v>256</v>
      </c>
      <c r="G418" s="1" t="s">
        <v>257</v>
      </c>
      <c r="H418" s="1" t="s">
        <v>3410</v>
      </c>
      <c r="I418" s="1" t="s">
        <v>49</v>
      </c>
      <c r="J418" s="1" t="s">
        <v>153</v>
      </c>
      <c r="K418" s="1" t="s">
        <v>1406</v>
      </c>
      <c r="L418" s="1" t="s">
        <v>295</v>
      </c>
      <c r="M418" s="1">
        <v>496</v>
      </c>
      <c r="N418" s="1" t="s">
        <v>53</v>
      </c>
      <c r="O418" s="1">
        <v>250</v>
      </c>
      <c r="P418" s="1">
        <v>124000</v>
      </c>
      <c r="Q418" s="1">
        <v>4</v>
      </c>
      <c r="R418" s="7">
        <v>1.6E-2</v>
      </c>
      <c r="S418" s="1">
        <v>22</v>
      </c>
      <c r="T418" s="1">
        <v>13</v>
      </c>
      <c r="U418" s="1">
        <v>9</v>
      </c>
      <c r="V418" s="1" t="s">
        <v>205</v>
      </c>
      <c r="W418" s="1" t="s">
        <v>40</v>
      </c>
      <c r="X418" s="1" t="s">
        <v>105</v>
      </c>
      <c r="Y418" s="1" t="s">
        <v>3334</v>
      </c>
      <c r="Z418" s="1" t="s">
        <v>107</v>
      </c>
      <c r="AA418" s="1" t="s">
        <v>206</v>
      </c>
      <c r="AB418" s="1" t="s">
        <v>147</v>
      </c>
      <c r="AC418" s="1"/>
      <c r="AD418" s="1">
        <v>2.2999999999999998</v>
      </c>
      <c r="AE418" s="1" t="s">
        <v>115</v>
      </c>
      <c r="AF418" s="1" t="s">
        <v>46</v>
      </c>
    </row>
    <row r="419" spans="1:32" ht="18" customHeight="1">
      <c r="A419" s="1" t="s">
        <v>1407</v>
      </c>
      <c r="B419" s="1" t="s">
        <v>1408</v>
      </c>
      <c r="C419" s="4">
        <v>46083</v>
      </c>
      <c r="D419" s="4">
        <v>46102</v>
      </c>
      <c r="E419" s="4">
        <v>46101</v>
      </c>
      <c r="F419" s="1" t="s">
        <v>235</v>
      </c>
      <c r="G419" s="1" t="s">
        <v>3426</v>
      </c>
      <c r="H419" s="1" t="s">
        <v>3371</v>
      </c>
      <c r="I419" s="1" t="s">
        <v>83</v>
      </c>
      <c r="J419" s="1" t="s">
        <v>71</v>
      </c>
      <c r="K419" s="1" t="s">
        <v>1409</v>
      </c>
      <c r="L419" s="1" t="s">
        <v>337</v>
      </c>
      <c r="M419" s="1">
        <v>532.16999999999996</v>
      </c>
      <c r="N419" s="1"/>
      <c r="O419" s="1">
        <v>75</v>
      </c>
      <c r="P419" s="1">
        <v>39912.75</v>
      </c>
      <c r="Q419" s="1">
        <v>0</v>
      </c>
      <c r="R419" s="7">
        <v>0</v>
      </c>
      <c r="S419" s="1">
        <v>18</v>
      </c>
      <c r="T419" s="1">
        <v>19</v>
      </c>
      <c r="U419" s="1">
        <v>-1</v>
      </c>
      <c r="V419" s="1" t="s">
        <v>87</v>
      </c>
      <c r="W419" s="1" t="s">
        <v>404</v>
      </c>
      <c r="X419" s="1" t="s">
        <v>41</v>
      </c>
      <c r="Y419" s="1" t="s">
        <v>66</v>
      </c>
      <c r="Z419" s="1" t="s">
        <v>107</v>
      </c>
      <c r="AA419" s="1" t="s">
        <v>88</v>
      </c>
      <c r="AB419" s="1" t="s">
        <v>56</v>
      </c>
      <c r="AC419" s="1"/>
      <c r="AD419" s="1">
        <v>4</v>
      </c>
      <c r="AE419" s="1" t="s">
        <v>115</v>
      </c>
      <c r="AF419" s="1"/>
    </row>
    <row r="420" spans="1:32" ht="18" hidden="1" customHeight="1">
      <c r="A420" s="1" t="s">
        <v>1410</v>
      </c>
      <c r="B420" s="1" t="s">
        <v>1411</v>
      </c>
      <c r="C420" s="4" t="s">
        <v>3608</v>
      </c>
      <c r="D420" s="1">
        <v>46188</v>
      </c>
      <c r="E420" s="1">
        <v>46197</v>
      </c>
      <c r="F420" s="1" t="s">
        <v>235</v>
      </c>
      <c r="G420" s="1" t="s">
        <v>3426</v>
      </c>
      <c r="H420" s="1" t="s">
        <v>3371</v>
      </c>
      <c r="I420" s="1" t="s">
        <v>120</v>
      </c>
      <c r="J420" s="1" t="s">
        <v>71</v>
      </c>
      <c r="K420" s="1" t="s">
        <v>1412</v>
      </c>
      <c r="L420" s="1" t="s">
        <v>238</v>
      </c>
      <c r="M420" s="1">
        <v>61.9</v>
      </c>
      <c r="N420" s="1" t="s">
        <v>159</v>
      </c>
      <c r="O420" s="1">
        <v>750</v>
      </c>
      <c r="P420" s="1">
        <v>46425</v>
      </c>
      <c r="Q420" s="1">
        <v>50</v>
      </c>
      <c r="R420" s="7">
        <v>6.6699999999999995E-2</v>
      </c>
      <c r="S420" s="1">
        <v>29</v>
      </c>
      <c r="T420" s="1">
        <v>20</v>
      </c>
      <c r="U420" s="1">
        <v>9</v>
      </c>
      <c r="V420" s="1" t="s">
        <v>205</v>
      </c>
      <c r="W420" s="1" t="s">
        <v>3384</v>
      </c>
      <c r="X420" s="1" t="s">
        <v>3329</v>
      </c>
      <c r="Y420" s="1" t="s">
        <v>190</v>
      </c>
      <c r="Z420" s="1" t="s">
        <v>3330</v>
      </c>
      <c r="AA420" s="1" t="s">
        <v>174</v>
      </c>
      <c r="AB420" s="1" t="s">
        <v>147</v>
      </c>
      <c r="AC420" s="1" t="s">
        <v>373</v>
      </c>
      <c r="AD420" s="1">
        <v>2.2999999999999998</v>
      </c>
      <c r="AE420" s="1" t="s">
        <v>184</v>
      </c>
      <c r="AF420" s="1" t="s">
        <v>77</v>
      </c>
    </row>
    <row r="421" spans="1:32" ht="18" hidden="1" customHeight="1">
      <c r="A421" s="1" t="s">
        <v>1413</v>
      </c>
      <c r="B421" s="1" t="s">
        <v>1414</v>
      </c>
      <c r="C421" s="4" t="s">
        <v>3580</v>
      </c>
      <c r="D421" s="1">
        <v>46110</v>
      </c>
      <c r="E421" s="1">
        <v>46111</v>
      </c>
      <c r="F421" s="1" t="s">
        <v>392</v>
      </c>
      <c r="G421" s="1" t="s">
        <v>236</v>
      </c>
      <c r="H421" s="1" t="s">
        <v>3374</v>
      </c>
      <c r="I421" s="1" t="s">
        <v>178</v>
      </c>
      <c r="J421" s="1" t="s">
        <v>71</v>
      </c>
      <c r="K421" s="1" t="s">
        <v>1415</v>
      </c>
      <c r="L421" s="1" t="s">
        <v>238</v>
      </c>
      <c r="M421" s="1">
        <v>426.57</v>
      </c>
      <c r="N421" s="1" t="s">
        <v>86</v>
      </c>
      <c r="O421" s="1">
        <v>1000</v>
      </c>
      <c r="P421" s="1" t="s">
        <v>3609</v>
      </c>
      <c r="Q421" s="1" t="s">
        <v>3454</v>
      </c>
      <c r="R421" s="7">
        <v>5.0999999999999997E-2</v>
      </c>
      <c r="S421" s="1">
        <v>20</v>
      </c>
      <c r="T421" s="1">
        <v>19</v>
      </c>
      <c r="U421" s="1">
        <v>1</v>
      </c>
      <c r="V421" s="1" t="s">
        <v>3323</v>
      </c>
      <c r="W421" s="1" t="s">
        <v>74</v>
      </c>
      <c r="X421" s="1"/>
      <c r="Y421" s="1"/>
      <c r="Z421" s="1" t="s">
        <v>3330</v>
      </c>
      <c r="AA421" s="1" t="s">
        <v>3341</v>
      </c>
      <c r="AB421" s="1" t="s">
        <v>147</v>
      </c>
      <c r="AC421" s="1" t="s">
        <v>96</v>
      </c>
      <c r="AD421" s="1">
        <v>2</v>
      </c>
      <c r="AE421" s="1" t="s">
        <v>184</v>
      </c>
      <c r="AF421" s="1" t="s">
        <v>1416</v>
      </c>
    </row>
    <row r="422" spans="1:32" ht="18" customHeight="1">
      <c r="A422" s="1" t="s">
        <v>1417</v>
      </c>
      <c r="B422" s="1" t="s">
        <v>1418</v>
      </c>
      <c r="C422" s="4">
        <v>46171</v>
      </c>
      <c r="D422" s="4">
        <v>46182</v>
      </c>
      <c r="E422" s="4">
        <v>46188</v>
      </c>
      <c r="F422" s="1" t="s">
        <v>215</v>
      </c>
      <c r="G422" s="1" t="s">
        <v>3415</v>
      </c>
      <c r="H422" s="1" t="s">
        <v>3354</v>
      </c>
      <c r="I422" s="1" t="s">
        <v>61</v>
      </c>
      <c r="J422" s="1" t="s">
        <v>112</v>
      </c>
      <c r="K422" s="1" t="s">
        <v>900</v>
      </c>
      <c r="L422" s="1" t="s">
        <v>229</v>
      </c>
      <c r="M422" s="1">
        <v>650.91999999999996</v>
      </c>
      <c r="N422" s="1" t="s">
        <v>86</v>
      </c>
      <c r="O422" s="1">
        <v>250</v>
      </c>
      <c r="P422" s="1">
        <v>162730</v>
      </c>
      <c r="Q422" s="1">
        <v>7</v>
      </c>
      <c r="R422" s="7">
        <v>2.8000000000000001E-2</v>
      </c>
      <c r="S422" s="1">
        <v>17</v>
      </c>
      <c r="T422" s="1">
        <v>11</v>
      </c>
      <c r="U422" s="1">
        <v>6</v>
      </c>
      <c r="V422" s="1" t="s">
        <v>39</v>
      </c>
      <c r="W422" s="1" t="s">
        <v>40</v>
      </c>
      <c r="X422" s="1" t="s">
        <v>105</v>
      </c>
      <c r="Y422" s="1" t="s">
        <v>212</v>
      </c>
      <c r="Z422" s="1" t="s">
        <v>128</v>
      </c>
      <c r="AA422" s="1" t="s">
        <v>129</v>
      </c>
      <c r="AB422" s="1" t="s">
        <v>44</v>
      </c>
      <c r="AC422" s="1"/>
      <c r="AD422" s="1">
        <v>2.5</v>
      </c>
      <c r="AE422" s="1" t="s">
        <v>57</v>
      </c>
      <c r="AF422" s="1" t="s">
        <v>46</v>
      </c>
    </row>
    <row r="423" spans="1:32" ht="18" customHeight="1">
      <c r="A423" s="1" t="s">
        <v>1419</v>
      </c>
      <c r="B423" s="1" t="s">
        <v>1420</v>
      </c>
      <c r="C423" s="4">
        <v>46062</v>
      </c>
      <c r="D423" s="4">
        <v>46078</v>
      </c>
      <c r="E423" s="4">
        <v>46085</v>
      </c>
      <c r="F423" s="1" t="s">
        <v>118</v>
      </c>
      <c r="G423" s="1" t="s">
        <v>3393</v>
      </c>
      <c r="H423" s="1" t="s">
        <v>3369</v>
      </c>
      <c r="I423" s="1" t="s">
        <v>120</v>
      </c>
      <c r="J423" s="1" t="s">
        <v>163</v>
      </c>
      <c r="K423" s="1" t="s">
        <v>993</v>
      </c>
      <c r="L423" s="1" t="s">
        <v>165</v>
      </c>
      <c r="M423" s="1">
        <v>575.24</v>
      </c>
      <c r="N423" s="1" t="s">
        <v>38</v>
      </c>
      <c r="O423" s="1">
        <v>750</v>
      </c>
      <c r="P423" s="1">
        <v>431430</v>
      </c>
      <c r="Q423" s="1">
        <v>21</v>
      </c>
      <c r="R423" s="7">
        <v>2.8000000000000001E-2</v>
      </c>
      <c r="S423" s="1">
        <v>23</v>
      </c>
      <c r="T423" s="1">
        <v>16</v>
      </c>
      <c r="U423" s="1">
        <v>7</v>
      </c>
      <c r="V423" s="1" t="s">
        <v>3328</v>
      </c>
      <c r="W423" s="1" t="s">
        <v>40</v>
      </c>
      <c r="X423" s="1" t="s">
        <v>105</v>
      </c>
      <c r="Y423" s="1" t="s">
        <v>212</v>
      </c>
      <c r="Z423" s="1" t="s">
        <v>128</v>
      </c>
      <c r="AA423" s="1" t="s">
        <v>129</v>
      </c>
      <c r="AB423" s="1" t="s">
        <v>137</v>
      </c>
      <c r="AC423" s="1"/>
      <c r="AD423" s="1">
        <v>2</v>
      </c>
      <c r="AE423" s="1" t="s">
        <v>184</v>
      </c>
      <c r="AF423" s="1" t="s">
        <v>46</v>
      </c>
    </row>
    <row r="424" spans="1:32" ht="18" customHeight="1">
      <c r="A424" s="1" t="s">
        <v>1421</v>
      </c>
      <c r="B424" s="1" t="s">
        <v>1422</v>
      </c>
      <c r="C424" s="4">
        <v>46114</v>
      </c>
      <c r="D424" s="4">
        <v>46115</v>
      </c>
      <c r="E424" s="4">
        <v>46115</v>
      </c>
      <c r="F424" s="1" t="s">
        <v>151</v>
      </c>
      <c r="G424" s="1" t="s">
        <v>244</v>
      </c>
      <c r="H424" s="1" t="s">
        <v>3327</v>
      </c>
      <c r="I424" s="1" t="s">
        <v>83</v>
      </c>
      <c r="J424" s="1" t="s">
        <v>112</v>
      </c>
      <c r="K424" s="1" t="s">
        <v>1423</v>
      </c>
      <c r="L424" s="1" t="s">
        <v>246</v>
      </c>
      <c r="M424" s="1">
        <v>456.37</v>
      </c>
      <c r="N424" s="1" t="s">
        <v>104</v>
      </c>
      <c r="O424" s="1">
        <v>75</v>
      </c>
      <c r="P424" s="1">
        <v>34227.75</v>
      </c>
      <c r="Q424" s="1">
        <v>1</v>
      </c>
      <c r="R424" s="7">
        <v>1.3299999999999999E-2</v>
      </c>
      <c r="S424" s="1">
        <v>-5</v>
      </c>
      <c r="T424" s="1">
        <v>1</v>
      </c>
      <c r="U424" s="1">
        <v>0</v>
      </c>
      <c r="V424" s="1" t="s">
        <v>270</v>
      </c>
      <c r="W424" s="1" t="s">
        <v>40</v>
      </c>
      <c r="X424" s="1" t="s">
        <v>146</v>
      </c>
      <c r="Y424" s="1" t="s">
        <v>42</v>
      </c>
      <c r="Z424" s="1" t="s">
        <v>107</v>
      </c>
      <c r="AA424" s="1"/>
      <c r="AB424" s="1" t="s">
        <v>137</v>
      </c>
      <c r="AC424" s="1"/>
      <c r="AD424" s="1">
        <v>3.2</v>
      </c>
      <c r="AE424" s="1" t="s">
        <v>45</v>
      </c>
      <c r="AF424" s="1" t="s">
        <v>130</v>
      </c>
    </row>
    <row r="425" spans="1:32" ht="18" customHeight="1">
      <c r="A425" s="1" t="s">
        <v>1424</v>
      </c>
      <c r="B425" s="1" t="s">
        <v>1425</v>
      </c>
      <c r="C425" s="4">
        <v>46051</v>
      </c>
      <c r="D425" s="4">
        <v>46064</v>
      </c>
      <c r="E425" s="4">
        <v>46061</v>
      </c>
      <c r="F425" s="1" t="s">
        <v>215</v>
      </c>
      <c r="G425" s="1" t="s">
        <v>216</v>
      </c>
      <c r="H425" s="1" t="s">
        <v>3354</v>
      </c>
      <c r="I425" s="1" t="s">
        <v>120</v>
      </c>
      <c r="J425" s="1" t="s">
        <v>112</v>
      </c>
      <c r="K425" s="1" t="s">
        <v>1426</v>
      </c>
      <c r="L425" s="1" t="s">
        <v>114</v>
      </c>
      <c r="M425" s="1">
        <v>678.79</v>
      </c>
      <c r="N425" s="1" t="s">
        <v>159</v>
      </c>
      <c r="O425" s="1">
        <v>2000</v>
      </c>
      <c r="P425" s="1">
        <v>1357580</v>
      </c>
      <c r="Q425" s="1">
        <v>30</v>
      </c>
      <c r="R425" s="7">
        <v>1.4999999999999999E-2</v>
      </c>
      <c r="S425" s="1">
        <v>10</v>
      </c>
      <c r="T425" s="1">
        <v>13</v>
      </c>
      <c r="U425" s="1">
        <v>-3</v>
      </c>
      <c r="V425" s="1" t="s">
        <v>87</v>
      </c>
      <c r="W425" s="1" t="s">
        <v>40</v>
      </c>
      <c r="X425" s="1" t="s">
        <v>105</v>
      </c>
      <c r="Y425" s="1"/>
      <c r="Z425" s="1"/>
      <c r="AA425" s="1" t="s">
        <v>3341</v>
      </c>
      <c r="AB425" s="1" t="s">
        <v>56</v>
      </c>
      <c r="AC425" s="1"/>
      <c r="AD425" s="1">
        <v>3.1</v>
      </c>
      <c r="AE425" s="1" t="s">
        <v>45</v>
      </c>
      <c r="AF425" s="1"/>
    </row>
    <row r="426" spans="1:32" ht="18" customHeight="1">
      <c r="A426" s="1" t="s">
        <v>1427</v>
      </c>
      <c r="B426" s="1" t="s">
        <v>1428</v>
      </c>
      <c r="C426" s="4" t="s">
        <v>3610</v>
      </c>
      <c r="D426" s="4">
        <v>46044</v>
      </c>
      <c r="E426" s="4">
        <v>46047</v>
      </c>
      <c r="F426" s="1" t="s">
        <v>80</v>
      </c>
      <c r="G426" s="1" t="s">
        <v>81</v>
      </c>
      <c r="H426" s="1" t="s">
        <v>82</v>
      </c>
      <c r="I426" s="1" t="s">
        <v>49</v>
      </c>
      <c r="J426" s="1" t="s">
        <v>35</v>
      </c>
      <c r="K426" s="1" t="s">
        <v>1429</v>
      </c>
      <c r="L426" s="1" t="s">
        <v>200</v>
      </c>
      <c r="M426" s="1">
        <v>1497.55</v>
      </c>
      <c r="N426" s="1" t="s">
        <v>38</v>
      </c>
      <c r="O426" s="1">
        <v>75</v>
      </c>
      <c r="P426" s="1">
        <v>112316.25</v>
      </c>
      <c r="Q426" s="1">
        <v>0</v>
      </c>
      <c r="R426" s="7">
        <v>0</v>
      </c>
      <c r="S426" s="1">
        <v>18</v>
      </c>
      <c r="T426" s="1">
        <v>15</v>
      </c>
      <c r="U426" s="1">
        <v>3</v>
      </c>
      <c r="V426" s="1" t="s">
        <v>135</v>
      </c>
      <c r="W426" s="1" t="s">
        <v>40</v>
      </c>
      <c r="X426" s="1" t="s">
        <v>105</v>
      </c>
      <c r="Y426" s="1" t="s">
        <v>3334</v>
      </c>
      <c r="Z426" s="1" t="s">
        <v>173</v>
      </c>
      <c r="AA426" s="1" t="s">
        <v>206</v>
      </c>
      <c r="AB426" s="1" t="s">
        <v>191</v>
      </c>
      <c r="AC426" s="1"/>
      <c r="AD426" s="1">
        <v>4.5</v>
      </c>
      <c r="AE426" s="1" t="s">
        <v>57</v>
      </c>
      <c r="AF426" s="1" t="s">
        <v>46</v>
      </c>
    </row>
    <row r="427" spans="1:32" ht="18" customHeight="1">
      <c r="A427" s="1" t="s">
        <v>1430</v>
      </c>
      <c r="B427" s="1" t="s">
        <v>1431</v>
      </c>
      <c r="C427" s="4">
        <v>46035</v>
      </c>
      <c r="D427" s="4">
        <v>46052</v>
      </c>
      <c r="E427" s="4">
        <v>46059</v>
      </c>
      <c r="F427" s="1" t="s">
        <v>100</v>
      </c>
      <c r="G427" s="1" t="s">
        <v>3343</v>
      </c>
      <c r="H427" s="1" t="s">
        <v>3322</v>
      </c>
      <c r="I427" s="1" t="s">
        <v>92</v>
      </c>
      <c r="J427" s="1" t="s">
        <v>50</v>
      </c>
      <c r="K427" s="1" t="s">
        <v>1432</v>
      </c>
      <c r="L427" s="1" t="s">
        <v>145</v>
      </c>
      <c r="M427" s="1">
        <v>1058.82</v>
      </c>
      <c r="N427" s="1" t="s">
        <v>65</v>
      </c>
      <c r="O427" s="1">
        <v>300</v>
      </c>
      <c r="P427" s="1"/>
      <c r="Q427" s="1">
        <v>10</v>
      </c>
      <c r="R427" s="7">
        <v>3.3300000000000003E-2</v>
      </c>
      <c r="S427" s="1">
        <v>24</v>
      </c>
      <c r="T427" s="1">
        <v>17</v>
      </c>
      <c r="U427" s="1">
        <v>7</v>
      </c>
      <c r="V427" s="1" t="s">
        <v>39</v>
      </c>
      <c r="W427" s="1" t="s">
        <v>40</v>
      </c>
      <c r="X427" s="1" t="s">
        <v>127</v>
      </c>
      <c r="Y427" s="1" t="s">
        <v>190</v>
      </c>
      <c r="Z427" s="1" t="s">
        <v>54</v>
      </c>
      <c r="AA427" s="1" t="s">
        <v>55</v>
      </c>
      <c r="AB427" s="1" t="s">
        <v>137</v>
      </c>
      <c r="AC427" s="1"/>
      <c r="AD427" s="1">
        <v>1.4</v>
      </c>
      <c r="AE427" s="1" t="s">
        <v>184</v>
      </c>
      <c r="AF427" s="1" t="s">
        <v>148</v>
      </c>
    </row>
    <row r="428" spans="1:32" ht="18" customHeight="1">
      <c r="A428" s="1" t="s">
        <v>1433</v>
      </c>
      <c r="B428" s="1" t="s">
        <v>1434</v>
      </c>
      <c r="C428" s="4" t="s">
        <v>3363</v>
      </c>
      <c r="D428" s="4">
        <v>46074</v>
      </c>
      <c r="E428" s="4">
        <v>46065</v>
      </c>
      <c r="F428" s="1"/>
      <c r="G428" s="1" t="s">
        <v>232</v>
      </c>
      <c r="H428" s="1" t="s">
        <v>102</v>
      </c>
      <c r="I428" s="1" t="s">
        <v>120</v>
      </c>
      <c r="J428" s="1" t="s">
        <v>153</v>
      </c>
      <c r="K428" s="1" t="s">
        <v>1435</v>
      </c>
      <c r="L428" s="1" t="s">
        <v>295</v>
      </c>
      <c r="M428" s="1">
        <v>669.45</v>
      </c>
      <c r="N428" s="1" t="s">
        <v>159</v>
      </c>
      <c r="O428" s="1">
        <v>250</v>
      </c>
      <c r="P428" s="1">
        <v>167362.5</v>
      </c>
      <c r="Q428" s="1">
        <v>0</v>
      </c>
      <c r="R428" s="7">
        <v>0</v>
      </c>
      <c r="S428" s="1">
        <v>10</v>
      </c>
      <c r="T428" s="1">
        <v>19</v>
      </c>
      <c r="U428" s="1">
        <v>-9</v>
      </c>
      <c r="V428" s="1" t="s">
        <v>270</v>
      </c>
      <c r="W428" s="1" t="s">
        <v>40</v>
      </c>
      <c r="X428" s="1" t="s">
        <v>105</v>
      </c>
      <c r="Y428" s="1"/>
      <c r="Z428" s="1" t="s">
        <v>173</v>
      </c>
      <c r="AA428" s="1" t="s">
        <v>88</v>
      </c>
      <c r="AB428" s="1" t="s">
        <v>56</v>
      </c>
      <c r="AC428" s="1"/>
      <c r="AD428" s="1">
        <v>3.9</v>
      </c>
      <c r="AE428" s="1" t="s">
        <v>184</v>
      </c>
      <c r="AF428" s="1" t="s">
        <v>619</v>
      </c>
    </row>
    <row r="429" spans="1:32" ht="18" hidden="1" customHeight="1">
      <c r="A429" s="1" t="s">
        <v>1436</v>
      </c>
      <c r="B429" s="1" t="s">
        <v>1437</v>
      </c>
      <c r="C429" s="4">
        <v>46111</v>
      </c>
      <c r="D429" s="1" t="s">
        <v>3611</v>
      </c>
      <c r="E429" s="1" t="s">
        <v>3612</v>
      </c>
      <c r="F429" s="1" t="s">
        <v>60</v>
      </c>
      <c r="G429" s="1" t="s">
        <v>466</v>
      </c>
      <c r="H429" s="1" t="s">
        <v>3327</v>
      </c>
      <c r="I429" s="1" t="s">
        <v>120</v>
      </c>
      <c r="J429" s="1" t="s">
        <v>62</v>
      </c>
      <c r="K429" s="1" t="s">
        <v>1438</v>
      </c>
      <c r="L429" s="1" t="s">
        <v>94</v>
      </c>
      <c r="M429" s="1">
        <v>775.47</v>
      </c>
      <c r="N429" s="1" t="s">
        <v>159</v>
      </c>
      <c r="O429" s="1">
        <v>150</v>
      </c>
      <c r="P429" s="1">
        <v>116320.5</v>
      </c>
      <c r="Q429" s="1">
        <v>10</v>
      </c>
      <c r="R429" s="7">
        <v>6.6699999999999995E-2</v>
      </c>
      <c r="S429" s="1">
        <v>14</v>
      </c>
      <c r="T429" s="1">
        <v>11</v>
      </c>
      <c r="U429" s="1">
        <v>3</v>
      </c>
      <c r="V429" s="1" t="s">
        <v>3323</v>
      </c>
      <c r="W429" s="1" t="s">
        <v>74</v>
      </c>
      <c r="X429" s="1" t="s">
        <v>3329</v>
      </c>
      <c r="Y429" s="1" t="s">
        <v>66</v>
      </c>
      <c r="Z429" s="1" t="s">
        <v>107</v>
      </c>
      <c r="AA429" s="1"/>
      <c r="AB429" s="1" t="s">
        <v>147</v>
      </c>
      <c r="AC429" s="1" t="s">
        <v>373</v>
      </c>
      <c r="AD429" s="1">
        <v>2.5</v>
      </c>
      <c r="AE429" s="1" t="s">
        <v>115</v>
      </c>
      <c r="AF429" s="1" t="s">
        <v>77</v>
      </c>
    </row>
    <row r="430" spans="1:32" ht="18" hidden="1" customHeight="1">
      <c r="A430" s="1" t="s">
        <v>1439</v>
      </c>
      <c r="B430" s="1" t="s">
        <v>1440</v>
      </c>
      <c r="C430" s="4" t="s">
        <v>3397</v>
      </c>
      <c r="D430" s="1">
        <v>46155</v>
      </c>
      <c r="E430" s="1">
        <v>46161</v>
      </c>
      <c r="F430" s="1" t="s">
        <v>90</v>
      </c>
      <c r="G430" s="1" t="s">
        <v>3346</v>
      </c>
      <c r="H430" s="1" t="s">
        <v>133</v>
      </c>
      <c r="I430" s="1" t="s">
        <v>241</v>
      </c>
      <c r="J430" s="1" t="s">
        <v>35</v>
      </c>
      <c r="K430" s="1" t="s">
        <v>1441</v>
      </c>
      <c r="L430" s="1" t="s">
        <v>180</v>
      </c>
      <c r="M430" s="1">
        <v>939.05</v>
      </c>
      <c r="N430" s="1" t="s">
        <v>86</v>
      </c>
      <c r="O430" s="1">
        <v>500</v>
      </c>
      <c r="P430" s="1">
        <v>469525</v>
      </c>
      <c r="Q430" s="1">
        <v>29</v>
      </c>
      <c r="R430" s="7">
        <v>5.8000000000000003E-2</v>
      </c>
      <c r="S430" s="1">
        <v>23</v>
      </c>
      <c r="T430" s="1">
        <v>17</v>
      </c>
      <c r="U430" s="1">
        <v>6</v>
      </c>
      <c r="V430" s="1" t="s">
        <v>39</v>
      </c>
      <c r="W430" s="1" t="s">
        <v>74</v>
      </c>
      <c r="X430" s="1"/>
      <c r="Y430" s="1" t="s">
        <v>42</v>
      </c>
      <c r="Z430" s="1" t="s">
        <v>43</v>
      </c>
      <c r="AA430" s="1" t="s">
        <v>136</v>
      </c>
      <c r="AB430" s="1" t="s">
        <v>137</v>
      </c>
      <c r="AC430" s="1" t="s">
        <v>183</v>
      </c>
      <c r="AD430" s="1">
        <v>1.3</v>
      </c>
      <c r="AE430" s="1" t="s">
        <v>108</v>
      </c>
      <c r="AF430" s="1" t="s">
        <v>185</v>
      </c>
    </row>
    <row r="431" spans="1:32" ht="18" customHeight="1">
      <c r="A431" s="1" t="s">
        <v>1442</v>
      </c>
      <c r="B431" s="1" t="s">
        <v>1443</v>
      </c>
      <c r="C431" s="4">
        <v>46076</v>
      </c>
      <c r="D431" s="4">
        <v>46094</v>
      </c>
      <c r="E431" s="4"/>
      <c r="F431" s="1" t="s">
        <v>90</v>
      </c>
      <c r="G431" s="1" t="s">
        <v>3346</v>
      </c>
      <c r="H431" s="1" t="s">
        <v>3425</v>
      </c>
      <c r="I431" s="1" t="s">
        <v>178</v>
      </c>
      <c r="J431" s="1" t="s">
        <v>50</v>
      </c>
      <c r="K431" s="1" t="s">
        <v>1444</v>
      </c>
      <c r="L431" s="1" t="s">
        <v>52</v>
      </c>
      <c r="M431" s="1">
        <v>774.93</v>
      </c>
      <c r="N431" s="1" t="s">
        <v>38</v>
      </c>
      <c r="O431" s="1">
        <v>1000</v>
      </c>
      <c r="P431" s="1">
        <v>774930</v>
      </c>
      <c r="Q431" s="1">
        <v>0</v>
      </c>
      <c r="R431" s="7">
        <v>0</v>
      </c>
      <c r="S431" s="1">
        <v>23</v>
      </c>
      <c r="T431" s="1">
        <v>18</v>
      </c>
      <c r="U431" s="1">
        <v>5</v>
      </c>
      <c r="V431" s="1" t="s">
        <v>3328</v>
      </c>
      <c r="W431" s="1" t="s">
        <v>404</v>
      </c>
      <c r="X431" s="1" t="s">
        <v>3329</v>
      </c>
      <c r="Y431" s="1" t="s">
        <v>190</v>
      </c>
      <c r="Z431" s="1" t="s">
        <v>54</v>
      </c>
      <c r="AA431" s="1" t="s">
        <v>136</v>
      </c>
      <c r="AB431" s="1" t="s">
        <v>137</v>
      </c>
      <c r="AC431" s="1"/>
      <c r="AD431" s="1">
        <v>3.7</v>
      </c>
      <c r="AE431" s="1" t="s">
        <v>76</v>
      </c>
      <c r="AF431" s="1" t="s">
        <v>46</v>
      </c>
    </row>
    <row r="432" spans="1:32" ht="18" hidden="1" customHeight="1">
      <c r="A432" s="1" t="s">
        <v>1445</v>
      </c>
      <c r="B432" s="1" t="s">
        <v>1446</v>
      </c>
      <c r="C432" s="4" t="s">
        <v>3613</v>
      </c>
      <c r="D432" s="1">
        <v>46056</v>
      </c>
      <c r="E432" s="1">
        <v>46050</v>
      </c>
      <c r="F432" s="1" t="s">
        <v>48</v>
      </c>
      <c r="G432" s="1" t="s">
        <v>3467</v>
      </c>
      <c r="H432" s="1" t="s">
        <v>102</v>
      </c>
      <c r="I432" s="1" t="s">
        <v>241</v>
      </c>
      <c r="J432" s="1" t="s">
        <v>50</v>
      </c>
      <c r="K432" s="1" t="s">
        <v>1133</v>
      </c>
      <c r="L432" s="1" t="s">
        <v>189</v>
      </c>
      <c r="M432" s="1">
        <v>310.55</v>
      </c>
      <c r="N432" s="1" t="s">
        <v>104</v>
      </c>
      <c r="O432" s="1">
        <v>100</v>
      </c>
      <c r="P432" s="1">
        <v>31055</v>
      </c>
      <c r="Q432" s="1">
        <v>5</v>
      </c>
      <c r="R432" s="7">
        <v>0.05</v>
      </c>
      <c r="S432" s="1">
        <v>9</v>
      </c>
      <c r="T432" s="1">
        <v>15</v>
      </c>
      <c r="U432" s="1">
        <v>-6</v>
      </c>
      <c r="V432" s="1" t="s">
        <v>3337</v>
      </c>
      <c r="W432" s="1" t="s">
        <v>420</v>
      </c>
      <c r="X432" s="1" t="s">
        <v>3324</v>
      </c>
      <c r="Y432" s="1"/>
      <c r="Z432" s="1" t="s">
        <v>43</v>
      </c>
      <c r="AA432" s="1" t="s">
        <v>174</v>
      </c>
      <c r="AB432" s="1" t="s">
        <v>56</v>
      </c>
      <c r="AC432" s="1" t="s">
        <v>96</v>
      </c>
      <c r="AD432" s="1">
        <v>2</v>
      </c>
      <c r="AE432" s="1" t="s">
        <v>45</v>
      </c>
      <c r="AF432" s="1" t="s">
        <v>97</v>
      </c>
    </row>
    <row r="433" spans="1:32" ht="18" customHeight="1">
      <c r="A433" s="1" t="s">
        <v>1447</v>
      </c>
      <c r="B433" s="1" t="s">
        <v>1448</v>
      </c>
      <c r="C433" s="4">
        <v>46110</v>
      </c>
      <c r="D433" s="4">
        <v>46129</v>
      </c>
      <c r="E433" s="4">
        <v>46126</v>
      </c>
      <c r="F433" s="1" t="s">
        <v>48</v>
      </c>
      <c r="G433" s="1" t="s">
        <v>232</v>
      </c>
      <c r="H433" s="1" t="s">
        <v>102</v>
      </c>
      <c r="I433" s="1" t="s">
        <v>70</v>
      </c>
      <c r="J433" s="1" t="s">
        <v>50</v>
      </c>
      <c r="K433" s="1" t="s">
        <v>1449</v>
      </c>
      <c r="L433" s="1" t="s">
        <v>126</v>
      </c>
      <c r="M433" s="1"/>
      <c r="N433" s="1" t="s">
        <v>104</v>
      </c>
      <c r="O433" s="1">
        <v>750</v>
      </c>
      <c r="P433" s="1" t="s">
        <v>3614</v>
      </c>
      <c r="Q433" s="1">
        <v>9</v>
      </c>
      <c r="R433" s="7">
        <v>1.2E-2</v>
      </c>
      <c r="S433" s="1">
        <v>16</v>
      </c>
      <c r="T433" s="1">
        <v>19</v>
      </c>
      <c r="U433" s="1">
        <v>-3</v>
      </c>
      <c r="V433" s="1" t="s">
        <v>270</v>
      </c>
      <c r="W433" s="1" t="s">
        <v>40</v>
      </c>
      <c r="X433" s="1"/>
      <c r="Y433" s="1" t="s">
        <v>66</v>
      </c>
      <c r="Z433" s="1" t="s">
        <v>3330</v>
      </c>
      <c r="AA433" s="1" t="s">
        <v>88</v>
      </c>
      <c r="AB433" s="1" t="s">
        <v>147</v>
      </c>
      <c r="AC433" s="1"/>
      <c r="AD433" s="1">
        <v>3.7</v>
      </c>
      <c r="AE433" s="1" t="s">
        <v>45</v>
      </c>
      <c r="AF433" s="1" t="s">
        <v>130</v>
      </c>
    </row>
    <row r="434" spans="1:32" ht="18" hidden="1" customHeight="1">
      <c r="A434" s="1" t="s">
        <v>1450</v>
      </c>
      <c r="B434" s="1" t="s">
        <v>1451</v>
      </c>
      <c r="C434" s="4">
        <v>46095</v>
      </c>
      <c r="D434" s="1">
        <v>46107</v>
      </c>
      <c r="E434" s="1">
        <v>46109</v>
      </c>
      <c r="F434" s="1" t="s">
        <v>209</v>
      </c>
      <c r="G434" s="1" t="s">
        <v>210</v>
      </c>
      <c r="H434" s="1" t="s">
        <v>3390</v>
      </c>
      <c r="I434" s="1" t="s">
        <v>61</v>
      </c>
      <c r="J434" s="1" t="s">
        <v>153</v>
      </c>
      <c r="K434" s="1" t="s">
        <v>1452</v>
      </c>
      <c r="L434" s="1" t="s">
        <v>204</v>
      </c>
      <c r="M434" s="1">
        <v>300.14</v>
      </c>
      <c r="N434" s="1" t="s">
        <v>53</v>
      </c>
      <c r="O434" s="1">
        <v>750</v>
      </c>
      <c r="P434" s="1">
        <v>225105</v>
      </c>
      <c r="Q434" s="1">
        <v>32</v>
      </c>
      <c r="R434" s="7">
        <v>4.2700000000000002E-2</v>
      </c>
      <c r="S434" s="1">
        <v>14</v>
      </c>
      <c r="T434" s="1">
        <v>12</v>
      </c>
      <c r="U434" s="1">
        <v>2</v>
      </c>
      <c r="V434" s="1" t="s">
        <v>135</v>
      </c>
      <c r="W434" s="1" t="s">
        <v>3384</v>
      </c>
      <c r="X434" s="1" t="s">
        <v>3324</v>
      </c>
      <c r="Y434" s="1" t="s">
        <v>106</v>
      </c>
      <c r="Z434" s="1" t="s">
        <v>43</v>
      </c>
      <c r="AA434" s="1" t="s">
        <v>88</v>
      </c>
      <c r="AB434" s="1"/>
      <c r="AC434" s="1" t="s">
        <v>283</v>
      </c>
      <c r="AD434" s="1">
        <v>2.6</v>
      </c>
      <c r="AE434" s="1" t="s">
        <v>45</v>
      </c>
      <c r="AF434" s="1" t="s">
        <v>77</v>
      </c>
    </row>
    <row r="435" spans="1:32" ht="18" customHeight="1">
      <c r="A435" s="1" t="s">
        <v>367</v>
      </c>
      <c r="B435" s="1" t="s">
        <v>1453</v>
      </c>
      <c r="C435" s="4">
        <v>46115</v>
      </c>
      <c r="D435" s="4">
        <v>46136</v>
      </c>
      <c r="E435" s="4">
        <v>46133</v>
      </c>
      <c r="F435" s="1" t="s">
        <v>32</v>
      </c>
      <c r="G435" s="1" t="s">
        <v>3422</v>
      </c>
      <c r="H435" s="1" t="s">
        <v>177</v>
      </c>
      <c r="I435" s="1" t="s">
        <v>241</v>
      </c>
      <c r="J435" s="1" t="s">
        <v>35</v>
      </c>
      <c r="K435" s="1" t="s">
        <v>1202</v>
      </c>
      <c r="L435" s="1" t="s">
        <v>85</v>
      </c>
      <c r="M435" s="1">
        <v>1462.39</v>
      </c>
      <c r="N435" s="1" t="s">
        <v>65</v>
      </c>
      <c r="O435" s="1">
        <v>50</v>
      </c>
      <c r="P435" s="1">
        <v>73119.5</v>
      </c>
      <c r="Q435" s="1">
        <v>1</v>
      </c>
      <c r="R435" s="7">
        <v>0.02</v>
      </c>
      <c r="S435" s="1" t="s">
        <v>3615</v>
      </c>
      <c r="T435" s="1">
        <v>21</v>
      </c>
      <c r="U435" s="1">
        <v>-3</v>
      </c>
      <c r="V435" s="1" t="s">
        <v>87</v>
      </c>
      <c r="W435" s="1" t="s">
        <v>40</v>
      </c>
      <c r="X435" s="1" t="s">
        <v>127</v>
      </c>
      <c r="Y435" s="1" t="s">
        <v>190</v>
      </c>
      <c r="Z435" s="1" t="s">
        <v>3333</v>
      </c>
      <c r="AA435" s="1" t="s">
        <v>3341</v>
      </c>
      <c r="AB435" s="1"/>
      <c r="AC435" s="1"/>
      <c r="AD435" s="1">
        <v>3.6</v>
      </c>
      <c r="AE435" s="1" t="s">
        <v>57</v>
      </c>
      <c r="AF435" s="1" t="s">
        <v>130</v>
      </c>
    </row>
    <row r="436" spans="1:32" ht="18" customHeight="1">
      <c r="A436" s="1" t="s">
        <v>1454</v>
      </c>
      <c r="B436" s="1" t="s">
        <v>1455</v>
      </c>
      <c r="C436" s="4">
        <v>46078</v>
      </c>
      <c r="D436" s="4" t="s">
        <v>3616</v>
      </c>
      <c r="E436" s="4">
        <v>46113</v>
      </c>
      <c r="F436" s="1" t="s">
        <v>118</v>
      </c>
      <c r="G436" s="1" t="s">
        <v>3461</v>
      </c>
      <c r="H436" s="1" t="s">
        <v>3369</v>
      </c>
      <c r="I436" s="1" t="s">
        <v>120</v>
      </c>
      <c r="J436" s="1" t="s">
        <v>153</v>
      </c>
      <c r="K436" s="1" t="s">
        <v>1456</v>
      </c>
      <c r="L436" s="1" t="s">
        <v>318</v>
      </c>
      <c r="M436" s="1">
        <v>698.04</v>
      </c>
      <c r="N436" s="1" t="s">
        <v>86</v>
      </c>
      <c r="O436" s="1">
        <v>50</v>
      </c>
      <c r="P436" s="1">
        <v>34902</v>
      </c>
      <c r="Q436" s="1">
        <v>1</v>
      </c>
      <c r="R436" s="7">
        <v>0.02</v>
      </c>
      <c r="S436" s="1">
        <v>35</v>
      </c>
      <c r="T436" s="1">
        <v>18</v>
      </c>
      <c r="U436" s="1">
        <v>17</v>
      </c>
      <c r="V436" s="1" t="s">
        <v>3328</v>
      </c>
      <c r="W436" s="1" t="s">
        <v>404</v>
      </c>
      <c r="X436" s="1" t="s">
        <v>3324</v>
      </c>
      <c r="Y436" s="1" t="s">
        <v>3334</v>
      </c>
      <c r="Z436" s="1"/>
      <c r="AA436" s="1" t="s">
        <v>206</v>
      </c>
      <c r="AB436" s="1" t="s">
        <v>44</v>
      </c>
      <c r="AC436" s="1"/>
      <c r="AD436" s="1">
        <v>2.8</v>
      </c>
      <c r="AE436" s="1" t="s">
        <v>115</v>
      </c>
      <c r="AF436" s="1" t="s">
        <v>46</v>
      </c>
    </row>
    <row r="437" spans="1:32" ht="18" customHeight="1">
      <c r="A437" s="1" t="s">
        <v>1457</v>
      </c>
      <c r="B437" s="1" t="s">
        <v>1458</v>
      </c>
      <c r="C437" s="4">
        <v>46083</v>
      </c>
      <c r="D437" s="4"/>
      <c r="E437" s="4">
        <v>46104</v>
      </c>
      <c r="F437" s="1" t="s">
        <v>142</v>
      </c>
      <c r="G437" s="1" t="s">
        <v>3561</v>
      </c>
      <c r="H437" s="1" t="s">
        <v>3392</v>
      </c>
      <c r="I437" s="1" t="s">
        <v>49</v>
      </c>
      <c r="J437" s="1" t="s">
        <v>50</v>
      </c>
      <c r="K437" s="1" t="s">
        <v>1459</v>
      </c>
      <c r="L437" s="1" t="s">
        <v>126</v>
      </c>
      <c r="M437" s="1">
        <v>816.34</v>
      </c>
      <c r="N437" s="1" t="s">
        <v>86</v>
      </c>
      <c r="O437" s="1">
        <v>1500</v>
      </c>
      <c r="P437" s="1">
        <v>1224510</v>
      </c>
      <c r="Q437" s="1">
        <v>36</v>
      </c>
      <c r="R437" s="7">
        <v>2.4E-2</v>
      </c>
      <c r="S437" s="1">
        <v>21</v>
      </c>
      <c r="T437" s="1">
        <v>23</v>
      </c>
      <c r="U437" s="1">
        <v>-2</v>
      </c>
      <c r="V437" s="1" t="s">
        <v>3337</v>
      </c>
      <c r="W437" s="1" t="s">
        <v>40</v>
      </c>
      <c r="X437" s="1" t="s">
        <v>127</v>
      </c>
      <c r="Y437" s="1"/>
      <c r="Z437" s="1" t="s">
        <v>3330</v>
      </c>
      <c r="AA437" s="1" t="s">
        <v>3341</v>
      </c>
      <c r="AB437" s="1"/>
      <c r="AC437" s="1"/>
      <c r="AD437" s="1">
        <v>4.8</v>
      </c>
      <c r="AE437" s="1" t="s">
        <v>57</v>
      </c>
      <c r="AF437" s="1" t="s">
        <v>130</v>
      </c>
    </row>
    <row r="438" spans="1:32" ht="18" customHeight="1">
      <c r="A438" s="1" t="s">
        <v>1460</v>
      </c>
      <c r="B438" s="1" t="s">
        <v>1461</v>
      </c>
      <c r="C438" s="4" t="s">
        <v>3531</v>
      </c>
      <c r="D438" s="4">
        <v>46069</v>
      </c>
      <c r="E438" s="4">
        <v>46073</v>
      </c>
      <c r="F438" s="1" t="s">
        <v>32</v>
      </c>
      <c r="G438" s="1" t="s">
        <v>3422</v>
      </c>
      <c r="H438" s="1" t="s">
        <v>3395</v>
      </c>
      <c r="I438" s="1" t="s">
        <v>34</v>
      </c>
      <c r="J438" s="1" t="s">
        <v>35</v>
      </c>
      <c r="K438" s="1" t="s">
        <v>1462</v>
      </c>
      <c r="L438" s="1" t="s">
        <v>85</v>
      </c>
      <c r="M438" s="1">
        <v>1417.19</v>
      </c>
      <c r="N438" s="1" t="s">
        <v>65</v>
      </c>
      <c r="O438" s="1" t="s">
        <v>3617</v>
      </c>
      <c r="P438" s="1">
        <v>425157</v>
      </c>
      <c r="Q438" s="1">
        <v>8</v>
      </c>
      <c r="R438" s="7">
        <v>2.6700000000000002E-2</v>
      </c>
      <c r="S438" s="1"/>
      <c r="T438" s="1">
        <v>21</v>
      </c>
      <c r="U438" s="1">
        <v>4</v>
      </c>
      <c r="V438" s="1" t="s">
        <v>3328</v>
      </c>
      <c r="W438" s="1"/>
      <c r="X438" s="1" t="s">
        <v>146</v>
      </c>
      <c r="Y438" s="1"/>
      <c r="Z438" s="1" t="s">
        <v>128</v>
      </c>
      <c r="AA438" s="1" t="s">
        <v>174</v>
      </c>
      <c r="AB438" s="1" t="s">
        <v>44</v>
      </c>
      <c r="AC438" s="1"/>
      <c r="AD438" s="1">
        <v>3.7</v>
      </c>
      <c r="AE438" s="1" t="s">
        <v>108</v>
      </c>
      <c r="AF438" s="1" t="s">
        <v>148</v>
      </c>
    </row>
    <row r="439" spans="1:32" ht="18" customHeight="1">
      <c r="A439" s="1" t="s">
        <v>1463</v>
      </c>
      <c r="B439" s="1" t="s">
        <v>1464</v>
      </c>
      <c r="C439" s="4">
        <v>46177</v>
      </c>
      <c r="D439" s="4">
        <v>46189</v>
      </c>
      <c r="E439" s="4">
        <v>46197</v>
      </c>
      <c r="F439" s="1" t="s">
        <v>80</v>
      </c>
      <c r="G439" s="1" t="s">
        <v>3470</v>
      </c>
      <c r="H439" s="1" t="s">
        <v>82</v>
      </c>
      <c r="I439" s="1" t="s">
        <v>49</v>
      </c>
      <c r="J439" s="1" t="s">
        <v>50</v>
      </c>
      <c r="K439" s="1" t="s">
        <v>1465</v>
      </c>
      <c r="L439" s="1" t="s">
        <v>145</v>
      </c>
      <c r="M439" s="1">
        <v>2349.66</v>
      </c>
      <c r="N439" s="1" t="s">
        <v>159</v>
      </c>
      <c r="O439" s="1">
        <v>200</v>
      </c>
      <c r="P439" s="1">
        <v>469932</v>
      </c>
      <c r="Q439" s="1"/>
      <c r="R439" s="7">
        <v>0</v>
      </c>
      <c r="S439" s="1">
        <v>20</v>
      </c>
      <c r="T439" s="1">
        <v>12</v>
      </c>
      <c r="U439" s="1">
        <v>8</v>
      </c>
      <c r="V439" s="1" t="s">
        <v>205</v>
      </c>
      <c r="W439" s="1" t="s">
        <v>40</v>
      </c>
      <c r="X439" s="1" t="s">
        <v>127</v>
      </c>
      <c r="Y439" s="1" t="s">
        <v>190</v>
      </c>
      <c r="Z439" s="1" t="s">
        <v>173</v>
      </c>
      <c r="AA439" s="1" t="s">
        <v>174</v>
      </c>
      <c r="AB439" s="1" t="s">
        <v>137</v>
      </c>
      <c r="AC439" s="1"/>
      <c r="AD439" s="1">
        <v>2.8</v>
      </c>
      <c r="AE439" s="1" t="s">
        <v>115</v>
      </c>
      <c r="AF439" s="1" t="s">
        <v>148</v>
      </c>
    </row>
    <row r="440" spans="1:32" ht="18" customHeight="1">
      <c r="A440" s="1" t="s">
        <v>1466</v>
      </c>
      <c r="B440" s="1" t="s">
        <v>1467</v>
      </c>
      <c r="C440" s="4">
        <v>46141</v>
      </c>
      <c r="D440" s="4">
        <v>46149</v>
      </c>
      <c r="E440" s="4" t="s">
        <v>3618</v>
      </c>
      <c r="F440" s="1" t="s">
        <v>209</v>
      </c>
      <c r="G440" s="1" t="s">
        <v>3389</v>
      </c>
      <c r="H440" s="1" t="s">
        <v>3390</v>
      </c>
      <c r="I440" s="1" t="s">
        <v>49</v>
      </c>
      <c r="J440" s="1" t="s">
        <v>153</v>
      </c>
      <c r="K440" s="1" t="s">
        <v>1406</v>
      </c>
      <c r="L440" s="1" t="s">
        <v>318</v>
      </c>
      <c r="M440" s="1">
        <v>799.03</v>
      </c>
      <c r="N440" s="1" t="s">
        <v>86</v>
      </c>
      <c r="O440" s="1">
        <v>1500</v>
      </c>
      <c r="P440" s="1">
        <v>1198545</v>
      </c>
      <c r="Q440" s="1">
        <v>22</v>
      </c>
      <c r="R440" s="7">
        <v>1.47E-2</v>
      </c>
      <c r="S440" s="1">
        <v>13</v>
      </c>
      <c r="T440" s="1">
        <v>8</v>
      </c>
      <c r="U440" s="1">
        <v>5</v>
      </c>
      <c r="V440" s="1" t="s">
        <v>39</v>
      </c>
      <c r="W440" s="1" t="s">
        <v>404</v>
      </c>
      <c r="X440" s="1" t="s">
        <v>3329</v>
      </c>
      <c r="Y440" s="1" t="s">
        <v>42</v>
      </c>
      <c r="Z440" s="1" t="s">
        <v>173</v>
      </c>
      <c r="AA440" s="1" t="s">
        <v>206</v>
      </c>
      <c r="AB440" s="1" t="s">
        <v>95</v>
      </c>
      <c r="AC440" s="1"/>
      <c r="AD440" s="1">
        <v>4.0999999999999996</v>
      </c>
      <c r="AE440" s="1" t="s">
        <v>76</v>
      </c>
      <c r="AF440" s="1" t="s">
        <v>46</v>
      </c>
    </row>
    <row r="441" spans="1:32" ht="18" customHeight="1">
      <c r="A441" s="1" t="s">
        <v>1468</v>
      </c>
      <c r="B441" s="1" t="s">
        <v>1469</v>
      </c>
      <c r="C441" s="4" t="s">
        <v>3619</v>
      </c>
      <c r="D441" s="4">
        <v>46076</v>
      </c>
      <c r="E441" s="4">
        <v>46074</v>
      </c>
      <c r="F441" s="1" t="s">
        <v>151</v>
      </c>
      <c r="G441" s="1" t="s">
        <v>3353</v>
      </c>
      <c r="H441" s="1" t="s">
        <v>3354</v>
      </c>
      <c r="I441" s="1" t="s">
        <v>178</v>
      </c>
      <c r="J441" s="1" t="s">
        <v>112</v>
      </c>
      <c r="K441" s="1" t="s">
        <v>1470</v>
      </c>
      <c r="L441" s="1" t="s">
        <v>218</v>
      </c>
      <c r="M441" s="1"/>
      <c r="N441" s="1" t="s">
        <v>38</v>
      </c>
      <c r="O441" s="1">
        <v>1500</v>
      </c>
      <c r="P441" s="1">
        <v>46560</v>
      </c>
      <c r="Q441" s="1">
        <v>20</v>
      </c>
      <c r="R441" s="7">
        <v>1.3299999999999999E-2</v>
      </c>
      <c r="S441" s="1">
        <v>7</v>
      </c>
      <c r="T441" s="1">
        <v>9</v>
      </c>
      <c r="U441" s="1">
        <v>-2</v>
      </c>
      <c r="V441" s="1" t="s">
        <v>87</v>
      </c>
      <c r="W441" s="1" t="s">
        <v>40</v>
      </c>
      <c r="X441" s="1" t="s">
        <v>41</v>
      </c>
      <c r="Y441" s="1"/>
      <c r="Z441" s="1" t="s">
        <v>107</v>
      </c>
      <c r="AA441" s="1" t="s">
        <v>174</v>
      </c>
      <c r="AB441" s="1" t="s">
        <v>137</v>
      </c>
      <c r="AC441" s="1"/>
      <c r="AD441" s="1">
        <v>5</v>
      </c>
      <c r="AE441" s="1" t="s">
        <v>76</v>
      </c>
      <c r="AF441" s="1"/>
    </row>
    <row r="442" spans="1:32" ht="18" customHeight="1">
      <c r="A442" s="1" t="s">
        <v>1471</v>
      </c>
      <c r="B442" s="1" t="s">
        <v>1472</v>
      </c>
      <c r="C442" s="4">
        <v>46139</v>
      </c>
      <c r="D442" s="4" t="s">
        <v>3436</v>
      </c>
      <c r="E442" s="4">
        <v>46151</v>
      </c>
      <c r="F442" s="1" t="s">
        <v>235</v>
      </c>
      <c r="G442" s="1" t="s">
        <v>3426</v>
      </c>
      <c r="H442" s="1" t="s">
        <v>3374</v>
      </c>
      <c r="I442" s="1" t="s">
        <v>61</v>
      </c>
      <c r="J442" s="1" t="s">
        <v>71</v>
      </c>
      <c r="K442" s="1" t="s">
        <v>1473</v>
      </c>
      <c r="L442" s="1" t="s">
        <v>337</v>
      </c>
      <c r="M442" s="1">
        <v>239.23</v>
      </c>
      <c r="N442" s="1" t="s">
        <v>38</v>
      </c>
      <c r="O442" s="1">
        <v>250</v>
      </c>
      <c r="P442" s="1">
        <v>59807.5</v>
      </c>
      <c r="Q442" s="1">
        <v>8</v>
      </c>
      <c r="R442" s="7">
        <v>3.2000000000000001E-2</v>
      </c>
      <c r="S442" s="1">
        <v>12</v>
      </c>
      <c r="T442" s="1">
        <v>14</v>
      </c>
      <c r="U442" s="1">
        <v>-2</v>
      </c>
      <c r="V442" s="1" t="s">
        <v>3337</v>
      </c>
      <c r="W442" s="1" t="s">
        <v>649</v>
      </c>
      <c r="X442" s="1"/>
      <c r="Y442" s="1" t="s">
        <v>66</v>
      </c>
      <c r="Z442" s="1" t="s">
        <v>54</v>
      </c>
      <c r="AA442" s="1" t="s">
        <v>136</v>
      </c>
      <c r="AB442" s="1" t="s">
        <v>191</v>
      </c>
      <c r="AC442" s="1"/>
      <c r="AD442" s="1">
        <v>2.5</v>
      </c>
      <c r="AE442" s="1" t="s">
        <v>108</v>
      </c>
      <c r="AF442" s="1" t="s">
        <v>130</v>
      </c>
    </row>
    <row r="443" spans="1:32" ht="18" customHeight="1">
      <c r="A443" s="1" t="s">
        <v>1474</v>
      </c>
      <c r="B443" s="1" t="s">
        <v>1475</v>
      </c>
      <c r="C443" s="4">
        <v>46160</v>
      </c>
      <c r="D443" s="4">
        <v>46175</v>
      </c>
      <c r="E443" s="4">
        <v>46174</v>
      </c>
      <c r="F443" s="1" t="s">
        <v>100</v>
      </c>
      <c r="G443" s="1" t="s">
        <v>101</v>
      </c>
      <c r="H443" s="1" t="s">
        <v>3322</v>
      </c>
      <c r="I443" s="1" t="s">
        <v>61</v>
      </c>
      <c r="J443" s="1" t="s">
        <v>50</v>
      </c>
      <c r="K443" s="1" t="s">
        <v>1476</v>
      </c>
      <c r="L443" s="1" t="s">
        <v>145</v>
      </c>
      <c r="M443" s="1">
        <v>1775.62</v>
      </c>
      <c r="N443" s="1" t="s">
        <v>86</v>
      </c>
      <c r="O443" s="1">
        <v>150</v>
      </c>
      <c r="P443" s="1">
        <v>266343</v>
      </c>
      <c r="Q443" s="1">
        <v>4</v>
      </c>
      <c r="R443" s="7">
        <v>2.6700000000000002E-2</v>
      </c>
      <c r="S443" s="1">
        <v>14</v>
      </c>
      <c r="T443" s="1">
        <v>15</v>
      </c>
      <c r="U443" s="1">
        <v>-1</v>
      </c>
      <c r="V443" s="1" t="s">
        <v>270</v>
      </c>
      <c r="W443" s="1" t="s">
        <v>40</v>
      </c>
      <c r="X443" s="1" t="s">
        <v>105</v>
      </c>
      <c r="Y443" s="1" t="s">
        <v>42</v>
      </c>
      <c r="Z443" s="1" t="s">
        <v>3330</v>
      </c>
      <c r="AA443" s="1"/>
      <c r="AB443" s="1" t="s">
        <v>95</v>
      </c>
      <c r="AC443" s="1"/>
      <c r="AD443" s="1">
        <v>2.8</v>
      </c>
      <c r="AE443" s="1" t="s">
        <v>57</v>
      </c>
      <c r="AF443" s="1"/>
    </row>
    <row r="444" spans="1:32" ht="18" customHeight="1">
      <c r="A444" s="1" t="s">
        <v>1477</v>
      </c>
      <c r="B444" s="1" t="s">
        <v>1478</v>
      </c>
      <c r="C444" s="4">
        <v>46082</v>
      </c>
      <c r="D444" s="4">
        <v>46088</v>
      </c>
      <c r="E444" s="4" t="s">
        <v>3484</v>
      </c>
      <c r="F444" s="1" t="s">
        <v>69</v>
      </c>
      <c r="G444" s="1" t="s">
        <v>111</v>
      </c>
      <c r="H444" s="1" t="s">
        <v>3332</v>
      </c>
      <c r="I444" s="1" t="s">
        <v>241</v>
      </c>
      <c r="J444" s="1" t="s">
        <v>112</v>
      </c>
      <c r="K444" s="1" t="s">
        <v>1479</v>
      </c>
      <c r="L444" s="1" t="s">
        <v>218</v>
      </c>
      <c r="M444" s="1">
        <v>131.91</v>
      </c>
      <c r="N444" s="1" t="s">
        <v>159</v>
      </c>
      <c r="O444" s="1">
        <v>50</v>
      </c>
      <c r="P444" s="1"/>
      <c r="Q444" s="1">
        <v>0</v>
      </c>
      <c r="R444" s="7">
        <v>0</v>
      </c>
      <c r="S444" s="1">
        <v>28</v>
      </c>
      <c r="T444" s="1">
        <v>6</v>
      </c>
      <c r="U444" s="1">
        <v>22</v>
      </c>
      <c r="V444" s="1" t="s">
        <v>3328</v>
      </c>
      <c r="W444" s="1" t="s">
        <v>40</v>
      </c>
      <c r="X444" s="1" t="s">
        <v>105</v>
      </c>
      <c r="Y444" s="1" t="s">
        <v>106</v>
      </c>
      <c r="Z444" s="1" t="s">
        <v>3330</v>
      </c>
      <c r="AA444" s="1" t="s">
        <v>55</v>
      </c>
      <c r="AB444" s="1" t="s">
        <v>147</v>
      </c>
      <c r="AC444" s="1"/>
      <c r="AD444" s="1">
        <v>1.7</v>
      </c>
      <c r="AE444" s="1" t="s">
        <v>108</v>
      </c>
      <c r="AF444" s="1" t="s">
        <v>46</v>
      </c>
    </row>
    <row r="445" spans="1:32" ht="18" customHeight="1">
      <c r="A445" s="1" t="s">
        <v>1480</v>
      </c>
      <c r="B445" s="1" t="s">
        <v>1481</v>
      </c>
      <c r="C445" s="4">
        <v>46151</v>
      </c>
      <c r="D445" s="4">
        <v>46164</v>
      </c>
      <c r="E445" s="4" t="s">
        <v>3400</v>
      </c>
      <c r="F445" s="1" t="s">
        <v>48</v>
      </c>
      <c r="G445" s="1" t="s">
        <v>3467</v>
      </c>
      <c r="H445" s="1" t="s">
        <v>3322</v>
      </c>
      <c r="I445" s="1" t="s">
        <v>61</v>
      </c>
      <c r="J445" s="1" t="s">
        <v>50</v>
      </c>
      <c r="K445" s="1" t="s">
        <v>1482</v>
      </c>
      <c r="L445" s="1" t="s">
        <v>52</v>
      </c>
      <c r="M445" s="1">
        <v>2994.48</v>
      </c>
      <c r="N445" s="1" t="s">
        <v>104</v>
      </c>
      <c r="O445" s="1">
        <v>2000</v>
      </c>
      <c r="P445" s="1">
        <v>5988960</v>
      </c>
      <c r="Q445" s="1">
        <v>0</v>
      </c>
      <c r="R445" s="7">
        <v>0</v>
      </c>
      <c r="S445" s="1">
        <v>23</v>
      </c>
      <c r="T445" s="1">
        <v>13</v>
      </c>
      <c r="U445" s="1">
        <v>10</v>
      </c>
      <c r="V445" s="1" t="s">
        <v>205</v>
      </c>
      <c r="W445" s="1" t="s">
        <v>40</v>
      </c>
      <c r="X445" s="1" t="s">
        <v>3329</v>
      </c>
      <c r="Y445" s="1" t="s">
        <v>3334</v>
      </c>
      <c r="Z445" s="1"/>
      <c r="AA445" s="1" t="s">
        <v>88</v>
      </c>
      <c r="AB445" s="1" t="s">
        <v>44</v>
      </c>
      <c r="AC445" s="1"/>
      <c r="AD445" s="1">
        <v>1.3</v>
      </c>
      <c r="AE445" s="1" t="s">
        <v>76</v>
      </c>
      <c r="AF445" s="1" t="s">
        <v>46</v>
      </c>
    </row>
    <row r="446" spans="1:32" ht="18" customHeight="1">
      <c r="A446" s="1" t="s">
        <v>1483</v>
      </c>
      <c r="B446" s="1" t="s">
        <v>1484</v>
      </c>
      <c r="C446" s="4">
        <v>46185</v>
      </c>
      <c r="D446" s="4">
        <v>46197</v>
      </c>
      <c r="E446" s="4" t="s">
        <v>3620</v>
      </c>
      <c r="F446" s="1" t="s">
        <v>69</v>
      </c>
      <c r="G446" s="1" t="s">
        <v>111</v>
      </c>
      <c r="H446" s="1" t="s">
        <v>194</v>
      </c>
      <c r="I446" s="1" t="s">
        <v>61</v>
      </c>
      <c r="J446" s="1" t="s">
        <v>71</v>
      </c>
      <c r="K446" s="1" t="s">
        <v>1025</v>
      </c>
      <c r="L446" s="1" t="s">
        <v>553</v>
      </c>
      <c r="M446" s="1">
        <v>427.9</v>
      </c>
      <c r="N446" s="1" t="s">
        <v>86</v>
      </c>
      <c r="O446" s="1">
        <v>2000</v>
      </c>
      <c r="P446" s="1">
        <v>855800</v>
      </c>
      <c r="Q446" s="1">
        <v>66</v>
      </c>
      <c r="R446" s="7">
        <v>3.3000000000000002E-2</v>
      </c>
      <c r="S446" s="1">
        <v>7</v>
      </c>
      <c r="T446" s="1">
        <v>12</v>
      </c>
      <c r="U446" s="1">
        <v>-5</v>
      </c>
      <c r="V446" s="1" t="s">
        <v>270</v>
      </c>
      <c r="W446" s="1" t="s">
        <v>40</v>
      </c>
      <c r="X446" s="1" t="s">
        <v>105</v>
      </c>
      <c r="Y446" s="1" t="s">
        <v>42</v>
      </c>
      <c r="Z446" s="1"/>
      <c r="AA446" s="1" t="s">
        <v>174</v>
      </c>
      <c r="AB446" s="1" t="s">
        <v>44</v>
      </c>
      <c r="AC446" s="1"/>
      <c r="AD446" s="1"/>
      <c r="AE446" s="1" t="s">
        <v>108</v>
      </c>
      <c r="AF446" s="1"/>
    </row>
    <row r="447" spans="1:32" ht="18" customHeight="1">
      <c r="A447" s="1" t="s">
        <v>1485</v>
      </c>
      <c r="B447" s="1" t="s">
        <v>1486</v>
      </c>
      <c r="C447" s="4">
        <v>46057</v>
      </c>
      <c r="D447" s="4" t="s">
        <v>3436</v>
      </c>
      <c r="E447" s="4" t="s">
        <v>3621</v>
      </c>
      <c r="F447" s="1" t="s">
        <v>60</v>
      </c>
      <c r="G447" s="1" t="s">
        <v>466</v>
      </c>
      <c r="H447" s="1" t="s">
        <v>3408</v>
      </c>
      <c r="I447" s="1" t="s">
        <v>49</v>
      </c>
      <c r="J447" s="1" t="s">
        <v>62</v>
      </c>
      <c r="K447" s="1" t="s">
        <v>1487</v>
      </c>
      <c r="L447" s="1" t="s">
        <v>122</v>
      </c>
      <c r="M447" s="1">
        <v>346.77</v>
      </c>
      <c r="N447" s="1" t="s">
        <v>3534</v>
      </c>
      <c r="O447" s="1">
        <v>1500</v>
      </c>
      <c r="P447" s="1">
        <v>520155</v>
      </c>
      <c r="Q447" s="1">
        <v>0</v>
      </c>
      <c r="R447" s="7">
        <v>0</v>
      </c>
      <c r="S447" s="1"/>
      <c r="T447" s="1">
        <v>11</v>
      </c>
      <c r="U447" s="1">
        <v>2</v>
      </c>
      <c r="V447" s="1" t="s">
        <v>166</v>
      </c>
      <c r="W447" s="1" t="s">
        <v>40</v>
      </c>
      <c r="X447" s="1" t="s">
        <v>105</v>
      </c>
      <c r="Y447" s="1" t="s">
        <v>190</v>
      </c>
      <c r="Z447" s="1" t="s">
        <v>128</v>
      </c>
      <c r="AA447" s="1" t="s">
        <v>3341</v>
      </c>
      <c r="AB447" s="1"/>
      <c r="AC447" s="1"/>
      <c r="AD447" s="1">
        <v>2.6</v>
      </c>
      <c r="AE447" s="1" t="s">
        <v>108</v>
      </c>
      <c r="AF447" s="1" t="s">
        <v>46</v>
      </c>
    </row>
    <row r="448" spans="1:32" ht="18" customHeight="1">
      <c r="A448" s="1" t="s">
        <v>1488</v>
      </c>
      <c r="B448" s="1" t="s">
        <v>1489</v>
      </c>
      <c r="C448" s="4">
        <v>46196</v>
      </c>
      <c r="D448" s="4">
        <v>46199</v>
      </c>
      <c r="E448" s="4">
        <v>46207</v>
      </c>
      <c r="F448" s="1" t="s">
        <v>151</v>
      </c>
      <c r="G448" s="1" t="s">
        <v>3353</v>
      </c>
      <c r="H448" s="1" t="s">
        <v>3354</v>
      </c>
      <c r="I448" s="1" t="s">
        <v>49</v>
      </c>
      <c r="J448" s="1" t="s">
        <v>112</v>
      </c>
      <c r="K448" s="1" t="s">
        <v>1490</v>
      </c>
      <c r="L448" s="1" t="s">
        <v>218</v>
      </c>
      <c r="M448" s="1">
        <v>494.34</v>
      </c>
      <c r="N448" s="1" t="s">
        <v>38</v>
      </c>
      <c r="O448" s="1">
        <v>1500</v>
      </c>
      <c r="P448" s="1">
        <v>741510</v>
      </c>
      <c r="Q448" s="1">
        <v>-1</v>
      </c>
      <c r="R448" s="7">
        <v>2.5999999999999999E-2</v>
      </c>
      <c r="S448" s="1">
        <v>11</v>
      </c>
      <c r="T448" s="1">
        <v>3</v>
      </c>
      <c r="U448" s="1">
        <v>8</v>
      </c>
      <c r="V448" s="1" t="s">
        <v>3328</v>
      </c>
      <c r="W448" s="1" t="s">
        <v>40</v>
      </c>
      <c r="X448" s="1" t="s">
        <v>146</v>
      </c>
      <c r="Y448" s="1" t="s">
        <v>42</v>
      </c>
      <c r="Z448" s="1" t="s">
        <v>54</v>
      </c>
      <c r="AA448" s="1" t="s">
        <v>88</v>
      </c>
      <c r="AB448" s="1"/>
      <c r="AC448" s="1"/>
      <c r="AD448" s="1">
        <v>2.2999999999999998</v>
      </c>
      <c r="AE448" s="1" t="s">
        <v>115</v>
      </c>
      <c r="AF448" s="1" t="s">
        <v>148</v>
      </c>
    </row>
    <row r="449" spans="1:32" ht="18" hidden="1" customHeight="1">
      <c r="A449" s="1" t="s">
        <v>1491</v>
      </c>
      <c r="B449" s="1" t="s">
        <v>1492</v>
      </c>
      <c r="C449" s="4">
        <v>46107</v>
      </c>
      <c r="D449" s="1" t="s">
        <v>3622</v>
      </c>
      <c r="E449" s="1" t="s">
        <v>3457</v>
      </c>
      <c r="F449" s="1" t="s">
        <v>60</v>
      </c>
      <c r="G449" s="1" t="s">
        <v>3326</v>
      </c>
      <c r="H449" s="1" t="s">
        <v>3327</v>
      </c>
      <c r="I449" s="1" t="s">
        <v>70</v>
      </c>
      <c r="J449" s="1" t="s">
        <v>62</v>
      </c>
      <c r="K449" s="1" t="s">
        <v>1493</v>
      </c>
      <c r="L449" s="1" t="s">
        <v>64</v>
      </c>
      <c r="M449" s="1">
        <v>499.4</v>
      </c>
      <c r="N449" s="1" t="s">
        <v>65</v>
      </c>
      <c r="O449" s="1">
        <v>100</v>
      </c>
      <c r="P449" s="1">
        <v>49940</v>
      </c>
      <c r="Q449" s="1">
        <v>7</v>
      </c>
      <c r="R449" s="7">
        <v>7.0000000000000007E-2</v>
      </c>
      <c r="S449" s="1">
        <v>5</v>
      </c>
      <c r="T449" s="1">
        <v>10</v>
      </c>
      <c r="U449" s="1">
        <v>-5</v>
      </c>
      <c r="V449" s="1" t="s">
        <v>87</v>
      </c>
      <c r="W449" s="1" t="s">
        <v>366</v>
      </c>
      <c r="X449" s="1" t="s">
        <v>127</v>
      </c>
      <c r="Y449" s="1" t="s">
        <v>190</v>
      </c>
      <c r="Z449" s="1"/>
      <c r="AA449" s="1" t="s">
        <v>3341</v>
      </c>
      <c r="AB449" s="1" t="s">
        <v>191</v>
      </c>
      <c r="AC449" s="1" t="s">
        <v>373</v>
      </c>
      <c r="AD449" s="1">
        <v>2.2999999999999998</v>
      </c>
      <c r="AE449" s="1" t="s">
        <v>184</v>
      </c>
      <c r="AF449" s="1" t="s">
        <v>284</v>
      </c>
    </row>
    <row r="450" spans="1:32" ht="18" hidden="1" customHeight="1">
      <c r="A450" s="1" t="s">
        <v>1494</v>
      </c>
      <c r="B450" s="1" t="s">
        <v>1495</v>
      </c>
      <c r="C450" s="4" t="s">
        <v>3590</v>
      </c>
      <c r="D450" s="1">
        <v>46097</v>
      </c>
      <c r="E450" s="1">
        <v>46109</v>
      </c>
      <c r="F450" s="1" t="s">
        <v>90</v>
      </c>
      <c r="G450" s="1" t="s">
        <v>3346</v>
      </c>
      <c r="H450" s="1" t="s">
        <v>3425</v>
      </c>
      <c r="I450" s="1" t="s">
        <v>49</v>
      </c>
      <c r="J450" s="1" t="s">
        <v>71</v>
      </c>
      <c r="K450" s="1" t="s">
        <v>1496</v>
      </c>
      <c r="L450" s="1" t="s">
        <v>337</v>
      </c>
      <c r="M450" s="1">
        <v>291.64999999999998</v>
      </c>
      <c r="N450" s="1" t="s">
        <v>38</v>
      </c>
      <c r="O450" s="1">
        <v>100</v>
      </c>
      <c r="P450" s="1">
        <v>29165</v>
      </c>
      <c r="Q450" s="1">
        <v>6</v>
      </c>
      <c r="R450" s="7">
        <v>0.06</v>
      </c>
      <c r="S450" s="1">
        <v>26</v>
      </c>
      <c r="T450" s="1">
        <v>14</v>
      </c>
      <c r="U450" s="1">
        <v>12</v>
      </c>
      <c r="V450" s="1" t="s">
        <v>39</v>
      </c>
      <c r="W450" s="1" t="s">
        <v>366</v>
      </c>
      <c r="X450" s="1" t="s">
        <v>105</v>
      </c>
      <c r="Y450" s="1" t="s">
        <v>3334</v>
      </c>
      <c r="Z450" s="1" t="s">
        <v>54</v>
      </c>
      <c r="AA450" s="1" t="s">
        <v>55</v>
      </c>
      <c r="AB450" s="1" t="s">
        <v>56</v>
      </c>
      <c r="AC450" s="1" t="s">
        <v>183</v>
      </c>
      <c r="AD450" s="1">
        <v>1.9</v>
      </c>
      <c r="AE450" s="1" t="s">
        <v>45</v>
      </c>
      <c r="AF450" s="1" t="s">
        <v>77</v>
      </c>
    </row>
    <row r="451" spans="1:32" ht="18" customHeight="1">
      <c r="A451" s="1" t="s">
        <v>1497</v>
      </c>
      <c r="B451" s="1" t="s">
        <v>1498</v>
      </c>
      <c r="C451" s="4">
        <v>46045</v>
      </c>
      <c r="D451" s="4">
        <v>46048</v>
      </c>
      <c r="E451" s="4">
        <v>46047</v>
      </c>
      <c r="F451" s="1" t="s">
        <v>151</v>
      </c>
      <c r="G451" s="1" t="s">
        <v>244</v>
      </c>
      <c r="H451" s="1" t="s">
        <v>3408</v>
      </c>
      <c r="I451" s="1" t="s">
        <v>178</v>
      </c>
      <c r="J451" s="1" t="s">
        <v>153</v>
      </c>
      <c r="K451" s="1" t="s">
        <v>1499</v>
      </c>
      <c r="L451" s="1" t="s">
        <v>155</v>
      </c>
      <c r="M451" s="1">
        <v>3.67</v>
      </c>
      <c r="N451" s="1" t="s">
        <v>86</v>
      </c>
      <c r="O451" s="1">
        <v>1500</v>
      </c>
      <c r="P451" s="1">
        <v>5505</v>
      </c>
      <c r="Q451" s="1">
        <v>0</v>
      </c>
      <c r="R451" s="7">
        <v>0</v>
      </c>
      <c r="S451" s="1">
        <v>2</v>
      </c>
      <c r="T451" s="1">
        <v>3</v>
      </c>
      <c r="U451" s="1">
        <v>-1</v>
      </c>
      <c r="V451" s="1" t="s">
        <v>270</v>
      </c>
      <c r="W451" s="1" t="s">
        <v>40</v>
      </c>
      <c r="X451" s="1" t="s">
        <v>105</v>
      </c>
      <c r="Y451" s="1" t="s">
        <v>66</v>
      </c>
      <c r="Z451" s="1" t="s">
        <v>3333</v>
      </c>
      <c r="AA451" s="1" t="s">
        <v>88</v>
      </c>
      <c r="AB451" s="1"/>
      <c r="AC451" s="1"/>
      <c r="AD451" s="1">
        <v>3.6</v>
      </c>
      <c r="AE451" s="1" t="s">
        <v>115</v>
      </c>
      <c r="AF451" s="1"/>
    </row>
    <row r="452" spans="1:32" ht="18" customHeight="1">
      <c r="A452" s="1" t="s">
        <v>1500</v>
      </c>
      <c r="B452" s="1" t="s">
        <v>1501</v>
      </c>
      <c r="C452" s="4">
        <v>46097</v>
      </c>
      <c r="D452" s="4">
        <v>46109</v>
      </c>
      <c r="E452" s="4">
        <v>46104</v>
      </c>
      <c r="F452" s="1" t="s">
        <v>235</v>
      </c>
      <c r="G452" s="1" t="s">
        <v>3474</v>
      </c>
      <c r="H452" s="1" t="s">
        <v>479</v>
      </c>
      <c r="I452" s="1" t="s">
        <v>70</v>
      </c>
      <c r="J452" s="1" t="s">
        <v>71</v>
      </c>
      <c r="K452" s="1" t="s">
        <v>1502</v>
      </c>
      <c r="L452" s="1" t="s">
        <v>337</v>
      </c>
      <c r="M452" s="1">
        <v>282.47000000000003</v>
      </c>
      <c r="N452" s="1" t="s">
        <v>159</v>
      </c>
      <c r="O452" s="1">
        <v>500</v>
      </c>
      <c r="P452" s="1">
        <v>141235</v>
      </c>
      <c r="Q452" s="1">
        <v>3</v>
      </c>
      <c r="R452" s="7">
        <v>6.0000000000000001E-3</v>
      </c>
      <c r="S452" s="1">
        <v>7</v>
      </c>
      <c r="T452" s="1">
        <v>12</v>
      </c>
      <c r="U452" s="1">
        <v>-5</v>
      </c>
      <c r="V452" s="1" t="s">
        <v>270</v>
      </c>
      <c r="W452" s="1" t="s">
        <v>40</v>
      </c>
      <c r="X452" s="1" t="s">
        <v>41</v>
      </c>
      <c r="Y452" s="1" t="s">
        <v>66</v>
      </c>
      <c r="Z452" s="1" t="s">
        <v>43</v>
      </c>
      <c r="AA452" s="1" t="s">
        <v>88</v>
      </c>
      <c r="AB452" s="1" t="s">
        <v>95</v>
      </c>
      <c r="AC452" s="1"/>
      <c r="AD452" s="1">
        <v>3.3</v>
      </c>
      <c r="AE452" s="1" t="s">
        <v>108</v>
      </c>
      <c r="AF452" s="1"/>
    </row>
    <row r="453" spans="1:32" ht="18" customHeight="1">
      <c r="A453" s="1" t="s">
        <v>1503</v>
      </c>
      <c r="B453" s="1" t="s">
        <v>1504</v>
      </c>
      <c r="C453" s="4">
        <v>46144</v>
      </c>
      <c r="D453" s="4">
        <v>46154</v>
      </c>
      <c r="E453" s="4" t="s">
        <v>3623</v>
      </c>
      <c r="F453" s="1" t="s">
        <v>215</v>
      </c>
      <c r="G453" s="1" t="s">
        <v>3502</v>
      </c>
      <c r="H453" s="1" t="s">
        <v>3327</v>
      </c>
      <c r="I453" s="1" t="s">
        <v>241</v>
      </c>
      <c r="J453" s="1" t="s">
        <v>112</v>
      </c>
      <c r="K453" s="1" t="s">
        <v>1505</v>
      </c>
      <c r="L453" s="1" t="s">
        <v>114</v>
      </c>
      <c r="M453" s="1">
        <v>573.37</v>
      </c>
      <c r="N453" s="1" t="s">
        <v>159</v>
      </c>
      <c r="O453" s="1">
        <v>150</v>
      </c>
      <c r="P453" s="1" t="s">
        <v>3624</v>
      </c>
      <c r="Q453" s="1">
        <v>2</v>
      </c>
      <c r="R453" s="7">
        <v>1.3299999999999999E-2</v>
      </c>
      <c r="S453" s="1">
        <v>3</v>
      </c>
      <c r="T453" s="1">
        <v>10</v>
      </c>
      <c r="U453" s="1">
        <v>-7</v>
      </c>
      <c r="V453" s="1" t="s">
        <v>3337</v>
      </c>
      <c r="W453" s="1" t="s">
        <v>40</v>
      </c>
      <c r="X453" s="1" t="s">
        <v>146</v>
      </c>
      <c r="Y453" s="1" t="s">
        <v>106</v>
      </c>
      <c r="Z453" s="1" t="s">
        <v>128</v>
      </c>
      <c r="AA453" s="1"/>
      <c r="AB453" s="1" t="s">
        <v>191</v>
      </c>
      <c r="AC453" s="1"/>
      <c r="AD453" s="1">
        <v>4.4000000000000004</v>
      </c>
      <c r="AE453" s="1" t="s">
        <v>57</v>
      </c>
      <c r="AF453" s="1" t="s">
        <v>130</v>
      </c>
    </row>
    <row r="454" spans="1:32" ht="18" customHeight="1">
      <c r="A454" s="1" t="s">
        <v>1506</v>
      </c>
      <c r="B454" s="1" t="s">
        <v>1507</v>
      </c>
      <c r="C454" s="4" t="s">
        <v>3625</v>
      </c>
      <c r="D454" s="4"/>
      <c r="E454" s="4">
        <v>46191</v>
      </c>
      <c r="F454" s="1" t="s">
        <v>60</v>
      </c>
      <c r="G454" s="1" t="s">
        <v>3326</v>
      </c>
      <c r="H454" s="1" t="s">
        <v>3327</v>
      </c>
      <c r="I454" s="1" t="s">
        <v>70</v>
      </c>
      <c r="J454" s="1" t="s">
        <v>62</v>
      </c>
      <c r="K454" s="1" t="s">
        <v>1508</v>
      </c>
      <c r="L454" s="1" t="s">
        <v>225</v>
      </c>
      <c r="M454" s="1">
        <v>769.74</v>
      </c>
      <c r="N454" s="1" t="s">
        <v>65</v>
      </c>
      <c r="O454" s="1">
        <v>150</v>
      </c>
      <c r="P454" s="1">
        <v>115461</v>
      </c>
      <c r="Q454" s="1">
        <v>0</v>
      </c>
      <c r="R454" s="7">
        <v>0</v>
      </c>
      <c r="S454" s="1">
        <v>13</v>
      </c>
      <c r="T454" s="1">
        <v>13</v>
      </c>
      <c r="U454" s="1">
        <v>0</v>
      </c>
      <c r="V454" s="1" t="s">
        <v>3337</v>
      </c>
      <c r="W454" s="1" t="s">
        <v>40</v>
      </c>
      <c r="X454" s="1" t="s">
        <v>146</v>
      </c>
      <c r="Y454" s="1"/>
      <c r="Z454" s="1" t="s">
        <v>43</v>
      </c>
      <c r="AA454" s="1" t="s">
        <v>88</v>
      </c>
      <c r="AB454" s="1" t="s">
        <v>95</v>
      </c>
      <c r="AC454" s="1"/>
      <c r="AD454" s="1">
        <v>4.7</v>
      </c>
      <c r="AE454" s="1" t="s">
        <v>76</v>
      </c>
      <c r="AF454" s="1" t="s">
        <v>130</v>
      </c>
    </row>
    <row r="455" spans="1:32" ht="18" customHeight="1">
      <c r="A455" s="1" t="s">
        <v>1509</v>
      </c>
      <c r="B455" s="1" t="s">
        <v>1510</v>
      </c>
      <c r="C455" s="4">
        <v>46031</v>
      </c>
      <c r="D455" s="4">
        <v>46032</v>
      </c>
      <c r="E455" s="4">
        <v>46037</v>
      </c>
      <c r="F455" s="1" t="s">
        <v>151</v>
      </c>
      <c r="G455" s="1" t="s">
        <v>244</v>
      </c>
      <c r="H455" s="1" t="s">
        <v>3408</v>
      </c>
      <c r="I455" s="1" t="s">
        <v>61</v>
      </c>
      <c r="J455" s="1" t="s">
        <v>112</v>
      </c>
      <c r="K455" s="1" t="s">
        <v>1511</v>
      </c>
      <c r="L455" s="1" t="s">
        <v>229</v>
      </c>
      <c r="M455" s="1" t="s">
        <v>3626</v>
      </c>
      <c r="N455" s="1" t="s">
        <v>65</v>
      </c>
      <c r="O455" s="1">
        <v>-750</v>
      </c>
      <c r="P455" s="1">
        <v>278070</v>
      </c>
      <c r="Q455" s="1">
        <v>15</v>
      </c>
      <c r="R455" s="7">
        <v>0.02</v>
      </c>
      <c r="S455" s="1">
        <v>6</v>
      </c>
      <c r="T455" s="1">
        <v>1</v>
      </c>
      <c r="U455" s="1">
        <v>5</v>
      </c>
      <c r="V455" s="1" t="s">
        <v>3328</v>
      </c>
      <c r="W455" s="1" t="s">
        <v>40</v>
      </c>
      <c r="X455" s="1" t="s">
        <v>41</v>
      </c>
      <c r="Y455" s="1" t="s">
        <v>66</v>
      </c>
      <c r="Z455" s="1"/>
      <c r="AA455" s="1"/>
      <c r="AB455" s="1" t="s">
        <v>95</v>
      </c>
      <c r="AC455" s="1"/>
      <c r="AD455" s="1">
        <v>4.8</v>
      </c>
      <c r="AE455" s="1" t="s">
        <v>115</v>
      </c>
      <c r="AF455" s="1" t="s">
        <v>46</v>
      </c>
    </row>
    <row r="456" spans="1:32" ht="18" customHeight="1">
      <c r="A456" s="1" t="s">
        <v>1512</v>
      </c>
      <c r="B456" s="1" t="s">
        <v>1513</v>
      </c>
      <c r="C456" s="4">
        <v>46083</v>
      </c>
      <c r="D456" s="4">
        <v>46090</v>
      </c>
      <c r="E456" s="4">
        <v>46091</v>
      </c>
      <c r="F456" s="1" t="s">
        <v>151</v>
      </c>
      <c r="G456" s="1" t="s">
        <v>244</v>
      </c>
      <c r="H456" s="1" t="s">
        <v>3354</v>
      </c>
      <c r="I456" s="1" t="s">
        <v>70</v>
      </c>
      <c r="J456" s="1" t="s">
        <v>50</v>
      </c>
      <c r="K456" s="1" t="s">
        <v>1514</v>
      </c>
      <c r="L456" s="1" t="s">
        <v>145</v>
      </c>
      <c r="M456" s="1">
        <v>2018.95</v>
      </c>
      <c r="N456" s="1" t="s">
        <v>291</v>
      </c>
      <c r="O456" s="1" t="s">
        <v>3627</v>
      </c>
      <c r="P456" s="1">
        <v>403790</v>
      </c>
      <c r="Q456" s="1">
        <v>3</v>
      </c>
      <c r="R456" s="7">
        <v>1.4999999999999999E-2</v>
      </c>
      <c r="S456" s="1">
        <v>8</v>
      </c>
      <c r="T456" s="1">
        <v>7</v>
      </c>
      <c r="U456" s="1">
        <v>1</v>
      </c>
      <c r="V456" s="1" t="s">
        <v>135</v>
      </c>
      <c r="W456" s="1" t="s">
        <v>40</v>
      </c>
      <c r="X456" s="1" t="s">
        <v>146</v>
      </c>
      <c r="Y456" s="1" t="s">
        <v>106</v>
      </c>
      <c r="Z456" s="1" t="s">
        <v>43</v>
      </c>
      <c r="AA456" s="1" t="s">
        <v>129</v>
      </c>
      <c r="AB456" s="1" t="s">
        <v>95</v>
      </c>
      <c r="AC456" s="1"/>
      <c r="AD456" s="1">
        <v>4.9000000000000004</v>
      </c>
      <c r="AE456" s="1" t="s">
        <v>108</v>
      </c>
      <c r="AF456" s="1" t="s">
        <v>148</v>
      </c>
    </row>
    <row r="457" spans="1:32" ht="18" customHeight="1">
      <c r="A457" s="1" t="s">
        <v>1515</v>
      </c>
      <c r="B457" s="1" t="s">
        <v>1516</v>
      </c>
      <c r="C457" s="4" t="s">
        <v>3628</v>
      </c>
      <c r="D457" s="4">
        <v>46052</v>
      </c>
      <c r="E457" s="4">
        <v>46051</v>
      </c>
      <c r="F457" s="1" t="s">
        <v>142</v>
      </c>
      <c r="G457" s="1" t="s">
        <v>143</v>
      </c>
      <c r="H457" s="1" t="s">
        <v>3405</v>
      </c>
      <c r="I457" s="1" t="s">
        <v>83</v>
      </c>
      <c r="J457" s="1" t="s">
        <v>50</v>
      </c>
      <c r="K457" s="1" t="s">
        <v>1517</v>
      </c>
      <c r="L457" s="1" t="s">
        <v>189</v>
      </c>
      <c r="M457" s="1">
        <v>1256.52</v>
      </c>
      <c r="N457" s="1" t="s">
        <v>159</v>
      </c>
      <c r="O457" s="1">
        <v>250</v>
      </c>
      <c r="P457" s="1">
        <v>314130</v>
      </c>
      <c r="Q457" s="1">
        <v>6</v>
      </c>
      <c r="R457" s="7">
        <v>2.4E-2</v>
      </c>
      <c r="S457" s="1">
        <v>16</v>
      </c>
      <c r="T457" s="1">
        <v>17</v>
      </c>
      <c r="U457" s="1">
        <v>-1</v>
      </c>
      <c r="V457" s="1" t="s">
        <v>87</v>
      </c>
      <c r="W457" s="1" t="s">
        <v>40</v>
      </c>
      <c r="X457" s="1" t="s">
        <v>3329</v>
      </c>
      <c r="Y457" s="1" t="s">
        <v>3334</v>
      </c>
      <c r="Z457" s="1"/>
      <c r="AA457" s="1" t="s">
        <v>136</v>
      </c>
      <c r="AB457" s="1" t="s">
        <v>137</v>
      </c>
      <c r="AC457" s="1"/>
      <c r="AD457" s="1">
        <v>3.6</v>
      </c>
      <c r="AE457" s="1" t="s">
        <v>139</v>
      </c>
      <c r="AF457" s="1"/>
    </row>
    <row r="458" spans="1:32" ht="18" customHeight="1">
      <c r="A458" s="1" t="s">
        <v>1518</v>
      </c>
      <c r="B458" s="1" t="s">
        <v>1519</v>
      </c>
      <c r="C458" s="4">
        <v>46131</v>
      </c>
      <c r="D458" s="4">
        <v>46139</v>
      </c>
      <c r="E458" s="4">
        <v>46143</v>
      </c>
      <c r="F458" s="1" t="s">
        <v>151</v>
      </c>
      <c r="G458" s="1" t="s">
        <v>3353</v>
      </c>
      <c r="H458" s="1" t="s">
        <v>3408</v>
      </c>
      <c r="I458" s="1" t="s">
        <v>61</v>
      </c>
      <c r="J458" s="1" t="s">
        <v>153</v>
      </c>
      <c r="K458" s="1" t="s">
        <v>1520</v>
      </c>
      <c r="L458" s="1" t="s">
        <v>295</v>
      </c>
      <c r="M458" s="1">
        <v>230.5</v>
      </c>
      <c r="N458" s="1" t="s">
        <v>86</v>
      </c>
      <c r="O458" s="1">
        <v>500</v>
      </c>
      <c r="P458" s="1">
        <v>115250</v>
      </c>
      <c r="Q458" s="1">
        <v>5</v>
      </c>
      <c r="R458" s="7">
        <v>0.01</v>
      </c>
      <c r="S458" s="1">
        <v>12</v>
      </c>
      <c r="T458" s="1">
        <v>8</v>
      </c>
      <c r="U458" s="1">
        <v>4</v>
      </c>
      <c r="V458" s="1" t="s">
        <v>39</v>
      </c>
      <c r="W458" s="1" t="s">
        <v>40</v>
      </c>
      <c r="X458" s="1" t="s">
        <v>105</v>
      </c>
      <c r="Y458" s="1" t="s">
        <v>212</v>
      </c>
      <c r="Z458" s="1" t="s">
        <v>128</v>
      </c>
      <c r="AA458" s="1"/>
      <c r="AB458" s="1" t="s">
        <v>191</v>
      </c>
      <c r="AC458" s="1"/>
      <c r="AD458" s="1">
        <v>3.6</v>
      </c>
      <c r="AE458" s="1" t="s">
        <v>139</v>
      </c>
      <c r="AF458" s="1" t="s">
        <v>46</v>
      </c>
    </row>
    <row r="459" spans="1:32" ht="18" customHeight="1">
      <c r="A459" s="1" t="s">
        <v>1521</v>
      </c>
      <c r="B459" s="1" t="s">
        <v>1522</v>
      </c>
      <c r="C459" s="4" t="s">
        <v>3629</v>
      </c>
      <c r="D459" s="4">
        <v>46081</v>
      </c>
      <c r="E459" s="4">
        <v>46080</v>
      </c>
      <c r="F459" s="1" t="s">
        <v>100</v>
      </c>
      <c r="G459" s="1" t="s">
        <v>3429</v>
      </c>
      <c r="H459" s="1" t="s">
        <v>3361</v>
      </c>
      <c r="I459" s="1" t="s">
        <v>241</v>
      </c>
      <c r="J459" s="1" t="s">
        <v>50</v>
      </c>
      <c r="K459" s="1" t="s">
        <v>1523</v>
      </c>
      <c r="L459" s="1" t="s">
        <v>52</v>
      </c>
      <c r="M459" s="1">
        <v>519.58000000000004</v>
      </c>
      <c r="N459" s="1" t="s">
        <v>159</v>
      </c>
      <c r="O459" s="1">
        <v>300</v>
      </c>
      <c r="P459" s="1">
        <v>155874</v>
      </c>
      <c r="Q459" s="1">
        <v>11</v>
      </c>
      <c r="R459" s="7">
        <v>3.6700000000000003E-2</v>
      </c>
      <c r="S459" s="1">
        <v>11</v>
      </c>
      <c r="T459" s="1">
        <v>12</v>
      </c>
      <c r="U459" s="1">
        <v>-1</v>
      </c>
      <c r="V459" s="1" t="s">
        <v>3337</v>
      </c>
      <c r="W459" s="1" t="s">
        <v>40</v>
      </c>
      <c r="X459" s="1" t="s">
        <v>41</v>
      </c>
      <c r="Y459" s="1" t="s">
        <v>190</v>
      </c>
      <c r="Z459" s="1" t="s">
        <v>3333</v>
      </c>
      <c r="AA459" s="1" t="s">
        <v>136</v>
      </c>
      <c r="AB459" s="1"/>
      <c r="AC459" s="1"/>
      <c r="AD459" s="1">
        <v>4</v>
      </c>
      <c r="AE459" s="1" t="s">
        <v>139</v>
      </c>
      <c r="AF459" s="1"/>
    </row>
    <row r="460" spans="1:32" ht="18" customHeight="1">
      <c r="A460" s="1" t="s">
        <v>1524</v>
      </c>
      <c r="B460" s="1" t="s">
        <v>1525</v>
      </c>
      <c r="C460" s="4">
        <v>46146</v>
      </c>
      <c r="D460" s="4">
        <v>46154</v>
      </c>
      <c r="E460" s="4">
        <v>46152</v>
      </c>
      <c r="F460" s="1" t="s">
        <v>162</v>
      </c>
      <c r="G460" s="1" t="s">
        <v>3383</v>
      </c>
      <c r="H460" s="1" t="s">
        <v>3408</v>
      </c>
      <c r="I460" s="1" t="s">
        <v>70</v>
      </c>
      <c r="J460" s="1" t="s">
        <v>163</v>
      </c>
      <c r="K460" s="1" t="s">
        <v>1526</v>
      </c>
      <c r="L460" s="1" t="s">
        <v>165</v>
      </c>
      <c r="M460" s="1">
        <v>1761.18</v>
      </c>
      <c r="N460" s="1" t="s">
        <v>38</v>
      </c>
      <c r="O460" s="1">
        <v>1000</v>
      </c>
      <c r="P460" s="1">
        <v>1761180</v>
      </c>
      <c r="Q460" s="1">
        <v>22</v>
      </c>
      <c r="R460" s="7">
        <v>2.1999999999999999E-2</v>
      </c>
      <c r="S460" s="1">
        <v>6</v>
      </c>
      <c r="T460" s="1">
        <v>8</v>
      </c>
      <c r="U460" s="1">
        <v>-2</v>
      </c>
      <c r="V460" s="1" t="s">
        <v>3337</v>
      </c>
      <c r="W460" s="1" t="s">
        <v>40</v>
      </c>
      <c r="X460" s="1" t="s">
        <v>146</v>
      </c>
      <c r="Y460" s="1" t="s">
        <v>42</v>
      </c>
      <c r="Z460" s="1" t="s">
        <v>128</v>
      </c>
      <c r="AA460" s="1"/>
      <c r="AB460" s="1" t="s">
        <v>56</v>
      </c>
      <c r="AC460" s="1"/>
      <c r="AD460" s="1">
        <v>3.2</v>
      </c>
      <c r="AE460" s="1" t="s">
        <v>76</v>
      </c>
      <c r="AF460" s="1" t="s">
        <v>130</v>
      </c>
    </row>
    <row r="461" spans="1:32" ht="18" customHeight="1">
      <c r="A461" s="1" t="s">
        <v>1527</v>
      </c>
      <c r="B461" s="1" t="s">
        <v>1528</v>
      </c>
      <c r="C461" s="4">
        <v>46133</v>
      </c>
      <c r="D461" s="4">
        <v>46147</v>
      </c>
      <c r="E461" s="4">
        <v>46149</v>
      </c>
      <c r="F461" s="1" t="s">
        <v>100</v>
      </c>
      <c r="G461" s="1" t="s">
        <v>101</v>
      </c>
      <c r="H461" s="1" t="s">
        <v>3322</v>
      </c>
      <c r="I461" s="1" t="s">
        <v>83</v>
      </c>
      <c r="J461" s="1" t="s">
        <v>50</v>
      </c>
      <c r="K461" s="1" t="s">
        <v>1529</v>
      </c>
      <c r="L461" s="1" t="s">
        <v>126</v>
      </c>
      <c r="M461" s="1">
        <v>1401.47</v>
      </c>
      <c r="N461" s="1" t="s">
        <v>65</v>
      </c>
      <c r="O461" s="1">
        <v>150</v>
      </c>
      <c r="P461" s="1">
        <v>210220.5</v>
      </c>
      <c r="Q461" s="1">
        <v>-1</v>
      </c>
      <c r="R461" s="7">
        <v>0.04</v>
      </c>
      <c r="S461" s="1">
        <v>16</v>
      </c>
      <c r="T461" s="1">
        <v>14</v>
      </c>
      <c r="U461" s="1">
        <v>2</v>
      </c>
      <c r="V461" s="1" t="s">
        <v>166</v>
      </c>
      <c r="W461" s="1" t="s">
        <v>40</v>
      </c>
      <c r="X461" s="1" t="s">
        <v>105</v>
      </c>
      <c r="Y461" s="1" t="s">
        <v>3334</v>
      </c>
      <c r="Z461" s="1" t="s">
        <v>54</v>
      </c>
      <c r="AA461" s="1" t="s">
        <v>136</v>
      </c>
      <c r="AB461" s="1"/>
      <c r="AC461" s="1"/>
      <c r="AD461" s="1">
        <v>2.6</v>
      </c>
      <c r="AE461" s="1" t="s">
        <v>184</v>
      </c>
      <c r="AF461" s="1" t="s">
        <v>46</v>
      </c>
    </row>
    <row r="462" spans="1:32" ht="18" customHeight="1">
      <c r="A462" s="1" t="s">
        <v>1530</v>
      </c>
      <c r="B462" s="1" t="s">
        <v>1531</v>
      </c>
      <c r="C462" s="4">
        <v>46142</v>
      </c>
      <c r="D462" s="4">
        <v>46163</v>
      </c>
      <c r="E462" s="4" t="s">
        <v>3630</v>
      </c>
      <c r="F462" s="1" t="s">
        <v>209</v>
      </c>
      <c r="G462" s="1" t="s">
        <v>210</v>
      </c>
      <c r="H462" s="1" t="s">
        <v>3390</v>
      </c>
      <c r="I462" s="1" t="s">
        <v>83</v>
      </c>
      <c r="J462" s="1" t="s">
        <v>62</v>
      </c>
      <c r="K462" s="1" t="s">
        <v>1532</v>
      </c>
      <c r="L462" s="1" t="s">
        <v>122</v>
      </c>
      <c r="M462" s="1">
        <v>517.79999999999995</v>
      </c>
      <c r="N462" s="1" t="s">
        <v>53</v>
      </c>
      <c r="O462" s="1">
        <v>250</v>
      </c>
      <c r="P462" s="1">
        <v>129450</v>
      </c>
      <c r="Q462" s="1">
        <v>2</v>
      </c>
      <c r="R462" s="7">
        <v>8.0000000000000002E-3</v>
      </c>
      <c r="S462" s="1">
        <v>15</v>
      </c>
      <c r="T462" s="1"/>
      <c r="U462" s="1">
        <v>-6</v>
      </c>
      <c r="V462" s="1" t="s">
        <v>87</v>
      </c>
      <c r="W462" s="1" t="s">
        <v>40</v>
      </c>
      <c r="X462" s="1" t="s">
        <v>3329</v>
      </c>
      <c r="Y462" s="1" t="s">
        <v>106</v>
      </c>
      <c r="Z462" s="1" t="s">
        <v>128</v>
      </c>
      <c r="AA462" s="1" t="s">
        <v>174</v>
      </c>
      <c r="AB462" s="1" t="s">
        <v>56</v>
      </c>
      <c r="AC462" s="1"/>
      <c r="AD462" s="1">
        <v>3</v>
      </c>
      <c r="AE462" s="1" t="s">
        <v>115</v>
      </c>
      <c r="AF462" s="1"/>
    </row>
    <row r="463" spans="1:32" ht="18" customHeight="1">
      <c r="A463" s="1" t="s">
        <v>1533</v>
      </c>
      <c r="B463" s="1" t="s">
        <v>1534</v>
      </c>
      <c r="C463" s="4" t="s">
        <v>3631</v>
      </c>
      <c r="D463" s="4">
        <v>46173</v>
      </c>
      <c r="E463" s="4">
        <v>46169</v>
      </c>
      <c r="F463" s="1" t="s">
        <v>32</v>
      </c>
      <c r="G463" s="1" t="s">
        <v>33</v>
      </c>
      <c r="H463" s="1" t="s">
        <v>177</v>
      </c>
      <c r="I463" s="1" t="s">
        <v>178</v>
      </c>
      <c r="J463" s="1" t="s">
        <v>35</v>
      </c>
      <c r="K463" s="1" t="s">
        <v>1535</v>
      </c>
      <c r="L463" s="1" t="s">
        <v>180</v>
      </c>
      <c r="M463" s="1">
        <v>3093.92</v>
      </c>
      <c r="N463" s="1" t="s">
        <v>38</v>
      </c>
      <c r="O463" s="1">
        <v>-2000</v>
      </c>
      <c r="P463" s="1">
        <v>6187840</v>
      </c>
      <c r="Q463" s="1">
        <v>67</v>
      </c>
      <c r="R463" s="7">
        <v>3.3500000000000002E-2</v>
      </c>
      <c r="S463" s="1"/>
      <c r="T463" s="1">
        <v>21</v>
      </c>
      <c r="U463" s="1">
        <v>-4</v>
      </c>
      <c r="V463" s="1" t="s">
        <v>87</v>
      </c>
      <c r="W463" s="1" t="s">
        <v>40</v>
      </c>
      <c r="X463" s="1" t="s">
        <v>127</v>
      </c>
      <c r="Y463" s="1"/>
      <c r="Z463" s="1" t="s">
        <v>3330</v>
      </c>
      <c r="AA463" s="1" t="s">
        <v>129</v>
      </c>
      <c r="AB463" s="1" t="s">
        <v>137</v>
      </c>
      <c r="AC463" s="1"/>
      <c r="AD463" s="1">
        <v>4.5</v>
      </c>
      <c r="AE463" s="1" t="s">
        <v>115</v>
      </c>
      <c r="AF463" s="1" t="s">
        <v>130</v>
      </c>
    </row>
    <row r="464" spans="1:32" ht="18" customHeight="1">
      <c r="A464" s="1" t="s">
        <v>1536</v>
      </c>
      <c r="B464" s="1" t="s">
        <v>1537</v>
      </c>
      <c r="C464" s="4">
        <v>46089</v>
      </c>
      <c r="D464" s="4" t="s">
        <v>3632</v>
      </c>
      <c r="E464" s="4" t="s">
        <v>3633</v>
      </c>
      <c r="F464" s="1" t="s">
        <v>142</v>
      </c>
      <c r="G464" s="1" t="s">
        <v>143</v>
      </c>
      <c r="H464" s="1" t="s">
        <v>3405</v>
      </c>
      <c r="I464" s="1" t="s">
        <v>92</v>
      </c>
      <c r="J464" s="1" t="s">
        <v>50</v>
      </c>
      <c r="K464" s="1" t="s">
        <v>1538</v>
      </c>
      <c r="L464" s="1" t="s">
        <v>189</v>
      </c>
      <c r="M464" s="1">
        <v>3245.49</v>
      </c>
      <c r="N464" s="1" t="s">
        <v>159</v>
      </c>
      <c r="O464" s="1">
        <v>200</v>
      </c>
      <c r="P464" s="1">
        <v>649098</v>
      </c>
      <c r="Q464" s="1">
        <v>5</v>
      </c>
      <c r="R464" s="7">
        <v>2.5000000000000001E-2</v>
      </c>
      <c r="S464" s="1">
        <v>9</v>
      </c>
      <c r="T464" s="1">
        <v>18</v>
      </c>
      <c r="U464" s="1">
        <v>-9</v>
      </c>
      <c r="V464" s="1" t="s">
        <v>3352</v>
      </c>
      <c r="W464" s="1" t="s">
        <v>40</v>
      </c>
      <c r="X464" s="1"/>
      <c r="Y464" s="1" t="s">
        <v>190</v>
      </c>
      <c r="Z464" s="1" t="s">
        <v>173</v>
      </c>
      <c r="AA464" s="1" t="s">
        <v>129</v>
      </c>
      <c r="AB464" s="1" t="s">
        <v>56</v>
      </c>
      <c r="AC464" s="1"/>
      <c r="AD464" s="1">
        <v>2.8</v>
      </c>
      <c r="AE464" s="1" t="s">
        <v>184</v>
      </c>
      <c r="AF464" s="1" t="s">
        <v>130</v>
      </c>
    </row>
    <row r="465" spans="1:32" ht="18" customHeight="1">
      <c r="A465" s="1" t="s">
        <v>1539</v>
      </c>
      <c r="B465" s="1" t="s">
        <v>1540</v>
      </c>
      <c r="C465" s="4" t="s">
        <v>3634</v>
      </c>
      <c r="D465" s="4">
        <v>46179</v>
      </c>
      <c r="E465" s="4">
        <v>46165</v>
      </c>
      <c r="F465" s="1" t="s">
        <v>235</v>
      </c>
      <c r="G465" s="1" t="s">
        <v>236</v>
      </c>
      <c r="H465" s="1" t="s">
        <v>3371</v>
      </c>
      <c r="I465" s="1" t="s">
        <v>83</v>
      </c>
      <c r="J465" s="1" t="s">
        <v>71</v>
      </c>
      <c r="K465" s="1" t="s">
        <v>1541</v>
      </c>
      <c r="L465" s="1" t="s">
        <v>337</v>
      </c>
      <c r="M465" s="1">
        <v>593.5</v>
      </c>
      <c r="N465" s="1" t="s">
        <v>159</v>
      </c>
      <c r="O465" s="1">
        <v>200</v>
      </c>
      <c r="P465" s="1">
        <v>118700</v>
      </c>
      <c r="Q465" s="1">
        <v>7</v>
      </c>
      <c r="R465" s="7">
        <v>3.5000000000000003E-2</v>
      </c>
      <c r="S465" s="1">
        <v>4</v>
      </c>
      <c r="T465" s="1">
        <v>18</v>
      </c>
      <c r="U465" s="1">
        <v>-14</v>
      </c>
      <c r="V465" s="1" t="s">
        <v>3352</v>
      </c>
      <c r="W465" s="1" t="s">
        <v>40</v>
      </c>
      <c r="X465" s="1" t="s">
        <v>127</v>
      </c>
      <c r="Y465" s="1" t="s">
        <v>3334</v>
      </c>
      <c r="Z465" s="1" t="s">
        <v>54</v>
      </c>
      <c r="AA465" s="1"/>
      <c r="AB465" s="1" t="s">
        <v>44</v>
      </c>
      <c r="AC465" s="1"/>
      <c r="AD465" s="1">
        <v>4.9000000000000004</v>
      </c>
      <c r="AE465" s="1" t="s">
        <v>139</v>
      </c>
      <c r="AF465" s="1" t="s">
        <v>130</v>
      </c>
    </row>
    <row r="466" spans="1:32" ht="18" customHeight="1">
      <c r="A466" s="1" t="s">
        <v>116</v>
      </c>
      <c r="B466" s="1" t="s">
        <v>1542</v>
      </c>
      <c r="C466" s="4" t="s">
        <v>3635</v>
      </c>
      <c r="D466" s="4">
        <v>46190</v>
      </c>
      <c r="E466" s="4">
        <v>46194</v>
      </c>
      <c r="F466" s="1" t="s">
        <v>80</v>
      </c>
      <c r="G466" s="1" t="s">
        <v>81</v>
      </c>
      <c r="H466" s="1" t="s">
        <v>3414</v>
      </c>
      <c r="I466" s="1" t="s">
        <v>120</v>
      </c>
      <c r="J466" s="1" t="s">
        <v>62</v>
      </c>
      <c r="K466" s="1" t="s">
        <v>1543</v>
      </c>
      <c r="L466" s="1" t="s">
        <v>64</v>
      </c>
      <c r="M466" s="1">
        <v>830.39</v>
      </c>
      <c r="N466" s="1" t="s">
        <v>53</v>
      </c>
      <c r="O466" s="1">
        <v>50</v>
      </c>
      <c r="P466" s="1">
        <v>41519.5</v>
      </c>
      <c r="Q466" s="1">
        <v>1</v>
      </c>
      <c r="R466" s="7">
        <v>0.02</v>
      </c>
      <c r="S466" s="1">
        <v>19</v>
      </c>
      <c r="T466" s="1">
        <v>15</v>
      </c>
      <c r="U466" s="1">
        <v>4</v>
      </c>
      <c r="V466" s="1" t="s">
        <v>39</v>
      </c>
      <c r="W466" s="1" t="s">
        <v>40</v>
      </c>
      <c r="X466" s="1" t="s">
        <v>105</v>
      </c>
      <c r="Y466" s="1" t="s">
        <v>42</v>
      </c>
      <c r="Z466" s="1" t="s">
        <v>107</v>
      </c>
      <c r="AA466" s="1" t="s">
        <v>88</v>
      </c>
      <c r="AB466" s="1" t="s">
        <v>44</v>
      </c>
      <c r="AC466" s="1"/>
      <c r="AD466" s="1">
        <v>2.5</v>
      </c>
      <c r="AE466" s="1" t="s">
        <v>139</v>
      </c>
      <c r="AF466" s="1" t="s">
        <v>46</v>
      </c>
    </row>
    <row r="467" spans="1:32" ht="18" customHeight="1">
      <c r="A467" s="1" t="s">
        <v>1544</v>
      </c>
      <c r="B467" s="1" t="s">
        <v>1545</v>
      </c>
      <c r="C467" s="4">
        <v>46033</v>
      </c>
      <c r="D467" s="4"/>
      <c r="E467" s="4">
        <v>46046</v>
      </c>
      <c r="F467" s="1" t="s">
        <v>48</v>
      </c>
      <c r="G467" s="1" t="s">
        <v>232</v>
      </c>
      <c r="H467" s="1" t="s">
        <v>102</v>
      </c>
      <c r="I467" s="1" t="s">
        <v>49</v>
      </c>
      <c r="J467" s="1" t="s">
        <v>50</v>
      </c>
      <c r="K467" s="1" t="s">
        <v>1546</v>
      </c>
      <c r="L467" s="1" t="s">
        <v>145</v>
      </c>
      <c r="M467" s="1">
        <v>1163.08</v>
      </c>
      <c r="N467" s="1" t="s">
        <v>104</v>
      </c>
      <c r="O467" s="1">
        <v>2000</v>
      </c>
      <c r="P467" s="1">
        <v>2326160</v>
      </c>
      <c r="Q467" s="1">
        <v>3</v>
      </c>
      <c r="R467" s="7">
        <v>1.5E-3</v>
      </c>
      <c r="S467" s="1">
        <v>13</v>
      </c>
      <c r="T467" s="1">
        <v>15</v>
      </c>
      <c r="U467" s="1">
        <v>-2</v>
      </c>
      <c r="V467" s="1" t="s">
        <v>3337</v>
      </c>
      <c r="W467" s="1"/>
      <c r="X467" s="1" t="s">
        <v>105</v>
      </c>
      <c r="Y467" s="1" t="s">
        <v>190</v>
      </c>
      <c r="Z467" s="1" t="s">
        <v>43</v>
      </c>
      <c r="AA467" s="1" t="s">
        <v>129</v>
      </c>
      <c r="AB467" s="1" t="s">
        <v>191</v>
      </c>
      <c r="AC467" s="1"/>
      <c r="AD467" s="1">
        <v>3.8</v>
      </c>
      <c r="AE467" s="1" t="s">
        <v>184</v>
      </c>
      <c r="AF467" s="1"/>
    </row>
    <row r="468" spans="1:32" ht="18" customHeight="1">
      <c r="A468" s="1" t="s">
        <v>1547</v>
      </c>
      <c r="B468" s="1" t="s">
        <v>1548</v>
      </c>
      <c r="C468" s="4">
        <v>46097</v>
      </c>
      <c r="D468" s="4">
        <v>46114</v>
      </c>
      <c r="E468" s="4">
        <v>46117</v>
      </c>
      <c r="F468" s="1" t="s">
        <v>867</v>
      </c>
      <c r="G468" s="1" t="s">
        <v>232</v>
      </c>
      <c r="H468" s="1" t="s">
        <v>102</v>
      </c>
      <c r="I468" s="1" t="s">
        <v>61</v>
      </c>
      <c r="J468" s="1" t="s">
        <v>50</v>
      </c>
      <c r="K468" s="1" t="s">
        <v>1549</v>
      </c>
      <c r="L468" s="1" t="s">
        <v>189</v>
      </c>
      <c r="M468" s="1">
        <v>1608.57</v>
      </c>
      <c r="N468" s="1" t="s">
        <v>86</v>
      </c>
      <c r="O468" s="1">
        <v>100</v>
      </c>
      <c r="P468" s="1">
        <v>160857</v>
      </c>
      <c r="Q468" s="1">
        <v>1</v>
      </c>
      <c r="R468" s="7">
        <v>0.01</v>
      </c>
      <c r="S468" s="1">
        <v>20</v>
      </c>
      <c r="T468" s="1">
        <v>17</v>
      </c>
      <c r="U468" s="1">
        <v>3</v>
      </c>
      <c r="V468" s="1" t="s">
        <v>135</v>
      </c>
      <c r="W468" s="1" t="s">
        <v>40</v>
      </c>
      <c r="X468" s="1" t="s">
        <v>3324</v>
      </c>
      <c r="Y468" s="1" t="s">
        <v>212</v>
      </c>
      <c r="Z468" s="1" t="s">
        <v>3333</v>
      </c>
      <c r="AA468" s="1" t="s">
        <v>136</v>
      </c>
      <c r="AB468" s="1" t="s">
        <v>44</v>
      </c>
      <c r="AC468" s="1"/>
      <c r="AD468" s="1">
        <v>3</v>
      </c>
      <c r="AE468" s="1" t="s">
        <v>108</v>
      </c>
      <c r="AF468" s="1" t="s">
        <v>386</v>
      </c>
    </row>
    <row r="469" spans="1:32" ht="18" customHeight="1">
      <c r="A469" s="1" t="s">
        <v>1550</v>
      </c>
      <c r="B469" s="1" t="s">
        <v>1551</v>
      </c>
      <c r="C469" s="4">
        <v>46141</v>
      </c>
      <c r="D469" s="4">
        <v>46148</v>
      </c>
      <c r="E469" s="4">
        <v>46145</v>
      </c>
      <c r="F469" s="1" t="s">
        <v>209</v>
      </c>
      <c r="G469" s="1" t="s">
        <v>210</v>
      </c>
      <c r="H469" s="1" t="s">
        <v>3390</v>
      </c>
      <c r="I469" s="1" t="s">
        <v>92</v>
      </c>
      <c r="J469" s="1" t="s">
        <v>112</v>
      </c>
      <c r="K469" s="1" t="s">
        <v>799</v>
      </c>
      <c r="L469" s="1" t="s">
        <v>229</v>
      </c>
      <c r="M469" s="1">
        <v>562.76</v>
      </c>
      <c r="N469" s="1" t="s">
        <v>38</v>
      </c>
      <c r="O469" s="1">
        <v>1500</v>
      </c>
      <c r="P469" s="1">
        <v>844140</v>
      </c>
      <c r="Q469" s="1">
        <v>54</v>
      </c>
      <c r="R469" s="7">
        <v>3.5999999999999997E-2</v>
      </c>
      <c r="S469" s="1">
        <v>4</v>
      </c>
      <c r="T469" s="1">
        <v>7</v>
      </c>
      <c r="U469" s="1">
        <v>-3</v>
      </c>
      <c r="V469" s="1" t="s">
        <v>3352</v>
      </c>
      <c r="W469" s="1" t="s">
        <v>40</v>
      </c>
      <c r="X469" s="1" t="s">
        <v>105</v>
      </c>
      <c r="Y469" s="1" t="s">
        <v>212</v>
      </c>
      <c r="Z469" s="1" t="s">
        <v>43</v>
      </c>
      <c r="AA469" s="1"/>
      <c r="AB469" s="1" t="s">
        <v>137</v>
      </c>
      <c r="AC469" s="1"/>
      <c r="AD469" s="1">
        <v>2.4</v>
      </c>
      <c r="AE469" s="1" t="s">
        <v>115</v>
      </c>
      <c r="AF469" s="1"/>
    </row>
    <row r="470" spans="1:32" ht="18" customHeight="1">
      <c r="A470" s="1" t="s">
        <v>1552</v>
      </c>
      <c r="B470" s="1" t="s">
        <v>1553</v>
      </c>
      <c r="C470" s="4">
        <v>46026</v>
      </c>
      <c r="D470" s="4"/>
      <c r="E470" s="4" t="s">
        <v>3636</v>
      </c>
      <c r="F470" s="1" t="s">
        <v>142</v>
      </c>
      <c r="G470" s="1" t="s">
        <v>3391</v>
      </c>
      <c r="H470" s="1" t="s">
        <v>169</v>
      </c>
      <c r="I470" s="1" t="s">
        <v>120</v>
      </c>
      <c r="J470" s="1" t="s">
        <v>163</v>
      </c>
      <c r="K470" s="1" t="s">
        <v>1554</v>
      </c>
      <c r="L470" s="1" t="s">
        <v>165</v>
      </c>
      <c r="M470" s="1">
        <v>145.33000000000001</v>
      </c>
      <c r="N470" s="1" t="s">
        <v>38</v>
      </c>
      <c r="O470" s="1">
        <v>2000</v>
      </c>
      <c r="P470" s="1">
        <v>290660</v>
      </c>
      <c r="Q470" s="1">
        <v>5</v>
      </c>
      <c r="R470" s="7">
        <v>2.5000000000000001E-3</v>
      </c>
      <c r="S470" s="1">
        <v>19</v>
      </c>
      <c r="T470" s="1">
        <v>16</v>
      </c>
      <c r="U470" s="1">
        <v>3</v>
      </c>
      <c r="V470" s="1" t="s">
        <v>166</v>
      </c>
      <c r="W470" s="1" t="s">
        <v>40</v>
      </c>
      <c r="X470" s="1" t="s">
        <v>105</v>
      </c>
      <c r="Y470" s="1"/>
      <c r="Z470" s="1"/>
      <c r="AA470" s="1" t="s">
        <v>88</v>
      </c>
      <c r="AB470" s="1" t="s">
        <v>147</v>
      </c>
      <c r="AC470" s="1"/>
      <c r="AD470" s="1">
        <v>4.4000000000000004</v>
      </c>
      <c r="AE470" s="1" t="s">
        <v>76</v>
      </c>
      <c r="AF470" s="1" t="s">
        <v>46</v>
      </c>
    </row>
    <row r="471" spans="1:32" ht="18" customHeight="1">
      <c r="A471" s="1" t="s">
        <v>1555</v>
      </c>
      <c r="B471" s="1" t="s">
        <v>1556</v>
      </c>
      <c r="C471" s="4">
        <v>46170</v>
      </c>
      <c r="D471" s="4">
        <v>46177</v>
      </c>
      <c r="E471" s="4" t="s">
        <v>3585</v>
      </c>
      <c r="F471" s="1" t="s">
        <v>151</v>
      </c>
      <c r="G471" s="1" t="s">
        <v>244</v>
      </c>
      <c r="H471" s="1" t="s">
        <v>152</v>
      </c>
      <c r="I471" s="1" t="s">
        <v>34</v>
      </c>
      <c r="J471" s="1" t="s">
        <v>112</v>
      </c>
      <c r="K471" s="1" t="s">
        <v>1557</v>
      </c>
      <c r="L471" s="1" t="s">
        <v>218</v>
      </c>
      <c r="M471" s="1">
        <v>425.12</v>
      </c>
      <c r="N471" s="1" t="s">
        <v>65</v>
      </c>
      <c r="O471" s="1">
        <v>300</v>
      </c>
      <c r="P471" s="1">
        <v>127536</v>
      </c>
      <c r="Q471" s="1">
        <v>8</v>
      </c>
      <c r="R471" s="7">
        <v>2.6700000000000002E-2</v>
      </c>
      <c r="S471" s="1">
        <v>7</v>
      </c>
      <c r="T471" s="1"/>
      <c r="U471" s="1">
        <v>0</v>
      </c>
      <c r="V471" s="1" t="s">
        <v>3337</v>
      </c>
      <c r="W471" s="1" t="s">
        <v>40</v>
      </c>
      <c r="X471" s="1" t="s">
        <v>3329</v>
      </c>
      <c r="Y471" s="1" t="s">
        <v>106</v>
      </c>
      <c r="Z471" s="1" t="s">
        <v>3330</v>
      </c>
      <c r="AA471" s="1" t="s">
        <v>174</v>
      </c>
      <c r="AB471" s="1" t="s">
        <v>147</v>
      </c>
      <c r="AC471" s="1"/>
      <c r="AD471" s="1">
        <v>4.7</v>
      </c>
      <c r="AE471" s="1" t="s">
        <v>76</v>
      </c>
      <c r="AF471" s="1"/>
    </row>
    <row r="472" spans="1:32" ht="18" customHeight="1">
      <c r="A472" s="1" t="s">
        <v>1558</v>
      </c>
      <c r="B472" s="1" t="s">
        <v>1559</v>
      </c>
      <c r="C472" s="4">
        <v>46106</v>
      </c>
      <c r="D472" s="4" t="s">
        <v>3400</v>
      </c>
      <c r="E472" s="4">
        <v>46115</v>
      </c>
      <c r="F472" s="1" t="s">
        <v>209</v>
      </c>
      <c r="G472" s="1" t="s">
        <v>3389</v>
      </c>
      <c r="H472" s="1" t="s">
        <v>316</v>
      </c>
      <c r="I472" s="1" t="s">
        <v>61</v>
      </c>
      <c r="J472" s="1" t="s">
        <v>153</v>
      </c>
      <c r="K472" s="1" t="s">
        <v>1560</v>
      </c>
      <c r="L472" s="1" t="s">
        <v>204</v>
      </c>
      <c r="M472" s="1">
        <v>701.08</v>
      </c>
      <c r="N472" s="1" t="s">
        <v>159</v>
      </c>
      <c r="O472" s="1">
        <v>250</v>
      </c>
      <c r="P472" s="1">
        <v>175270</v>
      </c>
      <c r="Q472" s="1">
        <v>4</v>
      </c>
      <c r="R472" s="7">
        <v>1.6E-2</v>
      </c>
      <c r="S472" s="1">
        <v>9</v>
      </c>
      <c r="T472" s="1" t="s">
        <v>3557</v>
      </c>
      <c r="U472" s="1">
        <v>6</v>
      </c>
      <c r="V472" s="1" t="s">
        <v>205</v>
      </c>
      <c r="W472" s="1" t="s">
        <v>40</v>
      </c>
      <c r="X472" s="1" t="s">
        <v>146</v>
      </c>
      <c r="Y472" s="1" t="s">
        <v>66</v>
      </c>
      <c r="Z472" s="1" t="s">
        <v>43</v>
      </c>
      <c r="AA472" s="1" t="s">
        <v>206</v>
      </c>
      <c r="AB472" s="1" t="s">
        <v>56</v>
      </c>
      <c r="AC472" s="1"/>
      <c r="AD472" s="1">
        <v>1.6</v>
      </c>
      <c r="AE472" s="1" t="s">
        <v>184</v>
      </c>
      <c r="AF472" s="1" t="s">
        <v>148</v>
      </c>
    </row>
    <row r="473" spans="1:32" ht="18" customHeight="1">
      <c r="A473" s="1" t="s">
        <v>1561</v>
      </c>
      <c r="B473" s="1" t="s">
        <v>1562</v>
      </c>
      <c r="C473" s="4">
        <v>46189</v>
      </c>
      <c r="D473" s="4">
        <v>46201</v>
      </c>
      <c r="E473" s="4" t="s">
        <v>3563</v>
      </c>
      <c r="F473" s="1" t="s">
        <v>162</v>
      </c>
      <c r="G473" s="1" t="s">
        <v>3383</v>
      </c>
      <c r="H473" s="1" t="s">
        <v>152</v>
      </c>
      <c r="I473" s="1" t="s">
        <v>70</v>
      </c>
      <c r="J473" s="1" t="s">
        <v>163</v>
      </c>
      <c r="K473" s="1" t="s">
        <v>1563</v>
      </c>
      <c r="L473" s="1" t="s">
        <v>171</v>
      </c>
      <c r="M473" s="1">
        <v>1083.73</v>
      </c>
      <c r="N473" s="1" t="s">
        <v>104</v>
      </c>
      <c r="O473" s="1">
        <v>750</v>
      </c>
      <c r="P473" s="1">
        <v>812797.5</v>
      </c>
      <c r="Q473" s="1">
        <v>23</v>
      </c>
      <c r="R473" s="7">
        <v>3.0700000000000002E-2</v>
      </c>
      <c r="S473" s="1">
        <v>2</v>
      </c>
      <c r="T473" s="1">
        <v>12</v>
      </c>
      <c r="U473" s="1">
        <v>-10</v>
      </c>
      <c r="V473" s="1" t="s">
        <v>270</v>
      </c>
      <c r="W473" s="1" t="s">
        <v>40</v>
      </c>
      <c r="X473" s="1" t="s">
        <v>105</v>
      </c>
      <c r="Y473" s="1" t="s">
        <v>106</v>
      </c>
      <c r="Z473" s="1" t="s">
        <v>107</v>
      </c>
      <c r="AA473" s="1" t="s">
        <v>3341</v>
      </c>
      <c r="AB473" s="1" t="s">
        <v>44</v>
      </c>
      <c r="AC473" s="1"/>
      <c r="AD473" s="1">
        <v>3.5</v>
      </c>
      <c r="AE473" s="1" t="s">
        <v>184</v>
      </c>
      <c r="AF473" s="1"/>
    </row>
    <row r="474" spans="1:32" ht="18" hidden="1" customHeight="1">
      <c r="A474" s="1" t="s">
        <v>1564</v>
      </c>
      <c r="B474" s="1" t="s">
        <v>1565</v>
      </c>
      <c r="C474" s="4" t="s">
        <v>3406</v>
      </c>
      <c r="D474" s="1" t="s">
        <v>3400</v>
      </c>
      <c r="E474" s="1">
        <v>46145</v>
      </c>
      <c r="F474" s="1" t="s">
        <v>60</v>
      </c>
      <c r="G474" s="1" t="s">
        <v>466</v>
      </c>
      <c r="H474" s="1" t="s">
        <v>3327</v>
      </c>
      <c r="I474" s="1" t="s">
        <v>34</v>
      </c>
      <c r="J474" s="1" t="s">
        <v>62</v>
      </c>
      <c r="K474" s="1" t="s">
        <v>1566</v>
      </c>
      <c r="L474" s="1" t="s">
        <v>94</v>
      </c>
      <c r="M474" s="1">
        <v>482.17</v>
      </c>
      <c r="N474" s="1" t="s">
        <v>38</v>
      </c>
      <c r="O474" s="1">
        <v>1500</v>
      </c>
      <c r="P474" s="1">
        <v>0</v>
      </c>
      <c r="Q474" s="1">
        <v>64</v>
      </c>
      <c r="R474" s="7">
        <v>4.2700000000000002E-2</v>
      </c>
      <c r="S474" s="1">
        <v>13</v>
      </c>
      <c r="T474" s="1">
        <v>14</v>
      </c>
      <c r="U474" s="1">
        <v>-1</v>
      </c>
      <c r="V474" s="1" t="s">
        <v>87</v>
      </c>
      <c r="W474" s="1" t="s">
        <v>366</v>
      </c>
      <c r="X474" s="1" t="s">
        <v>105</v>
      </c>
      <c r="Y474" s="1"/>
      <c r="Z474" s="1" t="s">
        <v>3330</v>
      </c>
      <c r="AA474" s="1"/>
      <c r="AB474" s="1" t="s">
        <v>147</v>
      </c>
      <c r="AC474" s="1" t="s">
        <v>373</v>
      </c>
      <c r="AD474" s="1">
        <v>2.1</v>
      </c>
      <c r="AE474" s="1" t="s">
        <v>76</v>
      </c>
      <c r="AF474" s="1" t="s">
        <v>97</v>
      </c>
    </row>
    <row r="475" spans="1:32" ht="18" customHeight="1">
      <c r="A475" s="1" t="s">
        <v>1567</v>
      </c>
      <c r="B475" s="1" t="s">
        <v>1568</v>
      </c>
      <c r="C475" s="4">
        <v>46113</v>
      </c>
      <c r="D475" s="4">
        <v>46126</v>
      </c>
      <c r="E475" s="4">
        <v>46123</v>
      </c>
      <c r="F475" s="1"/>
      <c r="G475" s="1" t="s">
        <v>81</v>
      </c>
      <c r="H475" s="1" t="s">
        <v>3442</v>
      </c>
      <c r="I475" s="1" t="s">
        <v>34</v>
      </c>
      <c r="J475" s="1" t="s">
        <v>35</v>
      </c>
      <c r="K475" s="1" t="s">
        <v>1569</v>
      </c>
      <c r="L475" s="1" t="s">
        <v>180</v>
      </c>
      <c r="M475" s="1">
        <v>1353.96</v>
      </c>
      <c r="N475" s="1" t="s">
        <v>38</v>
      </c>
      <c r="O475" s="1">
        <v>250</v>
      </c>
      <c r="P475" s="1">
        <v>338490</v>
      </c>
      <c r="Q475" s="1">
        <v>3</v>
      </c>
      <c r="R475" s="7">
        <v>1.2E-2</v>
      </c>
      <c r="S475" s="1">
        <v>10</v>
      </c>
      <c r="T475" s="1">
        <v>13</v>
      </c>
      <c r="U475" s="1">
        <v>-3</v>
      </c>
      <c r="V475" s="1" t="s">
        <v>270</v>
      </c>
      <c r="W475" s="1" t="s">
        <v>40</v>
      </c>
      <c r="X475" s="1" t="s">
        <v>3324</v>
      </c>
      <c r="Y475" s="1" t="s">
        <v>212</v>
      </c>
      <c r="Z475" s="1" t="s">
        <v>3330</v>
      </c>
      <c r="AA475" s="1"/>
      <c r="AB475" s="1" t="s">
        <v>191</v>
      </c>
      <c r="AC475" s="1"/>
      <c r="AD475" s="1">
        <v>4.5999999999999996</v>
      </c>
      <c r="AE475" s="1" t="s">
        <v>45</v>
      </c>
      <c r="AF475" s="1" t="s">
        <v>619</v>
      </c>
    </row>
    <row r="476" spans="1:32" ht="18" customHeight="1">
      <c r="A476" s="1" t="s">
        <v>1570</v>
      </c>
      <c r="B476" s="1" t="s">
        <v>1571</v>
      </c>
      <c r="C476" s="4">
        <v>46200</v>
      </c>
      <c r="D476" s="4">
        <v>46214</v>
      </c>
      <c r="E476" s="4">
        <v>46219</v>
      </c>
      <c r="F476" s="1" t="s">
        <v>142</v>
      </c>
      <c r="G476" s="1" t="s">
        <v>3391</v>
      </c>
      <c r="H476" s="1" t="s">
        <v>169</v>
      </c>
      <c r="I476" s="1" t="s">
        <v>61</v>
      </c>
      <c r="J476" s="1" t="s">
        <v>153</v>
      </c>
      <c r="K476" s="1" t="s">
        <v>1572</v>
      </c>
      <c r="L476" s="1" t="s">
        <v>318</v>
      </c>
      <c r="M476" s="1">
        <v>819.81</v>
      </c>
      <c r="N476" s="1" t="s">
        <v>38</v>
      </c>
      <c r="O476" s="1">
        <v>-50</v>
      </c>
      <c r="P476" s="1">
        <v>40990.5</v>
      </c>
      <c r="Q476" s="1">
        <v>62</v>
      </c>
      <c r="R476" s="7">
        <v>0</v>
      </c>
      <c r="S476" s="1">
        <v>19</v>
      </c>
      <c r="T476" s="1">
        <v>14</v>
      </c>
      <c r="U476" s="1">
        <v>5</v>
      </c>
      <c r="V476" s="1" t="s">
        <v>39</v>
      </c>
      <c r="W476" s="1" t="s">
        <v>40</v>
      </c>
      <c r="X476" s="1" t="s">
        <v>3324</v>
      </c>
      <c r="Y476" s="1" t="s">
        <v>212</v>
      </c>
      <c r="Z476" s="1" t="s">
        <v>107</v>
      </c>
      <c r="AA476" s="1"/>
      <c r="AB476" s="1" t="s">
        <v>147</v>
      </c>
      <c r="AC476" s="1"/>
      <c r="AD476" s="1">
        <v>3.6</v>
      </c>
      <c r="AE476" s="1" t="s">
        <v>184</v>
      </c>
      <c r="AF476" s="1" t="s">
        <v>46</v>
      </c>
    </row>
    <row r="477" spans="1:32" ht="18" customHeight="1">
      <c r="A477" s="1" t="s">
        <v>1573</v>
      </c>
      <c r="B477" s="1" t="s">
        <v>1574</v>
      </c>
      <c r="C477" s="4">
        <v>46108</v>
      </c>
      <c r="D477" s="4">
        <v>46111</v>
      </c>
      <c r="E477" s="4">
        <v>46108</v>
      </c>
      <c r="F477" s="1" t="s">
        <v>867</v>
      </c>
      <c r="G477" s="1" t="s">
        <v>244</v>
      </c>
      <c r="H477" s="1" t="s">
        <v>3327</v>
      </c>
      <c r="I477" s="1" t="s">
        <v>83</v>
      </c>
      <c r="J477" s="1" t="s">
        <v>112</v>
      </c>
      <c r="K477" s="1" t="s">
        <v>1575</v>
      </c>
      <c r="L477" s="1" t="s">
        <v>114</v>
      </c>
      <c r="M477" s="1">
        <v>19.14</v>
      </c>
      <c r="N477" s="1" t="s">
        <v>104</v>
      </c>
      <c r="O477" s="1">
        <v>1000</v>
      </c>
      <c r="P477" s="1">
        <v>19140</v>
      </c>
      <c r="Q477" s="1">
        <v>0</v>
      </c>
      <c r="R477" s="7">
        <v>0</v>
      </c>
      <c r="S477" s="1">
        <v>0</v>
      </c>
      <c r="T477" s="1">
        <v>3</v>
      </c>
      <c r="U477" s="1">
        <v>-3</v>
      </c>
      <c r="V477" s="1" t="s">
        <v>87</v>
      </c>
      <c r="W477" s="1" t="s">
        <v>40</v>
      </c>
      <c r="X477" s="1" t="s">
        <v>3324</v>
      </c>
      <c r="Y477" s="1" t="s">
        <v>212</v>
      </c>
      <c r="Z477" s="1"/>
      <c r="AA477" s="1" t="s">
        <v>129</v>
      </c>
      <c r="AB477" s="1" t="s">
        <v>147</v>
      </c>
      <c r="AC477" s="1"/>
      <c r="AD477" s="1">
        <v>4.4000000000000004</v>
      </c>
      <c r="AE477" s="1" t="s">
        <v>108</v>
      </c>
      <c r="AF477" s="1" t="s">
        <v>619</v>
      </c>
    </row>
    <row r="478" spans="1:32" ht="18" customHeight="1">
      <c r="A478" s="1" t="s">
        <v>1576</v>
      </c>
      <c r="B478" s="1" t="s">
        <v>1577</v>
      </c>
      <c r="C478" s="4">
        <v>46067</v>
      </c>
      <c r="D478" s="4" t="s">
        <v>3436</v>
      </c>
      <c r="E478" s="4">
        <v>46069</v>
      </c>
      <c r="F478" s="1" t="s">
        <v>215</v>
      </c>
      <c r="G478" s="1" t="s">
        <v>3415</v>
      </c>
      <c r="H478" s="1" t="s">
        <v>3327</v>
      </c>
      <c r="I478" s="1" t="s">
        <v>120</v>
      </c>
      <c r="J478" s="1" t="s">
        <v>112</v>
      </c>
      <c r="K478" s="1" t="s">
        <v>1578</v>
      </c>
      <c r="L478" s="1" t="s">
        <v>246</v>
      </c>
      <c r="M478" s="1">
        <v>838.38</v>
      </c>
      <c r="N478" s="1" t="s">
        <v>38</v>
      </c>
      <c r="O478" s="1">
        <v>50</v>
      </c>
      <c r="P478" s="1">
        <v>41919</v>
      </c>
      <c r="Q478" s="1">
        <v>0</v>
      </c>
      <c r="R478" s="7">
        <v>0</v>
      </c>
      <c r="S478" s="1">
        <v>2</v>
      </c>
      <c r="T478" s="1">
        <v>5</v>
      </c>
      <c r="U478" s="1">
        <v>-3</v>
      </c>
      <c r="V478" s="1" t="s">
        <v>270</v>
      </c>
      <c r="W478" s="1" t="s">
        <v>40</v>
      </c>
      <c r="X478" s="1" t="s">
        <v>146</v>
      </c>
      <c r="Y478" s="1"/>
      <c r="Z478" s="1"/>
      <c r="AA478" s="1" t="s">
        <v>88</v>
      </c>
      <c r="AB478" s="1"/>
      <c r="AC478" s="1"/>
      <c r="AD478" s="1">
        <v>3.2</v>
      </c>
      <c r="AE478" s="1" t="s">
        <v>108</v>
      </c>
      <c r="AF478" s="1" t="s">
        <v>130</v>
      </c>
    </row>
    <row r="479" spans="1:32" ht="18" customHeight="1">
      <c r="A479" s="1" t="s">
        <v>1579</v>
      </c>
      <c r="B479" s="1" t="s">
        <v>1580</v>
      </c>
      <c r="C479" s="4">
        <v>46031</v>
      </c>
      <c r="D479" s="4">
        <v>46045</v>
      </c>
      <c r="E479" s="4">
        <v>46048</v>
      </c>
      <c r="F479" s="1" t="s">
        <v>90</v>
      </c>
      <c r="G479" s="1" t="s">
        <v>91</v>
      </c>
      <c r="H479" s="1" t="s">
        <v>3336</v>
      </c>
      <c r="I479" s="1" t="s">
        <v>49</v>
      </c>
      <c r="J479" s="1" t="s">
        <v>71</v>
      </c>
      <c r="K479" s="1" t="s">
        <v>1581</v>
      </c>
      <c r="L479" s="1" t="s">
        <v>73</v>
      </c>
      <c r="M479" s="1">
        <v>692.85</v>
      </c>
      <c r="N479" s="1" t="s">
        <v>53</v>
      </c>
      <c r="O479" s="1">
        <v>500</v>
      </c>
      <c r="P479" s="1">
        <v>346425</v>
      </c>
      <c r="Q479" s="1">
        <v>0</v>
      </c>
      <c r="R479" s="7">
        <v>0</v>
      </c>
      <c r="S479" s="1">
        <v>17</v>
      </c>
      <c r="T479" s="1">
        <v>14</v>
      </c>
      <c r="U479" s="1">
        <v>3</v>
      </c>
      <c r="V479" s="1" t="s">
        <v>166</v>
      </c>
      <c r="W479" s="1" t="s">
        <v>40</v>
      </c>
      <c r="X479" s="1"/>
      <c r="Y479" s="1"/>
      <c r="Z479" s="1"/>
      <c r="AA479" s="1" t="s">
        <v>136</v>
      </c>
      <c r="AB479" s="1" t="s">
        <v>191</v>
      </c>
      <c r="AC479" s="1"/>
      <c r="AD479" s="1">
        <v>5</v>
      </c>
      <c r="AE479" s="1" t="s">
        <v>184</v>
      </c>
      <c r="AF479" s="1" t="s">
        <v>148</v>
      </c>
    </row>
    <row r="480" spans="1:32" ht="18" customHeight="1">
      <c r="A480" s="1" t="s">
        <v>1582</v>
      </c>
      <c r="B480" s="1" t="s">
        <v>1583</v>
      </c>
      <c r="C480" s="4">
        <v>46194</v>
      </c>
      <c r="D480" s="4"/>
      <c r="E480" s="4">
        <v>46218</v>
      </c>
      <c r="F480" s="1" t="s">
        <v>100</v>
      </c>
      <c r="G480" s="1" t="s">
        <v>3343</v>
      </c>
      <c r="H480" s="1" t="s">
        <v>3322</v>
      </c>
      <c r="I480" s="1" t="s">
        <v>120</v>
      </c>
      <c r="J480" s="1" t="s">
        <v>50</v>
      </c>
      <c r="K480" s="1" t="s">
        <v>1584</v>
      </c>
      <c r="L480" s="1" t="s">
        <v>52</v>
      </c>
      <c r="M480" s="1">
        <v>1046.44</v>
      </c>
      <c r="N480" s="1" t="s">
        <v>38</v>
      </c>
      <c r="O480" s="1">
        <v>750</v>
      </c>
      <c r="P480" s="1">
        <v>784830</v>
      </c>
      <c r="Q480" s="1">
        <v>0</v>
      </c>
      <c r="R480" s="7">
        <v>0</v>
      </c>
      <c r="S480" s="1">
        <v>24</v>
      </c>
      <c r="T480" s="1" t="s">
        <v>3400</v>
      </c>
      <c r="U480" s="1">
        <v>8</v>
      </c>
      <c r="V480" s="1" t="s">
        <v>3328</v>
      </c>
      <c r="W480" s="1" t="s">
        <v>40</v>
      </c>
      <c r="X480" s="1" t="s">
        <v>105</v>
      </c>
      <c r="Y480" s="1" t="s">
        <v>66</v>
      </c>
      <c r="Z480" s="1"/>
      <c r="AA480" s="1" t="s">
        <v>3341</v>
      </c>
      <c r="AB480" s="1"/>
      <c r="AC480" s="1"/>
      <c r="AD480" s="1">
        <v>1.3</v>
      </c>
      <c r="AE480" s="1" t="s">
        <v>45</v>
      </c>
      <c r="AF480" s="1" t="s">
        <v>46</v>
      </c>
    </row>
    <row r="481" spans="1:32" ht="18" customHeight="1">
      <c r="A481" s="1" t="s">
        <v>1585</v>
      </c>
      <c r="B481" s="1" t="s">
        <v>1586</v>
      </c>
      <c r="C481" s="4"/>
      <c r="D481" s="4">
        <v>46217</v>
      </c>
      <c r="E481" s="4">
        <v>46212</v>
      </c>
      <c r="F481" s="1" t="s">
        <v>142</v>
      </c>
      <c r="G481" s="1" t="s">
        <v>143</v>
      </c>
      <c r="H481" s="1" t="s">
        <v>3392</v>
      </c>
      <c r="I481" s="1" t="s">
        <v>34</v>
      </c>
      <c r="J481" s="1" t="s">
        <v>62</v>
      </c>
      <c r="K481" s="1" t="s">
        <v>1587</v>
      </c>
      <c r="L481" s="1" t="s">
        <v>225</v>
      </c>
      <c r="M481" s="1">
        <v>312.10000000000002</v>
      </c>
      <c r="N481" s="1" t="s">
        <v>104</v>
      </c>
      <c r="O481" s="1">
        <v>50</v>
      </c>
      <c r="P481" s="1">
        <v>15605</v>
      </c>
      <c r="Q481" s="1">
        <v>1</v>
      </c>
      <c r="R481" s="7">
        <v>0.02</v>
      </c>
      <c r="S481" s="1">
        <v>15</v>
      </c>
      <c r="T481" s="1">
        <v>20</v>
      </c>
      <c r="U481" s="1">
        <v>-5</v>
      </c>
      <c r="V481" s="1" t="s">
        <v>270</v>
      </c>
      <c r="W481" s="1" t="s">
        <v>40</v>
      </c>
      <c r="X481" s="1" t="s">
        <v>127</v>
      </c>
      <c r="Y481" s="1" t="s">
        <v>190</v>
      </c>
      <c r="Z481" s="1" t="s">
        <v>173</v>
      </c>
      <c r="AA481" s="1" t="s">
        <v>174</v>
      </c>
      <c r="AB481" s="1" t="s">
        <v>95</v>
      </c>
      <c r="AC481" s="1"/>
      <c r="AD481" s="1">
        <v>3.7</v>
      </c>
      <c r="AE481" s="1" t="s">
        <v>108</v>
      </c>
      <c r="AF481" s="1" t="s">
        <v>130</v>
      </c>
    </row>
    <row r="482" spans="1:32" ht="18" hidden="1" customHeight="1">
      <c r="A482" s="1" t="s">
        <v>1588</v>
      </c>
      <c r="B482" s="1" t="s">
        <v>1589</v>
      </c>
      <c r="C482" s="4">
        <v>46115</v>
      </c>
      <c r="D482" s="1" t="s">
        <v>3436</v>
      </c>
      <c r="E482" s="1">
        <v>46144</v>
      </c>
      <c r="F482" s="1" t="s">
        <v>48</v>
      </c>
      <c r="G482" s="1" t="s">
        <v>232</v>
      </c>
      <c r="H482" s="1" t="s">
        <v>102</v>
      </c>
      <c r="I482" s="1" t="s">
        <v>92</v>
      </c>
      <c r="J482" s="1" t="s">
        <v>112</v>
      </c>
      <c r="K482" s="1" t="s">
        <v>1031</v>
      </c>
      <c r="L482" s="1" t="s">
        <v>246</v>
      </c>
      <c r="M482" s="1">
        <v>164.6</v>
      </c>
      <c r="N482" s="1" t="s">
        <v>159</v>
      </c>
      <c r="O482" s="1">
        <v>750</v>
      </c>
      <c r="P482" s="1">
        <v>123450</v>
      </c>
      <c r="Q482" s="1">
        <v>34</v>
      </c>
      <c r="R482" s="7">
        <v>4.53E-2</v>
      </c>
      <c r="S482" s="1">
        <v>29</v>
      </c>
      <c r="T482" s="1">
        <v>14</v>
      </c>
      <c r="U482" s="1">
        <v>15</v>
      </c>
      <c r="V482" s="1" t="s">
        <v>39</v>
      </c>
      <c r="W482" s="1" t="s">
        <v>420</v>
      </c>
      <c r="X482" s="1" t="s">
        <v>127</v>
      </c>
      <c r="Y482" s="1" t="s">
        <v>212</v>
      </c>
      <c r="Z482" s="1" t="s">
        <v>128</v>
      </c>
      <c r="AA482" s="1" t="s">
        <v>174</v>
      </c>
      <c r="AB482" s="1" t="s">
        <v>147</v>
      </c>
      <c r="AC482" s="1" t="s">
        <v>373</v>
      </c>
      <c r="AD482" s="1">
        <v>1.8</v>
      </c>
      <c r="AE482" s="1" t="s">
        <v>115</v>
      </c>
      <c r="AF482" s="1" t="s">
        <v>185</v>
      </c>
    </row>
    <row r="483" spans="1:32" ht="18" customHeight="1">
      <c r="A483" s="1" t="s">
        <v>1590</v>
      </c>
      <c r="B483" s="1" t="s">
        <v>1591</v>
      </c>
      <c r="C483" s="4" t="s">
        <v>3637</v>
      </c>
      <c r="D483" s="4">
        <v>46152</v>
      </c>
      <c r="E483" s="4"/>
      <c r="F483" s="1" t="s">
        <v>118</v>
      </c>
      <c r="G483" s="1" t="s">
        <v>3393</v>
      </c>
      <c r="H483" s="1" t="s">
        <v>301</v>
      </c>
      <c r="I483" s="1" t="s">
        <v>34</v>
      </c>
      <c r="J483" s="1" t="s">
        <v>62</v>
      </c>
      <c r="K483" s="1" t="s">
        <v>1592</v>
      </c>
      <c r="L483" s="1" t="s">
        <v>122</v>
      </c>
      <c r="M483" s="1">
        <v>602.89</v>
      </c>
      <c r="N483" s="1" t="s">
        <v>159</v>
      </c>
      <c r="O483" s="1">
        <v>150</v>
      </c>
      <c r="P483" s="1">
        <v>90433.5</v>
      </c>
      <c r="Q483" s="1">
        <v>6</v>
      </c>
      <c r="R483" s="7">
        <v>0.04</v>
      </c>
      <c r="S483" s="1">
        <v>15</v>
      </c>
      <c r="T483" s="1">
        <v>18</v>
      </c>
      <c r="U483" s="1">
        <v>-3</v>
      </c>
      <c r="V483" s="1" t="s">
        <v>87</v>
      </c>
      <c r="W483" s="1" t="s">
        <v>40</v>
      </c>
      <c r="X483" s="1"/>
      <c r="Y483" s="1" t="s">
        <v>190</v>
      </c>
      <c r="Z483" s="1" t="s">
        <v>54</v>
      </c>
      <c r="AA483" s="1" t="s">
        <v>206</v>
      </c>
      <c r="AB483" s="1" t="s">
        <v>191</v>
      </c>
      <c r="AC483" s="1"/>
      <c r="AD483" s="1">
        <v>3.9</v>
      </c>
      <c r="AE483" s="1" t="s">
        <v>115</v>
      </c>
      <c r="AF483" s="1" t="s">
        <v>130</v>
      </c>
    </row>
    <row r="484" spans="1:32" ht="18" customHeight="1">
      <c r="A484" s="1" t="s">
        <v>1593</v>
      </c>
      <c r="B484" s="1" t="s">
        <v>1594</v>
      </c>
      <c r="C484" s="4">
        <v>46113</v>
      </c>
      <c r="D484" s="4">
        <v>46120</v>
      </c>
      <c r="E484" s="4">
        <v>46117</v>
      </c>
      <c r="F484" s="1" t="s">
        <v>162</v>
      </c>
      <c r="G484" s="1" t="s">
        <v>3382</v>
      </c>
      <c r="H484" s="1" t="s">
        <v>3408</v>
      </c>
      <c r="I484" s="1" t="s">
        <v>120</v>
      </c>
      <c r="J484" s="1" t="s">
        <v>163</v>
      </c>
      <c r="K484" s="1" t="s">
        <v>1595</v>
      </c>
      <c r="L484" s="1" t="s">
        <v>165</v>
      </c>
      <c r="M484" s="1">
        <v>1248.92</v>
      </c>
      <c r="N484" s="1" t="s">
        <v>104</v>
      </c>
      <c r="O484" s="1">
        <v>300</v>
      </c>
      <c r="P484" s="1">
        <v>374676</v>
      </c>
      <c r="Q484" s="1">
        <v>0</v>
      </c>
      <c r="R484" s="7">
        <v>0</v>
      </c>
      <c r="S484" s="1">
        <v>4</v>
      </c>
      <c r="T484" s="1">
        <v>7</v>
      </c>
      <c r="U484" s="1">
        <v>-3</v>
      </c>
      <c r="V484" s="1" t="s">
        <v>3337</v>
      </c>
      <c r="W484" s="1" t="s">
        <v>40</v>
      </c>
      <c r="X484" s="1" t="s">
        <v>3324</v>
      </c>
      <c r="Y484" s="1" t="s">
        <v>106</v>
      </c>
      <c r="Z484" s="1" t="s">
        <v>3330</v>
      </c>
      <c r="AA484" s="1" t="s">
        <v>129</v>
      </c>
      <c r="AB484" s="1" t="s">
        <v>137</v>
      </c>
      <c r="AC484" s="1"/>
      <c r="AD484" s="1">
        <v>2.5</v>
      </c>
      <c r="AE484" s="1" t="s">
        <v>139</v>
      </c>
      <c r="AF484" s="1"/>
    </row>
    <row r="485" spans="1:32" ht="18" hidden="1" customHeight="1">
      <c r="A485" s="1" t="s">
        <v>1596</v>
      </c>
      <c r="B485" s="1" t="s">
        <v>1597</v>
      </c>
      <c r="C485" s="4">
        <v>46023</v>
      </c>
      <c r="D485" s="1">
        <v>46034</v>
      </c>
      <c r="E485" s="1">
        <v>46039</v>
      </c>
      <c r="F485" s="1" t="s">
        <v>60</v>
      </c>
      <c r="G485" s="1" t="s">
        <v>3488</v>
      </c>
      <c r="H485" s="1" t="s">
        <v>3354</v>
      </c>
      <c r="I485" s="1" t="s">
        <v>92</v>
      </c>
      <c r="J485" s="1" t="s">
        <v>35</v>
      </c>
      <c r="K485" s="1" t="s">
        <v>1598</v>
      </c>
      <c r="L485" s="1" t="s">
        <v>37</v>
      </c>
      <c r="M485" s="1">
        <v>747.98</v>
      </c>
      <c r="N485" s="1" t="s">
        <v>38</v>
      </c>
      <c r="O485" s="1">
        <v>500</v>
      </c>
      <c r="P485" s="1">
        <v>373990</v>
      </c>
      <c r="Q485" s="1">
        <v>32</v>
      </c>
      <c r="R485" s="7">
        <v>6.4000000000000001E-2</v>
      </c>
      <c r="S485" s="1">
        <v>16</v>
      </c>
      <c r="T485" s="1">
        <v>11</v>
      </c>
      <c r="U485" s="1">
        <v>5</v>
      </c>
      <c r="V485" s="1" t="s">
        <v>3328</v>
      </c>
      <c r="W485" s="1" t="s">
        <v>420</v>
      </c>
      <c r="X485" s="1" t="s">
        <v>41</v>
      </c>
      <c r="Y485" s="1" t="s">
        <v>66</v>
      </c>
      <c r="Z485" s="1" t="s">
        <v>3330</v>
      </c>
      <c r="AA485" s="1" t="s">
        <v>3341</v>
      </c>
      <c r="AB485" s="1" t="s">
        <v>44</v>
      </c>
      <c r="AC485" s="1" t="s">
        <v>283</v>
      </c>
      <c r="AD485" s="1">
        <v>1.2</v>
      </c>
      <c r="AE485" s="1" t="s">
        <v>45</v>
      </c>
      <c r="AF485" s="1" t="s">
        <v>77</v>
      </c>
    </row>
    <row r="486" spans="1:32" ht="18" hidden="1" customHeight="1">
      <c r="A486" s="1" t="s">
        <v>1599</v>
      </c>
      <c r="B486" s="1" t="s">
        <v>1600</v>
      </c>
      <c r="C486" s="4" t="s">
        <v>3638</v>
      </c>
      <c r="D486" s="1">
        <v>46176</v>
      </c>
      <c r="E486" s="1">
        <v>46174</v>
      </c>
      <c r="F486" s="1" t="s">
        <v>90</v>
      </c>
      <c r="G486" s="1" t="s">
        <v>3440</v>
      </c>
      <c r="H486" s="1" t="s">
        <v>3336</v>
      </c>
      <c r="I486" s="1" t="s">
        <v>70</v>
      </c>
      <c r="J486" s="1" t="s">
        <v>71</v>
      </c>
      <c r="K486" s="1" t="s">
        <v>1601</v>
      </c>
      <c r="L486" s="1" t="s">
        <v>337</v>
      </c>
      <c r="M486" s="1">
        <v>678.06</v>
      </c>
      <c r="N486" s="1" t="s">
        <v>65</v>
      </c>
      <c r="O486" s="1">
        <v>1000</v>
      </c>
      <c r="P486" s="1">
        <v>678060</v>
      </c>
      <c r="Q486" s="1">
        <v>57</v>
      </c>
      <c r="R486" s="7">
        <v>5.7000000000000002E-2</v>
      </c>
      <c r="S486" s="1">
        <v>15</v>
      </c>
      <c r="T486" s="1">
        <v>17</v>
      </c>
      <c r="U486" s="1">
        <v>-2</v>
      </c>
      <c r="V486" s="1" t="s">
        <v>87</v>
      </c>
      <c r="W486" s="1" t="s">
        <v>420</v>
      </c>
      <c r="X486" s="1" t="s">
        <v>3324</v>
      </c>
      <c r="Y486" s="1" t="s">
        <v>42</v>
      </c>
      <c r="Z486" s="1" t="s">
        <v>128</v>
      </c>
      <c r="AA486" s="1" t="s">
        <v>206</v>
      </c>
      <c r="AB486" s="1" t="s">
        <v>44</v>
      </c>
      <c r="AC486" s="1" t="s">
        <v>75</v>
      </c>
      <c r="AD486" s="1">
        <v>1.8</v>
      </c>
      <c r="AE486" s="1" t="s">
        <v>76</v>
      </c>
      <c r="AF486" s="1" t="s">
        <v>97</v>
      </c>
    </row>
    <row r="487" spans="1:32" ht="18" customHeight="1">
      <c r="A487" s="1" t="s">
        <v>1602</v>
      </c>
      <c r="B487" s="1" t="s">
        <v>1603</v>
      </c>
      <c r="C487" s="4">
        <v>46064</v>
      </c>
      <c r="D487" s="4">
        <v>46071</v>
      </c>
      <c r="E487" s="4">
        <v>46067</v>
      </c>
      <c r="F487" s="1" t="s">
        <v>60</v>
      </c>
      <c r="G487" s="1" t="s">
        <v>466</v>
      </c>
      <c r="H487" s="1" t="s">
        <v>3408</v>
      </c>
      <c r="I487" s="1" t="s">
        <v>120</v>
      </c>
      <c r="J487" s="1" t="s">
        <v>35</v>
      </c>
      <c r="K487" s="1" t="s">
        <v>1604</v>
      </c>
      <c r="L487" s="1" t="s">
        <v>180</v>
      </c>
      <c r="M487" s="1">
        <v>317.04000000000002</v>
      </c>
      <c r="N487" s="1" t="s">
        <v>159</v>
      </c>
      <c r="O487" s="1">
        <v>50</v>
      </c>
      <c r="P487" s="1"/>
      <c r="Q487" s="1">
        <v>0</v>
      </c>
      <c r="R487" s="7">
        <v>0</v>
      </c>
      <c r="S487" s="1">
        <v>3</v>
      </c>
      <c r="T487" s="1">
        <v>7</v>
      </c>
      <c r="U487" s="1">
        <v>-4</v>
      </c>
      <c r="V487" s="1" t="s">
        <v>3352</v>
      </c>
      <c r="W487" s="1" t="s">
        <v>40</v>
      </c>
      <c r="X487" s="1" t="s">
        <v>105</v>
      </c>
      <c r="Y487" s="1" t="s">
        <v>42</v>
      </c>
      <c r="Z487" s="1" t="s">
        <v>43</v>
      </c>
      <c r="AA487" s="1" t="s">
        <v>3341</v>
      </c>
      <c r="AB487" s="1"/>
      <c r="AC487" s="1"/>
      <c r="AD487" s="1">
        <v>2.2999999999999998</v>
      </c>
      <c r="AE487" s="1" t="s">
        <v>184</v>
      </c>
      <c r="AF487" s="1"/>
    </row>
    <row r="488" spans="1:32" ht="18" customHeight="1">
      <c r="A488" s="1" t="s">
        <v>1605</v>
      </c>
      <c r="B488" s="1" t="s">
        <v>1606</v>
      </c>
      <c r="C488" s="4">
        <v>46117</v>
      </c>
      <c r="D488" s="4">
        <v>46136</v>
      </c>
      <c r="E488" s="4" t="s">
        <v>3639</v>
      </c>
      <c r="F488" s="1" t="s">
        <v>32</v>
      </c>
      <c r="G488" s="1" t="s">
        <v>3422</v>
      </c>
      <c r="H488" s="1" t="s">
        <v>177</v>
      </c>
      <c r="I488" s="1" t="s">
        <v>61</v>
      </c>
      <c r="J488" s="1" t="s">
        <v>35</v>
      </c>
      <c r="K488" s="1" t="s">
        <v>1607</v>
      </c>
      <c r="L488" s="1" t="s">
        <v>37</v>
      </c>
      <c r="M488" s="1">
        <v>1774.55</v>
      </c>
      <c r="N488" s="1" t="s">
        <v>65</v>
      </c>
      <c r="O488" s="1">
        <v>100</v>
      </c>
      <c r="P488" s="1">
        <v>177455</v>
      </c>
      <c r="Q488" s="1">
        <v>0</v>
      </c>
      <c r="R488" s="7">
        <v>0</v>
      </c>
      <c r="S488" s="1">
        <v>18</v>
      </c>
      <c r="T488" s="1">
        <v>19</v>
      </c>
      <c r="U488" s="1">
        <v>-1</v>
      </c>
      <c r="V488" s="1" t="s">
        <v>87</v>
      </c>
      <c r="W488" s="1" t="s">
        <v>40</v>
      </c>
      <c r="X488" s="1" t="s">
        <v>105</v>
      </c>
      <c r="Y488" s="1" t="s">
        <v>212</v>
      </c>
      <c r="Z488" s="1" t="s">
        <v>107</v>
      </c>
      <c r="AA488" s="1" t="s">
        <v>88</v>
      </c>
      <c r="AB488" s="1"/>
      <c r="AC488" s="1"/>
      <c r="AD488" s="1">
        <v>4.3</v>
      </c>
      <c r="AE488" s="1" t="s">
        <v>57</v>
      </c>
      <c r="AF488" s="1"/>
    </row>
    <row r="489" spans="1:32" ht="18" customHeight="1">
      <c r="A489" s="1" t="s">
        <v>1608</v>
      </c>
      <c r="B489" s="1" t="s">
        <v>1609</v>
      </c>
      <c r="C489" s="4" t="s">
        <v>3640</v>
      </c>
      <c r="D489" s="4">
        <v>46130</v>
      </c>
      <c r="E489" s="4">
        <v>46114</v>
      </c>
      <c r="F489" s="1" t="s">
        <v>100</v>
      </c>
      <c r="G489" s="1" t="s">
        <v>101</v>
      </c>
      <c r="H489" s="1" t="s">
        <v>3361</v>
      </c>
      <c r="I489" s="1" t="s">
        <v>49</v>
      </c>
      <c r="J489" s="1" t="s">
        <v>50</v>
      </c>
      <c r="K489" s="1" t="s">
        <v>1610</v>
      </c>
      <c r="L489" s="1" t="s">
        <v>145</v>
      </c>
      <c r="M489" s="1">
        <v>1025.04</v>
      </c>
      <c r="N489" s="1"/>
      <c r="O489" s="1">
        <v>200</v>
      </c>
      <c r="P489" s="1">
        <v>205008</v>
      </c>
      <c r="Q489" s="1">
        <v>3</v>
      </c>
      <c r="R489" s="7">
        <v>1.4999999999999999E-2</v>
      </c>
      <c r="S489" s="1">
        <v>2</v>
      </c>
      <c r="T489" s="1">
        <v>18</v>
      </c>
      <c r="U489" s="1">
        <v>-16</v>
      </c>
      <c r="V489" s="1" t="s">
        <v>87</v>
      </c>
      <c r="W489" s="1" t="s">
        <v>40</v>
      </c>
      <c r="X489" s="1" t="s">
        <v>3324</v>
      </c>
      <c r="Y489" s="1"/>
      <c r="Z489" s="1"/>
      <c r="AA489" s="1" t="s">
        <v>55</v>
      </c>
      <c r="AB489" s="1" t="s">
        <v>137</v>
      </c>
      <c r="AC489" s="1"/>
      <c r="AD489" s="1">
        <v>2.9</v>
      </c>
      <c r="AE489" s="1" t="s">
        <v>115</v>
      </c>
      <c r="AF489" s="1"/>
    </row>
    <row r="490" spans="1:32" ht="18" hidden="1" customHeight="1">
      <c r="A490" s="1" t="s">
        <v>1611</v>
      </c>
      <c r="B490" s="1" t="s">
        <v>1612</v>
      </c>
      <c r="C490" s="4">
        <v>46066</v>
      </c>
      <c r="D490" s="1">
        <v>46082</v>
      </c>
      <c r="E490" s="1">
        <v>46082</v>
      </c>
      <c r="F490" s="1" t="s">
        <v>867</v>
      </c>
      <c r="G490" s="1" t="s">
        <v>3467</v>
      </c>
      <c r="H490" s="1" t="s">
        <v>102</v>
      </c>
      <c r="I490" s="1" t="s">
        <v>49</v>
      </c>
      <c r="J490" s="1" t="s">
        <v>50</v>
      </c>
      <c r="K490" s="1" t="s">
        <v>1613</v>
      </c>
      <c r="L490" s="1" t="s">
        <v>189</v>
      </c>
      <c r="M490" s="1">
        <v>3073.37</v>
      </c>
      <c r="N490" s="1" t="s">
        <v>38</v>
      </c>
      <c r="O490" s="1">
        <v>75</v>
      </c>
      <c r="P490" s="1">
        <v>230502.75</v>
      </c>
      <c r="Q490" s="1">
        <v>4</v>
      </c>
      <c r="R490" s="7">
        <v>5.33E-2</v>
      </c>
      <c r="S490" s="1">
        <v>16</v>
      </c>
      <c r="T490" s="1">
        <v>16</v>
      </c>
      <c r="U490" s="1">
        <v>0</v>
      </c>
      <c r="V490" s="1" t="s">
        <v>3352</v>
      </c>
      <c r="W490" s="1" t="s">
        <v>74</v>
      </c>
      <c r="X490" s="1"/>
      <c r="Y490" s="1" t="s">
        <v>212</v>
      </c>
      <c r="Z490" s="1" t="s">
        <v>54</v>
      </c>
      <c r="AA490" s="1" t="s">
        <v>88</v>
      </c>
      <c r="AB490" s="1" t="s">
        <v>191</v>
      </c>
      <c r="AC490" s="1" t="s">
        <v>283</v>
      </c>
      <c r="AD490" s="1">
        <v>3</v>
      </c>
      <c r="AE490" s="1" t="s">
        <v>139</v>
      </c>
      <c r="AF490" s="1" t="s">
        <v>1614</v>
      </c>
    </row>
    <row r="491" spans="1:32" ht="18" customHeight="1">
      <c r="A491" s="1" t="s">
        <v>1615</v>
      </c>
      <c r="B491" s="1" t="s">
        <v>1616</v>
      </c>
      <c r="C491" s="4">
        <v>46103</v>
      </c>
      <c r="D491" s="4">
        <v>46116</v>
      </c>
      <c r="E491" s="4">
        <v>46118</v>
      </c>
      <c r="F491" s="1" t="s">
        <v>48</v>
      </c>
      <c r="G491" s="1" t="s">
        <v>232</v>
      </c>
      <c r="H491" s="1" t="s">
        <v>3322</v>
      </c>
      <c r="I491" s="1" t="s">
        <v>49</v>
      </c>
      <c r="J491" s="1" t="s">
        <v>50</v>
      </c>
      <c r="K491" s="1" t="s">
        <v>1617</v>
      </c>
      <c r="L491" s="1" t="s">
        <v>189</v>
      </c>
      <c r="M491" s="1">
        <v>733.67</v>
      </c>
      <c r="N491" s="1" t="s">
        <v>65</v>
      </c>
      <c r="O491" s="1">
        <v>50</v>
      </c>
      <c r="P491" s="1">
        <v>36683.5</v>
      </c>
      <c r="Q491" s="1">
        <v>1</v>
      </c>
      <c r="R491" s="7">
        <v>0.02</v>
      </c>
      <c r="S491" s="1">
        <v>15</v>
      </c>
      <c r="T491" s="1"/>
      <c r="U491" s="1">
        <v>2</v>
      </c>
      <c r="V491" s="1" t="s">
        <v>135</v>
      </c>
      <c r="W491" s="1" t="s">
        <v>40</v>
      </c>
      <c r="X491" s="1" t="s">
        <v>3324</v>
      </c>
      <c r="Y491" s="1" t="s">
        <v>212</v>
      </c>
      <c r="Z491" s="1"/>
      <c r="AA491" s="1" t="s">
        <v>129</v>
      </c>
      <c r="AB491" s="1" t="s">
        <v>95</v>
      </c>
      <c r="AC491" s="1"/>
      <c r="AD491" s="1">
        <v>3.1</v>
      </c>
      <c r="AE491" s="1" t="s">
        <v>57</v>
      </c>
      <c r="AF491" s="1" t="s">
        <v>46</v>
      </c>
    </row>
    <row r="492" spans="1:32" ht="18" hidden="1" customHeight="1">
      <c r="A492" s="1" t="s">
        <v>1371</v>
      </c>
      <c r="B492" s="1" t="s">
        <v>1618</v>
      </c>
      <c r="C492" s="4" t="s">
        <v>3577</v>
      </c>
      <c r="D492" s="1">
        <v>46103</v>
      </c>
      <c r="E492" s="1">
        <v>46099</v>
      </c>
      <c r="F492" s="1" t="s">
        <v>215</v>
      </c>
      <c r="G492" s="1" t="s">
        <v>216</v>
      </c>
      <c r="H492" s="1" t="s">
        <v>3327</v>
      </c>
      <c r="I492" s="1" t="s">
        <v>49</v>
      </c>
      <c r="J492" s="1" t="s">
        <v>112</v>
      </c>
      <c r="K492" s="1" t="s">
        <v>1619</v>
      </c>
      <c r="L492" s="1" t="s">
        <v>246</v>
      </c>
      <c r="M492" s="1">
        <v>385.13</v>
      </c>
      <c r="N492" s="1" t="s">
        <v>65</v>
      </c>
      <c r="O492" s="1" t="s">
        <v>3348</v>
      </c>
      <c r="P492" s="1">
        <v>19256.5</v>
      </c>
      <c r="Q492" s="1">
        <v>4</v>
      </c>
      <c r="R492" s="7">
        <v>0.08</v>
      </c>
      <c r="S492" s="1">
        <v>7</v>
      </c>
      <c r="T492" s="1">
        <v>11</v>
      </c>
      <c r="U492" s="1">
        <v>-4</v>
      </c>
      <c r="V492" s="1" t="s">
        <v>3337</v>
      </c>
      <c r="W492" s="1" t="s">
        <v>74</v>
      </c>
      <c r="X492" s="1" t="s">
        <v>105</v>
      </c>
      <c r="Y492" s="1" t="s">
        <v>3334</v>
      </c>
      <c r="Z492" s="1" t="s">
        <v>3333</v>
      </c>
      <c r="AA492" s="1" t="s">
        <v>3341</v>
      </c>
      <c r="AB492" s="1" t="s">
        <v>147</v>
      </c>
      <c r="AC492" s="1" t="s">
        <v>96</v>
      </c>
      <c r="AD492" s="1">
        <v>2</v>
      </c>
      <c r="AE492" s="1" t="s">
        <v>57</v>
      </c>
      <c r="AF492" s="1" t="s">
        <v>97</v>
      </c>
    </row>
    <row r="493" spans="1:32" ht="18" hidden="1" customHeight="1">
      <c r="A493" s="1" t="s">
        <v>1620</v>
      </c>
      <c r="B493" s="1" t="s">
        <v>1621</v>
      </c>
      <c r="C493" s="4">
        <v>46097</v>
      </c>
      <c r="D493" s="1" t="s">
        <v>3400</v>
      </c>
      <c r="E493" s="1">
        <v>46113</v>
      </c>
      <c r="F493" s="1" t="s">
        <v>90</v>
      </c>
      <c r="G493" s="1" t="s">
        <v>91</v>
      </c>
      <c r="H493" s="1" t="s">
        <v>133</v>
      </c>
      <c r="I493" s="1" t="s">
        <v>92</v>
      </c>
      <c r="J493" s="1" t="s">
        <v>71</v>
      </c>
      <c r="K493" s="1" t="s">
        <v>1622</v>
      </c>
      <c r="L493" s="1" t="s">
        <v>73</v>
      </c>
      <c r="M493" s="1" t="s">
        <v>3641</v>
      </c>
      <c r="N493" s="1" t="s">
        <v>53</v>
      </c>
      <c r="O493" s="1">
        <v>1000</v>
      </c>
      <c r="P493" s="1">
        <v>760700</v>
      </c>
      <c r="Q493" s="1">
        <v>63</v>
      </c>
      <c r="R493" s="7">
        <v>6.3E-2</v>
      </c>
      <c r="S493" s="1">
        <v>16</v>
      </c>
      <c r="T493" s="1">
        <v>19</v>
      </c>
      <c r="U493" s="1">
        <v>-3</v>
      </c>
      <c r="V493" s="1" t="s">
        <v>87</v>
      </c>
      <c r="W493" s="1" t="s">
        <v>74</v>
      </c>
      <c r="X493" s="1" t="s">
        <v>127</v>
      </c>
      <c r="Y493" s="1" t="s">
        <v>3334</v>
      </c>
      <c r="Z493" s="1" t="s">
        <v>3330</v>
      </c>
      <c r="AA493" s="1" t="s">
        <v>3341</v>
      </c>
      <c r="AB493" s="1" t="s">
        <v>56</v>
      </c>
      <c r="AC493" s="1" t="s">
        <v>283</v>
      </c>
      <c r="AD493" s="1">
        <v>1.6</v>
      </c>
      <c r="AE493" s="1" t="s">
        <v>45</v>
      </c>
      <c r="AF493" s="1" t="s">
        <v>284</v>
      </c>
    </row>
    <row r="494" spans="1:32" ht="18" customHeight="1">
      <c r="A494" s="1" t="s">
        <v>1623</v>
      </c>
      <c r="B494" s="1" t="s">
        <v>1624</v>
      </c>
      <c r="C494" s="4">
        <v>46048</v>
      </c>
      <c r="D494" s="4">
        <v>46057</v>
      </c>
      <c r="E494" s="4">
        <v>46064</v>
      </c>
      <c r="F494" s="1" t="s">
        <v>215</v>
      </c>
      <c r="G494" s="1" t="s">
        <v>3415</v>
      </c>
      <c r="H494" s="1" t="s">
        <v>152</v>
      </c>
      <c r="I494" s="1" t="s">
        <v>120</v>
      </c>
      <c r="J494" s="1" t="s">
        <v>112</v>
      </c>
      <c r="K494" s="1" t="s">
        <v>1625</v>
      </c>
      <c r="L494" s="1" t="s">
        <v>229</v>
      </c>
      <c r="M494" s="1">
        <v>343.83</v>
      </c>
      <c r="N494" s="1"/>
      <c r="O494" s="1">
        <v>500</v>
      </c>
      <c r="P494" s="1">
        <v>171915</v>
      </c>
      <c r="Q494" s="1">
        <v>11</v>
      </c>
      <c r="R494" s="7">
        <v>2.1999999999999999E-2</v>
      </c>
      <c r="S494" s="1">
        <v>16</v>
      </c>
      <c r="T494" s="1">
        <v>9</v>
      </c>
      <c r="U494" s="1">
        <v>7</v>
      </c>
      <c r="V494" s="1" t="s">
        <v>39</v>
      </c>
      <c r="W494" s="1" t="s">
        <v>40</v>
      </c>
      <c r="X494" s="1" t="s">
        <v>41</v>
      </c>
      <c r="Y494" s="1" t="s">
        <v>212</v>
      </c>
      <c r="Z494" s="1" t="s">
        <v>43</v>
      </c>
      <c r="AA494" s="1" t="s">
        <v>136</v>
      </c>
      <c r="AB494" s="1" t="s">
        <v>191</v>
      </c>
      <c r="AC494" s="1"/>
      <c r="AD494" s="1">
        <v>2.7</v>
      </c>
      <c r="AE494" s="1" t="s">
        <v>184</v>
      </c>
      <c r="AF494" s="1" t="s">
        <v>46</v>
      </c>
    </row>
    <row r="495" spans="1:32" ht="18" customHeight="1">
      <c r="A495" s="1" t="s">
        <v>1626</v>
      </c>
      <c r="B495" s="1" t="s">
        <v>1627</v>
      </c>
      <c r="C495" s="4">
        <v>46167</v>
      </c>
      <c r="D495" s="4">
        <v>46178</v>
      </c>
      <c r="E495" s="4">
        <v>46187</v>
      </c>
      <c r="F495" s="1" t="s">
        <v>235</v>
      </c>
      <c r="G495" s="1" t="s">
        <v>3474</v>
      </c>
      <c r="H495" s="1" t="s">
        <v>3371</v>
      </c>
      <c r="I495" s="1" t="s">
        <v>241</v>
      </c>
      <c r="J495" s="1" t="s">
        <v>71</v>
      </c>
      <c r="K495" s="1" t="s">
        <v>1628</v>
      </c>
      <c r="L495" s="1" t="s">
        <v>337</v>
      </c>
      <c r="M495" s="1">
        <v>54.75</v>
      </c>
      <c r="N495" s="1" t="s">
        <v>53</v>
      </c>
      <c r="O495" s="1">
        <v>750</v>
      </c>
      <c r="P495" s="1">
        <v>41062.5</v>
      </c>
      <c r="Q495" s="1">
        <v>22</v>
      </c>
      <c r="R495" s="7">
        <v>2.93E-2</v>
      </c>
      <c r="S495" s="1">
        <v>20</v>
      </c>
      <c r="T495" s="1">
        <v>11</v>
      </c>
      <c r="U495" s="1">
        <v>9</v>
      </c>
      <c r="V495" s="1" t="s">
        <v>39</v>
      </c>
      <c r="W495" s="1"/>
      <c r="X495" s="1" t="s">
        <v>146</v>
      </c>
      <c r="Y495" s="1" t="s">
        <v>212</v>
      </c>
      <c r="Z495" s="1" t="s">
        <v>54</v>
      </c>
      <c r="AA495" s="1" t="s">
        <v>3341</v>
      </c>
      <c r="AB495" s="1" t="s">
        <v>56</v>
      </c>
      <c r="AC495" s="1"/>
      <c r="AD495" s="1">
        <v>2.1</v>
      </c>
      <c r="AE495" s="1" t="s">
        <v>45</v>
      </c>
      <c r="AF495" s="1" t="s">
        <v>148</v>
      </c>
    </row>
    <row r="496" spans="1:32" ht="18" hidden="1" customHeight="1">
      <c r="A496" s="1" t="s">
        <v>1629</v>
      </c>
      <c r="B496" s="1" t="s">
        <v>1630</v>
      </c>
      <c r="C496" s="4">
        <v>46090</v>
      </c>
      <c r="D496" s="1">
        <v>46105</v>
      </c>
      <c r="E496" s="1">
        <v>46104</v>
      </c>
      <c r="F496" s="1" t="s">
        <v>256</v>
      </c>
      <c r="G496" s="1" t="s">
        <v>3432</v>
      </c>
      <c r="H496" s="1" t="s">
        <v>258</v>
      </c>
      <c r="I496" s="1" t="s">
        <v>241</v>
      </c>
      <c r="J496" s="1" t="s">
        <v>153</v>
      </c>
      <c r="K496" s="1" t="s">
        <v>1631</v>
      </c>
      <c r="L496" s="1" t="s">
        <v>204</v>
      </c>
      <c r="M496" s="1">
        <v>582.67999999999995</v>
      </c>
      <c r="N496" s="1" t="s">
        <v>104</v>
      </c>
      <c r="O496" s="1">
        <v>100</v>
      </c>
      <c r="P496" s="1">
        <v>58268</v>
      </c>
      <c r="Q496" s="1">
        <v>5</v>
      </c>
      <c r="R496" s="7">
        <v>0.05</v>
      </c>
      <c r="S496" s="1">
        <v>14</v>
      </c>
      <c r="T496" s="1">
        <v>15</v>
      </c>
      <c r="U496" s="1">
        <v>-1</v>
      </c>
      <c r="V496" s="1" t="s">
        <v>3352</v>
      </c>
      <c r="W496" s="1" t="s">
        <v>3384</v>
      </c>
      <c r="X496" s="1" t="s">
        <v>3324</v>
      </c>
      <c r="Y496" s="1" t="s">
        <v>3334</v>
      </c>
      <c r="Z496" s="1" t="s">
        <v>54</v>
      </c>
      <c r="AA496" s="1" t="s">
        <v>206</v>
      </c>
      <c r="AB496" s="1"/>
      <c r="AC496" s="1" t="s">
        <v>75</v>
      </c>
      <c r="AD496" s="1">
        <v>2.6</v>
      </c>
      <c r="AE496" s="1" t="s">
        <v>45</v>
      </c>
      <c r="AF496" s="1" t="s">
        <v>97</v>
      </c>
    </row>
    <row r="497" spans="1:32" ht="18" customHeight="1">
      <c r="A497" s="1" t="s">
        <v>1632</v>
      </c>
      <c r="B497" s="1" t="s">
        <v>1633</v>
      </c>
      <c r="C497" s="4">
        <v>46036</v>
      </c>
      <c r="D497" s="4">
        <v>46049</v>
      </c>
      <c r="E497" s="4">
        <v>46044</v>
      </c>
      <c r="F497" s="1" t="s">
        <v>80</v>
      </c>
      <c r="G497" s="1" t="s">
        <v>3470</v>
      </c>
      <c r="H497" s="1" t="s">
        <v>82</v>
      </c>
      <c r="I497" s="1" t="s">
        <v>92</v>
      </c>
      <c r="J497" s="1" t="s">
        <v>35</v>
      </c>
      <c r="K497" s="1" t="s">
        <v>1634</v>
      </c>
      <c r="L497" s="1" t="s">
        <v>85</v>
      </c>
      <c r="M497" s="1">
        <v>4327.4799999999996</v>
      </c>
      <c r="N497" s="1" t="s">
        <v>53</v>
      </c>
      <c r="O497" s="1">
        <v>2000</v>
      </c>
      <c r="P497" s="1">
        <v>8654960</v>
      </c>
      <c r="Q497" s="1">
        <v>39</v>
      </c>
      <c r="R497" s="7">
        <v>1.95E-2</v>
      </c>
      <c r="S497" s="1">
        <v>8</v>
      </c>
      <c r="T497" s="1">
        <v>13</v>
      </c>
      <c r="U497" s="1">
        <v>-5</v>
      </c>
      <c r="V497" s="1" t="s">
        <v>270</v>
      </c>
      <c r="W497" s="1" t="s">
        <v>40</v>
      </c>
      <c r="X497" s="1" t="s">
        <v>105</v>
      </c>
      <c r="Y497" s="1" t="s">
        <v>106</v>
      </c>
      <c r="Z497" s="1" t="s">
        <v>173</v>
      </c>
      <c r="AA497" s="1" t="s">
        <v>129</v>
      </c>
      <c r="AB497" s="1" t="s">
        <v>137</v>
      </c>
      <c r="AC497" s="1"/>
      <c r="AD497" s="1">
        <v>3.8</v>
      </c>
      <c r="AE497" s="1" t="s">
        <v>115</v>
      </c>
      <c r="AF497" s="1"/>
    </row>
    <row r="498" spans="1:32" ht="18" customHeight="1">
      <c r="A498" s="1" t="s">
        <v>1635</v>
      </c>
      <c r="B498" s="1" t="s">
        <v>1636</v>
      </c>
      <c r="C498" s="4">
        <v>46092</v>
      </c>
      <c r="D498" s="4">
        <v>46111</v>
      </c>
      <c r="E498" s="4">
        <v>46100</v>
      </c>
      <c r="F498" s="1" t="s">
        <v>235</v>
      </c>
      <c r="G498" s="1" t="s">
        <v>3426</v>
      </c>
      <c r="H498" s="1" t="s">
        <v>479</v>
      </c>
      <c r="I498" s="1" t="s">
        <v>120</v>
      </c>
      <c r="J498" s="1" t="s">
        <v>163</v>
      </c>
      <c r="K498" s="1" t="s">
        <v>1637</v>
      </c>
      <c r="L498" s="1" t="s">
        <v>165</v>
      </c>
      <c r="M498" s="1">
        <v>535.71</v>
      </c>
      <c r="N498" s="1" t="s">
        <v>65</v>
      </c>
      <c r="O498" s="1">
        <v>300</v>
      </c>
      <c r="P498" s="1">
        <v>160713</v>
      </c>
      <c r="Q498" s="1">
        <v>8</v>
      </c>
      <c r="R498" s="7">
        <v>2.6700000000000002E-2</v>
      </c>
      <c r="S498" s="1">
        <v>8</v>
      </c>
      <c r="T498" s="1">
        <v>19</v>
      </c>
      <c r="U498" s="1">
        <v>-11</v>
      </c>
      <c r="V498" s="1" t="s">
        <v>3352</v>
      </c>
      <c r="W498" s="1" t="s">
        <v>40</v>
      </c>
      <c r="X498" s="1" t="s">
        <v>41</v>
      </c>
      <c r="Y498" s="1" t="s">
        <v>190</v>
      </c>
      <c r="Z498" s="1" t="s">
        <v>107</v>
      </c>
      <c r="AA498" s="1" t="s">
        <v>136</v>
      </c>
      <c r="AB498" s="1" t="s">
        <v>147</v>
      </c>
      <c r="AC498" s="1"/>
      <c r="AD498" s="1">
        <v>4.8</v>
      </c>
      <c r="AE498" s="1" t="s">
        <v>184</v>
      </c>
      <c r="AF498" s="1"/>
    </row>
    <row r="499" spans="1:32" ht="18" customHeight="1">
      <c r="A499" s="1" t="s">
        <v>1638</v>
      </c>
      <c r="B499" s="1" t="s">
        <v>1639</v>
      </c>
      <c r="C499" s="4" t="s">
        <v>3642</v>
      </c>
      <c r="D499" s="4" t="s">
        <v>3400</v>
      </c>
      <c r="E499" s="4">
        <v>46169</v>
      </c>
      <c r="F499" s="1" t="s">
        <v>118</v>
      </c>
      <c r="G499" s="1" t="s">
        <v>119</v>
      </c>
      <c r="H499" s="1" t="s">
        <v>301</v>
      </c>
      <c r="I499" s="1" t="s">
        <v>70</v>
      </c>
      <c r="J499" s="1" t="s">
        <v>62</v>
      </c>
      <c r="K499" s="1" t="s">
        <v>1640</v>
      </c>
      <c r="L499" s="1" t="s">
        <v>64</v>
      </c>
      <c r="M499" s="1">
        <v>238.14</v>
      </c>
      <c r="N499" s="1" t="s">
        <v>53</v>
      </c>
      <c r="O499" s="1">
        <v>200</v>
      </c>
      <c r="P499" s="1">
        <v>47628</v>
      </c>
      <c r="Q499" s="1">
        <v>7</v>
      </c>
      <c r="R499" s="7">
        <v>3.5000000000000003E-2</v>
      </c>
      <c r="S499" s="1">
        <v>21</v>
      </c>
      <c r="T499" s="1">
        <v>25</v>
      </c>
      <c r="U499" s="1">
        <v>-4</v>
      </c>
      <c r="V499" s="1" t="s">
        <v>3352</v>
      </c>
      <c r="W499" s="1" t="s">
        <v>40</v>
      </c>
      <c r="X499" s="1" t="s">
        <v>105</v>
      </c>
      <c r="Y499" s="1" t="s">
        <v>3334</v>
      </c>
      <c r="Z499" s="1" t="s">
        <v>107</v>
      </c>
      <c r="AA499" s="1" t="s">
        <v>206</v>
      </c>
      <c r="AB499" s="1" t="s">
        <v>44</v>
      </c>
      <c r="AC499" s="1"/>
      <c r="AD499" s="1">
        <v>2.8</v>
      </c>
      <c r="AE499" s="1" t="s">
        <v>57</v>
      </c>
      <c r="AF499" s="1"/>
    </row>
    <row r="500" spans="1:32" ht="18" hidden="1" customHeight="1">
      <c r="A500" s="1" t="s">
        <v>1641</v>
      </c>
      <c r="B500" s="1" t="s">
        <v>1642</v>
      </c>
      <c r="C500" s="4">
        <v>46107</v>
      </c>
      <c r="D500" s="1">
        <v>46128</v>
      </c>
      <c r="E500" s="1">
        <v>46116</v>
      </c>
      <c r="F500" s="1" t="s">
        <v>32</v>
      </c>
      <c r="G500" s="1" t="s">
        <v>33</v>
      </c>
      <c r="H500" s="1" t="s">
        <v>3395</v>
      </c>
      <c r="I500" s="1" t="s">
        <v>120</v>
      </c>
      <c r="J500" s="1" t="s">
        <v>35</v>
      </c>
      <c r="K500" s="1" t="s">
        <v>1643</v>
      </c>
      <c r="L500" s="1" t="s">
        <v>200</v>
      </c>
      <c r="M500" s="1"/>
      <c r="N500" s="1" t="s">
        <v>53</v>
      </c>
      <c r="O500" s="1">
        <v>50</v>
      </c>
      <c r="P500" s="1">
        <v>162056.5</v>
      </c>
      <c r="Q500" s="1">
        <v>3</v>
      </c>
      <c r="R500" s="7">
        <v>0.06</v>
      </c>
      <c r="S500" s="1">
        <v>9</v>
      </c>
      <c r="T500" s="1">
        <v>21</v>
      </c>
      <c r="U500" s="1">
        <v>-12</v>
      </c>
      <c r="V500" s="1" t="s">
        <v>3337</v>
      </c>
      <c r="W500" s="1" t="s">
        <v>3384</v>
      </c>
      <c r="X500" s="1"/>
      <c r="Y500" s="1" t="s">
        <v>3334</v>
      </c>
      <c r="Z500" s="1" t="s">
        <v>128</v>
      </c>
      <c r="AA500" s="1" t="s">
        <v>3341</v>
      </c>
      <c r="AB500" s="1" t="s">
        <v>44</v>
      </c>
      <c r="AC500" s="1" t="s">
        <v>283</v>
      </c>
      <c r="AD500" s="1">
        <v>1.2</v>
      </c>
      <c r="AE500" s="1" t="s">
        <v>76</v>
      </c>
      <c r="AF500" s="1" t="s">
        <v>284</v>
      </c>
    </row>
    <row r="501" spans="1:32" ht="18" customHeight="1">
      <c r="A501" s="1" t="s">
        <v>1644</v>
      </c>
      <c r="B501" s="1" t="s">
        <v>1645</v>
      </c>
      <c r="C501" s="4">
        <v>46197</v>
      </c>
      <c r="D501" s="4">
        <v>46204</v>
      </c>
      <c r="E501" s="4">
        <v>46203</v>
      </c>
      <c r="F501" s="1" t="s">
        <v>151</v>
      </c>
      <c r="G501" s="1" t="s">
        <v>3351</v>
      </c>
      <c r="H501" s="1" t="s">
        <v>3408</v>
      </c>
      <c r="I501" s="1" t="s">
        <v>178</v>
      </c>
      <c r="J501" s="1" t="s">
        <v>112</v>
      </c>
      <c r="K501" s="1" t="s">
        <v>684</v>
      </c>
      <c r="L501" s="1" t="s">
        <v>229</v>
      </c>
      <c r="M501" s="1">
        <v>659.96</v>
      </c>
      <c r="N501" s="1" t="s">
        <v>38</v>
      </c>
      <c r="O501" s="1">
        <v>1000</v>
      </c>
      <c r="P501" s="1">
        <v>659960</v>
      </c>
      <c r="Q501" s="1">
        <v>25</v>
      </c>
      <c r="R501" s="7">
        <v>2.5000000000000001E-2</v>
      </c>
      <c r="S501" s="1">
        <v>6</v>
      </c>
      <c r="T501" s="1">
        <v>7</v>
      </c>
      <c r="U501" s="1">
        <v>-1</v>
      </c>
      <c r="V501" s="1" t="s">
        <v>270</v>
      </c>
      <c r="W501" s="1" t="s">
        <v>40</v>
      </c>
      <c r="X501" s="1" t="s">
        <v>105</v>
      </c>
      <c r="Y501" s="1" t="s">
        <v>190</v>
      </c>
      <c r="Z501" s="1" t="s">
        <v>3333</v>
      </c>
      <c r="AA501" s="1" t="s">
        <v>129</v>
      </c>
      <c r="AB501" s="1" t="s">
        <v>95</v>
      </c>
      <c r="AC501" s="1"/>
      <c r="AD501" s="1">
        <v>3.5</v>
      </c>
      <c r="AE501" s="1" t="s">
        <v>184</v>
      </c>
      <c r="AF501" s="1"/>
    </row>
    <row r="502" spans="1:32" ht="18" customHeight="1">
      <c r="A502" s="1" t="s">
        <v>1646</v>
      </c>
      <c r="B502" s="1" t="s">
        <v>1647</v>
      </c>
      <c r="C502" s="4">
        <v>46118</v>
      </c>
      <c r="D502" s="4" t="s">
        <v>3643</v>
      </c>
      <c r="E502" s="4" t="s">
        <v>3400</v>
      </c>
      <c r="F502" s="1" t="s">
        <v>215</v>
      </c>
      <c r="G502" s="1" t="s">
        <v>216</v>
      </c>
      <c r="H502" s="1" t="s">
        <v>3408</v>
      </c>
      <c r="I502" s="1" t="s">
        <v>92</v>
      </c>
      <c r="J502" s="1" t="s">
        <v>112</v>
      </c>
      <c r="K502" s="1" t="s">
        <v>1648</v>
      </c>
      <c r="L502" s="1" t="s">
        <v>114</v>
      </c>
      <c r="M502" s="1">
        <v>495.88</v>
      </c>
      <c r="N502" s="1" t="s">
        <v>65</v>
      </c>
      <c r="O502" s="1">
        <v>1500</v>
      </c>
      <c r="P502" s="1">
        <v>743820</v>
      </c>
      <c r="Q502" s="1">
        <v>25</v>
      </c>
      <c r="R502" s="7">
        <v>1.67E-2</v>
      </c>
      <c r="S502" s="1">
        <v>12</v>
      </c>
      <c r="T502" s="1">
        <v>8</v>
      </c>
      <c r="U502" s="1">
        <v>4</v>
      </c>
      <c r="V502" s="1" t="s">
        <v>39</v>
      </c>
      <c r="W502" s="1" t="s">
        <v>40</v>
      </c>
      <c r="X502" s="1" t="s">
        <v>127</v>
      </c>
      <c r="Y502" s="1" t="s">
        <v>106</v>
      </c>
      <c r="Z502" s="1" t="s">
        <v>128</v>
      </c>
      <c r="AA502" s="1" t="s">
        <v>136</v>
      </c>
      <c r="AB502" s="1" t="s">
        <v>191</v>
      </c>
      <c r="AC502" s="1"/>
      <c r="AD502" s="1">
        <v>2.2000000000000002</v>
      </c>
      <c r="AE502" s="1" t="s">
        <v>184</v>
      </c>
      <c r="AF502" s="1" t="s">
        <v>148</v>
      </c>
    </row>
    <row r="503" spans="1:32" ht="18" customHeight="1">
      <c r="A503" s="1" t="s">
        <v>1649</v>
      </c>
      <c r="B503" s="1" t="s">
        <v>1650</v>
      </c>
      <c r="C503" s="4">
        <v>46103</v>
      </c>
      <c r="D503" s="4">
        <v>46119</v>
      </c>
      <c r="E503" s="4">
        <v>46120</v>
      </c>
      <c r="F503" s="1" t="s">
        <v>256</v>
      </c>
      <c r="G503" s="1" t="s">
        <v>257</v>
      </c>
      <c r="H503" s="1" t="s">
        <v>258</v>
      </c>
      <c r="I503" s="1" t="s">
        <v>83</v>
      </c>
      <c r="J503" s="1" t="s">
        <v>153</v>
      </c>
      <c r="K503" s="1" t="s">
        <v>1651</v>
      </c>
      <c r="L503" s="1" t="s">
        <v>318</v>
      </c>
      <c r="M503" s="1">
        <v>122.79</v>
      </c>
      <c r="N503" s="1" t="s">
        <v>38</v>
      </c>
      <c r="O503" s="1">
        <v>750</v>
      </c>
      <c r="P503" s="1">
        <v>92092.5</v>
      </c>
      <c r="Q503" s="1">
        <v>17</v>
      </c>
      <c r="R503" s="7">
        <v>2.2700000000000001E-2</v>
      </c>
      <c r="S503" s="1">
        <v>17</v>
      </c>
      <c r="T503" s="1">
        <v>16</v>
      </c>
      <c r="U503" s="1">
        <v>1</v>
      </c>
      <c r="V503" s="1" t="s">
        <v>135</v>
      </c>
      <c r="W503" s="1" t="s">
        <v>40</v>
      </c>
      <c r="X503" s="1"/>
      <c r="Y503" s="1" t="s">
        <v>190</v>
      </c>
      <c r="Z503" s="1" t="s">
        <v>43</v>
      </c>
      <c r="AA503" s="1" t="s">
        <v>3341</v>
      </c>
      <c r="AB503" s="1"/>
      <c r="AC503" s="1"/>
      <c r="AD503" s="1">
        <v>2.8</v>
      </c>
      <c r="AE503" s="1" t="s">
        <v>45</v>
      </c>
      <c r="AF503" s="1" t="s">
        <v>148</v>
      </c>
    </row>
    <row r="504" spans="1:32" ht="18" customHeight="1">
      <c r="A504" s="1" t="s">
        <v>1652</v>
      </c>
      <c r="B504" s="1" t="s">
        <v>1653</v>
      </c>
      <c r="C504" s="4">
        <v>46038</v>
      </c>
      <c r="D504" s="4">
        <v>46055</v>
      </c>
      <c r="E504" s="4" t="s">
        <v>3644</v>
      </c>
      <c r="F504" s="1" t="s">
        <v>100</v>
      </c>
      <c r="G504" s="1" t="s">
        <v>3429</v>
      </c>
      <c r="H504" s="1" t="s">
        <v>102</v>
      </c>
      <c r="I504" s="1" t="s">
        <v>49</v>
      </c>
      <c r="J504" s="1" t="s">
        <v>50</v>
      </c>
      <c r="K504" s="1" t="s">
        <v>1654</v>
      </c>
      <c r="L504" s="1" t="s">
        <v>145</v>
      </c>
      <c r="M504" s="1">
        <v>1605.65</v>
      </c>
      <c r="N504" s="1" t="s">
        <v>159</v>
      </c>
      <c r="O504" s="1">
        <v>2000</v>
      </c>
      <c r="P504" s="1">
        <v>3211300</v>
      </c>
      <c r="Q504" s="1">
        <v>0</v>
      </c>
      <c r="R504" s="7">
        <v>0</v>
      </c>
      <c r="S504" s="1">
        <v>14</v>
      </c>
      <c r="T504" s="1">
        <v>17</v>
      </c>
      <c r="U504" s="1">
        <v>-3</v>
      </c>
      <c r="V504" s="1" t="s">
        <v>3337</v>
      </c>
      <c r="W504" s="1" t="s">
        <v>40</v>
      </c>
      <c r="X504" s="1" t="s">
        <v>146</v>
      </c>
      <c r="Y504" s="1" t="s">
        <v>42</v>
      </c>
      <c r="Z504" s="1" t="s">
        <v>107</v>
      </c>
      <c r="AA504" s="1" t="s">
        <v>55</v>
      </c>
      <c r="AB504" s="1" t="s">
        <v>56</v>
      </c>
      <c r="AC504" s="1"/>
      <c r="AD504" s="1">
        <v>3.6</v>
      </c>
      <c r="AE504" s="1" t="s">
        <v>57</v>
      </c>
      <c r="AF504" s="1" t="s">
        <v>130</v>
      </c>
    </row>
    <row r="505" spans="1:32" ht="18" hidden="1" customHeight="1">
      <c r="A505" s="1" t="s">
        <v>1655</v>
      </c>
      <c r="B505" s="1" t="s">
        <v>1656</v>
      </c>
      <c r="C505" s="4" t="s">
        <v>3645</v>
      </c>
      <c r="D505" s="1">
        <v>46059</v>
      </c>
      <c r="E505" s="1">
        <v>46063</v>
      </c>
      <c r="F505" s="1" t="s">
        <v>256</v>
      </c>
      <c r="G505" s="1" t="s">
        <v>3419</v>
      </c>
      <c r="H505" s="1" t="s">
        <v>258</v>
      </c>
      <c r="I505" s="1" t="s">
        <v>120</v>
      </c>
      <c r="J505" s="1" t="s">
        <v>153</v>
      </c>
      <c r="K505" s="1" t="s">
        <v>1657</v>
      </c>
      <c r="L505" s="1" t="s">
        <v>295</v>
      </c>
      <c r="M505" s="1">
        <v>281.39999999999998</v>
      </c>
      <c r="N505" s="1" t="s">
        <v>65</v>
      </c>
      <c r="O505" s="1">
        <v>1500</v>
      </c>
      <c r="P505" s="1">
        <v>422100</v>
      </c>
      <c r="Q505" s="1">
        <v>67</v>
      </c>
      <c r="R505" s="7">
        <v>4.4699999999999997E-2</v>
      </c>
      <c r="S505" s="1">
        <v>24</v>
      </c>
      <c r="T505" s="1">
        <v>20</v>
      </c>
      <c r="U505" s="1"/>
      <c r="V505" s="1" t="s">
        <v>205</v>
      </c>
      <c r="W505" s="1" t="s">
        <v>420</v>
      </c>
      <c r="X505" s="1" t="s">
        <v>146</v>
      </c>
      <c r="Y505" s="1" t="s">
        <v>190</v>
      </c>
      <c r="Z505" s="1" t="s">
        <v>3330</v>
      </c>
      <c r="AA505" s="1" t="s">
        <v>55</v>
      </c>
      <c r="AB505" s="1" t="s">
        <v>191</v>
      </c>
      <c r="AC505" s="1" t="s">
        <v>283</v>
      </c>
      <c r="AD505" s="1">
        <v>2.1</v>
      </c>
      <c r="AE505" s="1" t="s">
        <v>139</v>
      </c>
      <c r="AF505" s="1" t="s">
        <v>185</v>
      </c>
    </row>
    <row r="506" spans="1:32" ht="18" customHeight="1">
      <c r="A506" s="1" t="s">
        <v>1658</v>
      </c>
      <c r="B506" s="1" t="s">
        <v>1659</v>
      </c>
      <c r="C506" s="4">
        <v>46097</v>
      </c>
      <c r="D506" s="4">
        <v>46110</v>
      </c>
      <c r="E506" s="4">
        <v>46108</v>
      </c>
      <c r="F506" s="1" t="s">
        <v>256</v>
      </c>
      <c r="G506" s="1" t="s">
        <v>257</v>
      </c>
      <c r="H506" s="1" t="s">
        <v>3410</v>
      </c>
      <c r="I506" s="1" t="s">
        <v>34</v>
      </c>
      <c r="J506" s="1" t="s">
        <v>153</v>
      </c>
      <c r="K506" s="1" t="s">
        <v>1660</v>
      </c>
      <c r="L506" s="1" t="s">
        <v>155</v>
      </c>
      <c r="M506" s="1">
        <v>738.51</v>
      </c>
      <c r="N506" s="1" t="s">
        <v>53</v>
      </c>
      <c r="O506" s="1">
        <v>75</v>
      </c>
      <c r="P506" s="1">
        <v>55388.25</v>
      </c>
      <c r="Q506" s="1">
        <v>0</v>
      </c>
      <c r="R506" s="7">
        <v>0</v>
      </c>
      <c r="S506" s="1">
        <v>11</v>
      </c>
      <c r="T506" s="1">
        <v>13</v>
      </c>
      <c r="U506" s="1">
        <v>-2</v>
      </c>
      <c r="V506" s="1" t="s">
        <v>87</v>
      </c>
      <c r="W506" s="1" t="s">
        <v>40</v>
      </c>
      <c r="X506" s="1" t="s">
        <v>127</v>
      </c>
      <c r="Y506" s="1" t="s">
        <v>212</v>
      </c>
      <c r="Z506" s="1" t="s">
        <v>3330</v>
      </c>
      <c r="AA506" s="1" t="s">
        <v>129</v>
      </c>
      <c r="AB506" s="1" t="s">
        <v>191</v>
      </c>
      <c r="AC506" s="1"/>
      <c r="AD506" s="1">
        <v>2.6</v>
      </c>
      <c r="AE506" s="1" t="s">
        <v>76</v>
      </c>
      <c r="AF506" s="1" t="s">
        <v>130</v>
      </c>
    </row>
    <row r="507" spans="1:32" ht="18" hidden="1" customHeight="1">
      <c r="A507" s="1" t="s">
        <v>1661</v>
      </c>
      <c r="B507" s="1" t="s">
        <v>1662</v>
      </c>
      <c r="C507" s="4">
        <v>46028</v>
      </c>
      <c r="D507" s="1">
        <v>46037</v>
      </c>
      <c r="E507" s="1">
        <v>46036</v>
      </c>
      <c r="F507" s="1" t="s">
        <v>69</v>
      </c>
      <c r="G507" s="1" t="s">
        <v>111</v>
      </c>
      <c r="H507" s="1" t="s">
        <v>194</v>
      </c>
      <c r="I507" s="1" t="s">
        <v>83</v>
      </c>
      <c r="J507" s="1" t="s">
        <v>112</v>
      </c>
      <c r="K507" s="1" t="s">
        <v>1663</v>
      </c>
      <c r="L507" s="1" t="s">
        <v>218</v>
      </c>
      <c r="M507" s="1">
        <v>101.2</v>
      </c>
      <c r="N507" s="1" t="s">
        <v>86</v>
      </c>
      <c r="O507" s="1">
        <v>50</v>
      </c>
      <c r="P507" s="1">
        <v>5060</v>
      </c>
      <c r="Q507" s="1">
        <v>4</v>
      </c>
      <c r="R507" s="7">
        <v>0.08</v>
      </c>
      <c r="S507" s="1">
        <v>8</v>
      </c>
      <c r="T507" s="1">
        <v>9</v>
      </c>
      <c r="U507" s="1">
        <v>-1</v>
      </c>
      <c r="V507" s="1" t="s">
        <v>3352</v>
      </c>
      <c r="W507" s="1" t="s">
        <v>74</v>
      </c>
      <c r="X507" s="1" t="s">
        <v>105</v>
      </c>
      <c r="Y507" s="1" t="s">
        <v>212</v>
      </c>
      <c r="Z507" s="1"/>
      <c r="AA507" s="1" t="s">
        <v>206</v>
      </c>
      <c r="AB507" s="1" t="s">
        <v>137</v>
      </c>
      <c r="AC507" s="1" t="s">
        <v>283</v>
      </c>
      <c r="AD507" s="1">
        <v>2.4</v>
      </c>
      <c r="AE507" s="1" t="s">
        <v>115</v>
      </c>
      <c r="AF507" s="1" t="s">
        <v>97</v>
      </c>
    </row>
    <row r="508" spans="1:32" ht="18" customHeight="1">
      <c r="A508" s="1" t="s">
        <v>1664</v>
      </c>
      <c r="B508" s="1" t="s">
        <v>1665</v>
      </c>
      <c r="C508" s="4" t="s">
        <v>3646</v>
      </c>
      <c r="D508" s="4">
        <v>46045</v>
      </c>
      <c r="E508" s="4">
        <v>46051</v>
      </c>
      <c r="F508" s="1" t="s">
        <v>235</v>
      </c>
      <c r="G508" s="1" t="s">
        <v>3426</v>
      </c>
      <c r="H508" s="1" t="s">
        <v>3371</v>
      </c>
      <c r="I508" s="1" t="s">
        <v>61</v>
      </c>
      <c r="J508" s="1" t="s">
        <v>71</v>
      </c>
      <c r="K508" s="1" t="s">
        <v>1666</v>
      </c>
      <c r="L508" s="1" t="s">
        <v>337</v>
      </c>
      <c r="M508" s="1">
        <v>291.94</v>
      </c>
      <c r="N508" s="1" t="s">
        <v>38</v>
      </c>
      <c r="O508" s="1">
        <v>300</v>
      </c>
      <c r="P508" s="1">
        <v>87582</v>
      </c>
      <c r="Q508" s="1">
        <v>12</v>
      </c>
      <c r="R508" s="7">
        <v>0.04</v>
      </c>
      <c r="S508" s="1">
        <v>19</v>
      </c>
      <c r="T508" s="1">
        <v>13</v>
      </c>
      <c r="U508" s="1">
        <v>6</v>
      </c>
      <c r="V508" s="1" t="s">
        <v>205</v>
      </c>
      <c r="W508" s="1" t="s">
        <v>40</v>
      </c>
      <c r="X508" s="1" t="s">
        <v>105</v>
      </c>
      <c r="Y508" s="1"/>
      <c r="Z508" s="1" t="s">
        <v>3333</v>
      </c>
      <c r="AA508" s="1" t="s">
        <v>55</v>
      </c>
      <c r="AB508" s="1" t="s">
        <v>137</v>
      </c>
      <c r="AC508" s="1"/>
      <c r="AD508" s="1">
        <v>6</v>
      </c>
      <c r="AE508" s="1" t="s">
        <v>184</v>
      </c>
      <c r="AF508" s="1" t="s">
        <v>46</v>
      </c>
    </row>
    <row r="509" spans="1:32" ht="18" customHeight="1">
      <c r="A509" s="1" t="s">
        <v>1667</v>
      </c>
      <c r="B509" s="1" t="s">
        <v>1668</v>
      </c>
      <c r="C509" s="4" t="s">
        <v>3548</v>
      </c>
      <c r="D509" s="4">
        <v>46152</v>
      </c>
      <c r="E509" s="4">
        <v>46153</v>
      </c>
      <c r="F509" s="1" t="s">
        <v>60</v>
      </c>
      <c r="G509" s="1" t="s">
        <v>3326</v>
      </c>
      <c r="H509" s="1" t="s">
        <v>152</v>
      </c>
      <c r="I509" s="1" t="s">
        <v>83</v>
      </c>
      <c r="J509" s="1" t="s">
        <v>62</v>
      </c>
      <c r="K509" s="1" t="s">
        <v>1669</v>
      </c>
      <c r="L509" s="1" t="s">
        <v>225</v>
      </c>
      <c r="M509" s="1">
        <v>600.37</v>
      </c>
      <c r="N509" s="1" t="s">
        <v>65</v>
      </c>
      <c r="O509" s="1">
        <v>200</v>
      </c>
      <c r="P509" s="1">
        <v>120074</v>
      </c>
      <c r="Q509" s="1">
        <v>4</v>
      </c>
      <c r="R509" s="7">
        <v>0.02</v>
      </c>
      <c r="S509" s="1">
        <v>8</v>
      </c>
      <c r="T509" s="1">
        <v>7</v>
      </c>
      <c r="U509" s="1">
        <v>1</v>
      </c>
      <c r="V509" s="1" t="s">
        <v>135</v>
      </c>
      <c r="W509" s="1" t="s">
        <v>40</v>
      </c>
      <c r="X509" s="1" t="s">
        <v>127</v>
      </c>
      <c r="Y509" s="1"/>
      <c r="Z509" s="1" t="s">
        <v>107</v>
      </c>
      <c r="AA509" s="1"/>
      <c r="AB509" s="1" t="s">
        <v>44</v>
      </c>
      <c r="AC509" s="1"/>
      <c r="AD509" s="1">
        <v>4.4000000000000004</v>
      </c>
      <c r="AE509" s="1" t="s">
        <v>76</v>
      </c>
      <c r="AF509" s="1" t="s">
        <v>148</v>
      </c>
    </row>
    <row r="510" spans="1:32" ht="18" customHeight="1">
      <c r="A510" s="1" t="s">
        <v>1670</v>
      </c>
      <c r="B510" s="1" t="s">
        <v>1671</v>
      </c>
      <c r="C510" s="4" t="s">
        <v>3349</v>
      </c>
      <c r="D510" s="4">
        <v>46203</v>
      </c>
      <c r="E510" s="4">
        <v>46205</v>
      </c>
      <c r="F510" s="1" t="s">
        <v>118</v>
      </c>
      <c r="G510" s="1" t="s">
        <v>119</v>
      </c>
      <c r="H510" s="1" t="s">
        <v>301</v>
      </c>
      <c r="I510" s="1" t="s">
        <v>34</v>
      </c>
      <c r="J510" s="1" t="s">
        <v>62</v>
      </c>
      <c r="K510" s="1" t="s">
        <v>1672</v>
      </c>
      <c r="L510" s="1" t="s">
        <v>122</v>
      </c>
      <c r="M510" s="1">
        <v>675.68</v>
      </c>
      <c r="N510" s="1" t="s">
        <v>86</v>
      </c>
      <c r="O510" s="1">
        <v>2000</v>
      </c>
      <c r="P510" s="1">
        <v>1351360</v>
      </c>
      <c r="Q510" s="1">
        <v>14</v>
      </c>
      <c r="R510" s="7">
        <v>7.0000000000000001E-3</v>
      </c>
      <c r="S510" s="1">
        <v>28</v>
      </c>
      <c r="T510" s="1">
        <v>26</v>
      </c>
      <c r="U510" s="1">
        <v>2</v>
      </c>
      <c r="V510" s="1" t="s">
        <v>3323</v>
      </c>
      <c r="W510" s="1" t="s">
        <v>40</v>
      </c>
      <c r="X510" s="1" t="s">
        <v>3324</v>
      </c>
      <c r="Y510" s="1"/>
      <c r="Z510" s="1" t="s">
        <v>173</v>
      </c>
      <c r="AA510" s="1"/>
      <c r="AB510" s="1" t="s">
        <v>95</v>
      </c>
      <c r="AC510" s="1"/>
      <c r="AD510" s="1">
        <v>3</v>
      </c>
      <c r="AE510" s="1" t="s">
        <v>108</v>
      </c>
      <c r="AF510" s="1" t="s">
        <v>46</v>
      </c>
    </row>
    <row r="511" spans="1:32" ht="18" hidden="1" customHeight="1">
      <c r="A511" s="1" t="s">
        <v>1673</v>
      </c>
      <c r="B511" s="1" t="s">
        <v>1674</v>
      </c>
      <c r="C511" s="4">
        <v>46072</v>
      </c>
      <c r="D511" s="1">
        <v>46084</v>
      </c>
      <c r="E511" s="1">
        <v>46091</v>
      </c>
      <c r="F511" s="1" t="s">
        <v>80</v>
      </c>
      <c r="G511" s="1" t="s">
        <v>81</v>
      </c>
      <c r="H511" s="1" t="s">
        <v>82</v>
      </c>
      <c r="I511" s="1" t="s">
        <v>241</v>
      </c>
      <c r="J511" s="1" t="s">
        <v>153</v>
      </c>
      <c r="K511" s="1" t="s">
        <v>1675</v>
      </c>
      <c r="L511" s="1" t="s">
        <v>204</v>
      </c>
      <c r="M511" s="1">
        <v>819.78</v>
      </c>
      <c r="N511" s="1" t="s">
        <v>65</v>
      </c>
      <c r="O511" s="1">
        <v>75</v>
      </c>
      <c r="P511" s="1">
        <v>61483.5</v>
      </c>
      <c r="Q511" s="1">
        <v>5</v>
      </c>
      <c r="R511" s="7">
        <v>6.6699999999999995E-2</v>
      </c>
      <c r="S511" s="1">
        <v>19</v>
      </c>
      <c r="T511" s="1">
        <v>12</v>
      </c>
      <c r="U511" s="1">
        <v>7</v>
      </c>
      <c r="V511" s="1" t="s">
        <v>3328</v>
      </c>
      <c r="W511" s="1" t="s">
        <v>3384</v>
      </c>
      <c r="X511" s="1"/>
      <c r="Y511" s="1" t="s">
        <v>190</v>
      </c>
      <c r="Z511" s="1" t="s">
        <v>3333</v>
      </c>
      <c r="AA511" s="1" t="s">
        <v>206</v>
      </c>
      <c r="AB511" s="1" t="s">
        <v>56</v>
      </c>
      <c r="AC511" s="1" t="s">
        <v>96</v>
      </c>
      <c r="AD511" s="1">
        <v>2.2000000000000002</v>
      </c>
      <c r="AE511" s="1" t="s">
        <v>76</v>
      </c>
      <c r="AF511" s="1" t="s">
        <v>185</v>
      </c>
    </row>
    <row r="512" spans="1:32" ht="18" customHeight="1">
      <c r="A512" s="1" t="s">
        <v>1676</v>
      </c>
      <c r="B512" s="1" t="s">
        <v>1677</v>
      </c>
      <c r="C512" s="4">
        <v>46079</v>
      </c>
      <c r="D512" s="4">
        <v>46091</v>
      </c>
      <c r="E512" s="4">
        <v>46102</v>
      </c>
      <c r="F512" s="1" t="s">
        <v>90</v>
      </c>
      <c r="G512" s="1" t="s">
        <v>91</v>
      </c>
      <c r="H512" s="1" t="s">
        <v>3336</v>
      </c>
      <c r="I512" s="1" t="s">
        <v>178</v>
      </c>
      <c r="J512" s="1" t="s">
        <v>163</v>
      </c>
      <c r="K512" s="1" t="s">
        <v>1678</v>
      </c>
      <c r="L512" s="1" t="s">
        <v>269</v>
      </c>
      <c r="M512" s="1">
        <v>716.28</v>
      </c>
      <c r="N512" s="1" t="s">
        <v>104</v>
      </c>
      <c r="O512" s="1">
        <v>1500</v>
      </c>
      <c r="P512" s="1">
        <v>1074420</v>
      </c>
      <c r="Q512" s="1">
        <v>32</v>
      </c>
      <c r="R512" s="7">
        <v>2.1299999999999999E-2</v>
      </c>
      <c r="S512" s="1">
        <v>23</v>
      </c>
      <c r="T512" s="1">
        <v>12</v>
      </c>
      <c r="U512" s="1">
        <v>11</v>
      </c>
      <c r="V512" s="1" t="s">
        <v>205</v>
      </c>
      <c r="W512" s="1" t="s">
        <v>649</v>
      </c>
      <c r="X512" s="1" t="s">
        <v>3329</v>
      </c>
      <c r="Y512" s="1" t="s">
        <v>42</v>
      </c>
      <c r="Z512" s="1" t="s">
        <v>3330</v>
      </c>
      <c r="AA512" s="1" t="s">
        <v>3341</v>
      </c>
      <c r="AB512" s="1"/>
      <c r="AC512" s="1"/>
      <c r="AD512" s="1">
        <v>3.4</v>
      </c>
      <c r="AE512" s="1" t="s">
        <v>139</v>
      </c>
      <c r="AF512" s="1" t="s">
        <v>46</v>
      </c>
    </row>
    <row r="513" spans="1:32" ht="18" customHeight="1">
      <c r="A513" s="1" t="s">
        <v>1679</v>
      </c>
      <c r="B513" s="1" t="s">
        <v>1680</v>
      </c>
      <c r="C513" s="4" t="s">
        <v>3647</v>
      </c>
      <c r="D513" s="4">
        <v>46161</v>
      </c>
      <c r="E513" s="4">
        <v>46160</v>
      </c>
      <c r="F513" s="1"/>
      <c r="G513" s="1" t="s">
        <v>3474</v>
      </c>
      <c r="H513" s="1" t="s">
        <v>479</v>
      </c>
      <c r="I513" s="1" t="s">
        <v>83</v>
      </c>
      <c r="J513" s="1" t="s">
        <v>71</v>
      </c>
      <c r="K513" s="1" t="s">
        <v>1681</v>
      </c>
      <c r="L513" s="1" t="s">
        <v>73</v>
      </c>
      <c r="M513" s="1">
        <v>663.9</v>
      </c>
      <c r="N513" s="1" t="s">
        <v>38</v>
      </c>
      <c r="O513" s="1">
        <v>150</v>
      </c>
      <c r="P513" s="1">
        <v>99585</v>
      </c>
      <c r="Q513" s="1">
        <v>1</v>
      </c>
      <c r="R513" s="7">
        <v>6.7000000000000002E-3</v>
      </c>
      <c r="S513" s="1">
        <v>14</v>
      </c>
      <c r="T513" s="1">
        <v>15</v>
      </c>
      <c r="U513" s="1">
        <v>-1</v>
      </c>
      <c r="V513" s="1" t="s">
        <v>3352</v>
      </c>
      <c r="W513" s="1" t="s">
        <v>40</v>
      </c>
      <c r="X513" s="1" t="s">
        <v>105</v>
      </c>
      <c r="Y513" s="1"/>
      <c r="Z513" s="1" t="s">
        <v>173</v>
      </c>
      <c r="AA513" s="1"/>
      <c r="AB513" s="1" t="s">
        <v>95</v>
      </c>
      <c r="AC513" s="1"/>
      <c r="AD513" s="1" t="s">
        <v>138</v>
      </c>
      <c r="AE513" s="1" t="s">
        <v>45</v>
      </c>
      <c r="AF513" s="1" t="s">
        <v>619</v>
      </c>
    </row>
    <row r="514" spans="1:32" ht="18" customHeight="1">
      <c r="A514" s="1" t="s">
        <v>1682</v>
      </c>
      <c r="B514" s="1" t="s">
        <v>1683</v>
      </c>
      <c r="C514" s="4">
        <v>46163</v>
      </c>
      <c r="D514" s="4">
        <v>46169</v>
      </c>
      <c r="E514" s="4"/>
      <c r="F514" s="1" t="s">
        <v>151</v>
      </c>
      <c r="G514" s="1" t="s">
        <v>244</v>
      </c>
      <c r="H514" s="1" t="s">
        <v>3354</v>
      </c>
      <c r="I514" s="1" t="s">
        <v>92</v>
      </c>
      <c r="J514" s="1" t="s">
        <v>112</v>
      </c>
      <c r="K514" s="1" t="s">
        <v>1684</v>
      </c>
      <c r="L514" s="1" t="s">
        <v>246</v>
      </c>
      <c r="M514" s="1"/>
      <c r="N514" s="1" t="s">
        <v>65</v>
      </c>
      <c r="O514" s="1">
        <v>300</v>
      </c>
      <c r="P514" s="1">
        <v>13119</v>
      </c>
      <c r="Q514" s="1">
        <v>1</v>
      </c>
      <c r="R514" s="7">
        <v>3.3E-3</v>
      </c>
      <c r="S514" s="1">
        <v>16</v>
      </c>
      <c r="T514" s="1">
        <v>6</v>
      </c>
      <c r="U514" s="1">
        <v>10</v>
      </c>
      <c r="V514" s="1" t="s">
        <v>39</v>
      </c>
      <c r="W514" s="1" t="s">
        <v>40</v>
      </c>
      <c r="X514" s="1" t="s">
        <v>105</v>
      </c>
      <c r="Y514" s="1"/>
      <c r="Z514" s="1" t="s">
        <v>128</v>
      </c>
      <c r="AA514" s="1" t="s">
        <v>3341</v>
      </c>
      <c r="AB514" s="1" t="s">
        <v>44</v>
      </c>
      <c r="AC514" s="1"/>
      <c r="AD514" s="1">
        <v>2.6</v>
      </c>
      <c r="AE514" s="1" t="s">
        <v>76</v>
      </c>
      <c r="AF514" s="1" t="s">
        <v>46</v>
      </c>
    </row>
    <row r="515" spans="1:32" ht="18" customHeight="1">
      <c r="A515" s="1" t="s">
        <v>1685</v>
      </c>
      <c r="B515" s="1" t="s">
        <v>1686</v>
      </c>
      <c r="C515" s="4" t="s">
        <v>3648</v>
      </c>
      <c r="D515" s="4">
        <v>46070</v>
      </c>
      <c r="E515" s="4">
        <v>46076</v>
      </c>
      <c r="F515" s="1" t="s">
        <v>60</v>
      </c>
      <c r="G515" s="1" t="s">
        <v>466</v>
      </c>
      <c r="H515" s="1" t="s">
        <v>3408</v>
      </c>
      <c r="I515" s="1" t="s">
        <v>120</v>
      </c>
      <c r="J515" s="1" t="s">
        <v>62</v>
      </c>
      <c r="K515" s="1" t="s">
        <v>1687</v>
      </c>
      <c r="L515" s="1" t="s">
        <v>122</v>
      </c>
      <c r="M515" s="1">
        <v>208.17</v>
      </c>
      <c r="N515" s="1" t="s">
        <v>53</v>
      </c>
      <c r="O515" s="1">
        <v>50</v>
      </c>
      <c r="P515" s="1">
        <v>10408.5</v>
      </c>
      <c r="Q515" s="1" t="s">
        <v>3454</v>
      </c>
      <c r="R515" s="7">
        <v>0.02</v>
      </c>
      <c r="S515" s="1">
        <v>17</v>
      </c>
      <c r="T515" s="1">
        <v>11</v>
      </c>
      <c r="U515" s="1">
        <v>6</v>
      </c>
      <c r="V515" s="1" t="s">
        <v>205</v>
      </c>
      <c r="W515" s="1" t="s">
        <v>40</v>
      </c>
      <c r="X515" s="1" t="s">
        <v>105</v>
      </c>
      <c r="Y515" s="1" t="s">
        <v>3334</v>
      </c>
      <c r="Z515" s="1"/>
      <c r="AA515" s="1" t="s">
        <v>136</v>
      </c>
      <c r="AB515" s="1"/>
      <c r="AC515" s="1"/>
      <c r="AD515" s="1"/>
      <c r="AE515" s="1" t="s">
        <v>184</v>
      </c>
      <c r="AF515" s="1" t="s">
        <v>46</v>
      </c>
    </row>
    <row r="516" spans="1:32" ht="18" customHeight="1">
      <c r="A516" s="1" t="s">
        <v>1688</v>
      </c>
      <c r="B516" s="1" t="s">
        <v>1689</v>
      </c>
      <c r="C516" s="4">
        <v>46146</v>
      </c>
      <c r="D516" s="4">
        <v>46158</v>
      </c>
      <c r="E516" s="4">
        <v>46156</v>
      </c>
      <c r="F516" s="1" t="s">
        <v>209</v>
      </c>
      <c r="G516" s="1" t="s">
        <v>3482</v>
      </c>
      <c r="H516" s="1" t="s">
        <v>3390</v>
      </c>
      <c r="I516" s="1" t="s">
        <v>70</v>
      </c>
      <c r="J516" s="1" t="s">
        <v>153</v>
      </c>
      <c r="K516" s="1" t="s">
        <v>1690</v>
      </c>
      <c r="L516" s="1" t="s">
        <v>204</v>
      </c>
      <c r="M516" s="1">
        <v>622.16</v>
      </c>
      <c r="N516" s="1" t="s">
        <v>38</v>
      </c>
      <c r="O516" s="1">
        <v>50</v>
      </c>
      <c r="P516" s="1">
        <v>31108</v>
      </c>
      <c r="Q516" s="1">
        <v>2</v>
      </c>
      <c r="R516" s="7">
        <v>0.04</v>
      </c>
      <c r="S516" s="1">
        <v>10</v>
      </c>
      <c r="T516" s="1">
        <v>12</v>
      </c>
      <c r="U516" s="1">
        <v>-2</v>
      </c>
      <c r="V516" s="1" t="s">
        <v>3352</v>
      </c>
      <c r="W516" s="1" t="s">
        <v>40</v>
      </c>
      <c r="X516" s="1"/>
      <c r="Y516" s="1" t="s">
        <v>190</v>
      </c>
      <c r="Z516" s="1"/>
      <c r="AA516" s="1" t="s">
        <v>129</v>
      </c>
      <c r="AB516" s="1" t="s">
        <v>191</v>
      </c>
      <c r="AC516" s="1"/>
      <c r="AD516" s="1">
        <v>2.5</v>
      </c>
      <c r="AE516" s="1" t="s">
        <v>115</v>
      </c>
      <c r="AF516" s="1" t="s">
        <v>130</v>
      </c>
    </row>
    <row r="517" spans="1:32" ht="18" customHeight="1">
      <c r="A517" s="1" t="s">
        <v>1691</v>
      </c>
      <c r="B517" s="1" t="s">
        <v>1692</v>
      </c>
      <c r="C517" s="4">
        <v>46195</v>
      </c>
      <c r="D517" s="4">
        <v>46202</v>
      </c>
      <c r="E517" s="4"/>
      <c r="F517" s="1" t="s">
        <v>60</v>
      </c>
      <c r="G517" s="1" t="s">
        <v>466</v>
      </c>
      <c r="H517" s="1" t="s">
        <v>152</v>
      </c>
      <c r="I517" s="1" t="s">
        <v>49</v>
      </c>
      <c r="J517" s="1" t="s">
        <v>62</v>
      </c>
      <c r="K517" s="1" t="s">
        <v>1693</v>
      </c>
      <c r="L517" s="1" t="s">
        <v>94</v>
      </c>
      <c r="M517" s="1">
        <v>491.25</v>
      </c>
      <c r="N517" s="1" t="s">
        <v>86</v>
      </c>
      <c r="O517" s="1">
        <v>2000</v>
      </c>
      <c r="P517" s="1">
        <v>982500</v>
      </c>
      <c r="Q517" s="1">
        <v>47</v>
      </c>
      <c r="R517" s="7">
        <v>2.35E-2</v>
      </c>
      <c r="S517" s="1">
        <v>14</v>
      </c>
      <c r="T517" s="1">
        <v>7</v>
      </c>
      <c r="U517" s="1">
        <v>7</v>
      </c>
      <c r="V517" s="1" t="s">
        <v>39</v>
      </c>
      <c r="W517" s="1" t="s">
        <v>40</v>
      </c>
      <c r="X517" s="1" t="s">
        <v>146</v>
      </c>
      <c r="Y517" s="1" t="s">
        <v>42</v>
      </c>
      <c r="Z517" s="1" t="s">
        <v>3333</v>
      </c>
      <c r="AA517" s="1" t="s">
        <v>55</v>
      </c>
      <c r="AB517" s="1" t="s">
        <v>95</v>
      </c>
      <c r="AC517" s="1"/>
      <c r="AD517" s="1">
        <v>1.5</v>
      </c>
      <c r="AE517" s="1" t="s">
        <v>139</v>
      </c>
      <c r="AF517" s="1" t="s">
        <v>148</v>
      </c>
    </row>
    <row r="518" spans="1:32" ht="18" customHeight="1">
      <c r="A518" s="1" t="s">
        <v>1694</v>
      </c>
      <c r="B518" s="1" t="s">
        <v>1695</v>
      </c>
      <c r="C518" s="4" t="s">
        <v>3649</v>
      </c>
      <c r="D518" s="4">
        <v>46092</v>
      </c>
      <c r="E518" s="4" t="s">
        <v>3452</v>
      </c>
      <c r="F518" s="1" t="s">
        <v>142</v>
      </c>
      <c r="G518" s="1" t="s">
        <v>3542</v>
      </c>
      <c r="H518" s="1" t="s">
        <v>3392</v>
      </c>
      <c r="I518" s="1" t="s">
        <v>178</v>
      </c>
      <c r="J518" s="1" t="s">
        <v>50</v>
      </c>
      <c r="K518" s="1" t="s">
        <v>1696</v>
      </c>
      <c r="L518" s="1" t="s">
        <v>145</v>
      </c>
      <c r="M518" s="1">
        <v>4361.2299999999996</v>
      </c>
      <c r="N518" s="1" t="s">
        <v>104</v>
      </c>
      <c r="O518" s="1">
        <v>1000</v>
      </c>
      <c r="P518" s="1">
        <v>4361230</v>
      </c>
      <c r="Q518" s="1">
        <v>23</v>
      </c>
      <c r="R518" s="7">
        <v>2.3E-2</v>
      </c>
      <c r="S518" s="1">
        <v>24</v>
      </c>
      <c r="T518" s="1">
        <v>24</v>
      </c>
      <c r="U518" s="1">
        <v>0</v>
      </c>
      <c r="V518" s="1" t="s">
        <v>3352</v>
      </c>
      <c r="W518" s="1" t="s">
        <v>40</v>
      </c>
      <c r="X518" s="1" t="s">
        <v>127</v>
      </c>
      <c r="Y518" s="1" t="s">
        <v>42</v>
      </c>
      <c r="Z518" s="1"/>
      <c r="AA518" s="1" t="s">
        <v>174</v>
      </c>
      <c r="AB518" s="1" t="s">
        <v>56</v>
      </c>
      <c r="AC518" s="1"/>
      <c r="AD518" s="1">
        <v>3.9</v>
      </c>
      <c r="AE518" s="1" t="s">
        <v>108</v>
      </c>
      <c r="AF518" s="1" t="s">
        <v>130</v>
      </c>
    </row>
    <row r="519" spans="1:32" ht="18" hidden="1" customHeight="1">
      <c r="A519" s="1" t="s">
        <v>1697</v>
      </c>
      <c r="B519" s="1" t="s">
        <v>1698</v>
      </c>
      <c r="C519" s="4" t="s">
        <v>3554</v>
      </c>
      <c r="D519" s="1">
        <v>46177</v>
      </c>
      <c r="E519" s="1">
        <v>46189</v>
      </c>
      <c r="F519" s="1" t="s">
        <v>118</v>
      </c>
      <c r="G519" s="1" t="s">
        <v>119</v>
      </c>
      <c r="H519" s="1" t="s">
        <v>301</v>
      </c>
      <c r="I519" s="1" t="s">
        <v>92</v>
      </c>
      <c r="J519" s="1" t="s">
        <v>62</v>
      </c>
      <c r="K519" s="1" t="s">
        <v>1699</v>
      </c>
      <c r="L519" s="1" t="s">
        <v>64</v>
      </c>
      <c r="M519" s="1">
        <v>96.33</v>
      </c>
      <c r="N519" s="1" t="s">
        <v>53</v>
      </c>
      <c r="O519" s="1">
        <v>200</v>
      </c>
      <c r="P519" s="1" t="s">
        <v>3650</v>
      </c>
      <c r="Q519" s="1">
        <v>-1</v>
      </c>
      <c r="R519" s="7">
        <v>0.05</v>
      </c>
      <c r="S519" s="1">
        <v>31</v>
      </c>
      <c r="T519" s="1">
        <v>19</v>
      </c>
      <c r="U519" s="1">
        <v>12</v>
      </c>
      <c r="V519" s="1" t="s">
        <v>205</v>
      </c>
      <c r="W519" s="1" t="s">
        <v>366</v>
      </c>
      <c r="X519" s="1" t="s">
        <v>105</v>
      </c>
      <c r="Y519" s="1" t="s">
        <v>190</v>
      </c>
      <c r="Z519" s="1" t="s">
        <v>3330</v>
      </c>
      <c r="AA519" s="1" t="s">
        <v>136</v>
      </c>
      <c r="AB519" s="1" t="s">
        <v>137</v>
      </c>
      <c r="AC519" s="1" t="s">
        <v>283</v>
      </c>
      <c r="AD519" s="1">
        <v>1.8</v>
      </c>
      <c r="AE519" s="1" t="s">
        <v>139</v>
      </c>
      <c r="AF519" s="1" t="s">
        <v>77</v>
      </c>
    </row>
    <row r="520" spans="1:32" ht="18" hidden="1" customHeight="1">
      <c r="A520" s="1" t="s">
        <v>1700</v>
      </c>
      <c r="B520" s="1" t="s">
        <v>1701</v>
      </c>
      <c r="C520" s="4" t="s">
        <v>3505</v>
      </c>
      <c r="D520" s="1">
        <v>46162</v>
      </c>
      <c r="E520" s="1">
        <v>46174</v>
      </c>
      <c r="F520" s="1" t="s">
        <v>215</v>
      </c>
      <c r="G520" s="1" t="s">
        <v>216</v>
      </c>
      <c r="H520" s="1" t="s">
        <v>3408</v>
      </c>
      <c r="I520" s="1" t="s">
        <v>70</v>
      </c>
      <c r="J520" s="1" t="s">
        <v>112</v>
      </c>
      <c r="K520" s="1" t="s">
        <v>1702</v>
      </c>
      <c r="L520" s="1" t="s">
        <v>114</v>
      </c>
      <c r="M520" s="1">
        <v>246.99</v>
      </c>
      <c r="N520" s="1" t="s">
        <v>159</v>
      </c>
      <c r="O520" s="1">
        <v>750</v>
      </c>
      <c r="P520" s="1">
        <v>185242.5</v>
      </c>
      <c r="Q520" s="1">
        <v>37</v>
      </c>
      <c r="R520" s="7">
        <v>4.9299999999999997E-2</v>
      </c>
      <c r="S520" s="1"/>
      <c r="T520" s="1">
        <v>8</v>
      </c>
      <c r="U520" s="1">
        <v>12</v>
      </c>
      <c r="V520" s="1" t="s">
        <v>3328</v>
      </c>
      <c r="W520" s="1" t="s">
        <v>366</v>
      </c>
      <c r="X520" s="1" t="s">
        <v>105</v>
      </c>
      <c r="Y520" s="1" t="s">
        <v>190</v>
      </c>
      <c r="Z520" s="1" t="s">
        <v>107</v>
      </c>
      <c r="AA520" s="1" t="s">
        <v>129</v>
      </c>
      <c r="AB520" s="1" t="s">
        <v>56</v>
      </c>
      <c r="AC520" s="1" t="s">
        <v>96</v>
      </c>
      <c r="AD520" s="1">
        <v>1.9</v>
      </c>
      <c r="AE520" s="1" t="s">
        <v>45</v>
      </c>
      <c r="AF520" s="1" t="s">
        <v>77</v>
      </c>
    </row>
    <row r="521" spans="1:32" ht="18" customHeight="1">
      <c r="A521" s="1" t="s">
        <v>1703</v>
      </c>
      <c r="B521" s="1" t="s">
        <v>1704</v>
      </c>
      <c r="C521" s="4">
        <v>46195</v>
      </c>
      <c r="D521" s="4">
        <v>46203</v>
      </c>
      <c r="E521" s="4" t="s">
        <v>3651</v>
      </c>
      <c r="F521" s="1" t="s">
        <v>80</v>
      </c>
      <c r="G521" s="1" t="s">
        <v>81</v>
      </c>
      <c r="H521" s="1" t="s">
        <v>3442</v>
      </c>
      <c r="I521" s="1" t="s">
        <v>92</v>
      </c>
      <c r="J521" s="1" t="s">
        <v>35</v>
      </c>
      <c r="K521" s="1" t="s">
        <v>1705</v>
      </c>
      <c r="L521" s="1" t="s">
        <v>200</v>
      </c>
      <c r="M521" s="1">
        <v>2805.74</v>
      </c>
      <c r="N521" s="1" t="s">
        <v>86</v>
      </c>
      <c r="O521" s="1">
        <v>300</v>
      </c>
      <c r="P521" s="1">
        <v>841722</v>
      </c>
      <c r="Q521" s="1">
        <v>306</v>
      </c>
      <c r="R521" s="7">
        <v>2.6700000000000002E-2</v>
      </c>
      <c r="S521" s="1">
        <v>17</v>
      </c>
      <c r="T521" s="1">
        <v>8</v>
      </c>
      <c r="U521" s="1">
        <v>9</v>
      </c>
      <c r="V521" s="1" t="s">
        <v>205</v>
      </c>
      <c r="W521" s="1" t="s">
        <v>40</v>
      </c>
      <c r="X521" s="1" t="s">
        <v>105</v>
      </c>
      <c r="Y521" s="1" t="s">
        <v>190</v>
      </c>
      <c r="Z521" s="1"/>
      <c r="AA521" s="1"/>
      <c r="AB521" s="1" t="s">
        <v>44</v>
      </c>
      <c r="AC521" s="1"/>
      <c r="AD521" s="1">
        <v>1.3</v>
      </c>
      <c r="AE521" s="1" t="s">
        <v>57</v>
      </c>
      <c r="AF521" s="1" t="s">
        <v>46</v>
      </c>
    </row>
    <row r="522" spans="1:32" ht="18" customHeight="1">
      <c r="A522" s="1" t="s">
        <v>1706</v>
      </c>
      <c r="B522" s="1" t="s">
        <v>1707</v>
      </c>
      <c r="C522" s="4">
        <v>46132</v>
      </c>
      <c r="D522" s="4">
        <v>46151</v>
      </c>
      <c r="E522" s="4">
        <v>46148</v>
      </c>
      <c r="F522" s="1" t="s">
        <v>32</v>
      </c>
      <c r="G522" s="1" t="s">
        <v>3422</v>
      </c>
      <c r="H522" s="1" t="s">
        <v>3319</v>
      </c>
      <c r="I522" s="1" t="s">
        <v>34</v>
      </c>
      <c r="J522" s="1" t="s">
        <v>35</v>
      </c>
      <c r="K522" s="1" t="s">
        <v>1708</v>
      </c>
      <c r="L522" s="1" t="s">
        <v>85</v>
      </c>
      <c r="M522" s="1">
        <v>1660.89</v>
      </c>
      <c r="N522" s="1" t="s">
        <v>104</v>
      </c>
      <c r="O522" s="1">
        <v>300</v>
      </c>
      <c r="P522" s="1">
        <v>498267</v>
      </c>
      <c r="Q522" s="1">
        <v>11</v>
      </c>
      <c r="R522" s="7">
        <v>3.6700000000000003E-2</v>
      </c>
      <c r="S522" s="1">
        <v>16</v>
      </c>
      <c r="T522" s="1">
        <v>19</v>
      </c>
      <c r="U522" s="1">
        <v>-3</v>
      </c>
      <c r="V522" s="1" t="s">
        <v>270</v>
      </c>
      <c r="W522" s="1" t="s">
        <v>40</v>
      </c>
      <c r="X522" s="1" t="s">
        <v>105</v>
      </c>
      <c r="Y522" s="1" t="s">
        <v>212</v>
      </c>
      <c r="Z522" s="1" t="s">
        <v>3333</v>
      </c>
      <c r="AA522" s="1" t="s">
        <v>88</v>
      </c>
      <c r="AB522" s="1" t="s">
        <v>56</v>
      </c>
      <c r="AC522" s="1"/>
      <c r="AD522" s="1">
        <v>3.7</v>
      </c>
      <c r="AE522" s="1" t="s">
        <v>184</v>
      </c>
      <c r="AF522" s="1"/>
    </row>
    <row r="523" spans="1:32" ht="18" customHeight="1">
      <c r="A523" s="1" t="s">
        <v>1709</v>
      </c>
      <c r="B523" s="1" t="s">
        <v>1710</v>
      </c>
      <c r="C523" s="4">
        <v>46143</v>
      </c>
      <c r="D523" s="4">
        <v>46156</v>
      </c>
      <c r="E523" s="4">
        <v>46148</v>
      </c>
      <c r="F523" s="1" t="s">
        <v>209</v>
      </c>
      <c r="G523" s="1" t="s">
        <v>210</v>
      </c>
      <c r="H523" s="1" t="s">
        <v>316</v>
      </c>
      <c r="I523" s="1" t="s">
        <v>92</v>
      </c>
      <c r="J523" s="1" t="s">
        <v>153</v>
      </c>
      <c r="K523" s="1" t="s">
        <v>1711</v>
      </c>
      <c r="L523" s="1" t="s">
        <v>318</v>
      </c>
      <c r="M523" s="1">
        <v>812.9</v>
      </c>
      <c r="N523" s="1" t="s">
        <v>104</v>
      </c>
      <c r="O523" s="1">
        <v>50</v>
      </c>
      <c r="P523" s="1">
        <v>40645</v>
      </c>
      <c r="Q523" s="1">
        <v>1</v>
      </c>
      <c r="R523" s="7">
        <v>0.02</v>
      </c>
      <c r="S523" s="1">
        <v>5</v>
      </c>
      <c r="T523" s="1">
        <v>13</v>
      </c>
      <c r="U523" s="1">
        <v>-8</v>
      </c>
      <c r="V523" s="1" t="s">
        <v>270</v>
      </c>
      <c r="W523" s="1" t="s">
        <v>40</v>
      </c>
      <c r="X523" s="1" t="s">
        <v>127</v>
      </c>
      <c r="Y523" s="1" t="s">
        <v>42</v>
      </c>
      <c r="Z523" s="1" t="s">
        <v>54</v>
      </c>
      <c r="AA523" s="1" t="s">
        <v>129</v>
      </c>
      <c r="AB523" s="1" t="s">
        <v>44</v>
      </c>
      <c r="AC523" s="1"/>
      <c r="AD523" s="1">
        <v>4</v>
      </c>
      <c r="AE523" s="1" t="s">
        <v>108</v>
      </c>
      <c r="AF523" s="1" t="s">
        <v>130</v>
      </c>
    </row>
    <row r="524" spans="1:32" ht="18" customHeight="1">
      <c r="A524" s="1" t="s">
        <v>1712</v>
      </c>
      <c r="B524" s="1" t="s">
        <v>1713</v>
      </c>
      <c r="C524" s="4" t="s">
        <v>3652</v>
      </c>
      <c r="D524" s="4">
        <v>46181</v>
      </c>
      <c r="E524" s="4">
        <v>46189</v>
      </c>
      <c r="F524" s="1" t="s">
        <v>100</v>
      </c>
      <c r="G524" s="1" t="s">
        <v>3343</v>
      </c>
      <c r="H524" s="1" t="s">
        <v>102</v>
      </c>
      <c r="I524" s="1" t="s">
        <v>120</v>
      </c>
      <c r="J524" s="1" t="s">
        <v>50</v>
      </c>
      <c r="K524" s="1" t="s">
        <v>1714</v>
      </c>
      <c r="L524" s="1" t="s">
        <v>126</v>
      </c>
      <c r="M524" s="1">
        <v>719.35</v>
      </c>
      <c r="N524" s="1" t="s">
        <v>104</v>
      </c>
      <c r="O524" s="1">
        <v>300</v>
      </c>
      <c r="P524" s="1">
        <v>215805</v>
      </c>
      <c r="Q524" s="1">
        <v>1</v>
      </c>
      <c r="R524" s="7">
        <v>3.3E-3</v>
      </c>
      <c r="S524" s="1">
        <v>18</v>
      </c>
      <c r="T524" s="1" t="s">
        <v>3653</v>
      </c>
      <c r="U524" s="1">
        <v>8</v>
      </c>
      <c r="V524" s="1" t="s">
        <v>205</v>
      </c>
      <c r="W524" s="1" t="s">
        <v>40</v>
      </c>
      <c r="X524" s="1" t="s">
        <v>3329</v>
      </c>
      <c r="Y524" s="1"/>
      <c r="Z524" s="1" t="s">
        <v>107</v>
      </c>
      <c r="AA524" s="1" t="s">
        <v>136</v>
      </c>
      <c r="AB524" s="1" t="s">
        <v>191</v>
      </c>
      <c r="AC524" s="1"/>
      <c r="AD524" s="1">
        <v>2.9</v>
      </c>
      <c r="AE524" s="1" t="s">
        <v>57</v>
      </c>
      <c r="AF524" s="1" t="s">
        <v>46</v>
      </c>
    </row>
    <row r="525" spans="1:32" ht="18" customHeight="1">
      <c r="A525" s="1" t="s">
        <v>1715</v>
      </c>
      <c r="B525" s="1" t="s">
        <v>1716</v>
      </c>
      <c r="C525" s="4">
        <v>46084</v>
      </c>
      <c r="D525" s="4" t="s">
        <v>3654</v>
      </c>
      <c r="E525" s="4">
        <v>46103</v>
      </c>
      <c r="F525" s="1" t="s">
        <v>151</v>
      </c>
      <c r="G525" s="1" t="s">
        <v>3353</v>
      </c>
      <c r="H525" s="1" t="s">
        <v>3408</v>
      </c>
      <c r="I525" s="1" t="s">
        <v>178</v>
      </c>
      <c r="J525" s="1" t="s">
        <v>62</v>
      </c>
      <c r="K525" s="1" t="s">
        <v>1717</v>
      </c>
      <c r="L525" s="1" t="s">
        <v>64</v>
      </c>
      <c r="M525" s="1">
        <v>598.96</v>
      </c>
      <c r="N525" s="1" t="s">
        <v>172</v>
      </c>
      <c r="O525" s="1">
        <v>50</v>
      </c>
      <c r="P525" s="1">
        <v>29948</v>
      </c>
      <c r="Q525" s="1">
        <v>0</v>
      </c>
      <c r="R525" s="7">
        <v>0</v>
      </c>
      <c r="S525" s="1">
        <v>19</v>
      </c>
      <c r="T525" s="1">
        <v>5</v>
      </c>
      <c r="U525" s="1">
        <v>14</v>
      </c>
      <c r="V525" s="1" t="s">
        <v>39</v>
      </c>
      <c r="W525" s="1" t="s">
        <v>40</v>
      </c>
      <c r="X525" s="1" t="s">
        <v>105</v>
      </c>
      <c r="Y525" s="1" t="s">
        <v>3334</v>
      </c>
      <c r="Z525" s="1"/>
      <c r="AA525" s="1" t="s">
        <v>206</v>
      </c>
      <c r="AB525" s="1" t="s">
        <v>137</v>
      </c>
      <c r="AC525" s="1"/>
      <c r="AD525" s="1">
        <v>2.6</v>
      </c>
      <c r="AE525" s="1" t="s">
        <v>184</v>
      </c>
      <c r="AF525" s="1" t="s">
        <v>46</v>
      </c>
    </row>
    <row r="526" spans="1:32" ht="18" customHeight="1">
      <c r="A526" s="1" t="s">
        <v>1718</v>
      </c>
      <c r="B526" s="1" t="s">
        <v>1719</v>
      </c>
      <c r="C526" s="4">
        <v>46170</v>
      </c>
      <c r="D526" s="4" t="s">
        <v>3655</v>
      </c>
      <c r="E526" s="4">
        <v>46195</v>
      </c>
      <c r="F526" s="1" t="s">
        <v>142</v>
      </c>
      <c r="G526" s="1" t="s">
        <v>3542</v>
      </c>
      <c r="H526" s="1" t="s">
        <v>3405</v>
      </c>
      <c r="I526" s="1" t="s">
        <v>241</v>
      </c>
      <c r="J526" s="1" t="s">
        <v>153</v>
      </c>
      <c r="K526" s="1" t="s">
        <v>1720</v>
      </c>
      <c r="L526" s="1" t="s">
        <v>318</v>
      </c>
      <c r="M526" s="1">
        <v>698.91</v>
      </c>
      <c r="N526" s="1" t="s">
        <v>38</v>
      </c>
      <c r="O526" s="1">
        <v>200</v>
      </c>
      <c r="P526" s="1">
        <v>139782</v>
      </c>
      <c r="Q526" s="1">
        <v>4</v>
      </c>
      <c r="R526" s="7">
        <v>0.02</v>
      </c>
      <c r="S526" s="1">
        <v>25</v>
      </c>
      <c r="T526" s="1">
        <v>18</v>
      </c>
      <c r="U526" s="1">
        <v>7</v>
      </c>
      <c r="V526" s="1" t="s">
        <v>3328</v>
      </c>
      <c r="W526" s="1" t="s">
        <v>649</v>
      </c>
      <c r="X526" s="1" t="s">
        <v>41</v>
      </c>
      <c r="Y526" s="1" t="s">
        <v>106</v>
      </c>
      <c r="Z526" s="1" t="s">
        <v>107</v>
      </c>
      <c r="AA526" s="1" t="s">
        <v>206</v>
      </c>
      <c r="AB526" s="1" t="s">
        <v>95</v>
      </c>
      <c r="AC526" s="1"/>
      <c r="AD526" s="1">
        <v>1.7</v>
      </c>
      <c r="AE526" s="1" t="s">
        <v>139</v>
      </c>
      <c r="AF526" s="1" t="s">
        <v>46</v>
      </c>
    </row>
    <row r="527" spans="1:32" ht="18" customHeight="1">
      <c r="A527" s="1" t="s">
        <v>1721</v>
      </c>
      <c r="B527" s="1" t="s">
        <v>1722</v>
      </c>
      <c r="C527" s="4">
        <v>46094</v>
      </c>
      <c r="D527" s="4" t="s">
        <v>3436</v>
      </c>
      <c r="E527" s="4">
        <v>46114</v>
      </c>
      <c r="F527" s="1" t="s">
        <v>256</v>
      </c>
      <c r="G527" s="1" t="s">
        <v>3419</v>
      </c>
      <c r="H527" s="1" t="s">
        <v>3410</v>
      </c>
      <c r="I527" s="1" t="s">
        <v>178</v>
      </c>
      <c r="J527" s="1" t="s">
        <v>153</v>
      </c>
      <c r="K527" s="1" t="s">
        <v>1074</v>
      </c>
      <c r="L527" s="1" t="s">
        <v>318</v>
      </c>
      <c r="M527" s="1">
        <v>135.96</v>
      </c>
      <c r="N527" s="1" t="s">
        <v>38</v>
      </c>
      <c r="O527" s="1">
        <v>2000</v>
      </c>
      <c r="P527" s="1">
        <v>271920</v>
      </c>
      <c r="Q527" s="1">
        <v>48</v>
      </c>
      <c r="R527" s="7">
        <v>2.4E-2</v>
      </c>
      <c r="S527" s="1">
        <v>20</v>
      </c>
      <c r="T527" s="1">
        <v>13</v>
      </c>
      <c r="U527" s="1">
        <v>7</v>
      </c>
      <c r="V527" s="1" t="s">
        <v>39</v>
      </c>
      <c r="W527" s="1" t="s">
        <v>40</v>
      </c>
      <c r="X527" s="1"/>
      <c r="Y527" s="1" t="s">
        <v>190</v>
      </c>
      <c r="Z527" s="1" t="s">
        <v>54</v>
      </c>
      <c r="AA527" s="1" t="s">
        <v>88</v>
      </c>
      <c r="AB527" s="1" t="s">
        <v>56</v>
      </c>
      <c r="AC527" s="1"/>
      <c r="AD527" s="1">
        <v>2.7</v>
      </c>
      <c r="AE527" s="1" t="s">
        <v>139</v>
      </c>
      <c r="AF527" s="1" t="s">
        <v>148</v>
      </c>
    </row>
    <row r="528" spans="1:32" ht="18" hidden="1" customHeight="1">
      <c r="A528" s="1" t="s">
        <v>1723</v>
      </c>
      <c r="B528" s="1" t="s">
        <v>1724</v>
      </c>
      <c r="C528" s="4">
        <v>46056</v>
      </c>
      <c r="D528" s="1">
        <v>46067</v>
      </c>
      <c r="E528" s="1">
        <v>46078</v>
      </c>
      <c r="F528" s="1" t="s">
        <v>209</v>
      </c>
      <c r="G528" s="1" t="s">
        <v>210</v>
      </c>
      <c r="H528" s="1" t="s">
        <v>3390</v>
      </c>
      <c r="I528" s="1" t="s">
        <v>70</v>
      </c>
      <c r="J528" s="1" t="s">
        <v>153</v>
      </c>
      <c r="K528" s="1" t="s">
        <v>1725</v>
      </c>
      <c r="L528" s="1" t="s">
        <v>318</v>
      </c>
      <c r="M528" s="1">
        <v>549.54999999999995</v>
      </c>
      <c r="N528" s="1" t="s">
        <v>159</v>
      </c>
      <c r="O528" s="1"/>
      <c r="P528" s="1">
        <v>54955</v>
      </c>
      <c r="Q528" s="1">
        <v>6</v>
      </c>
      <c r="R528" s="7">
        <v>0.06</v>
      </c>
      <c r="S528" s="1">
        <v>22</v>
      </c>
      <c r="T528" s="1">
        <v>11</v>
      </c>
      <c r="U528" s="1">
        <v>11</v>
      </c>
      <c r="V528" s="1" t="s">
        <v>205</v>
      </c>
      <c r="W528" s="1" t="s">
        <v>420</v>
      </c>
      <c r="X528" s="1" t="s">
        <v>41</v>
      </c>
      <c r="Y528" s="1" t="s">
        <v>42</v>
      </c>
      <c r="Z528" s="1" t="s">
        <v>43</v>
      </c>
      <c r="AA528" s="1" t="s">
        <v>206</v>
      </c>
      <c r="AB528" s="1" t="s">
        <v>147</v>
      </c>
      <c r="AC528" s="1" t="s">
        <v>283</v>
      </c>
      <c r="AD528" s="1">
        <v>1.8</v>
      </c>
      <c r="AE528" s="1" t="s">
        <v>45</v>
      </c>
      <c r="AF528" s="1" t="s">
        <v>77</v>
      </c>
    </row>
    <row r="529" spans="1:32" ht="18" customHeight="1">
      <c r="A529" s="1" t="s">
        <v>1726</v>
      </c>
      <c r="B529" s="1" t="s">
        <v>1727</v>
      </c>
      <c r="C529" s="4" t="s">
        <v>3656</v>
      </c>
      <c r="D529" s="4">
        <v>46139</v>
      </c>
      <c r="E529" s="4">
        <v>46139</v>
      </c>
      <c r="F529" s="1" t="s">
        <v>118</v>
      </c>
      <c r="G529" s="1" t="s">
        <v>3393</v>
      </c>
      <c r="H529" s="1" t="s">
        <v>301</v>
      </c>
      <c r="I529" s="1" t="s">
        <v>178</v>
      </c>
      <c r="J529" s="1" t="s">
        <v>62</v>
      </c>
      <c r="K529" s="1" t="s">
        <v>1728</v>
      </c>
      <c r="L529" s="1" t="s">
        <v>122</v>
      </c>
      <c r="M529" s="1">
        <v>411.03</v>
      </c>
      <c r="N529" s="1" t="s">
        <v>53</v>
      </c>
      <c r="O529" s="1">
        <v>75</v>
      </c>
      <c r="P529" s="1">
        <v>30827.25</v>
      </c>
      <c r="Q529" s="1">
        <v>0</v>
      </c>
      <c r="R529" s="7">
        <v>0</v>
      </c>
      <c r="S529" s="1">
        <v>21</v>
      </c>
      <c r="T529" s="1">
        <v>21</v>
      </c>
      <c r="U529" s="1">
        <v>0</v>
      </c>
      <c r="V529" s="1" t="s">
        <v>270</v>
      </c>
      <c r="W529" s="1" t="s">
        <v>40</v>
      </c>
      <c r="X529" s="1" t="s">
        <v>105</v>
      </c>
      <c r="Y529" s="1" t="s">
        <v>106</v>
      </c>
      <c r="Z529" s="1" t="s">
        <v>128</v>
      </c>
      <c r="AA529" s="1" t="s">
        <v>3341</v>
      </c>
      <c r="AB529" s="1" t="s">
        <v>137</v>
      </c>
      <c r="AC529" s="1"/>
      <c r="AD529" s="1">
        <v>4.7</v>
      </c>
      <c r="AE529" s="1" t="s">
        <v>57</v>
      </c>
      <c r="AF529" s="1"/>
    </row>
    <row r="530" spans="1:32" ht="18" customHeight="1">
      <c r="A530" s="1" t="s">
        <v>1729</v>
      </c>
      <c r="B530" s="1" t="s">
        <v>1730</v>
      </c>
      <c r="C530" s="4">
        <v>46176</v>
      </c>
      <c r="D530" s="4">
        <v>46188</v>
      </c>
      <c r="E530" s="4">
        <v>46184</v>
      </c>
      <c r="F530" s="1" t="s">
        <v>215</v>
      </c>
      <c r="G530" s="1" t="s">
        <v>216</v>
      </c>
      <c r="H530" s="1" t="s">
        <v>3354</v>
      </c>
      <c r="I530" s="1" t="s">
        <v>34</v>
      </c>
      <c r="J530" s="1" t="s">
        <v>153</v>
      </c>
      <c r="K530" s="1" t="s">
        <v>1731</v>
      </c>
      <c r="L530" s="1" t="s">
        <v>318</v>
      </c>
      <c r="M530" s="1">
        <v>192.93</v>
      </c>
      <c r="N530" s="1" t="s">
        <v>104</v>
      </c>
      <c r="O530" s="1">
        <v>1000</v>
      </c>
      <c r="P530" s="1">
        <v>192930</v>
      </c>
      <c r="Q530" s="1">
        <v>19</v>
      </c>
      <c r="R530" s="7">
        <v>1.9E-2</v>
      </c>
      <c r="S530" s="1">
        <v>8</v>
      </c>
      <c r="T530" s="1"/>
      <c r="U530" s="1">
        <v>-4</v>
      </c>
      <c r="V530" s="1" t="s">
        <v>3352</v>
      </c>
      <c r="W530" s="1" t="s">
        <v>40</v>
      </c>
      <c r="X530" s="1" t="s">
        <v>41</v>
      </c>
      <c r="Y530" s="1" t="s">
        <v>42</v>
      </c>
      <c r="Z530" s="1" t="s">
        <v>3330</v>
      </c>
      <c r="AA530" s="1" t="s">
        <v>88</v>
      </c>
      <c r="AB530" s="1" t="s">
        <v>95</v>
      </c>
      <c r="AC530" s="1"/>
      <c r="AD530" s="1">
        <v>4.2</v>
      </c>
      <c r="AE530" s="1" t="s">
        <v>45</v>
      </c>
      <c r="AF530" s="1"/>
    </row>
    <row r="531" spans="1:32" ht="18" customHeight="1">
      <c r="A531" s="1" t="s">
        <v>1732</v>
      </c>
      <c r="B531" s="1" t="s">
        <v>1733</v>
      </c>
      <c r="C531" s="4">
        <v>46039</v>
      </c>
      <c r="D531" s="4">
        <v>46050</v>
      </c>
      <c r="E531" s="4">
        <v>46058</v>
      </c>
      <c r="F531" s="1" t="s">
        <v>80</v>
      </c>
      <c r="G531" s="1" t="s">
        <v>81</v>
      </c>
      <c r="H531" s="1" t="s">
        <v>82</v>
      </c>
      <c r="I531" s="1" t="s">
        <v>49</v>
      </c>
      <c r="J531" s="1" t="s">
        <v>35</v>
      </c>
      <c r="K531" s="1" t="s">
        <v>1734</v>
      </c>
      <c r="L531" s="1" t="s">
        <v>85</v>
      </c>
      <c r="M531" s="1">
        <v>220.83</v>
      </c>
      <c r="N531" s="1" t="s">
        <v>38</v>
      </c>
      <c r="O531" s="1">
        <v>250</v>
      </c>
      <c r="P531" s="1">
        <v>55207.5</v>
      </c>
      <c r="Q531" s="1">
        <v>10</v>
      </c>
      <c r="R531" s="7">
        <v>0.04</v>
      </c>
      <c r="S531" s="1">
        <v>19</v>
      </c>
      <c r="T531" s="1">
        <v>11</v>
      </c>
      <c r="U531" s="1">
        <v>8</v>
      </c>
      <c r="V531" s="1" t="s">
        <v>205</v>
      </c>
      <c r="W531" s="1" t="s">
        <v>40</v>
      </c>
      <c r="X531" s="1" t="s">
        <v>3324</v>
      </c>
      <c r="Y531" s="1" t="s">
        <v>42</v>
      </c>
      <c r="Z531" s="1" t="s">
        <v>3333</v>
      </c>
      <c r="AA531" s="1" t="s">
        <v>174</v>
      </c>
      <c r="AB531" s="1" t="s">
        <v>56</v>
      </c>
      <c r="AC531" s="1"/>
      <c r="AD531" s="1">
        <v>1.5</v>
      </c>
      <c r="AE531" s="1" t="s">
        <v>45</v>
      </c>
      <c r="AF531" s="1" t="s">
        <v>46</v>
      </c>
    </row>
    <row r="532" spans="1:32" ht="18" customHeight="1">
      <c r="A532" s="1" t="s">
        <v>1735</v>
      </c>
      <c r="B532" s="1" t="s">
        <v>1736</v>
      </c>
      <c r="C532" s="4" t="s">
        <v>3657</v>
      </c>
      <c r="D532" s="4">
        <v>46039</v>
      </c>
      <c r="E532" s="4" t="s">
        <v>3658</v>
      </c>
      <c r="F532" s="1" t="s">
        <v>215</v>
      </c>
      <c r="G532" s="1" t="s">
        <v>216</v>
      </c>
      <c r="H532" s="1" t="s">
        <v>3408</v>
      </c>
      <c r="I532" s="1" t="s">
        <v>70</v>
      </c>
      <c r="J532" s="1" t="s">
        <v>112</v>
      </c>
      <c r="K532" s="1" t="s">
        <v>1737</v>
      </c>
      <c r="L532" s="1" t="s">
        <v>218</v>
      </c>
      <c r="M532" s="1">
        <v>718.24</v>
      </c>
      <c r="N532" s="1" t="s">
        <v>86</v>
      </c>
      <c r="O532" s="1">
        <v>150</v>
      </c>
      <c r="P532" s="1">
        <v>107736</v>
      </c>
      <c r="Q532" s="1">
        <v>0</v>
      </c>
      <c r="R532" s="7">
        <v>0</v>
      </c>
      <c r="S532" s="1">
        <v>17</v>
      </c>
      <c r="T532" s="1" t="s">
        <v>3400</v>
      </c>
      <c r="U532" s="1">
        <v>12</v>
      </c>
      <c r="V532" s="1" t="s">
        <v>3328</v>
      </c>
      <c r="W532" s="1" t="s">
        <v>40</v>
      </c>
      <c r="X532" s="1" t="s">
        <v>3329</v>
      </c>
      <c r="Y532" s="1" t="s">
        <v>3334</v>
      </c>
      <c r="Z532" s="1" t="s">
        <v>3330</v>
      </c>
      <c r="AA532" s="1" t="s">
        <v>174</v>
      </c>
      <c r="AB532" s="1" t="s">
        <v>56</v>
      </c>
      <c r="AC532" s="1"/>
      <c r="AD532" s="1">
        <v>2.2000000000000002</v>
      </c>
      <c r="AE532" s="1" t="s">
        <v>139</v>
      </c>
      <c r="AF532" s="1" t="s">
        <v>46</v>
      </c>
    </row>
    <row r="533" spans="1:32" ht="18" hidden="1" customHeight="1">
      <c r="A533" s="1" t="s">
        <v>682</v>
      </c>
      <c r="B533" s="1" t="s">
        <v>1738</v>
      </c>
      <c r="C533" s="4">
        <v>46164</v>
      </c>
      <c r="D533" s="1">
        <v>46180</v>
      </c>
      <c r="E533" s="1">
        <v>46178</v>
      </c>
      <c r="F533" s="1" t="s">
        <v>100</v>
      </c>
      <c r="G533" s="1" t="s">
        <v>3343</v>
      </c>
      <c r="H533" s="1" t="s">
        <v>102</v>
      </c>
      <c r="I533" s="1" t="s">
        <v>92</v>
      </c>
      <c r="J533" s="1" t="s">
        <v>50</v>
      </c>
      <c r="K533" s="1" t="s">
        <v>1739</v>
      </c>
      <c r="L533" s="1" t="s">
        <v>189</v>
      </c>
      <c r="M533" s="1">
        <v>762.19</v>
      </c>
      <c r="N533" s="1" t="s">
        <v>159</v>
      </c>
      <c r="O533" s="1">
        <v>150</v>
      </c>
      <c r="P533" s="1">
        <v>114328.5</v>
      </c>
      <c r="Q533" s="1">
        <v>9</v>
      </c>
      <c r="R533" s="7">
        <v>0.06</v>
      </c>
      <c r="S533" s="1">
        <v>14</v>
      </c>
      <c r="T533" s="1">
        <v>16</v>
      </c>
      <c r="U533" s="1">
        <v>-2</v>
      </c>
      <c r="V533" s="1" t="s">
        <v>3337</v>
      </c>
      <c r="W533" s="1" t="s">
        <v>420</v>
      </c>
      <c r="X533" s="1" t="s">
        <v>41</v>
      </c>
      <c r="Y533" s="1" t="s">
        <v>42</v>
      </c>
      <c r="Z533" s="1" t="s">
        <v>3330</v>
      </c>
      <c r="AA533" s="1" t="s">
        <v>3341</v>
      </c>
      <c r="AB533" s="1" t="s">
        <v>95</v>
      </c>
      <c r="AC533" s="1" t="s">
        <v>183</v>
      </c>
      <c r="AD533" s="1">
        <v>2.6</v>
      </c>
      <c r="AE533" s="1" t="s">
        <v>76</v>
      </c>
      <c r="AF533" s="1" t="s">
        <v>97</v>
      </c>
    </row>
    <row r="534" spans="1:32" ht="18" hidden="1" customHeight="1">
      <c r="A534" s="1" t="s">
        <v>1740</v>
      </c>
      <c r="B534" s="1" t="s">
        <v>1741</v>
      </c>
      <c r="C534" s="4" t="s">
        <v>3490</v>
      </c>
      <c r="D534" s="1">
        <v>46090</v>
      </c>
      <c r="E534" s="1">
        <v>46087</v>
      </c>
      <c r="F534" s="1" t="s">
        <v>256</v>
      </c>
      <c r="G534" s="1" t="s">
        <v>3419</v>
      </c>
      <c r="H534" s="1" t="s">
        <v>3420</v>
      </c>
      <c r="I534" s="1" t="s">
        <v>120</v>
      </c>
      <c r="J534" s="1" t="s">
        <v>153</v>
      </c>
      <c r="K534" s="1" t="s">
        <v>1742</v>
      </c>
      <c r="L534" s="1" t="s">
        <v>295</v>
      </c>
      <c r="M534" s="1">
        <v>263.73</v>
      </c>
      <c r="N534" s="1" t="s">
        <v>65</v>
      </c>
      <c r="O534" s="1">
        <v>-200</v>
      </c>
      <c r="P534" s="1">
        <v>52746</v>
      </c>
      <c r="Q534" s="1">
        <v>19</v>
      </c>
      <c r="R534" s="7">
        <v>9.5000000000000001E-2</v>
      </c>
      <c r="S534" s="1">
        <v>12</v>
      </c>
      <c r="T534" s="1">
        <v>15</v>
      </c>
      <c r="U534" s="1">
        <v>-3</v>
      </c>
      <c r="V534" s="1" t="s">
        <v>270</v>
      </c>
      <c r="W534" s="1" t="s">
        <v>74</v>
      </c>
      <c r="X534" s="1" t="s">
        <v>146</v>
      </c>
      <c r="Y534" s="1" t="s">
        <v>106</v>
      </c>
      <c r="Z534" s="1" t="s">
        <v>3330</v>
      </c>
      <c r="AA534" s="1" t="s">
        <v>88</v>
      </c>
      <c r="AB534" s="1" t="s">
        <v>147</v>
      </c>
      <c r="AC534" s="1" t="s">
        <v>96</v>
      </c>
      <c r="AD534" s="1">
        <v>2.6</v>
      </c>
      <c r="AE534" s="1" t="s">
        <v>76</v>
      </c>
      <c r="AF534" s="1" t="s">
        <v>284</v>
      </c>
    </row>
    <row r="535" spans="1:32" ht="18" customHeight="1">
      <c r="A535" s="1" t="s">
        <v>1743</v>
      </c>
      <c r="B535" s="1" t="s">
        <v>1744</v>
      </c>
      <c r="C535" s="4" t="s">
        <v>3659</v>
      </c>
      <c r="D535" s="4">
        <v>46047</v>
      </c>
      <c r="E535" s="4"/>
      <c r="F535" s="1" t="s">
        <v>256</v>
      </c>
      <c r="G535" s="1" t="s">
        <v>257</v>
      </c>
      <c r="H535" s="1" t="s">
        <v>258</v>
      </c>
      <c r="I535" s="1" t="s">
        <v>92</v>
      </c>
      <c r="J535" s="1" t="s">
        <v>153</v>
      </c>
      <c r="K535" s="1" t="s">
        <v>1745</v>
      </c>
      <c r="L535" s="1" t="s">
        <v>295</v>
      </c>
      <c r="M535" s="1">
        <v>141.79</v>
      </c>
      <c r="N535" s="1" t="s">
        <v>38</v>
      </c>
      <c r="O535" s="1">
        <v>1000</v>
      </c>
      <c r="P535" s="1">
        <v>141790</v>
      </c>
      <c r="Q535" s="1">
        <v>0</v>
      </c>
      <c r="R535" s="7">
        <v>0</v>
      </c>
      <c r="S535" s="1">
        <v>20</v>
      </c>
      <c r="T535" s="1">
        <v>17</v>
      </c>
      <c r="U535" s="1">
        <v>3</v>
      </c>
      <c r="V535" s="1" t="s">
        <v>135</v>
      </c>
      <c r="W535" s="1" t="s">
        <v>40</v>
      </c>
      <c r="X535" s="1"/>
      <c r="Y535" s="1" t="s">
        <v>212</v>
      </c>
      <c r="Z535" s="1" t="s">
        <v>128</v>
      </c>
      <c r="AA535" s="1" t="s">
        <v>88</v>
      </c>
      <c r="AB535" s="1" t="s">
        <v>44</v>
      </c>
      <c r="AC535" s="1"/>
      <c r="AD535" s="1">
        <v>3.3</v>
      </c>
      <c r="AE535" s="1" t="s">
        <v>139</v>
      </c>
      <c r="AF535" s="1" t="s">
        <v>148</v>
      </c>
    </row>
    <row r="536" spans="1:32" ht="18" hidden="1" customHeight="1">
      <c r="A536" s="1" t="s">
        <v>1746</v>
      </c>
      <c r="B536" s="1" t="s">
        <v>1747</v>
      </c>
      <c r="C536" s="4">
        <v>46198</v>
      </c>
      <c r="D536" s="1">
        <v>46208</v>
      </c>
      <c r="E536" s="1">
        <v>46203</v>
      </c>
      <c r="F536" s="1" t="s">
        <v>209</v>
      </c>
      <c r="G536" s="1" t="s">
        <v>3482</v>
      </c>
      <c r="H536" s="1" t="s">
        <v>3390</v>
      </c>
      <c r="I536" s="1" t="s">
        <v>241</v>
      </c>
      <c r="J536" s="1" t="s">
        <v>153</v>
      </c>
      <c r="K536" s="1" t="s">
        <v>1748</v>
      </c>
      <c r="L536" s="1" t="s">
        <v>318</v>
      </c>
      <c r="M536" s="1">
        <v>220.51</v>
      </c>
      <c r="N536" s="1" t="s">
        <v>159</v>
      </c>
      <c r="O536" s="1">
        <v>1000</v>
      </c>
      <c r="P536" s="1"/>
      <c r="Q536" s="1">
        <v>49</v>
      </c>
      <c r="R536" s="7">
        <v>4.9000000000000002E-2</v>
      </c>
      <c r="S536" s="1">
        <v>5</v>
      </c>
      <c r="T536" s="1">
        <v>10</v>
      </c>
      <c r="U536" s="1">
        <v>-5</v>
      </c>
      <c r="V536" s="1" t="s">
        <v>3352</v>
      </c>
      <c r="W536" s="1" t="s">
        <v>74</v>
      </c>
      <c r="X536" s="1" t="s">
        <v>105</v>
      </c>
      <c r="Y536" s="1" t="s">
        <v>106</v>
      </c>
      <c r="Z536" s="1" t="s">
        <v>3333</v>
      </c>
      <c r="AA536" s="1" t="s">
        <v>129</v>
      </c>
      <c r="AB536" s="1" t="s">
        <v>44</v>
      </c>
      <c r="AC536" s="1" t="s">
        <v>183</v>
      </c>
      <c r="AD536" s="1">
        <v>1.2</v>
      </c>
      <c r="AE536" s="1" t="s">
        <v>57</v>
      </c>
      <c r="AF536" s="1" t="s">
        <v>97</v>
      </c>
    </row>
    <row r="537" spans="1:32" ht="18" customHeight="1">
      <c r="A537" s="1" t="s">
        <v>1749</v>
      </c>
      <c r="B537" s="1" t="s">
        <v>1750</v>
      </c>
      <c r="C537" s="4">
        <v>46155</v>
      </c>
      <c r="D537" s="4"/>
      <c r="E537" s="4">
        <v>46162</v>
      </c>
      <c r="F537" s="1" t="s">
        <v>151</v>
      </c>
      <c r="G537" s="1" t="s">
        <v>244</v>
      </c>
      <c r="H537" s="1" t="s">
        <v>152</v>
      </c>
      <c r="I537" s="1" t="s">
        <v>92</v>
      </c>
      <c r="J537" s="1" t="s">
        <v>112</v>
      </c>
      <c r="K537" s="1" t="s">
        <v>1751</v>
      </c>
      <c r="L537" s="1" t="s">
        <v>218</v>
      </c>
      <c r="M537" s="1">
        <v>724.01</v>
      </c>
      <c r="N537" s="1" t="s">
        <v>38</v>
      </c>
      <c r="O537" s="1">
        <v>300</v>
      </c>
      <c r="P537" s="1">
        <v>217203</v>
      </c>
      <c r="Q537" s="1">
        <v>0</v>
      </c>
      <c r="R537" s="7">
        <v>0</v>
      </c>
      <c r="S537" s="1">
        <v>7</v>
      </c>
      <c r="T537" s="1">
        <v>6</v>
      </c>
      <c r="U537" s="1">
        <v>1</v>
      </c>
      <c r="V537" s="1" t="s">
        <v>3323</v>
      </c>
      <c r="W537" s="1" t="s">
        <v>40</v>
      </c>
      <c r="X537" s="1" t="s">
        <v>3329</v>
      </c>
      <c r="Y537" s="1" t="s">
        <v>66</v>
      </c>
      <c r="Z537" s="1" t="s">
        <v>43</v>
      </c>
      <c r="AA537" s="1" t="s">
        <v>55</v>
      </c>
      <c r="AB537" s="1" t="s">
        <v>191</v>
      </c>
      <c r="AC537" s="1"/>
      <c r="AD537" s="1">
        <v>6</v>
      </c>
      <c r="AE537" s="1" t="s">
        <v>108</v>
      </c>
      <c r="AF537" s="1" t="s">
        <v>46</v>
      </c>
    </row>
    <row r="538" spans="1:32" ht="18" customHeight="1">
      <c r="A538" s="1" t="s">
        <v>1752</v>
      </c>
      <c r="B538" s="1" t="s">
        <v>1753</v>
      </c>
      <c r="C538" s="4">
        <v>46177</v>
      </c>
      <c r="D538" s="4">
        <v>46187</v>
      </c>
      <c r="E538" s="4">
        <v>46190</v>
      </c>
      <c r="F538" s="1" t="s">
        <v>209</v>
      </c>
      <c r="G538" s="1" t="s">
        <v>210</v>
      </c>
      <c r="H538" s="1" t="s">
        <v>3390</v>
      </c>
      <c r="I538" s="1" t="s">
        <v>92</v>
      </c>
      <c r="J538" s="1" t="s">
        <v>153</v>
      </c>
      <c r="K538" s="1" t="s">
        <v>1754</v>
      </c>
      <c r="L538" s="1" t="s">
        <v>204</v>
      </c>
      <c r="M538" s="1">
        <v>277.86</v>
      </c>
      <c r="N538" s="1" t="s">
        <v>104</v>
      </c>
      <c r="O538" s="1">
        <v>75</v>
      </c>
      <c r="P538" s="1">
        <v>20839.5</v>
      </c>
      <c r="Q538" s="1">
        <v>3</v>
      </c>
      <c r="R538" s="7">
        <v>0.04</v>
      </c>
      <c r="S538" s="1">
        <v>13</v>
      </c>
      <c r="T538" s="1">
        <v>10</v>
      </c>
      <c r="U538" s="1">
        <v>3</v>
      </c>
      <c r="V538" s="1" t="s">
        <v>135</v>
      </c>
      <c r="W538" s="1" t="s">
        <v>40</v>
      </c>
      <c r="X538" s="1" t="s">
        <v>41</v>
      </c>
      <c r="Y538" s="1" t="s">
        <v>42</v>
      </c>
      <c r="Z538" s="1" t="s">
        <v>43</v>
      </c>
      <c r="AA538" s="1" t="s">
        <v>129</v>
      </c>
      <c r="AB538" s="1"/>
      <c r="AC538" s="1"/>
      <c r="AD538" s="1">
        <v>4.0999999999999996</v>
      </c>
      <c r="AE538" s="1" t="s">
        <v>108</v>
      </c>
      <c r="AF538" s="1" t="s">
        <v>46</v>
      </c>
    </row>
    <row r="539" spans="1:32" ht="18" hidden="1" customHeight="1">
      <c r="A539" s="1" t="s">
        <v>1755</v>
      </c>
      <c r="B539" s="1" t="s">
        <v>1756</v>
      </c>
      <c r="C539" s="4" t="s">
        <v>3625</v>
      </c>
      <c r="D539" s="1">
        <v>46199</v>
      </c>
      <c r="E539" s="1">
        <v>46191</v>
      </c>
      <c r="F539" s="1"/>
      <c r="G539" s="1" t="s">
        <v>3359</v>
      </c>
      <c r="H539" s="1" t="s">
        <v>3395</v>
      </c>
      <c r="I539" s="1" t="s">
        <v>34</v>
      </c>
      <c r="J539" s="1" t="s">
        <v>35</v>
      </c>
      <c r="K539" s="1" t="s">
        <v>1757</v>
      </c>
      <c r="L539" s="1" t="s">
        <v>37</v>
      </c>
      <c r="M539" s="1">
        <v>1679.32</v>
      </c>
      <c r="N539" s="1" t="s">
        <v>291</v>
      </c>
      <c r="O539" s="1">
        <v>250</v>
      </c>
      <c r="P539" s="1">
        <v>419830</v>
      </c>
      <c r="Q539" s="1">
        <v>16</v>
      </c>
      <c r="R539" s="7">
        <v>6.4000000000000001E-2</v>
      </c>
      <c r="S539" s="1">
        <v>13</v>
      </c>
      <c r="T539" s="1">
        <v>21</v>
      </c>
      <c r="U539" s="1">
        <v>-8</v>
      </c>
      <c r="V539" s="1" t="s">
        <v>3337</v>
      </c>
      <c r="W539" s="1" t="s">
        <v>3384</v>
      </c>
      <c r="X539" s="1" t="s">
        <v>41</v>
      </c>
      <c r="Y539" s="1"/>
      <c r="Z539" s="1"/>
      <c r="AA539" s="1" t="s">
        <v>129</v>
      </c>
      <c r="AB539" s="1" t="s">
        <v>95</v>
      </c>
      <c r="AC539" s="1" t="s">
        <v>183</v>
      </c>
      <c r="AD539" s="1">
        <v>1.9</v>
      </c>
      <c r="AE539" s="1" t="s">
        <v>57</v>
      </c>
      <c r="AF539" s="1" t="s">
        <v>1758</v>
      </c>
    </row>
    <row r="540" spans="1:32" ht="18" customHeight="1">
      <c r="A540" s="1" t="s">
        <v>1759</v>
      </c>
      <c r="B540" s="1" t="s">
        <v>1760</v>
      </c>
      <c r="C540" s="4">
        <v>46077</v>
      </c>
      <c r="D540" s="4">
        <v>46096</v>
      </c>
      <c r="E540" s="4">
        <v>46098</v>
      </c>
      <c r="F540" s="1" t="s">
        <v>118</v>
      </c>
      <c r="G540" s="1" t="s">
        <v>3393</v>
      </c>
      <c r="H540" s="1" t="s">
        <v>3340</v>
      </c>
      <c r="I540" s="1" t="s">
        <v>70</v>
      </c>
      <c r="J540" s="1" t="s">
        <v>163</v>
      </c>
      <c r="K540" s="1" t="s">
        <v>1761</v>
      </c>
      <c r="L540" s="1" t="s">
        <v>269</v>
      </c>
      <c r="M540" s="1">
        <v>1614.76</v>
      </c>
      <c r="N540" s="1"/>
      <c r="O540" s="1">
        <v>500</v>
      </c>
      <c r="P540" s="1">
        <v>807380</v>
      </c>
      <c r="Q540" s="1">
        <v>0</v>
      </c>
      <c r="R540" s="7">
        <v>0</v>
      </c>
      <c r="S540" s="1">
        <v>21</v>
      </c>
      <c r="T540" s="1">
        <v>19</v>
      </c>
      <c r="U540" s="1">
        <v>2</v>
      </c>
      <c r="V540" s="1" t="s">
        <v>3323</v>
      </c>
      <c r="W540" s="1" t="s">
        <v>40</v>
      </c>
      <c r="X540" s="1" t="s">
        <v>105</v>
      </c>
      <c r="Y540" s="1" t="s">
        <v>106</v>
      </c>
      <c r="Z540" s="1" t="s">
        <v>3333</v>
      </c>
      <c r="AA540" s="1" t="s">
        <v>136</v>
      </c>
      <c r="AB540" s="1" t="s">
        <v>147</v>
      </c>
      <c r="AC540" s="1"/>
      <c r="AD540" s="1">
        <v>4</v>
      </c>
      <c r="AE540" s="1" t="s">
        <v>45</v>
      </c>
      <c r="AF540" s="1" t="s">
        <v>46</v>
      </c>
    </row>
    <row r="541" spans="1:32" ht="18" customHeight="1">
      <c r="A541" s="1" t="s">
        <v>1762</v>
      </c>
      <c r="B541" s="1" t="s">
        <v>1763</v>
      </c>
      <c r="C541" s="4">
        <v>46110</v>
      </c>
      <c r="D541" s="4">
        <v>46128</v>
      </c>
      <c r="E541" s="4" t="s">
        <v>3452</v>
      </c>
      <c r="F541" s="1" t="s">
        <v>256</v>
      </c>
      <c r="G541" s="1" t="s">
        <v>257</v>
      </c>
      <c r="H541" s="1" t="s">
        <v>3433</v>
      </c>
      <c r="I541" s="1" t="s">
        <v>241</v>
      </c>
      <c r="J541" s="1" t="s">
        <v>153</v>
      </c>
      <c r="K541" s="1" t="s">
        <v>1764</v>
      </c>
      <c r="L541" s="1" t="s">
        <v>204</v>
      </c>
      <c r="M541" s="1">
        <v>386.87</v>
      </c>
      <c r="N541" s="1" t="s">
        <v>104</v>
      </c>
      <c r="O541" s="1">
        <v>75</v>
      </c>
      <c r="P541" s="1">
        <v>29015.25</v>
      </c>
      <c r="Q541" s="1">
        <v>3</v>
      </c>
      <c r="R541" s="7">
        <v>0.04</v>
      </c>
      <c r="S541" s="1">
        <v>15</v>
      </c>
      <c r="T541" s="1">
        <v>18</v>
      </c>
      <c r="U541" s="1">
        <v>-3</v>
      </c>
      <c r="V541" s="1" t="s">
        <v>87</v>
      </c>
      <c r="W541" s="1" t="s">
        <v>40</v>
      </c>
      <c r="X541" s="1" t="s">
        <v>105</v>
      </c>
      <c r="Y541" s="1" t="s">
        <v>212</v>
      </c>
      <c r="Z541" s="1" t="s">
        <v>173</v>
      </c>
      <c r="AA541" s="1" t="s">
        <v>174</v>
      </c>
      <c r="AB541" s="1"/>
      <c r="AC541" s="1"/>
      <c r="AD541" s="1">
        <v>4.7</v>
      </c>
      <c r="AE541" s="1" t="s">
        <v>108</v>
      </c>
      <c r="AF541" s="1"/>
    </row>
    <row r="542" spans="1:32" ht="18" customHeight="1">
      <c r="A542" s="1" t="s">
        <v>1765</v>
      </c>
      <c r="B542" s="1" t="s">
        <v>1766</v>
      </c>
      <c r="C542" s="4">
        <v>46053</v>
      </c>
      <c r="D542" s="4"/>
      <c r="E542" s="4">
        <v>46060</v>
      </c>
      <c r="F542" s="1" t="s">
        <v>90</v>
      </c>
      <c r="G542" s="1" t="s">
        <v>3346</v>
      </c>
      <c r="H542" s="1" t="s">
        <v>3425</v>
      </c>
      <c r="I542" s="1" t="s">
        <v>120</v>
      </c>
      <c r="J542" s="1" t="s">
        <v>71</v>
      </c>
      <c r="K542" s="1" t="s">
        <v>1767</v>
      </c>
      <c r="L542" s="1" t="s">
        <v>553</v>
      </c>
      <c r="M542" s="1">
        <v>384.98</v>
      </c>
      <c r="N542" s="1" t="s">
        <v>65</v>
      </c>
      <c r="O542" s="1">
        <v>250</v>
      </c>
      <c r="P542" s="1">
        <v>96245</v>
      </c>
      <c r="Q542" s="1">
        <v>4</v>
      </c>
      <c r="R542" s="7">
        <v>1.6E-2</v>
      </c>
      <c r="S542" s="1">
        <v>7</v>
      </c>
      <c r="T542" s="1">
        <v>18</v>
      </c>
      <c r="U542" s="1">
        <v>-11</v>
      </c>
      <c r="V542" s="1" t="s">
        <v>87</v>
      </c>
      <c r="W542" s="1" t="s">
        <v>40</v>
      </c>
      <c r="X542" s="1" t="s">
        <v>105</v>
      </c>
      <c r="Y542" s="1" t="s">
        <v>212</v>
      </c>
      <c r="Z542" s="1" t="s">
        <v>43</v>
      </c>
      <c r="AA542" s="1" t="s">
        <v>88</v>
      </c>
      <c r="AB542" s="1" t="s">
        <v>137</v>
      </c>
      <c r="AC542" s="1"/>
      <c r="AD542" s="1">
        <v>4.2</v>
      </c>
      <c r="AE542" s="1" t="s">
        <v>139</v>
      </c>
      <c r="AF542" s="1"/>
    </row>
    <row r="543" spans="1:32" ht="18" hidden="1" customHeight="1">
      <c r="A543" s="1" t="s">
        <v>1768</v>
      </c>
      <c r="B543" s="1" t="s">
        <v>1769</v>
      </c>
      <c r="C543" s="4" t="s">
        <v>3657</v>
      </c>
      <c r="D543" s="1">
        <v>46044</v>
      </c>
      <c r="E543" s="1">
        <v>46048</v>
      </c>
      <c r="F543" s="1" t="s">
        <v>162</v>
      </c>
      <c r="G543" s="1" t="s">
        <v>3382</v>
      </c>
      <c r="H543" s="1" t="s">
        <v>3408</v>
      </c>
      <c r="I543" s="1" t="s">
        <v>178</v>
      </c>
      <c r="J543" s="1" t="s">
        <v>163</v>
      </c>
      <c r="K543" s="1" t="s">
        <v>1770</v>
      </c>
      <c r="L543" s="1" t="s">
        <v>269</v>
      </c>
      <c r="M543" s="1">
        <v>2572.96</v>
      </c>
      <c r="N543" s="1" t="s">
        <v>53</v>
      </c>
      <c r="O543" s="1">
        <v>100</v>
      </c>
      <c r="P543" s="1">
        <v>257296</v>
      </c>
      <c r="Q543" s="1">
        <v>5</v>
      </c>
      <c r="R543" s="7">
        <v>0.05</v>
      </c>
      <c r="S543" s="1">
        <v>14</v>
      </c>
      <c r="T543" s="1">
        <v>10</v>
      </c>
      <c r="U543" s="1">
        <v>4</v>
      </c>
      <c r="V543" s="1" t="s">
        <v>3328</v>
      </c>
      <c r="W543" s="1" t="s">
        <v>74</v>
      </c>
      <c r="X543" s="1"/>
      <c r="Y543" s="1"/>
      <c r="Z543" s="1" t="s">
        <v>54</v>
      </c>
      <c r="AA543" s="1" t="s">
        <v>174</v>
      </c>
      <c r="AB543" s="1"/>
      <c r="AC543" s="1" t="s">
        <v>96</v>
      </c>
      <c r="AD543" s="1">
        <v>2.1</v>
      </c>
      <c r="AE543" s="1" t="s">
        <v>45</v>
      </c>
      <c r="AF543" s="1" t="s">
        <v>185</v>
      </c>
    </row>
    <row r="544" spans="1:32" ht="18" customHeight="1">
      <c r="A544" s="1" t="s">
        <v>1771</v>
      </c>
      <c r="B544" s="1" t="s">
        <v>1772</v>
      </c>
      <c r="C544" s="4">
        <v>46104</v>
      </c>
      <c r="D544" s="4">
        <v>46122</v>
      </c>
      <c r="E544" s="4">
        <v>46117</v>
      </c>
      <c r="F544" s="1" t="s">
        <v>90</v>
      </c>
      <c r="G544" s="1" t="s">
        <v>3440</v>
      </c>
      <c r="H544" s="1" t="s">
        <v>133</v>
      </c>
      <c r="I544" s="1" t="s">
        <v>120</v>
      </c>
      <c r="J544" s="1" t="s">
        <v>71</v>
      </c>
      <c r="K544" s="1" t="s">
        <v>1496</v>
      </c>
      <c r="L544" s="1" t="s">
        <v>553</v>
      </c>
      <c r="M544" s="1">
        <v>563.04</v>
      </c>
      <c r="N544" s="1" t="s">
        <v>104</v>
      </c>
      <c r="O544" s="1">
        <v>500</v>
      </c>
      <c r="P544" s="1">
        <v>281520</v>
      </c>
      <c r="Q544" s="1">
        <v>1</v>
      </c>
      <c r="R544" s="7">
        <v>2E-3</v>
      </c>
      <c r="S544" s="1">
        <v>13</v>
      </c>
      <c r="T544" s="1">
        <v>18</v>
      </c>
      <c r="U544" s="1">
        <v>-5</v>
      </c>
      <c r="V544" s="1" t="s">
        <v>87</v>
      </c>
      <c r="W544" s="1" t="s">
        <v>40</v>
      </c>
      <c r="X544" s="1" t="s">
        <v>105</v>
      </c>
      <c r="Y544" s="1" t="s">
        <v>190</v>
      </c>
      <c r="Z544" s="1" t="s">
        <v>173</v>
      </c>
      <c r="AA544" s="1" t="s">
        <v>3341</v>
      </c>
      <c r="AB544" s="1" t="s">
        <v>95</v>
      </c>
      <c r="AC544" s="1"/>
      <c r="AD544" s="1">
        <v>2.7</v>
      </c>
      <c r="AE544" s="1" t="s">
        <v>115</v>
      </c>
      <c r="AF544" s="1"/>
    </row>
    <row r="545" spans="1:32" ht="18" customHeight="1">
      <c r="A545" s="1" t="s">
        <v>1333</v>
      </c>
      <c r="B545" s="1" t="s">
        <v>1773</v>
      </c>
      <c r="C545" s="4">
        <v>46039</v>
      </c>
      <c r="D545" s="4">
        <v>46048</v>
      </c>
      <c r="E545" s="4">
        <v>46042</v>
      </c>
      <c r="F545" s="1" t="s">
        <v>215</v>
      </c>
      <c r="G545" s="1" t="s">
        <v>216</v>
      </c>
      <c r="H545" s="1" t="s">
        <v>152</v>
      </c>
      <c r="I545" s="1" t="s">
        <v>61</v>
      </c>
      <c r="J545" s="1" t="s">
        <v>112</v>
      </c>
      <c r="K545" s="1" t="s">
        <v>1774</v>
      </c>
      <c r="L545" s="1" t="s">
        <v>218</v>
      </c>
      <c r="M545" s="1">
        <v>515</v>
      </c>
      <c r="N545" s="1" t="s">
        <v>65</v>
      </c>
      <c r="O545" s="1">
        <v>750</v>
      </c>
      <c r="P545" s="1">
        <v>386250</v>
      </c>
      <c r="Q545" s="1">
        <v>0</v>
      </c>
      <c r="R545" s="7">
        <v>0</v>
      </c>
      <c r="S545" s="1">
        <v>3</v>
      </c>
      <c r="T545" s="1">
        <v>9</v>
      </c>
      <c r="U545" s="1">
        <v>-6</v>
      </c>
      <c r="V545" s="1" t="s">
        <v>270</v>
      </c>
      <c r="W545" s="1" t="s">
        <v>40</v>
      </c>
      <c r="X545" s="1" t="s">
        <v>105</v>
      </c>
      <c r="Y545" s="1" t="s">
        <v>66</v>
      </c>
      <c r="Z545" s="1" t="s">
        <v>107</v>
      </c>
      <c r="AA545" s="1" t="s">
        <v>129</v>
      </c>
      <c r="AB545" s="1" t="s">
        <v>147</v>
      </c>
      <c r="AC545" s="1"/>
      <c r="AD545" s="1">
        <v>4.2</v>
      </c>
      <c r="AE545" s="1" t="s">
        <v>45</v>
      </c>
      <c r="AF545" s="1"/>
    </row>
    <row r="546" spans="1:32" ht="18" customHeight="1">
      <c r="A546" s="1" t="s">
        <v>1775</v>
      </c>
      <c r="B546" s="1" t="s">
        <v>1776</v>
      </c>
      <c r="C546" s="4">
        <v>46116</v>
      </c>
      <c r="D546" s="4">
        <v>46130</v>
      </c>
      <c r="E546" s="4">
        <v>46131</v>
      </c>
      <c r="F546" s="1" t="s">
        <v>142</v>
      </c>
      <c r="G546" s="1" t="s">
        <v>3561</v>
      </c>
      <c r="H546" s="1" t="s">
        <v>3405</v>
      </c>
      <c r="I546" s="1" t="s">
        <v>61</v>
      </c>
      <c r="J546" s="1" t="s">
        <v>50</v>
      </c>
      <c r="K546" s="1" t="s">
        <v>1777</v>
      </c>
      <c r="L546" s="1" t="s">
        <v>145</v>
      </c>
      <c r="M546" s="1">
        <v>1150.71</v>
      </c>
      <c r="N546" s="1" t="s">
        <v>38</v>
      </c>
      <c r="O546" s="1">
        <v>100</v>
      </c>
      <c r="P546" s="1">
        <v>115071</v>
      </c>
      <c r="Q546" s="1">
        <v>3</v>
      </c>
      <c r="R546" s="7">
        <v>0.03</v>
      </c>
      <c r="S546" s="1">
        <v>15</v>
      </c>
      <c r="T546" s="1">
        <v>14</v>
      </c>
      <c r="U546" s="1">
        <v>1</v>
      </c>
      <c r="V546" s="1" t="s">
        <v>3323</v>
      </c>
      <c r="W546" s="1" t="s">
        <v>40</v>
      </c>
      <c r="X546" s="1" t="s">
        <v>41</v>
      </c>
      <c r="Y546" s="1" t="s">
        <v>190</v>
      </c>
      <c r="Z546" s="1" t="s">
        <v>3330</v>
      </c>
      <c r="AA546" s="1" t="s">
        <v>129</v>
      </c>
      <c r="AB546" s="1" t="s">
        <v>137</v>
      </c>
      <c r="AC546" s="1"/>
      <c r="AD546" s="1" t="s">
        <v>3431</v>
      </c>
      <c r="AE546" s="1" t="s">
        <v>139</v>
      </c>
      <c r="AF546" s="1" t="s">
        <v>46</v>
      </c>
    </row>
    <row r="547" spans="1:32" ht="18" customHeight="1">
      <c r="A547" s="1" t="s">
        <v>1778</v>
      </c>
      <c r="B547" s="1" t="s">
        <v>1779</v>
      </c>
      <c r="C547" s="4" t="s">
        <v>3497</v>
      </c>
      <c r="D547" s="4" t="s">
        <v>3400</v>
      </c>
      <c r="E547" s="4" t="s">
        <v>3400</v>
      </c>
      <c r="F547" s="1" t="s">
        <v>151</v>
      </c>
      <c r="G547" s="1" t="s">
        <v>244</v>
      </c>
      <c r="H547" s="1" t="s">
        <v>3354</v>
      </c>
      <c r="I547" s="1" t="s">
        <v>34</v>
      </c>
      <c r="J547" s="1" t="s">
        <v>112</v>
      </c>
      <c r="K547" s="1" t="s">
        <v>1780</v>
      </c>
      <c r="L547" s="1" t="s">
        <v>218</v>
      </c>
      <c r="M547" s="1">
        <v>187.86</v>
      </c>
      <c r="N547" s="1" t="s">
        <v>159</v>
      </c>
      <c r="O547" s="1">
        <v>500</v>
      </c>
      <c r="P547" s="1">
        <v>93930</v>
      </c>
      <c r="Q547" s="1">
        <v>0</v>
      </c>
      <c r="R547" s="7">
        <v>0</v>
      </c>
      <c r="S547" s="1">
        <v>6</v>
      </c>
      <c r="T547" s="1"/>
      <c r="U547" s="1">
        <v>3</v>
      </c>
      <c r="V547" s="1" t="s">
        <v>3323</v>
      </c>
      <c r="W547" s="1" t="s">
        <v>40</v>
      </c>
      <c r="X547" s="1"/>
      <c r="Y547" s="1" t="s">
        <v>106</v>
      </c>
      <c r="Z547" s="1" t="s">
        <v>107</v>
      </c>
      <c r="AA547" s="1" t="s">
        <v>129</v>
      </c>
      <c r="AB547" s="1" t="s">
        <v>137</v>
      </c>
      <c r="AC547" s="1"/>
      <c r="AD547" s="1">
        <v>3</v>
      </c>
      <c r="AE547" s="1" t="s">
        <v>115</v>
      </c>
      <c r="AF547" s="1" t="s">
        <v>148</v>
      </c>
    </row>
    <row r="548" spans="1:32" ht="18" hidden="1" customHeight="1">
      <c r="A548" s="1" t="s">
        <v>1781</v>
      </c>
      <c r="B548" s="1" t="s">
        <v>1782</v>
      </c>
      <c r="C548" s="4" t="s">
        <v>3660</v>
      </c>
      <c r="D548" s="1">
        <v>46201</v>
      </c>
      <c r="E548" s="1" t="s">
        <v>3377</v>
      </c>
      <c r="F548" s="1" t="s">
        <v>256</v>
      </c>
      <c r="G548" s="1" t="s">
        <v>3419</v>
      </c>
      <c r="H548" s="1" t="s">
        <v>3420</v>
      </c>
      <c r="I548" s="1" t="s">
        <v>178</v>
      </c>
      <c r="J548" s="1" t="s">
        <v>35</v>
      </c>
      <c r="K548" s="1" t="s">
        <v>1783</v>
      </c>
      <c r="L548" s="1" t="s">
        <v>85</v>
      </c>
      <c r="M548" s="1">
        <v>550.97</v>
      </c>
      <c r="N548" s="1" t="s">
        <v>53</v>
      </c>
      <c r="O548" s="1">
        <v>1500</v>
      </c>
      <c r="P548" s="1">
        <v>826455</v>
      </c>
      <c r="Q548" s="1">
        <v>89</v>
      </c>
      <c r="R548" s="7">
        <v>5.9299999999999999E-2</v>
      </c>
      <c r="S548" s="1">
        <v>17</v>
      </c>
      <c r="T548" s="1">
        <v>17</v>
      </c>
      <c r="U548" s="1">
        <v>0</v>
      </c>
      <c r="V548" s="1" t="s">
        <v>270</v>
      </c>
      <c r="W548" s="1" t="s">
        <v>366</v>
      </c>
      <c r="X548" s="1" t="s">
        <v>3324</v>
      </c>
      <c r="Y548" s="1"/>
      <c r="Z548" s="1" t="s">
        <v>173</v>
      </c>
      <c r="AA548" s="1" t="s">
        <v>55</v>
      </c>
      <c r="AB548" s="1"/>
      <c r="AC548" s="1" t="s">
        <v>373</v>
      </c>
      <c r="AD548" s="1">
        <v>2.7</v>
      </c>
      <c r="AE548" s="1" t="s">
        <v>184</v>
      </c>
      <c r="AF548" s="1" t="s">
        <v>97</v>
      </c>
    </row>
    <row r="549" spans="1:32" ht="18" customHeight="1">
      <c r="A549" s="1" t="s">
        <v>1784</v>
      </c>
      <c r="B549" s="1" t="s">
        <v>1785</v>
      </c>
      <c r="C549" s="4">
        <v>46150</v>
      </c>
      <c r="D549" s="4">
        <v>46162</v>
      </c>
      <c r="E549" s="4">
        <v>46176</v>
      </c>
      <c r="F549" s="1"/>
      <c r="G549" s="1" t="s">
        <v>3331</v>
      </c>
      <c r="H549" s="1" t="s">
        <v>3338</v>
      </c>
      <c r="I549" s="1" t="s">
        <v>34</v>
      </c>
      <c r="J549" s="1" t="s">
        <v>35</v>
      </c>
      <c r="K549" s="1" t="s">
        <v>1786</v>
      </c>
      <c r="L549" s="1" t="s">
        <v>180</v>
      </c>
      <c r="M549" s="1">
        <v>2780.14</v>
      </c>
      <c r="N549" s="1" t="s">
        <v>38</v>
      </c>
      <c r="O549" s="1">
        <v>300</v>
      </c>
      <c r="P549" s="1">
        <v>834042</v>
      </c>
      <c r="Q549" s="1">
        <v>12</v>
      </c>
      <c r="R549" s="7">
        <v>0.04</v>
      </c>
      <c r="S549" s="1">
        <v>26</v>
      </c>
      <c r="T549" s="1">
        <v>12</v>
      </c>
      <c r="U549" s="1">
        <v>14</v>
      </c>
      <c r="V549" s="1" t="s">
        <v>205</v>
      </c>
      <c r="W549" s="1" t="s">
        <v>40</v>
      </c>
      <c r="X549" s="1" t="s">
        <v>105</v>
      </c>
      <c r="Y549" s="1" t="s">
        <v>42</v>
      </c>
      <c r="Z549" s="1" t="s">
        <v>54</v>
      </c>
      <c r="AA549" s="1" t="s">
        <v>3341</v>
      </c>
      <c r="AB549" s="1" t="s">
        <v>44</v>
      </c>
      <c r="AC549" s="1"/>
      <c r="AD549" s="1"/>
      <c r="AE549" s="1" t="s">
        <v>115</v>
      </c>
      <c r="AF549" s="1" t="s">
        <v>386</v>
      </c>
    </row>
    <row r="550" spans="1:32" ht="18" customHeight="1">
      <c r="A550" s="1" t="s">
        <v>1787</v>
      </c>
      <c r="B550" s="1" t="s">
        <v>1788</v>
      </c>
      <c r="C550" s="4">
        <v>46179</v>
      </c>
      <c r="D550" s="4">
        <v>46187</v>
      </c>
      <c r="E550" s="4">
        <v>46183</v>
      </c>
      <c r="F550" s="1" t="s">
        <v>215</v>
      </c>
      <c r="G550" s="1" t="s">
        <v>216</v>
      </c>
      <c r="H550" s="1" t="s">
        <v>3408</v>
      </c>
      <c r="I550" s="1" t="s">
        <v>178</v>
      </c>
      <c r="J550" s="1" t="s">
        <v>112</v>
      </c>
      <c r="K550" s="1" t="s">
        <v>1789</v>
      </c>
      <c r="L550" s="1" t="s">
        <v>114</v>
      </c>
      <c r="M550" s="1">
        <v>307.26</v>
      </c>
      <c r="N550" s="1" t="s">
        <v>65</v>
      </c>
      <c r="O550" s="1">
        <v>2000</v>
      </c>
      <c r="P550" s="1">
        <v>614520</v>
      </c>
      <c r="Q550" s="1">
        <v>55</v>
      </c>
      <c r="R550" s="7">
        <v>2.75E-2</v>
      </c>
      <c r="S550" s="1">
        <v>4</v>
      </c>
      <c r="T550" s="1">
        <v>8</v>
      </c>
      <c r="U550" s="1">
        <v>-4</v>
      </c>
      <c r="V550" s="1" t="s">
        <v>87</v>
      </c>
      <c r="W550" s="1" t="s">
        <v>40</v>
      </c>
      <c r="X550" s="1" t="s">
        <v>3324</v>
      </c>
      <c r="Y550" s="1"/>
      <c r="Z550" s="1" t="s">
        <v>128</v>
      </c>
      <c r="AA550" s="1" t="s">
        <v>88</v>
      </c>
      <c r="AB550" s="1" t="s">
        <v>44</v>
      </c>
      <c r="AC550" s="1"/>
      <c r="AD550" s="1">
        <v>3.3</v>
      </c>
      <c r="AE550" s="1" t="s">
        <v>139</v>
      </c>
      <c r="AF550" s="1"/>
    </row>
    <row r="551" spans="1:32" ht="18" customHeight="1">
      <c r="A551" s="1" t="s">
        <v>1790</v>
      </c>
      <c r="B551" s="1" t="s">
        <v>1791</v>
      </c>
      <c r="C551" s="4">
        <v>46199</v>
      </c>
      <c r="D551" s="4">
        <v>46200</v>
      </c>
      <c r="E551" s="4">
        <v>46203</v>
      </c>
      <c r="F551" s="1" t="s">
        <v>151</v>
      </c>
      <c r="G551" s="1" t="s">
        <v>244</v>
      </c>
      <c r="H551" s="1" t="s">
        <v>3327</v>
      </c>
      <c r="I551" s="1" t="s">
        <v>61</v>
      </c>
      <c r="J551" s="1" t="s">
        <v>112</v>
      </c>
      <c r="K551" s="1" t="s">
        <v>1792</v>
      </c>
      <c r="L551" s="1" t="s">
        <v>114</v>
      </c>
      <c r="M551" s="1">
        <v>375.82</v>
      </c>
      <c r="N551" s="1" t="s">
        <v>104</v>
      </c>
      <c r="O551" s="1">
        <v>2000</v>
      </c>
      <c r="P551" s="1">
        <v>751640</v>
      </c>
      <c r="Q551" s="1">
        <v>13</v>
      </c>
      <c r="R551" s="7">
        <v>6.4999999999999997E-3</v>
      </c>
      <c r="S551" s="1">
        <v>4</v>
      </c>
      <c r="T551" s="1">
        <v>1</v>
      </c>
      <c r="U551" s="1">
        <v>3</v>
      </c>
      <c r="V551" s="1" t="s">
        <v>166</v>
      </c>
      <c r="W551" s="1" t="s">
        <v>40</v>
      </c>
      <c r="X551" s="1" t="s">
        <v>105</v>
      </c>
      <c r="Y551" s="1"/>
      <c r="Z551" s="1" t="s">
        <v>3333</v>
      </c>
      <c r="AA551" s="1" t="s">
        <v>55</v>
      </c>
      <c r="AB551" s="1" t="s">
        <v>44</v>
      </c>
      <c r="AC551" s="1"/>
      <c r="AD551" s="1">
        <v>4.2</v>
      </c>
      <c r="AE551" s="1" t="s">
        <v>76</v>
      </c>
      <c r="AF551" s="1" t="s">
        <v>46</v>
      </c>
    </row>
    <row r="552" spans="1:32" ht="18" customHeight="1">
      <c r="A552" s="1" t="s">
        <v>1793</v>
      </c>
      <c r="B552" s="1" t="s">
        <v>1794</v>
      </c>
      <c r="C552" s="4">
        <v>46114</v>
      </c>
      <c r="D552" s="4">
        <v>46138</v>
      </c>
      <c r="E552" s="4" t="s">
        <v>3661</v>
      </c>
      <c r="F552" s="1" t="s">
        <v>90</v>
      </c>
      <c r="G552" s="1" t="s">
        <v>91</v>
      </c>
      <c r="H552" s="1" t="s">
        <v>3336</v>
      </c>
      <c r="I552" s="1" t="s">
        <v>120</v>
      </c>
      <c r="J552" s="1" t="s">
        <v>71</v>
      </c>
      <c r="K552" s="1" t="s">
        <v>1187</v>
      </c>
      <c r="L552" s="1" t="s">
        <v>238</v>
      </c>
      <c r="M552" s="1">
        <v>790.25</v>
      </c>
      <c r="N552" s="1" t="s">
        <v>104</v>
      </c>
      <c r="O552" s="1">
        <v>100</v>
      </c>
      <c r="P552" s="1">
        <v>79025</v>
      </c>
      <c r="Q552" s="1">
        <v>3</v>
      </c>
      <c r="R552" s="7">
        <v>0.03</v>
      </c>
      <c r="S552" s="1">
        <v>26</v>
      </c>
      <c r="T552" s="1">
        <v>24</v>
      </c>
      <c r="U552" s="1">
        <v>2</v>
      </c>
      <c r="V552" s="1" t="s">
        <v>166</v>
      </c>
      <c r="W552" s="1" t="s">
        <v>40</v>
      </c>
      <c r="X552" s="1" t="s">
        <v>41</v>
      </c>
      <c r="Y552" s="1" t="s">
        <v>66</v>
      </c>
      <c r="Z552" s="1" t="s">
        <v>3330</v>
      </c>
      <c r="AA552" s="1" t="s">
        <v>136</v>
      </c>
      <c r="AB552" s="1" t="s">
        <v>44</v>
      </c>
      <c r="AC552" s="1"/>
      <c r="AD552" s="1">
        <v>2.4</v>
      </c>
      <c r="AE552" s="1" t="s">
        <v>45</v>
      </c>
      <c r="AF552" s="1" t="s">
        <v>46</v>
      </c>
    </row>
    <row r="553" spans="1:32" ht="18" customHeight="1">
      <c r="A553" s="1" t="s">
        <v>1795</v>
      </c>
      <c r="B553" s="1" t="s">
        <v>1796</v>
      </c>
      <c r="C553" s="4">
        <v>46034</v>
      </c>
      <c r="D553" s="4">
        <v>46041</v>
      </c>
      <c r="E553" s="4">
        <v>46040</v>
      </c>
      <c r="F553" s="1" t="s">
        <v>215</v>
      </c>
      <c r="G553" s="1" t="s">
        <v>216</v>
      </c>
      <c r="H553" s="1" t="s">
        <v>3354</v>
      </c>
      <c r="I553" s="1" t="s">
        <v>70</v>
      </c>
      <c r="J553" s="1" t="s">
        <v>112</v>
      </c>
      <c r="K553" s="1" t="s">
        <v>1797</v>
      </c>
      <c r="L553" s="1" t="s">
        <v>218</v>
      </c>
      <c r="M553" s="1">
        <v>504.33</v>
      </c>
      <c r="N553" s="1" t="s">
        <v>38</v>
      </c>
      <c r="O553" s="1">
        <v>50</v>
      </c>
      <c r="P553" s="1">
        <v>25216.5</v>
      </c>
      <c r="Q553" s="1">
        <v>1</v>
      </c>
      <c r="R553" s="7">
        <v>0.02</v>
      </c>
      <c r="S553" s="1">
        <v>6</v>
      </c>
      <c r="T553" s="1">
        <v>7</v>
      </c>
      <c r="U553" s="1">
        <v>-1</v>
      </c>
      <c r="V553" s="1" t="s">
        <v>270</v>
      </c>
      <c r="W553" s="1" t="s">
        <v>40</v>
      </c>
      <c r="X553" s="1"/>
      <c r="Y553" s="1"/>
      <c r="Z553" s="1" t="s">
        <v>3330</v>
      </c>
      <c r="AA553" s="1" t="s">
        <v>88</v>
      </c>
      <c r="AB553" s="1" t="s">
        <v>137</v>
      </c>
      <c r="AC553" s="1"/>
      <c r="AD553" s="1">
        <v>3.7</v>
      </c>
      <c r="AE553" s="1" t="s">
        <v>45</v>
      </c>
      <c r="AF553" s="1" t="s">
        <v>130</v>
      </c>
    </row>
    <row r="554" spans="1:32" ht="18" hidden="1" customHeight="1">
      <c r="A554" s="1" t="s">
        <v>1798</v>
      </c>
      <c r="B554" s="1" t="s">
        <v>1799</v>
      </c>
      <c r="C554" s="4">
        <v>46145</v>
      </c>
      <c r="D554" s="1">
        <v>46152</v>
      </c>
      <c r="E554" s="1">
        <v>46169</v>
      </c>
      <c r="F554" s="1"/>
      <c r="G554" s="1" t="s">
        <v>3351</v>
      </c>
      <c r="H554" s="1" t="s">
        <v>152</v>
      </c>
      <c r="I554" s="1" t="s">
        <v>92</v>
      </c>
      <c r="J554" s="1" t="s">
        <v>112</v>
      </c>
      <c r="K554" s="1" t="s">
        <v>1800</v>
      </c>
      <c r="L554" s="1" t="s">
        <v>218</v>
      </c>
      <c r="M554" s="1">
        <v>335.62</v>
      </c>
      <c r="N554" s="1" t="s">
        <v>65</v>
      </c>
      <c r="O554" s="1">
        <v>50</v>
      </c>
      <c r="P554" s="1">
        <v>16781</v>
      </c>
      <c r="Q554" s="1">
        <v>3</v>
      </c>
      <c r="R554" s="7">
        <v>0.06</v>
      </c>
      <c r="S554" s="1">
        <v>24</v>
      </c>
      <c r="T554" s="1">
        <v>7</v>
      </c>
      <c r="U554" s="1">
        <v>17</v>
      </c>
      <c r="V554" s="1" t="s">
        <v>39</v>
      </c>
      <c r="W554" s="1" t="s">
        <v>420</v>
      </c>
      <c r="X554" s="1" t="s">
        <v>3324</v>
      </c>
      <c r="Y554" s="1"/>
      <c r="Z554" s="1" t="s">
        <v>3330</v>
      </c>
      <c r="AA554" s="1" t="s">
        <v>129</v>
      </c>
      <c r="AB554" s="1" t="s">
        <v>44</v>
      </c>
      <c r="AC554" s="1" t="s">
        <v>96</v>
      </c>
      <c r="AD554" s="1">
        <v>2.1</v>
      </c>
      <c r="AE554" s="1" t="s">
        <v>139</v>
      </c>
      <c r="AF554" s="1" t="s">
        <v>394</v>
      </c>
    </row>
    <row r="555" spans="1:32" ht="18" customHeight="1">
      <c r="A555" s="1" t="s">
        <v>1801</v>
      </c>
      <c r="B555" s="1" t="s">
        <v>1802</v>
      </c>
      <c r="C555" s="4">
        <v>46144</v>
      </c>
      <c r="D555" s="4">
        <v>46160</v>
      </c>
      <c r="E555" s="4">
        <v>46158</v>
      </c>
      <c r="F555" s="1" t="s">
        <v>100</v>
      </c>
      <c r="G555" s="1" t="s">
        <v>3485</v>
      </c>
      <c r="H555" s="1" t="s">
        <v>3361</v>
      </c>
      <c r="I555" s="1" t="s">
        <v>34</v>
      </c>
      <c r="J555" s="1" t="s">
        <v>50</v>
      </c>
      <c r="K555" s="1" t="s">
        <v>1803</v>
      </c>
      <c r="L555" s="1" t="s">
        <v>145</v>
      </c>
      <c r="M555" s="1" t="s">
        <v>3662</v>
      </c>
      <c r="N555" s="1" t="s">
        <v>53</v>
      </c>
      <c r="O555" s="1">
        <v>300</v>
      </c>
      <c r="P555" s="1">
        <v>91626</v>
      </c>
      <c r="Q555" s="1">
        <v>314</v>
      </c>
      <c r="R555" s="7">
        <v>3.3300000000000003E-2</v>
      </c>
      <c r="S555" s="1">
        <v>14</v>
      </c>
      <c r="T555" s="1">
        <v>16</v>
      </c>
      <c r="U555" s="1">
        <v>-2</v>
      </c>
      <c r="V555" s="1" t="s">
        <v>3352</v>
      </c>
      <c r="W555" s="1" t="s">
        <v>40</v>
      </c>
      <c r="X555" s="1" t="s">
        <v>105</v>
      </c>
      <c r="Y555" s="1" t="s">
        <v>212</v>
      </c>
      <c r="Z555" s="1" t="s">
        <v>128</v>
      </c>
      <c r="AA555" s="1"/>
      <c r="AB555" s="1" t="s">
        <v>137</v>
      </c>
      <c r="AC555" s="1"/>
      <c r="AD555" s="1">
        <v>2.5</v>
      </c>
      <c r="AE555" s="1" t="s">
        <v>115</v>
      </c>
      <c r="AF555" s="1"/>
    </row>
    <row r="556" spans="1:32" ht="18" customHeight="1">
      <c r="A556" s="1" t="s">
        <v>1804</v>
      </c>
      <c r="B556" s="1" t="s">
        <v>1805</v>
      </c>
      <c r="C556" s="4">
        <v>46067</v>
      </c>
      <c r="D556" s="4">
        <v>46080</v>
      </c>
      <c r="E556" s="4" t="s">
        <v>3663</v>
      </c>
      <c r="F556" s="1" t="s">
        <v>80</v>
      </c>
      <c r="G556" s="1" t="s">
        <v>3413</v>
      </c>
      <c r="H556" s="1" t="s">
        <v>82</v>
      </c>
      <c r="I556" s="1" t="s">
        <v>70</v>
      </c>
      <c r="J556" s="1" t="s">
        <v>35</v>
      </c>
      <c r="K556" s="1" t="s">
        <v>1806</v>
      </c>
      <c r="L556" s="1" t="s">
        <v>85</v>
      </c>
      <c r="M556" s="1">
        <v>707.69</v>
      </c>
      <c r="N556" s="1" t="s">
        <v>65</v>
      </c>
      <c r="O556" s="1">
        <v>500</v>
      </c>
      <c r="P556" s="1">
        <v>353845</v>
      </c>
      <c r="Q556" s="1">
        <v>6</v>
      </c>
      <c r="R556" s="7">
        <v>1.2E-2</v>
      </c>
      <c r="S556" s="1">
        <v>14</v>
      </c>
      <c r="T556" s="1">
        <v>13</v>
      </c>
      <c r="U556" s="1">
        <v>1</v>
      </c>
      <c r="V556" s="1" t="s">
        <v>135</v>
      </c>
      <c r="W556" s="1" t="s">
        <v>40</v>
      </c>
      <c r="X556" s="1" t="s">
        <v>3324</v>
      </c>
      <c r="Y556" s="1" t="s">
        <v>66</v>
      </c>
      <c r="Z556" s="1" t="s">
        <v>3333</v>
      </c>
      <c r="AA556" s="1"/>
      <c r="AB556" s="1" t="s">
        <v>191</v>
      </c>
      <c r="AC556" s="1"/>
      <c r="AD556" s="1">
        <v>2.5</v>
      </c>
      <c r="AE556" s="1" t="s">
        <v>57</v>
      </c>
      <c r="AF556" s="1" t="s">
        <v>46</v>
      </c>
    </row>
    <row r="557" spans="1:32" ht="18" customHeight="1">
      <c r="A557" s="1" t="s">
        <v>1807</v>
      </c>
      <c r="B557" s="1" t="s">
        <v>1808</v>
      </c>
      <c r="C557" s="4">
        <v>46091</v>
      </c>
      <c r="D557" s="4">
        <v>46102</v>
      </c>
      <c r="E557" s="4">
        <v>46102</v>
      </c>
      <c r="F557" s="1" t="s">
        <v>215</v>
      </c>
      <c r="G557" s="1" t="s">
        <v>216</v>
      </c>
      <c r="H557" s="1" t="s">
        <v>3354</v>
      </c>
      <c r="I557" s="1" t="s">
        <v>120</v>
      </c>
      <c r="J557" s="1" t="s">
        <v>50</v>
      </c>
      <c r="K557" s="1" t="s">
        <v>1809</v>
      </c>
      <c r="L557" s="1" t="s">
        <v>126</v>
      </c>
      <c r="M557" s="1">
        <v>4690.57</v>
      </c>
      <c r="N557" s="1" t="s">
        <v>53</v>
      </c>
      <c r="O557" s="1">
        <v>250</v>
      </c>
      <c r="P557" s="1">
        <v>1172642.5</v>
      </c>
      <c r="Q557" s="1">
        <v>0</v>
      </c>
      <c r="R557" s="7">
        <v>0</v>
      </c>
      <c r="S557" s="1">
        <v>11</v>
      </c>
      <c r="T557" s="1">
        <v>11</v>
      </c>
      <c r="U557" s="1">
        <v>0</v>
      </c>
      <c r="V557" s="1" t="s">
        <v>3352</v>
      </c>
      <c r="W557" s="1" t="s">
        <v>40</v>
      </c>
      <c r="X557" s="1" t="s">
        <v>127</v>
      </c>
      <c r="Y557" s="1" t="s">
        <v>190</v>
      </c>
      <c r="Z557" s="1"/>
      <c r="AA557" s="1" t="s">
        <v>3341</v>
      </c>
      <c r="AB557" s="1" t="s">
        <v>56</v>
      </c>
      <c r="AC557" s="1"/>
      <c r="AD557" s="1">
        <v>3.3</v>
      </c>
      <c r="AE557" s="1" t="s">
        <v>139</v>
      </c>
      <c r="AF557" s="1" t="s">
        <v>130</v>
      </c>
    </row>
    <row r="558" spans="1:32" ht="18" customHeight="1">
      <c r="A558" s="1" t="s">
        <v>1810</v>
      </c>
      <c r="B558" s="1" t="s">
        <v>1811</v>
      </c>
      <c r="C558" s="4" t="s">
        <v>3664</v>
      </c>
      <c r="D558" s="4">
        <v>46078</v>
      </c>
      <c r="E558" s="4">
        <v>46081</v>
      </c>
      <c r="F558" s="1" t="s">
        <v>80</v>
      </c>
      <c r="G558" s="1" t="s">
        <v>81</v>
      </c>
      <c r="H558" s="1" t="s">
        <v>3442</v>
      </c>
      <c r="I558" s="1" t="s">
        <v>92</v>
      </c>
      <c r="J558" s="1" t="s">
        <v>35</v>
      </c>
      <c r="K558" s="1" t="s">
        <v>1812</v>
      </c>
      <c r="L558" s="1" t="s">
        <v>37</v>
      </c>
      <c r="M558" s="1">
        <v>507.86</v>
      </c>
      <c r="N558" s="1" t="s">
        <v>38</v>
      </c>
      <c r="O558" s="1"/>
      <c r="P558" s="1">
        <v>507860</v>
      </c>
      <c r="Q558" s="1">
        <v>34</v>
      </c>
      <c r="R558" s="7">
        <v>3.4000000000000002E-2</v>
      </c>
      <c r="S558" s="1">
        <v>15</v>
      </c>
      <c r="T558" s="1">
        <v>12</v>
      </c>
      <c r="U558" s="1">
        <v>3</v>
      </c>
      <c r="V558" s="1" t="s">
        <v>3323</v>
      </c>
      <c r="W558" s="1" t="s">
        <v>40</v>
      </c>
      <c r="X558" s="1" t="s">
        <v>105</v>
      </c>
      <c r="Y558" s="1" t="s">
        <v>42</v>
      </c>
      <c r="Z558" s="1" t="s">
        <v>107</v>
      </c>
      <c r="AA558" s="1"/>
      <c r="AB558" s="1" t="s">
        <v>147</v>
      </c>
      <c r="AC558" s="1"/>
      <c r="AD558" s="1">
        <v>2.2000000000000002</v>
      </c>
      <c r="AE558" s="1" t="s">
        <v>76</v>
      </c>
      <c r="AF558" s="1" t="s">
        <v>46</v>
      </c>
    </row>
    <row r="559" spans="1:32" ht="18" customHeight="1">
      <c r="A559" s="1" t="s">
        <v>1813</v>
      </c>
      <c r="B559" s="1" t="s">
        <v>1814</v>
      </c>
      <c r="C559" s="4">
        <v>46162</v>
      </c>
      <c r="D559" s="4">
        <v>46172</v>
      </c>
      <c r="E559" s="4">
        <v>46183</v>
      </c>
      <c r="F559" s="1" t="s">
        <v>69</v>
      </c>
      <c r="G559" s="1" t="s">
        <v>3362</v>
      </c>
      <c r="H559" s="1" t="s">
        <v>3332</v>
      </c>
      <c r="I559" s="1" t="s">
        <v>70</v>
      </c>
      <c r="J559" s="1" t="s">
        <v>112</v>
      </c>
      <c r="K559" s="1" t="s">
        <v>1815</v>
      </c>
      <c r="L559" s="1" t="s">
        <v>246</v>
      </c>
      <c r="M559" s="1">
        <v>513.38</v>
      </c>
      <c r="N559" s="1" t="s">
        <v>38</v>
      </c>
      <c r="O559" s="1">
        <v>1000</v>
      </c>
      <c r="P559" s="1">
        <v>513380</v>
      </c>
      <c r="Q559" s="1">
        <v>40</v>
      </c>
      <c r="R559" s="7">
        <v>0.04</v>
      </c>
      <c r="S559" s="1">
        <v>21</v>
      </c>
      <c r="T559" s="1">
        <v>10</v>
      </c>
      <c r="U559" s="1">
        <v>11</v>
      </c>
      <c r="V559" s="1" t="s">
        <v>39</v>
      </c>
      <c r="W559" s="1" t="s">
        <v>40</v>
      </c>
      <c r="X559" s="1" t="s">
        <v>105</v>
      </c>
      <c r="Y559" s="1" t="s">
        <v>212</v>
      </c>
      <c r="Z559" s="1" t="s">
        <v>54</v>
      </c>
      <c r="AA559" s="1"/>
      <c r="AB559" s="1" t="s">
        <v>137</v>
      </c>
      <c r="AC559" s="1"/>
      <c r="AD559" s="1">
        <v>1.3</v>
      </c>
      <c r="AE559" s="1" t="s">
        <v>76</v>
      </c>
      <c r="AF559" s="1" t="s">
        <v>46</v>
      </c>
    </row>
    <row r="560" spans="1:32" ht="18" customHeight="1">
      <c r="A560" s="1" t="s">
        <v>1816</v>
      </c>
      <c r="B560" s="1" t="s">
        <v>1817</v>
      </c>
      <c r="C560" s="4" t="s">
        <v>3665</v>
      </c>
      <c r="D560" s="4">
        <v>46198</v>
      </c>
      <c r="E560" s="4">
        <v>46199</v>
      </c>
      <c r="F560" s="1" t="s">
        <v>235</v>
      </c>
      <c r="G560" s="1" t="s">
        <v>3474</v>
      </c>
      <c r="H560" s="1" t="s">
        <v>479</v>
      </c>
      <c r="I560" s="1" t="s">
        <v>83</v>
      </c>
      <c r="J560" s="1" t="s">
        <v>71</v>
      </c>
      <c r="K560" s="1" t="s">
        <v>1818</v>
      </c>
      <c r="L560" s="1" t="s">
        <v>238</v>
      </c>
      <c r="M560" s="1">
        <v>190.4</v>
      </c>
      <c r="N560" s="1" t="s">
        <v>65</v>
      </c>
      <c r="O560" s="1">
        <v>150</v>
      </c>
      <c r="P560" s="1" t="s">
        <v>3666</v>
      </c>
      <c r="Q560" s="1">
        <v>0</v>
      </c>
      <c r="R560" s="7">
        <v>0</v>
      </c>
      <c r="S560" s="1">
        <v>19</v>
      </c>
      <c r="T560" s="1" t="s">
        <v>3667</v>
      </c>
      <c r="U560" s="1">
        <v>1</v>
      </c>
      <c r="V560" s="1" t="s">
        <v>166</v>
      </c>
      <c r="W560" s="1" t="s">
        <v>40</v>
      </c>
      <c r="X560" s="1" t="s">
        <v>105</v>
      </c>
      <c r="Y560" s="1" t="s">
        <v>190</v>
      </c>
      <c r="Z560" s="1" t="s">
        <v>43</v>
      </c>
      <c r="AA560" s="1" t="s">
        <v>206</v>
      </c>
      <c r="AB560" s="1" t="s">
        <v>147</v>
      </c>
      <c r="AC560" s="1"/>
      <c r="AD560" s="1">
        <v>4.5</v>
      </c>
      <c r="AE560" s="1" t="s">
        <v>57</v>
      </c>
      <c r="AF560" s="1" t="s">
        <v>46</v>
      </c>
    </row>
    <row r="561" spans="1:32" ht="18" customHeight="1">
      <c r="A561" s="1" t="s">
        <v>1819</v>
      </c>
      <c r="B561" s="1" t="s">
        <v>1820</v>
      </c>
      <c r="C561" s="4">
        <v>46025</v>
      </c>
      <c r="D561" s="4">
        <v>46036</v>
      </c>
      <c r="E561" s="4">
        <v>46030</v>
      </c>
      <c r="F561" s="1" t="s">
        <v>80</v>
      </c>
      <c r="G561" s="1" t="s">
        <v>81</v>
      </c>
      <c r="H561" s="1" t="s">
        <v>3442</v>
      </c>
      <c r="I561" s="1" t="s">
        <v>178</v>
      </c>
      <c r="J561" s="1" t="s">
        <v>112</v>
      </c>
      <c r="K561" s="1" t="s">
        <v>1821</v>
      </c>
      <c r="L561" s="1" t="s">
        <v>246</v>
      </c>
      <c r="M561" s="1">
        <v>52.83</v>
      </c>
      <c r="N561" s="1" t="s">
        <v>104</v>
      </c>
      <c r="O561" s="1">
        <v>75</v>
      </c>
      <c r="P561" s="1">
        <v>3962.25</v>
      </c>
      <c r="Q561" s="1">
        <v>0</v>
      </c>
      <c r="R561" s="7">
        <v>0</v>
      </c>
      <c r="S561" s="1">
        <v>5</v>
      </c>
      <c r="T561" s="1">
        <v>11</v>
      </c>
      <c r="U561" s="1">
        <v>-6</v>
      </c>
      <c r="V561" s="1" t="s">
        <v>3352</v>
      </c>
      <c r="W561" s="1" t="s">
        <v>40</v>
      </c>
      <c r="X561" s="1" t="s">
        <v>105</v>
      </c>
      <c r="Y561" s="1" t="s">
        <v>190</v>
      </c>
      <c r="Z561" s="1" t="s">
        <v>107</v>
      </c>
      <c r="AA561" s="1" t="s">
        <v>136</v>
      </c>
      <c r="AB561" s="1"/>
      <c r="AC561" s="1"/>
      <c r="AD561" s="1">
        <v>4.7</v>
      </c>
      <c r="AE561" s="1" t="s">
        <v>57</v>
      </c>
      <c r="AF561" s="1"/>
    </row>
    <row r="562" spans="1:32" ht="18" hidden="1" customHeight="1">
      <c r="A562" s="1" t="s">
        <v>1822</v>
      </c>
      <c r="B562" s="1" t="s">
        <v>1823</v>
      </c>
      <c r="C562" s="4" t="s">
        <v>3668</v>
      </c>
      <c r="D562" s="1"/>
      <c r="E562" s="1">
        <v>46113</v>
      </c>
      <c r="F562" s="1" t="s">
        <v>32</v>
      </c>
      <c r="G562" s="1" t="s">
        <v>33</v>
      </c>
      <c r="H562" s="1" t="s">
        <v>177</v>
      </c>
      <c r="I562" s="1" t="s">
        <v>178</v>
      </c>
      <c r="J562" s="1" t="s">
        <v>112</v>
      </c>
      <c r="K562" s="1" t="s">
        <v>1824</v>
      </c>
      <c r="L562" s="1" t="s">
        <v>114</v>
      </c>
      <c r="M562" s="1">
        <v>60.88</v>
      </c>
      <c r="N562" s="1" t="s">
        <v>38</v>
      </c>
      <c r="O562" s="1">
        <v>50</v>
      </c>
      <c r="P562" s="1">
        <v>3044</v>
      </c>
      <c r="Q562" s="1">
        <v>4</v>
      </c>
      <c r="R562" s="7">
        <v>0.08</v>
      </c>
      <c r="S562" s="1">
        <v>24</v>
      </c>
      <c r="T562" s="1">
        <v>26</v>
      </c>
      <c r="U562" s="1">
        <v>-2</v>
      </c>
      <c r="V562" s="1" t="s">
        <v>3352</v>
      </c>
      <c r="W562" s="1" t="s">
        <v>3384</v>
      </c>
      <c r="X562" s="1" t="s">
        <v>3329</v>
      </c>
      <c r="Y562" s="1" t="s">
        <v>106</v>
      </c>
      <c r="Z562" s="1" t="s">
        <v>3330</v>
      </c>
      <c r="AA562" s="1" t="s">
        <v>55</v>
      </c>
      <c r="AB562" s="1" t="s">
        <v>44</v>
      </c>
      <c r="AC562" s="1" t="s">
        <v>283</v>
      </c>
      <c r="AD562" s="1">
        <v>3</v>
      </c>
      <c r="AE562" s="1" t="s">
        <v>57</v>
      </c>
      <c r="AF562" s="1" t="s">
        <v>97</v>
      </c>
    </row>
    <row r="563" spans="1:32" ht="18" customHeight="1">
      <c r="A563" s="1" t="s">
        <v>1825</v>
      </c>
      <c r="B563" s="1" t="s">
        <v>1826</v>
      </c>
      <c r="C563" s="4">
        <v>46055</v>
      </c>
      <c r="D563" s="4" t="s">
        <v>3436</v>
      </c>
      <c r="E563" s="4">
        <v>46062</v>
      </c>
      <c r="F563" s="1" t="s">
        <v>256</v>
      </c>
      <c r="G563" s="1" t="s">
        <v>257</v>
      </c>
      <c r="H563" s="1" t="s">
        <v>258</v>
      </c>
      <c r="I563" s="1" t="s">
        <v>61</v>
      </c>
      <c r="J563" s="1" t="s">
        <v>50</v>
      </c>
      <c r="K563" s="1" t="s">
        <v>1827</v>
      </c>
      <c r="L563" s="1" t="s">
        <v>52</v>
      </c>
      <c r="M563" s="1">
        <v>984.79</v>
      </c>
      <c r="N563" s="1" t="s">
        <v>159</v>
      </c>
      <c r="O563" s="1">
        <v>1500</v>
      </c>
      <c r="P563" s="1">
        <v>1477185</v>
      </c>
      <c r="Q563" s="1">
        <v>38</v>
      </c>
      <c r="R563" s="7">
        <v>2.53E-2</v>
      </c>
      <c r="S563" s="1">
        <v>7</v>
      </c>
      <c r="T563" s="1">
        <v>16</v>
      </c>
      <c r="U563" s="1">
        <v>-9</v>
      </c>
      <c r="V563" s="1" t="s">
        <v>3352</v>
      </c>
      <c r="W563" s="1" t="s">
        <v>40</v>
      </c>
      <c r="X563" s="1" t="s">
        <v>127</v>
      </c>
      <c r="Y563" s="1" t="s">
        <v>66</v>
      </c>
      <c r="Z563" s="1" t="s">
        <v>43</v>
      </c>
      <c r="AA563" s="1" t="s">
        <v>88</v>
      </c>
      <c r="AB563" s="1"/>
      <c r="AC563" s="1"/>
      <c r="AD563" s="1">
        <v>3.1</v>
      </c>
      <c r="AE563" s="1" t="s">
        <v>57</v>
      </c>
      <c r="AF563" s="1" t="s">
        <v>130</v>
      </c>
    </row>
    <row r="564" spans="1:32" ht="18" customHeight="1">
      <c r="A564" s="1" t="s">
        <v>1828</v>
      </c>
      <c r="B564" s="1" t="s">
        <v>1829</v>
      </c>
      <c r="C564" s="4">
        <v>46184</v>
      </c>
      <c r="D564" s="4" t="s">
        <v>3669</v>
      </c>
      <c r="E564" s="4">
        <v>46186</v>
      </c>
      <c r="F564" s="1" t="s">
        <v>151</v>
      </c>
      <c r="G564" s="1" t="s">
        <v>244</v>
      </c>
      <c r="H564" s="1" t="s">
        <v>3354</v>
      </c>
      <c r="I564" s="1" t="s">
        <v>178</v>
      </c>
      <c r="J564" s="1" t="s">
        <v>112</v>
      </c>
      <c r="K564" s="1" t="s">
        <v>1830</v>
      </c>
      <c r="L564" s="1" t="s">
        <v>229</v>
      </c>
      <c r="M564" s="1">
        <v>295.25</v>
      </c>
      <c r="N564" s="1" t="s">
        <v>104</v>
      </c>
      <c r="O564" s="1">
        <v>50</v>
      </c>
      <c r="P564" s="1">
        <v>14762.5</v>
      </c>
      <c r="Q564" s="1">
        <v>0</v>
      </c>
      <c r="R564" s="7">
        <v>0</v>
      </c>
      <c r="S564" s="1">
        <v>2</v>
      </c>
      <c r="T564" s="1"/>
      <c r="U564" s="1">
        <v>-6</v>
      </c>
      <c r="V564" s="1" t="s">
        <v>3352</v>
      </c>
      <c r="W564" s="1"/>
      <c r="X564" s="1" t="s">
        <v>105</v>
      </c>
      <c r="Y564" s="1"/>
      <c r="Z564" s="1" t="s">
        <v>54</v>
      </c>
      <c r="AA564" s="1" t="s">
        <v>136</v>
      </c>
      <c r="AB564" s="1"/>
      <c r="AC564" s="1"/>
      <c r="AD564" s="1">
        <v>3.9</v>
      </c>
      <c r="AE564" s="1" t="s">
        <v>139</v>
      </c>
      <c r="AF564" s="1"/>
    </row>
    <row r="565" spans="1:32" ht="18" hidden="1" customHeight="1">
      <c r="A565" s="1" t="s">
        <v>1831</v>
      </c>
      <c r="B565" s="1" t="s">
        <v>1832</v>
      </c>
      <c r="C565" s="4">
        <v>46060</v>
      </c>
      <c r="D565" s="1">
        <v>46077</v>
      </c>
      <c r="E565" s="1">
        <v>46083</v>
      </c>
      <c r="F565" s="1" t="s">
        <v>90</v>
      </c>
      <c r="G565" s="1" t="s">
        <v>91</v>
      </c>
      <c r="H565" s="1" t="s">
        <v>3425</v>
      </c>
      <c r="I565" s="1" t="s">
        <v>61</v>
      </c>
      <c r="J565" s="1" t="s">
        <v>71</v>
      </c>
      <c r="K565" s="1" t="s">
        <v>1833</v>
      </c>
      <c r="L565" s="1" t="s">
        <v>73</v>
      </c>
      <c r="M565" s="1">
        <v>207.66</v>
      </c>
      <c r="N565" s="1" t="s">
        <v>86</v>
      </c>
      <c r="O565" s="1">
        <v>250</v>
      </c>
      <c r="P565" s="1">
        <v>0</v>
      </c>
      <c r="Q565" s="1">
        <v>15</v>
      </c>
      <c r="R565" s="7">
        <v>0.06</v>
      </c>
      <c r="S565" s="1">
        <v>23</v>
      </c>
      <c r="T565" s="1">
        <v>17</v>
      </c>
      <c r="U565" s="1">
        <v>6</v>
      </c>
      <c r="V565" s="1" t="s">
        <v>3328</v>
      </c>
      <c r="W565" s="1" t="s">
        <v>74</v>
      </c>
      <c r="X565" s="1"/>
      <c r="Y565" s="1" t="s">
        <v>212</v>
      </c>
      <c r="Z565" s="1"/>
      <c r="AA565" s="1" t="s">
        <v>136</v>
      </c>
      <c r="AB565" s="1" t="s">
        <v>137</v>
      </c>
      <c r="AC565" s="1" t="s">
        <v>283</v>
      </c>
      <c r="AD565" s="1">
        <v>1.5</v>
      </c>
      <c r="AE565" s="1" t="s">
        <v>76</v>
      </c>
      <c r="AF565" s="1" t="s">
        <v>185</v>
      </c>
    </row>
    <row r="566" spans="1:32" ht="18" hidden="1" customHeight="1">
      <c r="A566" s="1" t="s">
        <v>1834</v>
      </c>
      <c r="B566" s="1" t="s">
        <v>1835</v>
      </c>
      <c r="C566" s="4">
        <v>46054</v>
      </c>
      <c r="D566" s="1">
        <v>46068</v>
      </c>
      <c r="E566" s="1">
        <v>46069</v>
      </c>
      <c r="F566" s="1" t="s">
        <v>100</v>
      </c>
      <c r="G566" s="1" t="s">
        <v>101</v>
      </c>
      <c r="H566" s="1" t="s">
        <v>3361</v>
      </c>
      <c r="I566" s="1" t="s">
        <v>83</v>
      </c>
      <c r="J566" s="1" t="s">
        <v>50</v>
      </c>
      <c r="K566" s="1" t="s">
        <v>1836</v>
      </c>
      <c r="L566" s="1" t="s">
        <v>52</v>
      </c>
      <c r="M566" s="1">
        <v>1830.14</v>
      </c>
      <c r="N566" s="1" t="s">
        <v>86</v>
      </c>
      <c r="O566" s="1">
        <v>250</v>
      </c>
      <c r="P566" s="1">
        <v>457535</v>
      </c>
      <c r="Q566" s="1">
        <v>13</v>
      </c>
      <c r="R566" s="7">
        <v>5.1999999999999998E-2</v>
      </c>
      <c r="S566" s="1" t="s">
        <v>3406</v>
      </c>
      <c r="T566" s="1">
        <v>14</v>
      </c>
      <c r="U566" s="1">
        <v>1</v>
      </c>
      <c r="V566" s="1" t="s">
        <v>166</v>
      </c>
      <c r="W566" s="1" t="s">
        <v>3384</v>
      </c>
      <c r="X566" s="1" t="s">
        <v>3324</v>
      </c>
      <c r="Y566" s="1" t="s">
        <v>212</v>
      </c>
      <c r="Z566" s="1" t="s">
        <v>107</v>
      </c>
      <c r="AA566" s="1" t="s">
        <v>174</v>
      </c>
      <c r="AB566" s="1" t="s">
        <v>56</v>
      </c>
      <c r="AC566" s="1" t="s">
        <v>75</v>
      </c>
      <c r="AD566" s="1">
        <v>2.4</v>
      </c>
      <c r="AE566" s="1" t="s">
        <v>108</v>
      </c>
      <c r="AF566" s="1" t="s">
        <v>77</v>
      </c>
    </row>
    <row r="567" spans="1:32" ht="18" hidden="1" customHeight="1">
      <c r="A567" s="1" t="s">
        <v>1837</v>
      </c>
      <c r="B567" s="1" t="s">
        <v>1838</v>
      </c>
      <c r="C567" s="4">
        <v>46156</v>
      </c>
      <c r="D567" s="1">
        <v>46168</v>
      </c>
      <c r="E567" s="1">
        <v>46177</v>
      </c>
      <c r="F567" s="1" t="s">
        <v>100</v>
      </c>
      <c r="G567" s="1" t="s">
        <v>3429</v>
      </c>
      <c r="H567" s="1" t="s">
        <v>3361</v>
      </c>
      <c r="I567" s="1" t="s">
        <v>70</v>
      </c>
      <c r="J567" s="1" t="s">
        <v>50</v>
      </c>
      <c r="K567" s="1" t="s">
        <v>1839</v>
      </c>
      <c r="L567" s="1" t="s">
        <v>52</v>
      </c>
      <c r="M567" s="1">
        <v>1167.0999999999999</v>
      </c>
      <c r="N567" s="1" t="s">
        <v>65</v>
      </c>
      <c r="O567" s="1">
        <v>100</v>
      </c>
      <c r="P567" s="1">
        <v>116710</v>
      </c>
      <c r="Q567" s="1">
        <v>-1</v>
      </c>
      <c r="R567" s="7">
        <v>0.05</v>
      </c>
      <c r="S567" s="1">
        <v>21</v>
      </c>
      <c r="T567" s="1">
        <v>12</v>
      </c>
      <c r="U567" s="1">
        <v>9</v>
      </c>
      <c r="V567" s="1" t="s">
        <v>39</v>
      </c>
      <c r="W567" s="1" t="s">
        <v>74</v>
      </c>
      <c r="X567" s="1" t="s">
        <v>41</v>
      </c>
      <c r="Y567" s="1" t="s">
        <v>190</v>
      </c>
      <c r="Z567" s="1"/>
      <c r="AA567" s="1" t="s">
        <v>55</v>
      </c>
      <c r="AB567" s="1" t="s">
        <v>44</v>
      </c>
      <c r="AC567" s="1" t="s">
        <v>183</v>
      </c>
      <c r="AD567" s="1">
        <v>1.9</v>
      </c>
      <c r="AE567" s="1" t="s">
        <v>184</v>
      </c>
      <c r="AF567" s="1" t="s">
        <v>77</v>
      </c>
    </row>
    <row r="568" spans="1:32" ht="18" customHeight="1">
      <c r="A568" s="1" t="s">
        <v>1840</v>
      </c>
      <c r="B568" s="1" t="s">
        <v>1841</v>
      </c>
      <c r="C568" s="4">
        <v>46203</v>
      </c>
      <c r="D568" s="4">
        <v>46208</v>
      </c>
      <c r="E568" s="4" t="s">
        <v>3452</v>
      </c>
      <c r="F568" s="1" t="s">
        <v>151</v>
      </c>
      <c r="G568" s="1" t="s">
        <v>244</v>
      </c>
      <c r="H568" s="1" t="s">
        <v>3327</v>
      </c>
      <c r="I568" s="1" t="s">
        <v>34</v>
      </c>
      <c r="J568" s="1" t="s">
        <v>112</v>
      </c>
      <c r="K568" s="1" t="s">
        <v>1842</v>
      </c>
      <c r="L568" s="1" t="s">
        <v>246</v>
      </c>
      <c r="M568" s="1">
        <v>393.7</v>
      </c>
      <c r="N568" s="1" t="s">
        <v>65</v>
      </c>
      <c r="O568" s="1">
        <v>2000</v>
      </c>
      <c r="P568" s="1" t="s">
        <v>3670</v>
      </c>
      <c r="Q568" s="1">
        <v>36</v>
      </c>
      <c r="R568" s="7">
        <v>1.7999999999999999E-2</v>
      </c>
      <c r="S568" s="1">
        <v>9</v>
      </c>
      <c r="T568" s="1">
        <v>5</v>
      </c>
      <c r="U568" s="1">
        <v>4</v>
      </c>
      <c r="V568" s="1" t="s">
        <v>205</v>
      </c>
      <c r="W568" s="1" t="s">
        <v>40</v>
      </c>
      <c r="X568" s="1" t="s">
        <v>127</v>
      </c>
      <c r="Y568" s="1" t="s">
        <v>3334</v>
      </c>
      <c r="Z568" s="1" t="s">
        <v>128</v>
      </c>
      <c r="AA568" s="1" t="s">
        <v>174</v>
      </c>
      <c r="AB568" s="1" t="s">
        <v>95</v>
      </c>
      <c r="AC568" s="1"/>
      <c r="AD568" s="1">
        <v>4.0999999999999996</v>
      </c>
      <c r="AE568" s="1" t="s">
        <v>184</v>
      </c>
      <c r="AF568" s="1" t="s">
        <v>148</v>
      </c>
    </row>
    <row r="569" spans="1:32" ht="18" hidden="1" customHeight="1">
      <c r="A569" s="1" t="s">
        <v>1843</v>
      </c>
      <c r="B569" s="1" t="s">
        <v>1844</v>
      </c>
      <c r="C569" s="4">
        <v>46048</v>
      </c>
      <c r="D569" s="1">
        <v>46068</v>
      </c>
      <c r="E569" s="1">
        <v>46074</v>
      </c>
      <c r="F569" s="1" t="s">
        <v>32</v>
      </c>
      <c r="G569" s="1" t="s">
        <v>33</v>
      </c>
      <c r="H569" s="1" t="s">
        <v>177</v>
      </c>
      <c r="I569" s="1" t="s">
        <v>120</v>
      </c>
      <c r="J569" s="1" t="s">
        <v>35</v>
      </c>
      <c r="K569" s="1" t="s">
        <v>637</v>
      </c>
      <c r="L569" s="1" t="s">
        <v>37</v>
      </c>
      <c r="M569" s="1">
        <v>3434.18</v>
      </c>
      <c r="N569" s="1" t="s">
        <v>65</v>
      </c>
      <c r="O569" s="1">
        <v>1500</v>
      </c>
      <c r="P569" s="1">
        <v>5151270</v>
      </c>
      <c r="Q569" s="1">
        <v>139</v>
      </c>
      <c r="R569" s="7">
        <v>9.2700000000000005E-2</v>
      </c>
      <c r="S569" s="1">
        <v>26</v>
      </c>
      <c r="T569" s="1">
        <v>20</v>
      </c>
      <c r="U569" s="1"/>
      <c r="V569" s="1" t="s">
        <v>3328</v>
      </c>
      <c r="W569" s="1" t="s">
        <v>420</v>
      </c>
      <c r="X569" s="1" t="s">
        <v>41</v>
      </c>
      <c r="Y569" s="1"/>
      <c r="Z569" s="1" t="s">
        <v>173</v>
      </c>
      <c r="AA569" s="1"/>
      <c r="AB569" s="1" t="s">
        <v>56</v>
      </c>
      <c r="AC569" s="1" t="s">
        <v>75</v>
      </c>
      <c r="AD569" s="1">
        <v>2.9</v>
      </c>
      <c r="AE569" s="1" t="s">
        <v>115</v>
      </c>
      <c r="AF569" s="1" t="s">
        <v>77</v>
      </c>
    </row>
    <row r="570" spans="1:32" ht="18" customHeight="1">
      <c r="A570" s="1" t="s">
        <v>1845</v>
      </c>
      <c r="B570" s="1" t="s">
        <v>1846</v>
      </c>
      <c r="C570" s="4">
        <v>46137</v>
      </c>
      <c r="D570" s="4">
        <v>46151</v>
      </c>
      <c r="E570" s="4" t="s">
        <v>3671</v>
      </c>
      <c r="F570" s="1" t="s">
        <v>215</v>
      </c>
      <c r="G570" s="1" t="s">
        <v>216</v>
      </c>
      <c r="H570" s="1" t="s">
        <v>152</v>
      </c>
      <c r="I570" s="1" t="s">
        <v>49</v>
      </c>
      <c r="J570" s="1" t="s">
        <v>112</v>
      </c>
      <c r="K570" s="1" t="s">
        <v>1847</v>
      </c>
      <c r="L570" s="1" t="s">
        <v>229</v>
      </c>
      <c r="M570" s="1">
        <v>652.80999999999995</v>
      </c>
      <c r="N570" s="1" t="s">
        <v>104</v>
      </c>
      <c r="O570" s="1">
        <v>2000</v>
      </c>
      <c r="P570" s="1"/>
      <c r="Q570" s="1">
        <v>-1</v>
      </c>
      <c r="R570" s="7">
        <v>2.9499999999999998E-2</v>
      </c>
      <c r="S570" s="1">
        <v>2</v>
      </c>
      <c r="T570" s="1">
        <v>14</v>
      </c>
      <c r="U570" s="1">
        <v>-12</v>
      </c>
      <c r="V570" s="1" t="s">
        <v>3337</v>
      </c>
      <c r="W570" s="1" t="s">
        <v>40</v>
      </c>
      <c r="X570" s="1" t="s">
        <v>105</v>
      </c>
      <c r="Y570" s="1" t="s">
        <v>3334</v>
      </c>
      <c r="Z570" s="1" t="s">
        <v>3330</v>
      </c>
      <c r="AA570" s="1"/>
      <c r="AB570" s="1" t="s">
        <v>137</v>
      </c>
      <c r="AC570" s="1"/>
      <c r="AD570" s="1">
        <v>3.4</v>
      </c>
      <c r="AE570" s="1" t="s">
        <v>76</v>
      </c>
      <c r="AF570" s="1"/>
    </row>
    <row r="571" spans="1:32" ht="18" customHeight="1">
      <c r="A571" s="1" t="s">
        <v>1848</v>
      </c>
      <c r="B571" s="1" t="s">
        <v>1849</v>
      </c>
      <c r="C571" s="4">
        <v>46183</v>
      </c>
      <c r="D571" s="4">
        <v>46198</v>
      </c>
      <c r="E571" s="4">
        <v>46209</v>
      </c>
      <c r="F571" s="1" t="s">
        <v>32</v>
      </c>
      <c r="G571" s="1" t="s">
        <v>33</v>
      </c>
      <c r="H571" s="1" t="s">
        <v>3319</v>
      </c>
      <c r="I571" s="1" t="s">
        <v>83</v>
      </c>
      <c r="J571" s="1" t="s">
        <v>35</v>
      </c>
      <c r="K571" s="1" t="s">
        <v>1441</v>
      </c>
      <c r="L571" s="1" t="s">
        <v>180</v>
      </c>
      <c r="M571" s="1">
        <v>945.49</v>
      </c>
      <c r="N571" s="1" t="s">
        <v>86</v>
      </c>
      <c r="O571" s="1">
        <v>150</v>
      </c>
      <c r="P571" s="1">
        <v>141823.5</v>
      </c>
      <c r="Q571" s="1">
        <v>0</v>
      </c>
      <c r="R571" s="7">
        <v>0</v>
      </c>
      <c r="S571" s="1">
        <v>26</v>
      </c>
      <c r="T571" s="1">
        <v>15</v>
      </c>
      <c r="U571" s="1">
        <v>11</v>
      </c>
      <c r="V571" s="1" t="s">
        <v>39</v>
      </c>
      <c r="W571" s="1" t="s">
        <v>40</v>
      </c>
      <c r="X571" s="1" t="s">
        <v>41</v>
      </c>
      <c r="Y571" s="1" t="s">
        <v>106</v>
      </c>
      <c r="Z571" s="1" t="s">
        <v>3330</v>
      </c>
      <c r="AA571" s="1" t="s">
        <v>129</v>
      </c>
      <c r="AB571" s="1" t="s">
        <v>137</v>
      </c>
      <c r="AC571" s="1"/>
      <c r="AD571" s="1">
        <v>2.2999999999999998</v>
      </c>
      <c r="AE571" s="1" t="s">
        <v>76</v>
      </c>
      <c r="AF571" s="1" t="s">
        <v>46</v>
      </c>
    </row>
    <row r="572" spans="1:32" ht="18" customHeight="1">
      <c r="A572" s="1" t="s">
        <v>1850</v>
      </c>
      <c r="B572" s="1" t="s">
        <v>1851</v>
      </c>
      <c r="C572" s="4" t="s">
        <v>3672</v>
      </c>
      <c r="D572" s="4">
        <v>46188</v>
      </c>
      <c r="E572" s="4"/>
      <c r="F572" s="1" t="s">
        <v>90</v>
      </c>
      <c r="G572" s="1" t="s">
        <v>91</v>
      </c>
      <c r="H572" s="1" t="s">
        <v>3425</v>
      </c>
      <c r="I572" s="1" t="s">
        <v>70</v>
      </c>
      <c r="J572" s="1" t="s">
        <v>50</v>
      </c>
      <c r="K572" s="1" t="s">
        <v>1852</v>
      </c>
      <c r="L572" s="1" t="s">
        <v>126</v>
      </c>
      <c r="M572" s="1">
        <v>1699.68</v>
      </c>
      <c r="N572" s="1" t="s">
        <v>38</v>
      </c>
      <c r="O572" s="1">
        <v>1500</v>
      </c>
      <c r="P572" s="1">
        <v>2549520</v>
      </c>
      <c r="Q572" s="1">
        <v>0</v>
      </c>
      <c r="R572" s="7">
        <v>0</v>
      </c>
      <c r="S572" s="1">
        <v>30</v>
      </c>
      <c r="T572" s="1">
        <v>15</v>
      </c>
      <c r="U572" s="1">
        <v>15</v>
      </c>
      <c r="V572" s="1" t="s">
        <v>39</v>
      </c>
      <c r="W572" s="1" t="s">
        <v>40</v>
      </c>
      <c r="X572" s="1" t="s">
        <v>146</v>
      </c>
      <c r="Y572" s="1" t="s">
        <v>42</v>
      </c>
      <c r="Z572" s="1"/>
      <c r="AA572" s="1" t="s">
        <v>3341</v>
      </c>
      <c r="AB572" s="1" t="s">
        <v>137</v>
      </c>
      <c r="AC572" s="1"/>
      <c r="AD572" s="1">
        <v>3.2</v>
      </c>
      <c r="AE572" s="1" t="s">
        <v>115</v>
      </c>
      <c r="AF572" s="1" t="s">
        <v>148</v>
      </c>
    </row>
    <row r="573" spans="1:32" ht="18" customHeight="1">
      <c r="A573" s="1" t="s">
        <v>1853</v>
      </c>
      <c r="B573" s="1" t="s">
        <v>1854</v>
      </c>
      <c r="C573" s="4">
        <v>46120</v>
      </c>
      <c r="D573" s="4"/>
      <c r="E573" s="4" t="s">
        <v>3548</v>
      </c>
      <c r="F573" s="1" t="s">
        <v>235</v>
      </c>
      <c r="G573" s="1"/>
      <c r="H573" s="1" t="s">
        <v>3371</v>
      </c>
      <c r="I573" s="1" t="s">
        <v>120</v>
      </c>
      <c r="J573" s="1" t="s">
        <v>71</v>
      </c>
      <c r="K573" s="1" t="s">
        <v>1855</v>
      </c>
      <c r="L573" s="1" t="s">
        <v>337</v>
      </c>
      <c r="M573" s="1">
        <v>673.85</v>
      </c>
      <c r="N573" s="1" t="s">
        <v>104</v>
      </c>
      <c r="O573" s="1" t="s">
        <v>3673</v>
      </c>
      <c r="P573" s="1">
        <v>505387.5</v>
      </c>
      <c r="Q573" s="1">
        <v>20</v>
      </c>
      <c r="R573" s="7">
        <v>2.6700000000000002E-2</v>
      </c>
      <c r="S573" s="1">
        <v>25</v>
      </c>
      <c r="T573" s="1">
        <v>23</v>
      </c>
      <c r="U573" s="1">
        <v>2</v>
      </c>
      <c r="V573" s="1" t="s">
        <v>135</v>
      </c>
      <c r="W573" s="1" t="s">
        <v>40</v>
      </c>
      <c r="X573" s="1" t="s">
        <v>105</v>
      </c>
      <c r="Y573" s="1" t="s">
        <v>212</v>
      </c>
      <c r="Z573" s="1" t="s">
        <v>173</v>
      </c>
      <c r="AA573" s="1" t="s">
        <v>206</v>
      </c>
      <c r="AB573" s="1"/>
      <c r="AC573" s="1"/>
      <c r="AD573" s="1"/>
      <c r="AE573" s="1" t="s">
        <v>45</v>
      </c>
      <c r="AF573" s="1" t="s">
        <v>46</v>
      </c>
    </row>
    <row r="574" spans="1:32" ht="18" customHeight="1">
      <c r="A574" s="1" t="s">
        <v>1856</v>
      </c>
      <c r="B574" s="1" t="s">
        <v>1857</v>
      </c>
      <c r="C574" s="4">
        <v>46187</v>
      </c>
      <c r="D574" s="4">
        <v>46197</v>
      </c>
      <c r="E574" s="4">
        <v>46193</v>
      </c>
      <c r="F574" s="1" t="s">
        <v>151</v>
      </c>
      <c r="G574" s="1" t="s">
        <v>3353</v>
      </c>
      <c r="H574" s="1" t="s">
        <v>3408</v>
      </c>
      <c r="I574" s="1" t="s">
        <v>83</v>
      </c>
      <c r="J574" s="1" t="s">
        <v>112</v>
      </c>
      <c r="K574" s="1" t="s">
        <v>1858</v>
      </c>
      <c r="L574" s="1" t="s">
        <v>229</v>
      </c>
      <c r="M574" s="1">
        <v>156.6</v>
      </c>
      <c r="N574" s="1" t="s">
        <v>86</v>
      </c>
      <c r="O574" s="1">
        <v>150</v>
      </c>
      <c r="P574" s="1"/>
      <c r="Q574" s="1">
        <v>0</v>
      </c>
      <c r="R574" s="7">
        <v>0</v>
      </c>
      <c r="S574" s="1"/>
      <c r="T574" s="1">
        <v>10</v>
      </c>
      <c r="U574" s="1">
        <v>-4</v>
      </c>
      <c r="V574" s="1" t="s">
        <v>270</v>
      </c>
      <c r="W574" s="1" t="s">
        <v>40</v>
      </c>
      <c r="X574" s="1"/>
      <c r="Y574" s="1" t="s">
        <v>106</v>
      </c>
      <c r="Z574" s="1" t="s">
        <v>3333</v>
      </c>
      <c r="AA574" s="1" t="s">
        <v>129</v>
      </c>
      <c r="AB574" s="1" t="s">
        <v>147</v>
      </c>
      <c r="AC574" s="1"/>
      <c r="AD574" s="1">
        <v>3.9</v>
      </c>
      <c r="AE574" s="1" t="s">
        <v>76</v>
      </c>
      <c r="AF574" s="1" t="s">
        <v>130</v>
      </c>
    </row>
    <row r="575" spans="1:32" ht="18" customHeight="1">
      <c r="A575" s="1" t="s">
        <v>1859</v>
      </c>
      <c r="B575" s="1" t="s">
        <v>1860</v>
      </c>
      <c r="C575" s="4">
        <v>46177</v>
      </c>
      <c r="D575" s="4"/>
      <c r="E575" s="4">
        <v>46191</v>
      </c>
      <c r="F575" s="1" t="s">
        <v>69</v>
      </c>
      <c r="G575" s="1" t="s">
        <v>3362</v>
      </c>
      <c r="H575" s="1" t="s">
        <v>194</v>
      </c>
      <c r="I575" s="1" t="s">
        <v>61</v>
      </c>
      <c r="J575" s="1" t="s">
        <v>163</v>
      </c>
      <c r="K575" s="1" t="s">
        <v>1861</v>
      </c>
      <c r="L575" s="1" t="s">
        <v>269</v>
      </c>
      <c r="M575" s="1">
        <v>590.96</v>
      </c>
      <c r="N575" s="1" t="s">
        <v>65</v>
      </c>
      <c r="O575" s="1">
        <v>500</v>
      </c>
      <c r="P575" s="1">
        <v>295480</v>
      </c>
      <c r="Q575" s="1">
        <v>3</v>
      </c>
      <c r="R575" s="7">
        <v>6.0000000000000001E-3</v>
      </c>
      <c r="S575" s="1">
        <v>14</v>
      </c>
      <c r="T575" s="1">
        <v>13</v>
      </c>
      <c r="U575" s="1">
        <v>1</v>
      </c>
      <c r="V575" s="1" t="s">
        <v>166</v>
      </c>
      <c r="W575" s="1" t="s">
        <v>40</v>
      </c>
      <c r="X575" s="1" t="s">
        <v>127</v>
      </c>
      <c r="Y575" s="1" t="s">
        <v>42</v>
      </c>
      <c r="Z575" s="1" t="s">
        <v>173</v>
      </c>
      <c r="AA575" s="1" t="s">
        <v>129</v>
      </c>
      <c r="AB575" s="1" t="s">
        <v>44</v>
      </c>
      <c r="AC575" s="1"/>
      <c r="AD575" s="1">
        <v>4.7</v>
      </c>
      <c r="AE575" s="1" t="s">
        <v>76</v>
      </c>
      <c r="AF575" s="1" t="s">
        <v>148</v>
      </c>
    </row>
    <row r="576" spans="1:32" ht="18" customHeight="1">
      <c r="A576" s="1" t="s">
        <v>1862</v>
      </c>
      <c r="B576" s="1" t="s">
        <v>1863</v>
      </c>
      <c r="C576" s="4">
        <v>46199</v>
      </c>
      <c r="D576" s="4" t="s">
        <v>3436</v>
      </c>
      <c r="E576" s="4">
        <v>46223</v>
      </c>
      <c r="F576" s="1" t="s">
        <v>32</v>
      </c>
      <c r="G576" s="1" t="s">
        <v>33</v>
      </c>
      <c r="H576" s="1" t="s">
        <v>3395</v>
      </c>
      <c r="I576" s="1" t="s">
        <v>34</v>
      </c>
      <c r="J576" s="1" t="s">
        <v>35</v>
      </c>
      <c r="K576" s="1" t="s">
        <v>1864</v>
      </c>
      <c r="L576" s="1" t="s">
        <v>37</v>
      </c>
      <c r="M576" s="1">
        <v>4773.3599999999997</v>
      </c>
      <c r="N576" s="1" t="s">
        <v>86</v>
      </c>
      <c r="O576" s="1">
        <v>100</v>
      </c>
      <c r="P576" s="1">
        <v>477336</v>
      </c>
      <c r="Q576" s="1">
        <v>4</v>
      </c>
      <c r="R576" s="7">
        <v>0.04</v>
      </c>
      <c r="S576" s="1">
        <v>24</v>
      </c>
      <c r="T576" s="1">
        <v>21</v>
      </c>
      <c r="U576" s="1">
        <v>3</v>
      </c>
      <c r="V576" s="1" t="s">
        <v>166</v>
      </c>
      <c r="W576" s="1" t="s">
        <v>40</v>
      </c>
      <c r="X576" s="1" t="s">
        <v>3329</v>
      </c>
      <c r="Y576" s="1" t="s">
        <v>66</v>
      </c>
      <c r="Z576" s="1" t="s">
        <v>128</v>
      </c>
      <c r="AA576" s="1" t="s">
        <v>129</v>
      </c>
      <c r="AB576" s="1" t="s">
        <v>95</v>
      </c>
      <c r="AC576" s="1"/>
      <c r="AD576" s="1">
        <v>3.6</v>
      </c>
      <c r="AE576" s="1" t="s">
        <v>45</v>
      </c>
      <c r="AF576" s="1" t="s">
        <v>46</v>
      </c>
    </row>
    <row r="577" spans="1:32" ht="18" customHeight="1">
      <c r="A577" s="1" t="s">
        <v>1865</v>
      </c>
      <c r="B577" s="1" t="s">
        <v>1866</v>
      </c>
      <c r="C577" s="4">
        <v>46047</v>
      </c>
      <c r="D577" s="4">
        <v>46066</v>
      </c>
      <c r="E577" s="4">
        <v>46070</v>
      </c>
      <c r="F577" s="1" t="s">
        <v>235</v>
      </c>
      <c r="G577" s="1" t="s">
        <v>3426</v>
      </c>
      <c r="H577" s="1" t="s">
        <v>3374</v>
      </c>
      <c r="I577" s="1" t="s">
        <v>241</v>
      </c>
      <c r="J577" s="1" t="s">
        <v>71</v>
      </c>
      <c r="K577" s="1" t="s">
        <v>1496</v>
      </c>
      <c r="L577" s="1" t="s">
        <v>553</v>
      </c>
      <c r="M577" s="1">
        <v>177.77</v>
      </c>
      <c r="N577" s="1" t="s">
        <v>86</v>
      </c>
      <c r="O577" s="1">
        <v>1500</v>
      </c>
      <c r="P577" s="1">
        <v>266655</v>
      </c>
      <c r="Q577" s="1">
        <v>49</v>
      </c>
      <c r="R577" s="7">
        <v>3.27E-2</v>
      </c>
      <c r="S577" s="1">
        <v>23</v>
      </c>
      <c r="T577" s="1">
        <v>19</v>
      </c>
      <c r="U577" s="1">
        <v>4</v>
      </c>
      <c r="V577" s="1" t="s">
        <v>39</v>
      </c>
      <c r="W577" s="1" t="s">
        <v>40</v>
      </c>
      <c r="X577" s="1" t="s">
        <v>127</v>
      </c>
      <c r="Y577" s="1" t="s">
        <v>212</v>
      </c>
      <c r="Z577" s="1"/>
      <c r="AA577" s="1" t="s">
        <v>3341</v>
      </c>
      <c r="AB577" s="1" t="s">
        <v>147</v>
      </c>
      <c r="AC577" s="1"/>
      <c r="AD577" s="1">
        <v>3.8</v>
      </c>
      <c r="AE577" s="1" t="s">
        <v>108</v>
      </c>
      <c r="AF577" s="1" t="s">
        <v>148</v>
      </c>
    </row>
    <row r="578" spans="1:32" ht="18" customHeight="1">
      <c r="A578" s="1" t="s">
        <v>1867</v>
      </c>
      <c r="B578" s="1" t="s">
        <v>1868</v>
      </c>
      <c r="C578" s="4">
        <v>46085</v>
      </c>
      <c r="D578" s="4">
        <v>46094</v>
      </c>
      <c r="E578" s="4" t="s">
        <v>3452</v>
      </c>
      <c r="F578" s="1" t="s">
        <v>80</v>
      </c>
      <c r="G578" s="1" t="s">
        <v>3413</v>
      </c>
      <c r="H578" s="1" t="s">
        <v>82</v>
      </c>
      <c r="I578" s="1" t="s">
        <v>178</v>
      </c>
      <c r="J578" s="1" t="s">
        <v>163</v>
      </c>
      <c r="K578" s="1" t="s">
        <v>1869</v>
      </c>
      <c r="L578" s="1" t="s">
        <v>253</v>
      </c>
      <c r="M578" s="1">
        <v>962.32</v>
      </c>
      <c r="N578" s="1" t="s">
        <v>65</v>
      </c>
      <c r="O578" s="1">
        <v>150</v>
      </c>
      <c r="P578" s="1">
        <v>144348</v>
      </c>
      <c r="Q578" s="1">
        <v>4</v>
      </c>
      <c r="R578" s="7">
        <v>2.6700000000000002E-2</v>
      </c>
      <c r="S578" s="1" t="s">
        <v>3674</v>
      </c>
      <c r="T578" s="1">
        <v>9</v>
      </c>
      <c r="U578" s="1">
        <v>5</v>
      </c>
      <c r="V578" s="1" t="s">
        <v>39</v>
      </c>
      <c r="W578" s="1" t="s">
        <v>40</v>
      </c>
      <c r="X578" s="1" t="s">
        <v>3324</v>
      </c>
      <c r="Y578" s="1" t="s">
        <v>66</v>
      </c>
      <c r="Z578" s="1" t="s">
        <v>43</v>
      </c>
      <c r="AA578" s="1" t="s">
        <v>3341</v>
      </c>
      <c r="AB578" s="1" t="s">
        <v>137</v>
      </c>
      <c r="AC578" s="1"/>
      <c r="AD578" s="1">
        <v>3.2</v>
      </c>
      <c r="AE578" s="1" t="s">
        <v>184</v>
      </c>
      <c r="AF578" s="1" t="s">
        <v>46</v>
      </c>
    </row>
    <row r="579" spans="1:32" ht="18" customHeight="1">
      <c r="A579" s="1" t="s">
        <v>1870</v>
      </c>
      <c r="B579" s="1" t="s">
        <v>1871</v>
      </c>
      <c r="C579" s="4">
        <v>46199</v>
      </c>
      <c r="D579" s="4"/>
      <c r="E579" s="4">
        <v>46217</v>
      </c>
      <c r="F579" s="1" t="s">
        <v>256</v>
      </c>
      <c r="G579" s="1" t="s">
        <v>3419</v>
      </c>
      <c r="H579" s="1" t="s">
        <v>3420</v>
      </c>
      <c r="I579" s="1" t="s">
        <v>61</v>
      </c>
      <c r="J579" s="1" t="s">
        <v>71</v>
      </c>
      <c r="K579" s="1" t="s">
        <v>1872</v>
      </c>
      <c r="L579" s="1" t="s">
        <v>238</v>
      </c>
      <c r="M579" s="1">
        <v>443.57</v>
      </c>
      <c r="N579" s="1" t="s">
        <v>65</v>
      </c>
      <c r="O579" s="1">
        <v>250</v>
      </c>
      <c r="P579" s="1">
        <v>110892.5</v>
      </c>
      <c r="Q579" s="1">
        <v>2</v>
      </c>
      <c r="R579" s="7">
        <v>8.0000000000000002E-3</v>
      </c>
      <c r="S579" s="1">
        <v>18</v>
      </c>
      <c r="T579" s="1">
        <v>21</v>
      </c>
      <c r="U579" s="1">
        <v>-3</v>
      </c>
      <c r="V579" s="1" t="s">
        <v>270</v>
      </c>
      <c r="W579" s="1" t="s">
        <v>40</v>
      </c>
      <c r="X579" s="1"/>
      <c r="Y579" s="1" t="s">
        <v>106</v>
      </c>
      <c r="Z579" s="1" t="s">
        <v>3333</v>
      </c>
      <c r="AA579" s="1" t="s">
        <v>3341</v>
      </c>
      <c r="AB579" s="1"/>
      <c r="AC579" s="1"/>
      <c r="AD579" s="1">
        <v>4</v>
      </c>
      <c r="AE579" s="1" t="s">
        <v>184</v>
      </c>
      <c r="AF579" s="1" t="s">
        <v>130</v>
      </c>
    </row>
    <row r="580" spans="1:32" ht="18" customHeight="1">
      <c r="A580" s="1" t="s">
        <v>1873</v>
      </c>
      <c r="B580" s="1" t="s">
        <v>1874</v>
      </c>
      <c r="C580" s="4" t="s">
        <v>3621</v>
      </c>
      <c r="D580" s="4">
        <v>46079</v>
      </c>
      <c r="E580" s="4">
        <v>46082</v>
      </c>
      <c r="F580" s="1" t="s">
        <v>209</v>
      </c>
      <c r="G580" s="1" t="s">
        <v>210</v>
      </c>
      <c r="H580" s="1" t="s">
        <v>3365</v>
      </c>
      <c r="I580" s="1" t="s">
        <v>61</v>
      </c>
      <c r="J580" s="1" t="s">
        <v>153</v>
      </c>
      <c r="K580" s="1" t="s">
        <v>1875</v>
      </c>
      <c r="L580" s="1" t="s">
        <v>204</v>
      </c>
      <c r="M580" s="1">
        <v>844.23</v>
      </c>
      <c r="N580" s="1" t="s">
        <v>159</v>
      </c>
      <c r="O580" s="1">
        <v>1000</v>
      </c>
      <c r="P580" s="1">
        <v>844230</v>
      </c>
      <c r="Q580" s="1">
        <v>30</v>
      </c>
      <c r="R580" s="7">
        <v>0.03</v>
      </c>
      <c r="S580" s="1">
        <v>12</v>
      </c>
      <c r="T580" s="1">
        <v>9</v>
      </c>
      <c r="U580" s="1">
        <v>3</v>
      </c>
      <c r="V580" s="1" t="s">
        <v>3323</v>
      </c>
      <c r="W580" s="1" t="s">
        <v>40</v>
      </c>
      <c r="X580" s="1" t="s">
        <v>105</v>
      </c>
      <c r="Y580" s="1" t="s">
        <v>42</v>
      </c>
      <c r="Z580" s="1"/>
      <c r="AA580" s="1"/>
      <c r="AB580" s="1" t="s">
        <v>191</v>
      </c>
      <c r="AC580" s="1"/>
      <c r="AD580" s="1">
        <v>4.5999999999999996</v>
      </c>
      <c r="AE580" s="1" t="s">
        <v>76</v>
      </c>
      <c r="AF580" s="1" t="s">
        <v>46</v>
      </c>
    </row>
    <row r="581" spans="1:32" ht="18" customHeight="1">
      <c r="A581" s="1" t="s">
        <v>1876</v>
      </c>
      <c r="B581" s="1" t="s">
        <v>1877</v>
      </c>
      <c r="C581" s="4" t="s">
        <v>3675</v>
      </c>
      <c r="D581" s="4">
        <v>46207</v>
      </c>
      <c r="E581" s="4" t="s">
        <v>3452</v>
      </c>
      <c r="F581" s="1" t="s">
        <v>100</v>
      </c>
      <c r="G581" s="1" t="s">
        <v>101</v>
      </c>
      <c r="H581" s="1" t="s">
        <v>3322</v>
      </c>
      <c r="I581" s="1" t="s">
        <v>241</v>
      </c>
      <c r="J581" s="1" t="s">
        <v>50</v>
      </c>
      <c r="K581" s="1" t="s">
        <v>1878</v>
      </c>
      <c r="L581" s="1" t="s">
        <v>52</v>
      </c>
      <c r="M581" s="1">
        <v>572.08000000000004</v>
      </c>
      <c r="N581" s="1" t="s">
        <v>65</v>
      </c>
      <c r="O581" s="1">
        <v>75</v>
      </c>
      <c r="P581" s="1">
        <v>42906</v>
      </c>
      <c r="Q581" s="1">
        <v>2</v>
      </c>
      <c r="R581" s="7">
        <v>2.6700000000000002E-2</v>
      </c>
      <c r="S581" s="1">
        <v>13</v>
      </c>
      <c r="T581" s="1">
        <v>15</v>
      </c>
      <c r="U581" s="1">
        <v>-2</v>
      </c>
      <c r="V581" s="1" t="s">
        <v>87</v>
      </c>
      <c r="W581" s="1" t="s">
        <v>40</v>
      </c>
      <c r="X581" s="1" t="s">
        <v>41</v>
      </c>
      <c r="Y581" s="1"/>
      <c r="Z581" s="1" t="s">
        <v>173</v>
      </c>
      <c r="AA581" s="1"/>
      <c r="AB581" s="1" t="s">
        <v>147</v>
      </c>
      <c r="AC581" s="1"/>
      <c r="AD581" s="1">
        <v>3</v>
      </c>
      <c r="AE581" s="1" t="s">
        <v>184</v>
      </c>
      <c r="AF581" s="1"/>
    </row>
    <row r="582" spans="1:32" ht="18" customHeight="1">
      <c r="A582" s="1" t="s">
        <v>1879</v>
      </c>
      <c r="B582" s="1" t="s">
        <v>1880</v>
      </c>
      <c r="C582" s="4">
        <v>46036</v>
      </c>
      <c r="D582" s="4">
        <v>46047</v>
      </c>
      <c r="E582" s="4" t="s">
        <v>3676</v>
      </c>
      <c r="F582" s="1" t="s">
        <v>215</v>
      </c>
      <c r="G582" s="1" t="s">
        <v>3502</v>
      </c>
      <c r="H582" s="1" t="s">
        <v>3408</v>
      </c>
      <c r="I582" s="1" t="s">
        <v>83</v>
      </c>
      <c r="J582" s="1" t="s">
        <v>153</v>
      </c>
      <c r="K582" s="1" t="s">
        <v>1881</v>
      </c>
      <c r="L582" s="1" t="s">
        <v>318</v>
      </c>
      <c r="M582" s="1">
        <v>678.68</v>
      </c>
      <c r="N582" s="1" t="s">
        <v>104</v>
      </c>
      <c r="O582" s="1">
        <v>500</v>
      </c>
      <c r="P582" s="1">
        <v>339340</v>
      </c>
      <c r="Q582" s="1">
        <v>13</v>
      </c>
      <c r="R582" s="7">
        <v>2.5999999999999999E-2</v>
      </c>
      <c r="S582" s="1">
        <v>10</v>
      </c>
      <c r="T582" s="1">
        <v>11</v>
      </c>
      <c r="U582" s="1">
        <v>-1</v>
      </c>
      <c r="V582" s="1" t="s">
        <v>270</v>
      </c>
      <c r="W582" s="1" t="s">
        <v>40</v>
      </c>
      <c r="X582" s="1" t="s">
        <v>146</v>
      </c>
      <c r="Y582" s="1" t="s">
        <v>3334</v>
      </c>
      <c r="Z582" s="1" t="s">
        <v>128</v>
      </c>
      <c r="AA582" s="1" t="s">
        <v>88</v>
      </c>
      <c r="AB582" s="1"/>
      <c r="AC582" s="1"/>
      <c r="AD582" s="1">
        <v>4.7</v>
      </c>
      <c r="AE582" s="1" t="s">
        <v>76</v>
      </c>
      <c r="AF582" s="1" t="s">
        <v>130</v>
      </c>
    </row>
    <row r="583" spans="1:32" ht="18" customHeight="1">
      <c r="A583" s="1" t="s">
        <v>1882</v>
      </c>
      <c r="B583" s="1" t="s">
        <v>1883</v>
      </c>
      <c r="C583" s="4">
        <v>46168</v>
      </c>
      <c r="D583" s="4">
        <v>46188</v>
      </c>
      <c r="E583" s="4"/>
      <c r="F583" s="1" t="s">
        <v>142</v>
      </c>
      <c r="G583" s="1" t="s">
        <v>3561</v>
      </c>
      <c r="H583" s="1" t="s">
        <v>169</v>
      </c>
      <c r="I583" s="1" t="s">
        <v>83</v>
      </c>
      <c r="J583" s="1" t="s">
        <v>50</v>
      </c>
      <c r="K583" s="1" t="s">
        <v>1884</v>
      </c>
      <c r="L583" s="1" t="s">
        <v>189</v>
      </c>
      <c r="M583" s="1">
        <v>2519.85</v>
      </c>
      <c r="N583" s="1" t="s">
        <v>159</v>
      </c>
      <c r="O583" s="1">
        <v>200</v>
      </c>
      <c r="P583" s="1">
        <v>503970</v>
      </c>
      <c r="Q583" s="1">
        <v>4</v>
      </c>
      <c r="R583" s="7">
        <v>0.02</v>
      </c>
      <c r="S583" s="1">
        <v>24</v>
      </c>
      <c r="T583" s="1">
        <v>20</v>
      </c>
      <c r="U583" s="1">
        <v>4</v>
      </c>
      <c r="V583" s="1" t="s">
        <v>3328</v>
      </c>
      <c r="W583" s="1" t="s">
        <v>40</v>
      </c>
      <c r="X583" s="1" t="s">
        <v>105</v>
      </c>
      <c r="Y583" s="1"/>
      <c r="Z583" s="1" t="s">
        <v>128</v>
      </c>
      <c r="AA583" s="1"/>
      <c r="AB583" s="1" t="s">
        <v>191</v>
      </c>
      <c r="AC583" s="1"/>
      <c r="AD583" s="1">
        <v>3.2</v>
      </c>
      <c r="AE583" s="1" t="s">
        <v>108</v>
      </c>
      <c r="AF583" s="1" t="s">
        <v>46</v>
      </c>
    </row>
    <row r="584" spans="1:32" ht="18" customHeight="1">
      <c r="A584" s="1" t="s">
        <v>1885</v>
      </c>
      <c r="B584" s="1" t="s">
        <v>1886</v>
      </c>
      <c r="C584" s="4">
        <v>46177</v>
      </c>
      <c r="D584" s="4">
        <v>46190</v>
      </c>
      <c r="E584" s="4">
        <v>46193</v>
      </c>
      <c r="F584" s="1" t="s">
        <v>100</v>
      </c>
      <c r="G584" s="1" t="s">
        <v>3429</v>
      </c>
      <c r="H584" s="1" t="s">
        <v>3361</v>
      </c>
      <c r="I584" s="1" t="s">
        <v>49</v>
      </c>
      <c r="J584" s="1" t="s">
        <v>50</v>
      </c>
      <c r="K584" s="1" t="s">
        <v>1887</v>
      </c>
      <c r="L584" s="1" t="s">
        <v>145</v>
      </c>
      <c r="M584" s="1">
        <v>2113.83</v>
      </c>
      <c r="N584" s="1" t="s">
        <v>53</v>
      </c>
      <c r="O584" s="1">
        <v>750</v>
      </c>
      <c r="P584" s="1">
        <v>1585372.5</v>
      </c>
      <c r="Q584" s="1">
        <v>18</v>
      </c>
      <c r="R584" s="7">
        <v>2.4E-2</v>
      </c>
      <c r="S584" s="1">
        <v>16</v>
      </c>
      <c r="T584" s="1">
        <v>13</v>
      </c>
      <c r="U584" s="1">
        <v>3</v>
      </c>
      <c r="V584" s="1" t="s">
        <v>166</v>
      </c>
      <c r="W584" s="1" t="s">
        <v>40</v>
      </c>
      <c r="X584" s="1" t="s">
        <v>41</v>
      </c>
      <c r="Y584" s="1" t="s">
        <v>3334</v>
      </c>
      <c r="Z584" s="1" t="s">
        <v>173</v>
      </c>
      <c r="AA584" s="1" t="s">
        <v>55</v>
      </c>
      <c r="AB584" s="1" t="s">
        <v>137</v>
      </c>
      <c r="AC584" s="1"/>
      <c r="AD584" s="1">
        <v>2.6</v>
      </c>
      <c r="AE584" s="1" t="s">
        <v>115</v>
      </c>
      <c r="AF584" s="1" t="s">
        <v>46</v>
      </c>
    </row>
    <row r="585" spans="1:32" ht="18" hidden="1" customHeight="1">
      <c r="A585" s="1" t="s">
        <v>1888</v>
      </c>
      <c r="B585" s="1" t="s">
        <v>1889</v>
      </c>
      <c r="C585" s="4">
        <v>46065</v>
      </c>
      <c r="D585" s="1">
        <v>46079</v>
      </c>
      <c r="E585" s="1">
        <v>46077</v>
      </c>
      <c r="F585" s="1" t="s">
        <v>69</v>
      </c>
      <c r="G585" s="1" t="s">
        <v>111</v>
      </c>
      <c r="H585" s="1" t="s">
        <v>3338</v>
      </c>
      <c r="I585" s="1" t="s">
        <v>61</v>
      </c>
      <c r="J585" s="1" t="s">
        <v>50</v>
      </c>
      <c r="K585" s="1" t="s">
        <v>1890</v>
      </c>
      <c r="L585" s="1" t="s">
        <v>126</v>
      </c>
      <c r="M585" s="1">
        <v>2241.2800000000002</v>
      </c>
      <c r="N585" s="1" t="s">
        <v>38</v>
      </c>
      <c r="O585" s="1">
        <v>250</v>
      </c>
      <c r="P585" s="1">
        <v>560320</v>
      </c>
      <c r="Q585" s="1">
        <v>15</v>
      </c>
      <c r="R585" s="7">
        <v>0.06</v>
      </c>
      <c r="S585" s="1">
        <v>12</v>
      </c>
      <c r="T585" s="1">
        <v>14</v>
      </c>
      <c r="U585" s="1">
        <v>-2</v>
      </c>
      <c r="V585" s="1" t="s">
        <v>270</v>
      </c>
      <c r="W585" s="1" t="s">
        <v>366</v>
      </c>
      <c r="X585" s="1" t="s">
        <v>105</v>
      </c>
      <c r="Y585" s="1" t="s">
        <v>106</v>
      </c>
      <c r="Z585" s="1" t="s">
        <v>128</v>
      </c>
      <c r="AA585" s="1"/>
      <c r="AB585" s="1"/>
      <c r="AC585" s="1" t="s">
        <v>96</v>
      </c>
      <c r="AD585" s="1">
        <v>2.1</v>
      </c>
      <c r="AE585" s="1" t="s">
        <v>45</v>
      </c>
      <c r="AF585" s="1" t="s">
        <v>97</v>
      </c>
    </row>
    <row r="586" spans="1:32" ht="18" customHeight="1">
      <c r="A586" s="1" t="s">
        <v>1891</v>
      </c>
      <c r="B586" s="1" t="s">
        <v>1892</v>
      </c>
      <c r="C586" s="4">
        <v>46033</v>
      </c>
      <c r="D586" s="4" t="s">
        <v>3436</v>
      </c>
      <c r="E586" s="4">
        <v>46043</v>
      </c>
      <c r="F586" s="1" t="s">
        <v>69</v>
      </c>
      <c r="G586" s="1" t="s">
        <v>3331</v>
      </c>
      <c r="H586" s="1" t="s">
        <v>3338</v>
      </c>
      <c r="I586" s="1" t="s">
        <v>49</v>
      </c>
      <c r="J586" s="1" t="s">
        <v>112</v>
      </c>
      <c r="K586" s="1" t="s">
        <v>1893</v>
      </c>
      <c r="L586" s="1" t="s">
        <v>218</v>
      </c>
      <c r="M586" s="1">
        <v>802.15</v>
      </c>
      <c r="N586" s="1" t="s">
        <v>65</v>
      </c>
      <c r="O586" s="1">
        <v>300</v>
      </c>
      <c r="P586" s="1">
        <v>240645</v>
      </c>
      <c r="Q586" s="1">
        <v>0</v>
      </c>
      <c r="R586" s="7">
        <v>0</v>
      </c>
      <c r="S586" s="1">
        <v>10</v>
      </c>
      <c r="T586" s="1" t="s">
        <v>3552</v>
      </c>
      <c r="U586" s="1">
        <v>-5</v>
      </c>
      <c r="V586" s="1" t="s">
        <v>270</v>
      </c>
      <c r="W586" s="1" t="s">
        <v>40</v>
      </c>
      <c r="X586" s="1" t="s">
        <v>105</v>
      </c>
      <c r="Y586" s="1" t="s">
        <v>190</v>
      </c>
      <c r="Z586" s="1" t="s">
        <v>173</v>
      </c>
      <c r="AA586" s="1" t="s">
        <v>129</v>
      </c>
      <c r="AB586" s="1"/>
      <c r="AC586" s="1"/>
      <c r="AD586" s="1">
        <v>3.7</v>
      </c>
      <c r="AE586" s="1" t="s">
        <v>139</v>
      </c>
      <c r="AF586" s="1"/>
    </row>
    <row r="587" spans="1:32" ht="18" customHeight="1">
      <c r="A587" s="1" t="s">
        <v>1894</v>
      </c>
      <c r="B587" s="1" t="s">
        <v>1895</v>
      </c>
      <c r="C587" s="4" t="s">
        <v>3594</v>
      </c>
      <c r="D587" s="4">
        <v>46170</v>
      </c>
      <c r="E587" s="4">
        <v>46173</v>
      </c>
      <c r="F587" s="1" t="s">
        <v>142</v>
      </c>
      <c r="G587" s="1" t="s">
        <v>143</v>
      </c>
      <c r="H587" s="1" t="s">
        <v>3392</v>
      </c>
      <c r="I587" s="1" t="s">
        <v>92</v>
      </c>
      <c r="J587" s="1" t="s">
        <v>50</v>
      </c>
      <c r="K587" s="1" t="s">
        <v>1896</v>
      </c>
      <c r="L587" s="1" t="s">
        <v>145</v>
      </c>
      <c r="M587" s="1">
        <v>1741.81</v>
      </c>
      <c r="N587" s="1" t="s">
        <v>104</v>
      </c>
      <c r="O587" s="1">
        <v>250</v>
      </c>
      <c r="P587" s="1">
        <v>435452.5</v>
      </c>
      <c r="Q587" s="1">
        <v>9</v>
      </c>
      <c r="R587" s="7">
        <v>3.5999999999999997E-2</v>
      </c>
      <c r="S587" s="1">
        <v>20</v>
      </c>
      <c r="T587" s="1">
        <v>17</v>
      </c>
      <c r="U587" s="1">
        <v>3</v>
      </c>
      <c r="V587" s="1" t="s">
        <v>166</v>
      </c>
      <c r="W587" s="1" t="s">
        <v>40</v>
      </c>
      <c r="X587" s="1" t="s">
        <v>41</v>
      </c>
      <c r="Y587" s="1" t="s">
        <v>3334</v>
      </c>
      <c r="Z587" s="1" t="s">
        <v>54</v>
      </c>
      <c r="AA587" s="1" t="s">
        <v>3341</v>
      </c>
      <c r="AB587" s="1" t="s">
        <v>147</v>
      </c>
      <c r="AC587" s="1"/>
      <c r="AD587" s="1">
        <v>4.2</v>
      </c>
      <c r="AE587" s="1" t="s">
        <v>45</v>
      </c>
      <c r="AF587" s="1" t="s">
        <v>46</v>
      </c>
    </row>
    <row r="588" spans="1:32" ht="18" hidden="1" customHeight="1">
      <c r="A588" s="1" t="s">
        <v>1897</v>
      </c>
      <c r="B588" s="1" t="s">
        <v>1898</v>
      </c>
      <c r="C588" s="4"/>
      <c r="D588" s="1">
        <v>46205</v>
      </c>
      <c r="E588" s="1">
        <v>46201</v>
      </c>
      <c r="F588" s="1" t="s">
        <v>60</v>
      </c>
      <c r="G588" s="1" t="s">
        <v>3488</v>
      </c>
      <c r="H588" s="1" t="s">
        <v>3408</v>
      </c>
      <c r="I588" s="1" t="s">
        <v>178</v>
      </c>
      <c r="J588" s="1" t="s">
        <v>35</v>
      </c>
      <c r="K588" s="1" t="s">
        <v>1899</v>
      </c>
      <c r="L588" s="1" t="s">
        <v>37</v>
      </c>
      <c r="M588" s="1">
        <v>3189.74</v>
      </c>
      <c r="N588" s="1" t="s">
        <v>65</v>
      </c>
      <c r="O588" s="1">
        <v>1500</v>
      </c>
      <c r="P588" s="1">
        <v>4784610</v>
      </c>
      <c r="Q588" s="1">
        <v>86</v>
      </c>
      <c r="R588" s="7">
        <v>5.7299999999999997E-2</v>
      </c>
      <c r="S588" s="1">
        <v>7</v>
      </c>
      <c r="T588" s="1">
        <v>11</v>
      </c>
      <c r="U588" s="1">
        <v>-4</v>
      </c>
      <c r="V588" s="1" t="s">
        <v>270</v>
      </c>
      <c r="W588" s="1" t="s">
        <v>420</v>
      </c>
      <c r="X588" s="1" t="s">
        <v>105</v>
      </c>
      <c r="Y588" s="1" t="s">
        <v>42</v>
      </c>
      <c r="Z588" s="1" t="s">
        <v>3333</v>
      </c>
      <c r="AA588" s="1"/>
      <c r="AB588" s="1"/>
      <c r="AC588" s="1" t="s">
        <v>283</v>
      </c>
      <c r="AD588" s="1">
        <v>1.4</v>
      </c>
      <c r="AE588" s="1" t="s">
        <v>184</v>
      </c>
      <c r="AF588" s="1" t="s">
        <v>97</v>
      </c>
    </row>
    <row r="589" spans="1:32" ht="18" customHeight="1">
      <c r="A589" s="1" t="s">
        <v>1900</v>
      </c>
      <c r="B589" s="1" t="s">
        <v>1901</v>
      </c>
      <c r="C589" s="4">
        <v>46049</v>
      </c>
      <c r="D589" s="4"/>
      <c r="E589" s="4">
        <v>46076</v>
      </c>
      <c r="F589" s="1" t="s">
        <v>32</v>
      </c>
      <c r="G589" s="1" t="s">
        <v>3422</v>
      </c>
      <c r="H589" s="1" t="s">
        <v>177</v>
      </c>
      <c r="I589" s="1" t="s">
        <v>61</v>
      </c>
      <c r="J589" s="1" t="s">
        <v>35</v>
      </c>
      <c r="K589" s="1" t="s">
        <v>1902</v>
      </c>
      <c r="L589" s="1" t="s">
        <v>200</v>
      </c>
      <c r="M589" s="1">
        <v>1432</v>
      </c>
      <c r="N589" s="1" t="s">
        <v>86</v>
      </c>
      <c r="O589" s="1">
        <v>200</v>
      </c>
      <c r="P589" s="1">
        <v>286400</v>
      </c>
      <c r="Q589" s="1">
        <v>8</v>
      </c>
      <c r="R589" s="7">
        <v>0.04</v>
      </c>
      <c r="S589" s="1">
        <v>-5</v>
      </c>
      <c r="T589" s="1">
        <v>23</v>
      </c>
      <c r="U589" s="1">
        <v>4</v>
      </c>
      <c r="V589" s="1" t="s">
        <v>39</v>
      </c>
      <c r="W589" s="1" t="s">
        <v>40</v>
      </c>
      <c r="X589" s="1" t="s">
        <v>105</v>
      </c>
      <c r="Y589" s="1" t="s">
        <v>106</v>
      </c>
      <c r="Z589" s="1" t="s">
        <v>107</v>
      </c>
      <c r="AA589" s="1" t="s">
        <v>129</v>
      </c>
      <c r="AB589" s="1" t="s">
        <v>147</v>
      </c>
      <c r="AC589" s="1"/>
      <c r="AD589" s="1">
        <v>2.1</v>
      </c>
      <c r="AE589" s="1" t="s">
        <v>76</v>
      </c>
      <c r="AF589" s="1" t="s">
        <v>46</v>
      </c>
    </row>
    <row r="590" spans="1:32" ht="18" customHeight="1">
      <c r="A590" s="1" t="s">
        <v>1903</v>
      </c>
      <c r="B590" s="1" t="s">
        <v>1904</v>
      </c>
      <c r="C590" s="4" t="s">
        <v>3363</v>
      </c>
      <c r="D590" s="4">
        <v>46216</v>
      </c>
      <c r="E590" s="4">
        <v>46222</v>
      </c>
      <c r="F590" s="1" t="s">
        <v>100</v>
      </c>
      <c r="G590" s="1" t="s">
        <v>3343</v>
      </c>
      <c r="H590" s="1" t="s">
        <v>3322</v>
      </c>
      <c r="I590" s="1" t="s">
        <v>178</v>
      </c>
      <c r="J590" s="1" t="s">
        <v>50</v>
      </c>
      <c r="K590" s="1" t="s">
        <v>1905</v>
      </c>
      <c r="L590" s="1" t="s">
        <v>126</v>
      </c>
      <c r="M590" s="1">
        <v>1410.83</v>
      </c>
      <c r="N590" s="1" t="s">
        <v>159</v>
      </c>
      <c r="O590" s="1">
        <v>2000</v>
      </c>
      <c r="P590" s="1">
        <v>2821660</v>
      </c>
      <c r="Q590" s="1">
        <v>0</v>
      </c>
      <c r="R590" s="7">
        <v>0</v>
      </c>
      <c r="S590" s="1">
        <v>21</v>
      </c>
      <c r="T590" s="1">
        <v>15</v>
      </c>
      <c r="U590" s="1">
        <v>6</v>
      </c>
      <c r="V590" s="1" t="s">
        <v>3328</v>
      </c>
      <c r="W590" s="1" t="s">
        <v>40</v>
      </c>
      <c r="X590" s="1" t="s">
        <v>105</v>
      </c>
      <c r="Y590" s="1" t="s">
        <v>3334</v>
      </c>
      <c r="Z590" s="1"/>
      <c r="AA590" s="1" t="s">
        <v>136</v>
      </c>
      <c r="AB590" s="1" t="s">
        <v>191</v>
      </c>
      <c r="AC590" s="1"/>
      <c r="AD590" s="1">
        <v>3.2</v>
      </c>
      <c r="AE590" s="1" t="s">
        <v>108</v>
      </c>
      <c r="AF590" s="1" t="s">
        <v>46</v>
      </c>
    </row>
    <row r="591" spans="1:32" ht="18" hidden="1" customHeight="1">
      <c r="A591" s="1" t="s">
        <v>1906</v>
      </c>
      <c r="B591" s="1" t="s">
        <v>1907</v>
      </c>
      <c r="C591" s="4">
        <v>46175</v>
      </c>
      <c r="D591" s="1">
        <v>46190</v>
      </c>
      <c r="E591" s="1">
        <v>46188</v>
      </c>
      <c r="F591" s="1" t="s">
        <v>48</v>
      </c>
      <c r="G591" s="1"/>
      <c r="H591" s="1" t="s">
        <v>3361</v>
      </c>
      <c r="I591" s="1" t="s">
        <v>70</v>
      </c>
      <c r="J591" s="1" t="s">
        <v>112</v>
      </c>
      <c r="K591" s="1" t="s">
        <v>1684</v>
      </c>
      <c r="L591" s="1" t="s">
        <v>218</v>
      </c>
      <c r="M591" s="1">
        <v>780.1</v>
      </c>
      <c r="N591" s="1" t="s">
        <v>86</v>
      </c>
      <c r="O591" s="1">
        <v>250</v>
      </c>
      <c r="P591" s="1">
        <v>195025</v>
      </c>
      <c r="Q591" s="1">
        <v>11</v>
      </c>
      <c r="R591" s="7">
        <v>4.3999999999999997E-2</v>
      </c>
      <c r="S591" s="1">
        <v>13</v>
      </c>
      <c r="T591" s="1">
        <v>15</v>
      </c>
      <c r="U591" s="1">
        <v>-2</v>
      </c>
      <c r="V591" s="1" t="s">
        <v>270</v>
      </c>
      <c r="W591" s="1" t="s">
        <v>74</v>
      </c>
      <c r="X591" s="1" t="s">
        <v>41</v>
      </c>
      <c r="Y591" s="1" t="s">
        <v>66</v>
      </c>
      <c r="Z591" s="1" t="s">
        <v>107</v>
      </c>
      <c r="AA591" s="1" t="s">
        <v>3341</v>
      </c>
      <c r="AB591" s="1"/>
      <c r="AC591" s="1" t="s">
        <v>283</v>
      </c>
      <c r="AD591" s="1">
        <v>1.5</v>
      </c>
      <c r="AE591" s="1" t="s">
        <v>184</v>
      </c>
      <c r="AF591" s="1" t="s">
        <v>97</v>
      </c>
    </row>
    <row r="592" spans="1:32" ht="18" customHeight="1">
      <c r="A592" s="1" t="s">
        <v>1908</v>
      </c>
      <c r="B592" s="1" t="s">
        <v>1909</v>
      </c>
      <c r="C592" s="4">
        <v>46102</v>
      </c>
      <c r="D592" s="4">
        <v>46122</v>
      </c>
      <c r="E592" s="4">
        <v>46117</v>
      </c>
      <c r="F592" s="1" t="s">
        <v>90</v>
      </c>
      <c r="G592" s="1" t="s">
        <v>3440</v>
      </c>
      <c r="H592" s="1" t="s">
        <v>133</v>
      </c>
      <c r="I592" s="1" t="s">
        <v>70</v>
      </c>
      <c r="J592" s="1" t="s">
        <v>62</v>
      </c>
      <c r="K592" s="1" t="s">
        <v>1669</v>
      </c>
      <c r="L592" s="1" t="s">
        <v>64</v>
      </c>
      <c r="M592" s="1">
        <v>114.82</v>
      </c>
      <c r="N592" s="1" t="s">
        <v>86</v>
      </c>
      <c r="O592" s="1">
        <v>250</v>
      </c>
      <c r="P592" s="1">
        <v>28705</v>
      </c>
      <c r="Q592" s="1">
        <v>8</v>
      </c>
      <c r="R592" s="7">
        <v>3.2000000000000001E-2</v>
      </c>
      <c r="S592" s="1">
        <v>15</v>
      </c>
      <c r="T592" s="1">
        <v>20</v>
      </c>
      <c r="U592" s="1">
        <v>-5</v>
      </c>
      <c r="V592" s="1" t="s">
        <v>87</v>
      </c>
      <c r="W592" s="1" t="s">
        <v>40</v>
      </c>
      <c r="X592" s="1" t="s">
        <v>41</v>
      </c>
      <c r="Y592" s="1" t="s">
        <v>66</v>
      </c>
      <c r="Z592" s="1"/>
      <c r="AA592" s="1" t="s">
        <v>129</v>
      </c>
      <c r="AB592" s="1" t="s">
        <v>137</v>
      </c>
      <c r="AC592" s="1"/>
      <c r="AD592" s="1">
        <v>3.1</v>
      </c>
      <c r="AE592" s="1" t="s">
        <v>184</v>
      </c>
      <c r="AF592" s="1"/>
    </row>
    <row r="593" spans="1:32" ht="18" customHeight="1">
      <c r="A593" s="1" t="s">
        <v>1910</v>
      </c>
      <c r="B593" s="1" t="s">
        <v>1911</v>
      </c>
      <c r="C593" s="4">
        <v>46144</v>
      </c>
      <c r="D593" s="4">
        <v>46150</v>
      </c>
      <c r="E593" s="4">
        <v>46160</v>
      </c>
      <c r="F593" s="1" t="s">
        <v>162</v>
      </c>
      <c r="G593" s="1" t="s">
        <v>3356</v>
      </c>
      <c r="H593" s="1" t="s">
        <v>152</v>
      </c>
      <c r="I593" s="1" t="s">
        <v>34</v>
      </c>
      <c r="J593" s="1" t="s">
        <v>163</v>
      </c>
      <c r="K593" s="1" t="s">
        <v>1912</v>
      </c>
      <c r="L593" s="1" t="s">
        <v>253</v>
      </c>
      <c r="M593" s="1">
        <v>2099.5500000000002</v>
      </c>
      <c r="N593" s="1" t="s">
        <v>53</v>
      </c>
      <c r="O593" s="1">
        <v>2000</v>
      </c>
      <c r="P593" s="1">
        <v>4199100</v>
      </c>
      <c r="Q593" s="1">
        <v>33</v>
      </c>
      <c r="R593" s="7">
        <v>1.6500000000000001E-2</v>
      </c>
      <c r="S593" s="1">
        <v>16</v>
      </c>
      <c r="T593" s="1">
        <v>6</v>
      </c>
      <c r="U593" s="1">
        <v>10</v>
      </c>
      <c r="V593" s="1" t="s">
        <v>39</v>
      </c>
      <c r="W593" s="1" t="s">
        <v>40</v>
      </c>
      <c r="X593" s="1" t="s">
        <v>41</v>
      </c>
      <c r="Y593" s="1" t="s">
        <v>66</v>
      </c>
      <c r="Z593" s="1" t="s">
        <v>173</v>
      </c>
      <c r="AA593" s="1"/>
      <c r="AB593" s="1" t="s">
        <v>147</v>
      </c>
      <c r="AC593" s="1"/>
      <c r="AD593" s="1">
        <v>2.6</v>
      </c>
      <c r="AE593" s="1" t="s">
        <v>139</v>
      </c>
      <c r="AF593" s="1" t="s">
        <v>46</v>
      </c>
    </row>
    <row r="594" spans="1:32" ht="18" hidden="1" customHeight="1">
      <c r="A594" s="1" t="s">
        <v>1913</v>
      </c>
      <c r="B594" s="1" t="s">
        <v>1914</v>
      </c>
      <c r="C594" s="4">
        <v>46104</v>
      </c>
      <c r="D594" s="1">
        <v>46121</v>
      </c>
      <c r="E594" s="1">
        <v>46132</v>
      </c>
      <c r="F594" s="1" t="s">
        <v>118</v>
      </c>
      <c r="G594" s="1" t="s">
        <v>119</v>
      </c>
      <c r="H594" s="1" t="s">
        <v>3407</v>
      </c>
      <c r="I594" s="1" t="s">
        <v>49</v>
      </c>
      <c r="J594" s="1" t="s">
        <v>62</v>
      </c>
      <c r="K594" s="1" t="s">
        <v>1915</v>
      </c>
      <c r="L594" s="1" t="s">
        <v>64</v>
      </c>
      <c r="M594" s="1">
        <v>416.25</v>
      </c>
      <c r="N594" s="1" t="s">
        <v>38</v>
      </c>
      <c r="O594" s="1">
        <v>1000</v>
      </c>
      <c r="P594" s="1">
        <v>416250</v>
      </c>
      <c r="Q594" s="1">
        <v>47</v>
      </c>
      <c r="R594" s="7">
        <v>4.7E-2</v>
      </c>
      <c r="S594" s="1">
        <v>28</v>
      </c>
      <c r="T594" s="1">
        <v>17</v>
      </c>
      <c r="U594" s="1">
        <v>11</v>
      </c>
      <c r="V594" s="1" t="s">
        <v>39</v>
      </c>
      <c r="W594" s="1" t="s">
        <v>366</v>
      </c>
      <c r="X594" s="1"/>
      <c r="Y594" s="1" t="s">
        <v>212</v>
      </c>
      <c r="Z594" s="1" t="s">
        <v>3330</v>
      </c>
      <c r="AA594" s="1" t="s">
        <v>136</v>
      </c>
      <c r="AB594" s="1" t="s">
        <v>191</v>
      </c>
      <c r="AC594" s="1" t="s">
        <v>75</v>
      </c>
      <c r="AD594" s="1">
        <v>3.2</v>
      </c>
      <c r="AE594" s="1" t="s">
        <v>76</v>
      </c>
      <c r="AF594" s="1" t="s">
        <v>185</v>
      </c>
    </row>
    <row r="595" spans="1:32" ht="18" customHeight="1">
      <c r="A595" s="1" t="s">
        <v>1916</v>
      </c>
      <c r="B595" s="1" t="s">
        <v>1917</v>
      </c>
      <c r="C595" s="4">
        <v>46179</v>
      </c>
      <c r="D595" s="4" t="s">
        <v>3677</v>
      </c>
      <c r="E595" s="4">
        <v>46200</v>
      </c>
      <c r="F595" s="1" t="s">
        <v>162</v>
      </c>
      <c r="G595" s="1" t="s">
        <v>3356</v>
      </c>
      <c r="H595" s="1" t="s">
        <v>3408</v>
      </c>
      <c r="I595" s="1" t="s">
        <v>49</v>
      </c>
      <c r="J595" s="1" t="s">
        <v>35</v>
      </c>
      <c r="K595" s="1" t="s">
        <v>1918</v>
      </c>
      <c r="L595" s="1" t="s">
        <v>180</v>
      </c>
      <c r="M595" s="1">
        <v>1248.51</v>
      </c>
      <c r="N595" s="1" t="s">
        <v>104</v>
      </c>
      <c r="O595" s="1">
        <v>100</v>
      </c>
      <c r="P595" s="1">
        <v>124851</v>
      </c>
      <c r="Q595" s="1">
        <v>2</v>
      </c>
      <c r="R595" s="7">
        <v>0.02</v>
      </c>
      <c r="S595" s="1">
        <v>21</v>
      </c>
      <c r="T595" s="1">
        <v>7</v>
      </c>
      <c r="U595" s="1"/>
      <c r="V595" s="1" t="s">
        <v>205</v>
      </c>
      <c r="W595" s="1" t="s">
        <v>40</v>
      </c>
      <c r="X595" s="1" t="s">
        <v>105</v>
      </c>
      <c r="Y595" s="1" t="s">
        <v>212</v>
      </c>
      <c r="Z595" s="1" t="s">
        <v>173</v>
      </c>
      <c r="AA595" s="1" t="s">
        <v>136</v>
      </c>
      <c r="AB595" s="1" t="s">
        <v>137</v>
      </c>
      <c r="AC595" s="1"/>
      <c r="AD595" s="1">
        <v>2.1</v>
      </c>
      <c r="AE595" s="1" t="s">
        <v>139</v>
      </c>
      <c r="AF595" s="1" t="s">
        <v>46</v>
      </c>
    </row>
    <row r="596" spans="1:32" ht="18" hidden="1" customHeight="1">
      <c r="A596" s="1" t="s">
        <v>1919</v>
      </c>
      <c r="B596" s="1" t="s">
        <v>1920</v>
      </c>
      <c r="C596" s="4" t="s">
        <v>3678</v>
      </c>
      <c r="D596" s="1">
        <v>46098</v>
      </c>
      <c r="E596" s="1">
        <v>46097</v>
      </c>
      <c r="F596" s="1" t="s">
        <v>32</v>
      </c>
      <c r="G596" s="1" t="s">
        <v>33</v>
      </c>
      <c r="H596" s="1" t="s">
        <v>177</v>
      </c>
      <c r="I596" s="1" t="s">
        <v>241</v>
      </c>
      <c r="J596" s="1" t="s">
        <v>153</v>
      </c>
      <c r="K596" s="1" t="s">
        <v>1921</v>
      </c>
      <c r="L596" s="1" t="s">
        <v>295</v>
      </c>
      <c r="M596" s="1">
        <v>-567.71</v>
      </c>
      <c r="N596" s="1" t="s">
        <v>65</v>
      </c>
      <c r="O596" s="1">
        <v>300</v>
      </c>
      <c r="P596" s="1">
        <v>170313</v>
      </c>
      <c r="Q596" s="1">
        <v>33</v>
      </c>
      <c r="R596" s="7">
        <v>0.11</v>
      </c>
      <c r="S596" s="1">
        <v>15</v>
      </c>
      <c r="T596" s="1">
        <v>16</v>
      </c>
      <c r="U596" s="1">
        <v>-1</v>
      </c>
      <c r="V596" s="1" t="s">
        <v>3352</v>
      </c>
      <c r="W596" s="1" t="s">
        <v>420</v>
      </c>
      <c r="X596" s="1" t="s">
        <v>41</v>
      </c>
      <c r="Y596" s="1" t="s">
        <v>3334</v>
      </c>
      <c r="Z596" s="1" t="s">
        <v>3330</v>
      </c>
      <c r="AA596" s="1" t="s">
        <v>136</v>
      </c>
      <c r="AB596" s="1" t="s">
        <v>137</v>
      </c>
      <c r="AC596" s="1" t="s">
        <v>283</v>
      </c>
      <c r="AD596" s="1">
        <v>1.7</v>
      </c>
      <c r="AE596" s="1" t="s">
        <v>139</v>
      </c>
      <c r="AF596" s="1" t="s">
        <v>97</v>
      </c>
    </row>
    <row r="597" spans="1:32" ht="18" customHeight="1">
      <c r="A597" s="1" t="s">
        <v>1922</v>
      </c>
      <c r="B597" s="1" t="s">
        <v>1923</v>
      </c>
      <c r="C597" s="4">
        <v>46068</v>
      </c>
      <c r="D597" s="4">
        <v>46086</v>
      </c>
      <c r="E597" s="4">
        <v>46097</v>
      </c>
      <c r="F597" s="1" t="s">
        <v>118</v>
      </c>
      <c r="G597" s="1" t="s">
        <v>3461</v>
      </c>
      <c r="H597" s="1" t="s">
        <v>3340</v>
      </c>
      <c r="I597" s="1" t="s">
        <v>70</v>
      </c>
      <c r="J597" s="1" t="s">
        <v>62</v>
      </c>
      <c r="K597" s="1" t="s">
        <v>1924</v>
      </c>
      <c r="L597" s="1" t="s">
        <v>225</v>
      </c>
      <c r="M597" s="1">
        <v>418.15</v>
      </c>
      <c r="N597" s="1" t="s">
        <v>86</v>
      </c>
      <c r="O597" s="1">
        <v>2000</v>
      </c>
      <c r="P597" s="1">
        <v>836300</v>
      </c>
      <c r="Q597" s="1">
        <v>39</v>
      </c>
      <c r="R597" s="7">
        <v>1.95E-2</v>
      </c>
      <c r="S597" s="1">
        <v>29</v>
      </c>
      <c r="T597" s="1">
        <v>18</v>
      </c>
      <c r="U597" s="1">
        <v>11</v>
      </c>
      <c r="V597" s="1" t="s">
        <v>205</v>
      </c>
      <c r="W597" s="1" t="s">
        <v>40</v>
      </c>
      <c r="X597" s="1" t="s">
        <v>127</v>
      </c>
      <c r="Y597" s="1" t="s">
        <v>3334</v>
      </c>
      <c r="Z597" s="1" t="s">
        <v>128</v>
      </c>
      <c r="AA597" s="1" t="s">
        <v>55</v>
      </c>
      <c r="AB597" s="1" t="s">
        <v>191</v>
      </c>
      <c r="AC597" s="1"/>
      <c r="AD597" s="1">
        <v>2</v>
      </c>
      <c r="AE597" s="1" t="s">
        <v>139</v>
      </c>
      <c r="AF597" s="1" t="s">
        <v>148</v>
      </c>
    </row>
    <row r="598" spans="1:32" ht="18" customHeight="1">
      <c r="A598" s="1" t="s">
        <v>1925</v>
      </c>
      <c r="B598" s="1" t="s">
        <v>1926</v>
      </c>
      <c r="C598" s="4">
        <v>46085</v>
      </c>
      <c r="D598" s="4">
        <v>46103</v>
      </c>
      <c r="E598" s="4" t="s">
        <v>3457</v>
      </c>
      <c r="F598" s="1" t="s">
        <v>90</v>
      </c>
      <c r="G598" s="1" t="s">
        <v>91</v>
      </c>
      <c r="H598" s="1" t="s">
        <v>3336</v>
      </c>
      <c r="I598" s="1" t="s">
        <v>34</v>
      </c>
      <c r="J598" s="1" t="s">
        <v>71</v>
      </c>
      <c r="K598" s="1" t="s">
        <v>1927</v>
      </c>
      <c r="L598" s="1" t="s">
        <v>73</v>
      </c>
      <c r="M598" s="1">
        <v>684.57</v>
      </c>
      <c r="N598" s="1" t="s">
        <v>86</v>
      </c>
      <c r="O598" s="1">
        <v>75</v>
      </c>
      <c r="P598" s="1"/>
      <c r="Q598" s="1">
        <v>2</v>
      </c>
      <c r="R598" s="7">
        <v>2.6700000000000002E-2</v>
      </c>
      <c r="S598" s="1">
        <v>27</v>
      </c>
      <c r="T598" s="1">
        <v>18</v>
      </c>
      <c r="U598" s="1">
        <v>9</v>
      </c>
      <c r="V598" s="1" t="s">
        <v>205</v>
      </c>
      <c r="W598" s="1" t="s">
        <v>40</v>
      </c>
      <c r="X598" s="1" t="s">
        <v>127</v>
      </c>
      <c r="Y598" s="1" t="s">
        <v>3334</v>
      </c>
      <c r="Z598" s="1" t="s">
        <v>107</v>
      </c>
      <c r="AA598" s="1" t="s">
        <v>129</v>
      </c>
      <c r="AB598" s="1" t="s">
        <v>147</v>
      </c>
      <c r="AC598" s="1"/>
      <c r="AD598" s="1">
        <v>6</v>
      </c>
      <c r="AE598" s="1" t="s">
        <v>108</v>
      </c>
      <c r="AF598" s="1" t="s">
        <v>148</v>
      </c>
    </row>
    <row r="599" spans="1:32" ht="18" hidden="1" customHeight="1">
      <c r="A599" s="1" t="s">
        <v>1928</v>
      </c>
      <c r="B599" s="1" t="s">
        <v>1929</v>
      </c>
      <c r="C599" s="4">
        <v>46140</v>
      </c>
      <c r="D599" s="1">
        <v>46158</v>
      </c>
      <c r="E599" s="1">
        <v>46153</v>
      </c>
      <c r="F599" s="1"/>
      <c r="G599" s="1" t="s">
        <v>91</v>
      </c>
      <c r="H599" s="1" t="s">
        <v>3425</v>
      </c>
      <c r="I599" s="1" t="s">
        <v>49</v>
      </c>
      <c r="J599" s="1" t="s">
        <v>71</v>
      </c>
      <c r="K599" s="1" t="s">
        <v>1930</v>
      </c>
      <c r="L599" s="1" t="s">
        <v>553</v>
      </c>
      <c r="M599" s="1">
        <v>580.9</v>
      </c>
      <c r="N599" s="1" t="s">
        <v>86</v>
      </c>
      <c r="O599" s="1" t="s">
        <v>3679</v>
      </c>
      <c r="P599" s="1">
        <v>580900</v>
      </c>
      <c r="Q599" s="1">
        <v>45</v>
      </c>
      <c r="R599" s="7">
        <v>4.4999999999999998E-2</v>
      </c>
      <c r="S599" s="1">
        <v>13</v>
      </c>
      <c r="T599" s="1">
        <v>18</v>
      </c>
      <c r="U599" s="1">
        <v>-5</v>
      </c>
      <c r="V599" s="1" t="s">
        <v>87</v>
      </c>
      <c r="W599" s="1" t="s">
        <v>366</v>
      </c>
      <c r="X599" s="1" t="s">
        <v>3324</v>
      </c>
      <c r="Y599" s="1"/>
      <c r="Z599" s="1"/>
      <c r="AA599" s="1" t="s">
        <v>88</v>
      </c>
      <c r="AB599" s="1" t="s">
        <v>191</v>
      </c>
      <c r="AC599" s="1" t="s">
        <v>96</v>
      </c>
      <c r="AD599" s="1">
        <v>2.4</v>
      </c>
      <c r="AE599" s="1" t="s">
        <v>45</v>
      </c>
      <c r="AF599" s="1" t="s">
        <v>1758</v>
      </c>
    </row>
    <row r="600" spans="1:32" ht="18" customHeight="1">
      <c r="A600" s="1" t="s">
        <v>1931</v>
      </c>
      <c r="B600" s="1" t="s">
        <v>1932</v>
      </c>
      <c r="C600" s="4">
        <v>46099</v>
      </c>
      <c r="D600" s="4">
        <v>46107</v>
      </c>
      <c r="E600" s="4" t="s">
        <v>3680</v>
      </c>
      <c r="F600" s="1" t="s">
        <v>80</v>
      </c>
      <c r="G600" s="1" t="s">
        <v>3470</v>
      </c>
      <c r="H600" s="1" t="s">
        <v>82</v>
      </c>
      <c r="I600" s="1" t="s">
        <v>178</v>
      </c>
      <c r="J600" s="1" t="s">
        <v>50</v>
      </c>
      <c r="K600" s="1" t="s">
        <v>1933</v>
      </c>
      <c r="L600" s="1" t="s">
        <v>52</v>
      </c>
      <c r="M600" s="1">
        <v>28.84</v>
      </c>
      <c r="N600" s="1" t="s">
        <v>38</v>
      </c>
      <c r="O600" s="1">
        <v>150</v>
      </c>
      <c r="P600" s="1">
        <v>4326</v>
      </c>
      <c r="Q600" s="1">
        <v>2</v>
      </c>
      <c r="R600" s="7">
        <v>1.3299999999999999E-2</v>
      </c>
      <c r="S600" s="1">
        <v>7</v>
      </c>
      <c r="T600" s="1">
        <v>8</v>
      </c>
      <c r="U600" s="1">
        <v>-1</v>
      </c>
      <c r="V600" s="1" t="s">
        <v>3352</v>
      </c>
      <c r="W600" s="1" t="s">
        <v>40</v>
      </c>
      <c r="X600" s="1" t="s">
        <v>105</v>
      </c>
      <c r="Y600" s="1" t="s">
        <v>212</v>
      </c>
      <c r="Z600" s="1" t="s">
        <v>54</v>
      </c>
      <c r="AA600" s="1" t="s">
        <v>88</v>
      </c>
      <c r="AB600" s="1" t="s">
        <v>191</v>
      </c>
      <c r="AC600" s="1"/>
      <c r="AD600" s="1">
        <v>3</v>
      </c>
      <c r="AE600" s="1" t="s">
        <v>115</v>
      </c>
      <c r="AF600" s="1"/>
    </row>
    <row r="601" spans="1:32" ht="18" customHeight="1">
      <c r="A601" s="1" t="s">
        <v>1934</v>
      </c>
      <c r="B601" s="1" t="s">
        <v>1935</v>
      </c>
      <c r="C601" s="4" t="s">
        <v>3110</v>
      </c>
      <c r="D601" s="4">
        <v>46145</v>
      </c>
      <c r="E601" s="4" t="s">
        <v>3671</v>
      </c>
      <c r="F601" s="1" t="s">
        <v>151</v>
      </c>
      <c r="G601" s="1" t="s">
        <v>244</v>
      </c>
      <c r="H601" s="1" t="s">
        <v>3354</v>
      </c>
      <c r="I601" s="1" t="s">
        <v>92</v>
      </c>
      <c r="J601" s="1" t="s">
        <v>112</v>
      </c>
      <c r="K601" s="1" t="s">
        <v>1936</v>
      </c>
      <c r="L601" s="1" t="s">
        <v>246</v>
      </c>
      <c r="M601" s="1">
        <v>784.95</v>
      </c>
      <c r="N601" s="1" t="s">
        <v>38</v>
      </c>
      <c r="O601" s="1">
        <v>500</v>
      </c>
      <c r="P601" s="1">
        <v>392475</v>
      </c>
      <c r="Q601" s="1">
        <v>4</v>
      </c>
      <c r="R601" s="7">
        <v>8.0000000000000002E-3</v>
      </c>
      <c r="S601" s="1">
        <v>0</v>
      </c>
      <c r="T601" s="1">
        <v>6</v>
      </c>
      <c r="U601" s="1">
        <v>-6</v>
      </c>
      <c r="V601" s="1" t="s">
        <v>3352</v>
      </c>
      <c r="W601" s="1" t="s">
        <v>40</v>
      </c>
      <c r="X601" s="1" t="s">
        <v>105</v>
      </c>
      <c r="Y601" s="1" t="s">
        <v>66</v>
      </c>
      <c r="Z601" s="1"/>
      <c r="AA601" s="1" t="s">
        <v>174</v>
      </c>
      <c r="AB601" s="1" t="s">
        <v>191</v>
      </c>
      <c r="AC601" s="1"/>
      <c r="AD601" s="1">
        <v>3.7</v>
      </c>
      <c r="AE601" s="1" t="s">
        <v>45</v>
      </c>
      <c r="AF601" s="1"/>
    </row>
    <row r="602" spans="1:32" ht="18" customHeight="1">
      <c r="A602" s="1" t="s">
        <v>1937</v>
      </c>
      <c r="B602" s="1" t="s">
        <v>1938</v>
      </c>
      <c r="C602" s="4" t="s">
        <v>3411</v>
      </c>
      <c r="D602" s="4">
        <v>46118</v>
      </c>
      <c r="E602" s="4" t="s">
        <v>3453</v>
      </c>
      <c r="F602" s="1" t="s">
        <v>69</v>
      </c>
      <c r="G602" s="1" t="s">
        <v>3362</v>
      </c>
      <c r="H602" s="1" t="s">
        <v>194</v>
      </c>
      <c r="I602" s="1" t="s">
        <v>70</v>
      </c>
      <c r="J602" s="1" t="s">
        <v>112</v>
      </c>
      <c r="K602" s="1" t="s">
        <v>1939</v>
      </c>
      <c r="L602" s="1" t="s">
        <v>246</v>
      </c>
      <c r="M602" s="1">
        <v>48.16</v>
      </c>
      <c r="N602" s="1" t="s">
        <v>86</v>
      </c>
      <c r="O602" s="1">
        <v>200</v>
      </c>
      <c r="P602" s="1">
        <v>9632</v>
      </c>
      <c r="Q602" s="1">
        <v>8</v>
      </c>
      <c r="R602" s="7">
        <v>0.04</v>
      </c>
      <c r="S602" s="1">
        <v>18</v>
      </c>
      <c r="T602" s="1">
        <v>10</v>
      </c>
      <c r="U602" s="1">
        <v>8</v>
      </c>
      <c r="V602" s="1" t="s">
        <v>3328</v>
      </c>
      <c r="W602" s="1" t="s">
        <v>40</v>
      </c>
      <c r="X602" s="1"/>
      <c r="Y602" s="1"/>
      <c r="Z602" s="1" t="s">
        <v>3330</v>
      </c>
      <c r="AA602" s="1" t="s">
        <v>174</v>
      </c>
      <c r="AB602" s="1" t="s">
        <v>147</v>
      </c>
      <c r="AC602" s="1"/>
      <c r="AD602" s="1">
        <v>2.7</v>
      </c>
      <c r="AE602" s="1" t="s">
        <v>57</v>
      </c>
      <c r="AF602" s="1" t="s">
        <v>148</v>
      </c>
    </row>
    <row r="603" spans="1:32" ht="18" customHeight="1">
      <c r="A603" s="1" t="s">
        <v>1940</v>
      </c>
      <c r="B603" s="1" t="s">
        <v>1941</v>
      </c>
      <c r="C603" s="4" t="s">
        <v>3335</v>
      </c>
      <c r="D603" s="4">
        <v>46159</v>
      </c>
      <c r="E603" s="4">
        <v>46153</v>
      </c>
      <c r="F603" s="1" t="s">
        <v>215</v>
      </c>
      <c r="G603" s="1" t="s">
        <v>216</v>
      </c>
      <c r="H603" s="1" t="s">
        <v>3408</v>
      </c>
      <c r="I603" s="1" t="s">
        <v>120</v>
      </c>
      <c r="J603" s="1" t="s">
        <v>112</v>
      </c>
      <c r="K603" s="1" t="s">
        <v>1942</v>
      </c>
      <c r="L603" s="1" t="s">
        <v>246</v>
      </c>
      <c r="M603" s="1">
        <v>228.84</v>
      </c>
      <c r="N603" s="1" t="s">
        <v>159</v>
      </c>
      <c r="O603" s="1">
        <v>75</v>
      </c>
      <c r="P603" s="1">
        <v>17163</v>
      </c>
      <c r="Q603" s="1">
        <v>3</v>
      </c>
      <c r="R603" s="7">
        <v>0.04</v>
      </c>
      <c r="S603" s="1">
        <v>4</v>
      </c>
      <c r="T603" s="1">
        <v>10</v>
      </c>
      <c r="U603" s="1">
        <v>-6</v>
      </c>
      <c r="V603" s="1" t="s">
        <v>270</v>
      </c>
      <c r="W603" s="1" t="s">
        <v>40</v>
      </c>
      <c r="X603" s="1" t="s">
        <v>127</v>
      </c>
      <c r="Y603" s="1" t="s">
        <v>190</v>
      </c>
      <c r="Z603" s="1" t="s">
        <v>43</v>
      </c>
      <c r="AA603" s="1" t="s">
        <v>129</v>
      </c>
      <c r="AB603" s="1" t="s">
        <v>56</v>
      </c>
      <c r="AC603" s="1"/>
      <c r="AD603" s="1">
        <v>4.2</v>
      </c>
      <c r="AE603" s="1" t="s">
        <v>184</v>
      </c>
      <c r="AF603" s="1" t="s">
        <v>130</v>
      </c>
    </row>
    <row r="604" spans="1:32" ht="18" customHeight="1">
      <c r="A604" s="1" t="s">
        <v>1943</v>
      </c>
      <c r="B604" s="1" t="s">
        <v>1944</v>
      </c>
      <c r="C604" s="4" t="s">
        <v>3363</v>
      </c>
      <c r="D604" s="4">
        <v>46077</v>
      </c>
      <c r="E604" s="4">
        <v>46079</v>
      </c>
      <c r="F604" s="1" t="s">
        <v>69</v>
      </c>
      <c r="G604" s="1" t="s">
        <v>111</v>
      </c>
      <c r="H604" s="1" t="s">
        <v>3332</v>
      </c>
      <c r="I604" s="1" t="s">
        <v>120</v>
      </c>
      <c r="J604" s="1" t="s">
        <v>112</v>
      </c>
      <c r="K604" s="1" t="s">
        <v>1945</v>
      </c>
      <c r="L604" s="1" t="s">
        <v>114</v>
      </c>
      <c r="M604" s="1">
        <v>259.08</v>
      </c>
      <c r="N604" s="1" t="s">
        <v>38</v>
      </c>
      <c r="O604" s="1">
        <v>250</v>
      </c>
      <c r="P604" s="1">
        <v>64770</v>
      </c>
      <c r="Q604" s="1">
        <v>3</v>
      </c>
      <c r="R604" s="7">
        <v>1.2E-2</v>
      </c>
      <c r="S604" s="1">
        <v>14</v>
      </c>
      <c r="T604" s="1">
        <v>12</v>
      </c>
      <c r="U604" s="1">
        <v>2</v>
      </c>
      <c r="V604" s="1" t="s">
        <v>135</v>
      </c>
      <c r="W604" s="1" t="s">
        <v>40</v>
      </c>
      <c r="X604" s="1" t="s">
        <v>105</v>
      </c>
      <c r="Y604" s="1" t="s">
        <v>66</v>
      </c>
      <c r="Z604" s="1" t="s">
        <v>54</v>
      </c>
      <c r="AA604" s="1" t="s">
        <v>129</v>
      </c>
      <c r="AB604" s="1" t="s">
        <v>191</v>
      </c>
      <c r="AC604" s="1"/>
      <c r="AD604" s="1">
        <v>4</v>
      </c>
      <c r="AE604" s="1" t="s">
        <v>115</v>
      </c>
      <c r="AF604" s="1" t="s">
        <v>46</v>
      </c>
    </row>
    <row r="605" spans="1:32" ht="18" hidden="1" customHeight="1">
      <c r="A605" s="1" t="s">
        <v>1946</v>
      </c>
      <c r="B605" s="1" t="s">
        <v>1947</v>
      </c>
      <c r="C605" s="4">
        <v>46053</v>
      </c>
      <c r="D605" s="1">
        <v>46066</v>
      </c>
      <c r="E605" s="1">
        <v>46066</v>
      </c>
      <c r="F605" s="1" t="s">
        <v>256</v>
      </c>
      <c r="G605" s="1" t="s">
        <v>3419</v>
      </c>
      <c r="H605" s="1" t="s">
        <v>3410</v>
      </c>
      <c r="I605" s="1" t="s">
        <v>34</v>
      </c>
      <c r="J605" s="1" t="s">
        <v>153</v>
      </c>
      <c r="K605" s="1" t="s">
        <v>504</v>
      </c>
      <c r="L605" s="1" t="s">
        <v>295</v>
      </c>
      <c r="M605" s="1">
        <v>301.87</v>
      </c>
      <c r="N605" s="1" t="s">
        <v>86</v>
      </c>
      <c r="O605" s="1">
        <v>50</v>
      </c>
      <c r="P605" s="1">
        <v>15093.5</v>
      </c>
      <c r="Q605" s="1">
        <v>5</v>
      </c>
      <c r="R605" s="7">
        <v>0.1</v>
      </c>
      <c r="S605" s="1">
        <v>13</v>
      </c>
      <c r="T605" s="1">
        <v>13</v>
      </c>
      <c r="U605" s="1">
        <v>0</v>
      </c>
      <c r="V605" s="1" t="s">
        <v>87</v>
      </c>
      <c r="W605" s="1" t="s">
        <v>74</v>
      </c>
      <c r="X605" s="1" t="s">
        <v>105</v>
      </c>
      <c r="Y605" s="1" t="s">
        <v>106</v>
      </c>
      <c r="Z605" s="1" t="s">
        <v>173</v>
      </c>
      <c r="AA605" s="1" t="s">
        <v>129</v>
      </c>
      <c r="AB605" s="1" t="s">
        <v>44</v>
      </c>
      <c r="AC605" s="1" t="s">
        <v>96</v>
      </c>
      <c r="AD605" s="1">
        <v>2</v>
      </c>
      <c r="AE605" s="1" t="s">
        <v>139</v>
      </c>
      <c r="AF605" s="1" t="s">
        <v>97</v>
      </c>
    </row>
    <row r="606" spans="1:32" ht="18" hidden="1" customHeight="1">
      <c r="A606" s="1" t="s">
        <v>1948</v>
      </c>
      <c r="B606" s="1" t="s">
        <v>1949</v>
      </c>
      <c r="C606" s="4">
        <v>46044</v>
      </c>
      <c r="D606" s="1">
        <v>46055</v>
      </c>
      <c r="E606" s="1">
        <v>46054</v>
      </c>
      <c r="F606" s="1" t="s">
        <v>209</v>
      </c>
      <c r="G606" s="1" t="s">
        <v>3389</v>
      </c>
      <c r="H606" s="1" t="s">
        <v>3390</v>
      </c>
      <c r="I606" s="1" t="s">
        <v>120</v>
      </c>
      <c r="J606" s="1" t="s">
        <v>153</v>
      </c>
      <c r="K606" s="1" t="s">
        <v>1950</v>
      </c>
      <c r="L606" s="1" t="s">
        <v>295</v>
      </c>
      <c r="M606" s="1">
        <v>174.12</v>
      </c>
      <c r="N606" s="1" t="s">
        <v>104</v>
      </c>
      <c r="O606" s="1">
        <v>75</v>
      </c>
      <c r="P606" s="1">
        <v>13059</v>
      </c>
      <c r="Q606" s="1">
        <v>4</v>
      </c>
      <c r="R606" s="7">
        <v>5.33E-2</v>
      </c>
      <c r="S606" s="1">
        <v>10</v>
      </c>
      <c r="T606" s="1">
        <v>11</v>
      </c>
      <c r="U606" s="1">
        <v>-1</v>
      </c>
      <c r="V606" s="1" t="s">
        <v>3352</v>
      </c>
      <c r="W606" s="1" t="s">
        <v>3384</v>
      </c>
      <c r="X606" s="1" t="s">
        <v>105</v>
      </c>
      <c r="Y606" s="1" t="s">
        <v>66</v>
      </c>
      <c r="Z606" s="1"/>
      <c r="AA606" s="1" t="s">
        <v>206</v>
      </c>
      <c r="AB606" s="1" t="s">
        <v>191</v>
      </c>
      <c r="AC606" s="1" t="s">
        <v>183</v>
      </c>
      <c r="AD606" s="1">
        <v>1.2</v>
      </c>
      <c r="AE606" s="1" t="s">
        <v>76</v>
      </c>
      <c r="AF606" s="1" t="s">
        <v>97</v>
      </c>
    </row>
    <row r="607" spans="1:32" ht="18" customHeight="1">
      <c r="A607" s="1" t="s">
        <v>1951</v>
      </c>
      <c r="B607" s="1" t="s">
        <v>1952</v>
      </c>
      <c r="C607" s="4">
        <v>46202</v>
      </c>
      <c r="D607" s="4"/>
      <c r="E607" s="4" t="s">
        <v>3681</v>
      </c>
      <c r="F607" s="1" t="s">
        <v>867</v>
      </c>
      <c r="G607" s="1" t="s">
        <v>119</v>
      </c>
      <c r="H607" s="1" t="s">
        <v>301</v>
      </c>
      <c r="I607" s="1" t="s">
        <v>70</v>
      </c>
      <c r="J607" s="1" t="s">
        <v>112</v>
      </c>
      <c r="K607" s="1" t="s">
        <v>1953</v>
      </c>
      <c r="L607" s="1" t="s">
        <v>218</v>
      </c>
      <c r="M607" s="1">
        <v>537.21</v>
      </c>
      <c r="N607" s="1" t="s">
        <v>159</v>
      </c>
      <c r="O607" s="1">
        <v>300</v>
      </c>
      <c r="P607" s="1">
        <v>161163</v>
      </c>
      <c r="Q607" s="1">
        <v>10</v>
      </c>
      <c r="R607" s="7">
        <v>3.3300000000000003E-2</v>
      </c>
      <c r="S607" s="1">
        <v>25</v>
      </c>
      <c r="T607" s="1">
        <v>22</v>
      </c>
      <c r="U607" s="1">
        <v>3</v>
      </c>
      <c r="V607" s="1" t="s">
        <v>3323</v>
      </c>
      <c r="W607" s="1" t="s">
        <v>40</v>
      </c>
      <c r="X607" s="1" t="s">
        <v>146</v>
      </c>
      <c r="Y607" s="1" t="s">
        <v>66</v>
      </c>
      <c r="Z607" s="1" t="s">
        <v>54</v>
      </c>
      <c r="AA607" s="1" t="s">
        <v>129</v>
      </c>
      <c r="AB607" s="1" t="s">
        <v>137</v>
      </c>
      <c r="AC607" s="1"/>
      <c r="AD607" s="1">
        <v>3.4</v>
      </c>
      <c r="AE607" s="1" t="s">
        <v>115</v>
      </c>
      <c r="AF607" s="1" t="s">
        <v>196</v>
      </c>
    </row>
    <row r="608" spans="1:32" ht="18" customHeight="1">
      <c r="A608" s="1" t="s">
        <v>1954</v>
      </c>
      <c r="B608" s="1" t="s">
        <v>1955</v>
      </c>
      <c r="C608" s="4">
        <v>46123</v>
      </c>
      <c r="D608" s="4" t="s">
        <v>3682</v>
      </c>
      <c r="E608" s="4">
        <v>46143</v>
      </c>
      <c r="F608" s="1" t="s">
        <v>80</v>
      </c>
      <c r="G608" s="1" t="s">
        <v>3470</v>
      </c>
      <c r="H608" s="1" t="s">
        <v>3414</v>
      </c>
      <c r="I608" s="1" t="s">
        <v>61</v>
      </c>
      <c r="J608" s="1" t="s">
        <v>35</v>
      </c>
      <c r="K608" s="1" t="s">
        <v>1956</v>
      </c>
      <c r="L608" s="1" t="s">
        <v>37</v>
      </c>
      <c r="M608" s="1">
        <v>1926.17</v>
      </c>
      <c r="N608" s="1" t="s">
        <v>86</v>
      </c>
      <c r="O608" s="1">
        <v>200</v>
      </c>
      <c r="P608" s="1">
        <v>385234</v>
      </c>
      <c r="Q608" s="1">
        <v>0</v>
      </c>
      <c r="R608" s="7">
        <v>0</v>
      </c>
      <c r="S608" s="1">
        <v>20</v>
      </c>
      <c r="T608" s="1">
        <v>11</v>
      </c>
      <c r="U608" s="1">
        <v>9</v>
      </c>
      <c r="V608" s="1" t="s">
        <v>39</v>
      </c>
      <c r="W608" s="1" t="s">
        <v>40</v>
      </c>
      <c r="X608" s="1" t="s">
        <v>3329</v>
      </c>
      <c r="Y608" s="1" t="s">
        <v>42</v>
      </c>
      <c r="Z608" s="1" t="s">
        <v>3330</v>
      </c>
      <c r="AA608" s="1" t="s">
        <v>55</v>
      </c>
      <c r="AB608" s="1" t="s">
        <v>95</v>
      </c>
      <c r="AC608" s="1"/>
      <c r="AD608" s="1">
        <v>1.6</v>
      </c>
      <c r="AE608" s="1" t="s">
        <v>45</v>
      </c>
      <c r="AF608" s="1" t="s">
        <v>46</v>
      </c>
    </row>
    <row r="609" spans="1:32" ht="18" customHeight="1">
      <c r="A609" s="1" t="s">
        <v>1957</v>
      </c>
      <c r="B609" s="1" t="s">
        <v>1958</v>
      </c>
      <c r="C609" s="4">
        <v>46052</v>
      </c>
      <c r="D609" s="4" t="s">
        <v>3683</v>
      </c>
      <c r="E609" s="4">
        <v>46074</v>
      </c>
      <c r="F609" s="1" t="s">
        <v>48</v>
      </c>
      <c r="G609" s="1" t="s">
        <v>3467</v>
      </c>
      <c r="H609" s="1" t="s">
        <v>3322</v>
      </c>
      <c r="I609" s="1" t="s">
        <v>92</v>
      </c>
      <c r="J609" s="1" t="s">
        <v>50</v>
      </c>
      <c r="K609" s="1" t="s">
        <v>441</v>
      </c>
      <c r="L609" s="1" t="s">
        <v>52</v>
      </c>
      <c r="M609" s="1">
        <v>3178.02</v>
      </c>
      <c r="N609" s="1" t="s">
        <v>53</v>
      </c>
      <c r="O609" s="1">
        <v>250</v>
      </c>
      <c r="P609" s="1">
        <v>794505</v>
      </c>
      <c r="Q609" s="1">
        <v>0</v>
      </c>
      <c r="R609" s="7">
        <v>0</v>
      </c>
      <c r="S609" s="1">
        <v>22</v>
      </c>
      <c r="T609" s="1">
        <v>10</v>
      </c>
      <c r="U609" s="1">
        <v>12</v>
      </c>
      <c r="V609" s="1" t="s">
        <v>205</v>
      </c>
      <c r="W609" s="1" t="s">
        <v>40</v>
      </c>
      <c r="X609" s="1" t="s">
        <v>105</v>
      </c>
      <c r="Y609" s="1" t="s">
        <v>66</v>
      </c>
      <c r="Z609" s="1" t="s">
        <v>173</v>
      </c>
      <c r="AA609" s="1" t="s">
        <v>3341</v>
      </c>
      <c r="AB609" s="1" t="s">
        <v>95</v>
      </c>
      <c r="AC609" s="1"/>
      <c r="AD609" s="1">
        <v>3</v>
      </c>
      <c r="AE609" s="1" t="s">
        <v>139</v>
      </c>
      <c r="AF609" s="1" t="s">
        <v>46</v>
      </c>
    </row>
    <row r="610" spans="1:32" ht="18" hidden="1" customHeight="1">
      <c r="A610" s="1" t="s">
        <v>1959</v>
      </c>
      <c r="B610" s="1" t="s">
        <v>1960</v>
      </c>
      <c r="C610" s="4">
        <v>46116</v>
      </c>
      <c r="D610" s="1">
        <v>46126</v>
      </c>
      <c r="E610" s="1">
        <v>46126</v>
      </c>
      <c r="F610" s="1" t="s">
        <v>60</v>
      </c>
      <c r="G610" s="1" t="s">
        <v>3488</v>
      </c>
      <c r="H610" s="1" t="s">
        <v>152</v>
      </c>
      <c r="I610" s="1" t="s">
        <v>178</v>
      </c>
      <c r="J610" s="1" t="s">
        <v>62</v>
      </c>
      <c r="K610" s="1" t="s">
        <v>1961</v>
      </c>
      <c r="L610" s="1" t="s">
        <v>225</v>
      </c>
      <c r="M610" s="1">
        <v>226.08</v>
      </c>
      <c r="N610" s="1" t="s">
        <v>159</v>
      </c>
      <c r="O610" s="1">
        <v>1000</v>
      </c>
      <c r="P610" s="1">
        <v>226080</v>
      </c>
      <c r="Q610" s="1">
        <v>45</v>
      </c>
      <c r="R610" s="7">
        <v>4.4999999999999998E-2</v>
      </c>
      <c r="S610" s="1">
        <v>10</v>
      </c>
      <c r="T610" s="1">
        <v>10</v>
      </c>
      <c r="U610" s="1">
        <v>0</v>
      </c>
      <c r="V610" s="1" t="s">
        <v>270</v>
      </c>
      <c r="W610" s="1" t="s">
        <v>74</v>
      </c>
      <c r="X610" s="1" t="s">
        <v>41</v>
      </c>
      <c r="Y610" s="1" t="s">
        <v>106</v>
      </c>
      <c r="Z610" s="1"/>
      <c r="AA610" s="1" t="s">
        <v>88</v>
      </c>
      <c r="AB610" s="1" t="s">
        <v>147</v>
      </c>
      <c r="AC610" s="1" t="s">
        <v>283</v>
      </c>
      <c r="AD610" s="1">
        <v>1.3</v>
      </c>
      <c r="AE610" s="1" t="s">
        <v>115</v>
      </c>
      <c r="AF610" s="1" t="s">
        <v>97</v>
      </c>
    </row>
    <row r="611" spans="1:32" ht="18" customHeight="1">
      <c r="A611" s="1" t="s">
        <v>1962</v>
      </c>
      <c r="B611" s="1" t="s">
        <v>1963</v>
      </c>
      <c r="C611" s="4" t="s">
        <v>3548</v>
      </c>
      <c r="D611" s="4" t="s">
        <v>3436</v>
      </c>
      <c r="E611" s="4"/>
      <c r="F611" s="1" t="s">
        <v>80</v>
      </c>
      <c r="G611" s="1" t="s">
        <v>3413</v>
      </c>
      <c r="H611" s="1" t="s">
        <v>3442</v>
      </c>
      <c r="I611" s="1" t="s">
        <v>70</v>
      </c>
      <c r="J611" s="1" t="s">
        <v>35</v>
      </c>
      <c r="K611" s="1" t="s">
        <v>1964</v>
      </c>
      <c r="L611" s="1" t="s">
        <v>200</v>
      </c>
      <c r="M611" s="1">
        <v>761.88</v>
      </c>
      <c r="N611" s="1" t="s">
        <v>53</v>
      </c>
      <c r="O611" s="1"/>
      <c r="P611" s="1">
        <v>1523760</v>
      </c>
      <c r="Q611" s="1">
        <v>23</v>
      </c>
      <c r="R611" s="7">
        <v>1.15E-2</v>
      </c>
      <c r="S611" s="1">
        <v>16</v>
      </c>
      <c r="T611" s="1">
        <v>11</v>
      </c>
      <c r="U611" s="1">
        <v>5</v>
      </c>
      <c r="V611" s="1" t="s">
        <v>3328</v>
      </c>
      <c r="W611" s="1" t="s">
        <v>40</v>
      </c>
      <c r="X611" s="1" t="s">
        <v>105</v>
      </c>
      <c r="Y611" s="1" t="s">
        <v>66</v>
      </c>
      <c r="Z611" s="1" t="s">
        <v>54</v>
      </c>
      <c r="AA611" s="1"/>
      <c r="AB611" s="1" t="s">
        <v>56</v>
      </c>
      <c r="AC611" s="1"/>
      <c r="AD611" s="1">
        <v>-1</v>
      </c>
      <c r="AE611" s="1" t="s">
        <v>139</v>
      </c>
      <c r="AF611" s="1" t="s">
        <v>46</v>
      </c>
    </row>
    <row r="612" spans="1:32" ht="18" customHeight="1">
      <c r="A612" s="1" t="s">
        <v>1965</v>
      </c>
      <c r="B612" s="1" t="s">
        <v>1966</v>
      </c>
      <c r="C612" s="4" t="s">
        <v>3342</v>
      </c>
      <c r="D612" s="4">
        <v>46196</v>
      </c>
      <c r="E612" s="4">
        <v>46196</v>
      </c>
      <c r="F612" s="1" t="s">
        <v>48</v>
      </c>
      <c r="G612" s="1" t="s">
        <v>232</v>
      </c>
      <c r="H612" s="1" t="s">
        <v>3322</v>
      </c>
      <c r="I612" s="1" t="s">
        <v>178</v>
      </c>
      <c r="J612" s="1" t="s">
        <v>50</v>
      </c>
      <c r="K612" s="1" t="s">
        <v>1967</v>
      </c>
      <c r="L612" s="1" t="s">
        <v>145</v>
      </c>
      <c r="M612" s="1">
        <v>1176.9100000000001</v>
      </c>
      <c r="N612" s="1" t="s">
        <v>38</v>
      </c>
      <c r="O612" s="1">
        <v>300</v>
      </c>
      <c r="P612" s="1">
        <v>353073</v>
      </c>
      <c r="Q612" s="1">
        <v>8</v>
      </c>
      <c r="R612" s="7">
        <v>2.6700000000000002E-2</v>
      </c>
      <c r="S612" s="1">
        <v>16</v>
      </c>
      <c r="T612" s="1">
        <v>16</v>
      </c>
      <c r="U612" s="1">
        <v>0</v>
      </c>
      <c r="V612" s="1" t="s">
        <v>87</v>
      </c>
      <c r="W612" s="1" t="s">
        <v>40</v>
      </c>
      <c r="X612" s="1" t="s">
        <v>146</v>
      </c>
      <c r="Y612" s="1" t="s">
        <v>3334</v>
      </c>
      <c r="Z612" s="1" t="s">
        <v>43</v>
      </c>
      <c r="AA612" s="1" t="s">
        <v>55</v>
      </c>
      <c r="AB612" s="1" t="s">
        <v>95</v>
      </c>
      <c r="AC612" s="1"/>
      <c r="AD612" s="1">
        <v>3.4</v>
      </c>
      <c r="AE612" s="1" t="s">
        <v>57</v>
      </c>
      <c r="AF612" s="1" t="s">
        <v>130</v>
      </c>
    </row>
    <row r="613" spans="1:32" ht="18" hidden="1" customHeight="1">
      <c r="A613" s="1" t="s">
        <v>1968</v>
      </c>
      <c r="B613" s="1" t="s">
        <v>1969</v>
      </c>
      <c r="C613" s="4" t="s">
        <v>3424</v>
      </c>
      <c r="D613" s="1">
        <v>46095</v>
      </c>
      <c r="E613" s="1" t="s">
        <v>3684</v>
      </c>
      <c r="F613" s="1" t="s">
        <v>32</v>
      </c>
      <c r="G613" s="1" t="s">
        <v>3422</v>
      </c>
      <c r="H613" s="1" t="s">
        <v>3319</v>
      </c>
      <c r="I613" s="1" t="s">
        <v>92</v>
      </c>
      <c r="J613" s="1" t="s">
        <v>35</v>
      </c>
      <c r="K613" s="1" t="s">
        <v>1970</v>
      </c>
      <c r="L613" s="1" t="s">
        <v>37</v>
      </c>
      <c r="M613" s="1">
        <v>2952.96</v>
      </c>
      <c r="N613" s="1" t="s">
        <v>53</v>
      </c>
      <c r="O613" s="1">
        <v>1000</v>
      </c>
      <c r="P613" s="1">
        <v>2952960</v>
      </c>
      <c r="Q613" s="1">
        <v>62</v>
      </c>
      <c r="R613" s="7">
        <v>6.2E-2</v>
      </c>
      <c r="S613" s="1">
        <v>26</v>
      </c>
      <c r="T613" s="1">
        <v>21</v>
      </c>
      <c r="U613" s="1">
        <v>5</v>
      </c>
      <c r="V613" s="1" t="s">
        <v>3328</v>
      </c>
      <c r="W613" s="1" t="s">
        <v>3384</v>
      </c>
      <c r="X613" s="1" t="s">
        <v>41</v>
      </c>
      <c r="Y613" s="1"/>
      <c r="Z613" s="1" t="s">
        <v>54</v>
      </c>
      <c r="AA613" s="1" t="s">
        <v>55</v>
      </c>
      <c r="AB613" s="1" t="s">
        <v>137</v>
      </c>
      <c r="AC613" s="1" t="s">
        <v>373</v>
      </c>
      <c r="AD613" s="1">
        <v>2</v>
      </c>
      <c r="AE613" s="1" t="s">
        <v>184</v>
      </c>
      <c r="AF613" s="1" t="s">
        <v>77</v>
      </c>
    </row>
    <row r="614" spans="1:32" ht="18" customHeight="1">
      <c r="A614" s="1" t="s">
        <v>1971</v>
      </c>
      <c r="B614" s="1" t="s">
        <v>1972</v>
      </c>
      <c r="C614" s="4">
        <v>46064</v>
      </c>
      <c r="D614" s="4" t="s">
        <v>3400</v>
      </c>
      <c r="E614" s="4" t="s">
        <v>3685</v>
      </c>
      <c r="F614" s="1" t="s">
        <v>142</v>
      </c>
      <c r="G614" s="1" t="s">
        <v>143</v>
      </c>
      <c r="H614" s="1" t="s">
        <v>169</v>
      </c>
      <c r="I614" s="1" t="s">
        <v>70</v>
      </c>
      <c r="J614" s="1" t="s">
        <v>50</v>
      </c>
      <c r="K614" s="1" t="s">
        <v>1973</v>
      </c>
      <c r="L614" s="1" t="s">
        <v>52</v>
      </c>
      <c r="M614" s="1">
        <v>879.82</v>
      </c>
      <c r="N614" s="1" t="s">
        <v>159</v>
      </c>
      <c r="O614" s="1">
        <v>750</v>
      </c>
      <c r="P614" s="1">
        <v>0</v>
      </c>
      <c r="Q614" s="1">
        <v>27</v>
      </c>
      <c r="R614" s="7">
        <v>3.5999999999999997E-2</v>
      </c>
      <c r="S614" s="1">
        <v>13</v>
      </c>
      <c r="T614" s="1">
        <v>24</v>
      </c>
      <c r="U614" s="1">
        <v>-11</v>
      </c>
      <c r="V614" s="1" t="s">
        <v>87</v>
      </c>
      <c r="W614" s="1" t="s">
        <v>40</v>
      </c>
      <c r="X614" s="1" t="s">
        <v>3329</v>
      </c>
      <c r="Y614" s="1" t="s">
        <v>3334</v>
      </c>
      <c r="Z614" s="1" t="s">
        <v>128</v>
      </c>
      <c r="AA614" s="1" t="s">
        <v>174</v>
      </c>
      <c r="AB614" s="1" t="s">
        <v>95</v>
      </c>
      <c r="AC614" s="1"/>
      <c r="AD614" s="1">
        <v>2.1</v>
      </c>
      <c r="AE614" s="1" t="s">
        <v>108</v>
      </c>
      <c r="AF614" s="1"/>
    </row>
    <row r="615" spans="1:32" ht="18" hidden="1" customHeight="1">
      <c r="A615" s="1" t="s">
        <v>1974</v>
      </c>
      <c r="B615" s="1" t="s">
        <v>1975</v>
      </c>
      <c r="C615" s="4" t="s">
        <v>3686</v>
      </c>
      <c r="D615" s="1">
        <v>46208</v>
      </c>
      <c r="E615" s="1">
        <v>46210</v>
      </c>
      <c r="F615" s="1" t="s">
        <v>209</v>
      </c>
      <c r="G615" s="1" t="s">
        <v>210</v>
      </c>
      <c r="H615" s="1" t="s">
        <v>316</v>
      </c>
      <c r="I615" s="1" t="s">
        <v>83</v>
      </c>
      <c r="J615" s="1" t="s">
        <v>153</v>
      </c>
      <c r="K615" s="1" t="s">
        <v>1976</v>
      </c>
      <c r="L615" s="1" t="s">
        <v>204</v>
      </c>
      <c r="M615" s="1">
        <v>387.43</v>
      </c>
      <c r="N615" s="1" t="s">
        <v>104</v>
      </c>
      <c r="O615" s="1">
        <v>75</v>
      </c>
      <c r="P615" s="1">
        <v>29057.25</v>
      </c>
      <c r="Q615" s="1">
        <v>5</v>
      </c>
      <c r="R615" s="7">
        <v>6.6699999999999995E-2</v>
      </c>
      <c r="S615" s="1">
        <v>13</v>
      </c>
      <c r="T615" s="1">
        <v>11</v>
      </c>
      <c r="U615" s="1">
        <v>2</v>
      </c>
      <c r="V615" s="1" t="s">
        <v>3323</v>
      </c>
      <c r="W615" s="1" t="s">
        <v>74</v>
      </c>
      <c r="X615" s="1" t="s">
        <v>105</v>
      </c>
      <c r="Y615" s="1" t="s">
        <v>106</v>
      </c>
      <c r="Z615" s="1" t="s">
        <v>107</v>
      </c>
      <c r="AA615" s="1" t="s">
        <v>129</v>
      </c>
      <c r="AB615" s="1" t="s">
        <v>44</v>
      </c>
      <c r="AC615" s="1" t="s">
        <v>75</v>
      </c>
      <c r="AD615" s="1">
        <v>1.5</v>
      </c>
      <c r="AE615" s="1" t="s">
        <v>76</v>
      </c>
      <c r="AF615" s="1" t="s">
        <v>77</v>
      </c>
    </row>
    <row r="616" spans="1:32" ht="18" customHeight="1">
      <c r="A616" s="1" t="s">
        <v>1977</v>
      </c>
      <c r="B616" s="1" t="s">
        <v>1978</v>
      </c>
      <c r="C616" s="4">
        <v>46130</v>
      </c>
      <c r="D616" s="4">
        <v>46132</v>
      </c>
      <c r="E616" s="4" t="s">
        <v>3687</v>
      </c>
      <c r="F616" s="1" t="s">
        <v>60</v>
      </c>
      <c r="G616" s="1" t="s">
        <v>466</v>
      </c>
      <c r="H616" s="1" t="s">
        <v>3408</v>
      </c>
      <c r="I616" s="1" t="s">
        <v>120</v>
      </c>
      <c r="J616" s="1" t="s">
        <v>62</v>
      </c>
      <c r="K616" s="1" t="s">
        <v>1979</v>
      </c>
      <c r="L616" s="1" t="s">
        <v>122</v>
      </c>
      <c r="M616" s="1">
        <v>487.13</v>
      </c>
      <c r="N616" s="1" t="s">
        <v>86</v>
      </c>
      <c r="O616" s="1">
        <v>2000</v>
      </c>
      <c r="P616" s="1">
        <v>974260</v>
      </c>
      <c r="Q616" s="1">
        <v>0</v>
      </c>
      <c r="R616" s="7">
        <v>0</v>
      </c>
      <c r="S616" s="1">
        <v>5</v>
      </c>
      <c r="T616" s="1">
        <v>2</v>
      </c>
      <c r="U616" s="1">
        <v>3</v>
      </c>
      <c r="V616" s="1" t="s">
        <v>166</v>
      </c>
      <c r="W616" s="1" t="s">
        <v>40</v>
      </c>
      <c r="X616" s="1"/>
      <c r="Y616" s="1" t="s">
        <v>106</v>
      </c>
      <c r="Z616" s="1"/>
      <c r="AA616" s="1" t="s">
        <v>174</v>
      </c>
      <c r="AB616" s="1" t="s">
        <v>95</v>
      </c>
      <c r="AC616" s="1"/>
      <c r="AD616" s="1">
        <v>5</v>
      </c>
      <c r="AE616" s="1" t="s">
        <v>108</v>
      </c>
      <c r="AF616" s="1" t="s">
        <v>148</v>
      </c>
    </row>
    <row r="617" spans="1:32" ht="18" customHeight="1">
      <c r="A617" s="1" t="s">
        <v>1980</v>
      </c>
      <c r="B617" s="1" t="s">
        <v>1981</v>
      </c>
      <c r="C617" s="4">
        <v>46165</v>
      </c>
      <c r="D617" s="4"/>
      <c r="E617" s="4">
        <v>46186</v>
      </c>
      <c r="F617" s="1" t="s">
        <v>100</v>
      </c>
      <c r="G617" s="1" t="s">
        <v>101</v>
      </c>
      <c r="H617" s="1" t="s">
        <v>3361</v>
      </c>
      <c r="I617" s="1" t="s">
        <v>120</v>
      </c>
      <c r="J617" s="1" t="s">
        <v>50</v>
      </c>
      <c r="K617" s="1" t="s">
        <v>1982</v>
      </c>
      <c r="L617" s="1" t="s">
        <v>145</v>
      </c>
      <c r="M617" s="1">
        <v>1413.86</v>
      </c>
      <c r="N617" s="1" t="s">
        <v>53</v>
      </c>
      <c r="O617" s="1">
        <v>300</v>
      </c>
      <c r="P617" s="1">
        <v>424158</v>
      </c>
      <c r="Q617" s="1">
        <v>5</v>
      </c>
      <c r="R617" s="7">
        <v>1.67E-2</v>
      </c>
      <c r="S617" s="1">
        <v>21</v>
      </c>
      <c r="T617" s="1">
        <v>12</v>
      </c>
      <c r="U617" s="1">
        <v>9</v>
      </c>
      <c r="V617" s="1" t="s">
        <v>39</v>
      </c>
      <c r="W617" s="1"/>
      <c r="X617" s="1" t="s">
        <v>41</v>
      </c>
      <c r="Y617" s="1" t="s">
        <v>66</v>
      </c>
      <c r="Z617" s="1" t="s">
        <v>54</v>
      </c>
      <c r="AA617" s="1" t="s">
        <v>136</v>
      </c>
      <c r="AB617" s="1" t="s">
        <v>95</v>
      </c>
      <c r="AC617" s="1"/>
      <c r="AD617" s="1">
        <v>1.2</v>
      </c>
      <c r="AE617" s="1" t="s">
        <v>108</v>
      </c>
      <c r="AF617" s="1" t="s">
        <v>46</v>
      </c>
    </row>
    <row r="618" spans="1:32" ht="18" hidden="1" customHeight="1">
      <c r="A618" s="1" t="s">
        <v>1983</v>
      </c>
      <c r="B618" s="1" t="s">
        <v>1984</v>
      </c>
      <c r="C618" s="4">
        <v>46107</v>
      </c>
      <c r="D618" s="1">
        <v>46130</v>
      </c>
      <c r="E618" s="1"/>
      <c r="F618" s="1" t="s">
        <v>256</v>
      </c>
      <c r="G618" s="1" t="s">
        <v>257</v>
      </c>
      <c r="H618" s="1" t="s">
        <v>3420</v>
      </c>
      <c r="I618" s="1" t="s">
        <v>34</v>
      </c>
      <c r="J618" s="1" t="s">
        <v>153</v>
      </c>
      <c r="K618" s="1" t="s">
        <v>1985</v>
      </c>
      <c r="L618" s="1" t="s">
        <v>318</v>
      </c>
      <c r="M618" s="1">
        <v>10.14</v>
      </c>
      <c r="N618" s="1" t="s">
        <v>86</v>
      </c>
      <c r="O618" s="1"/>
      <c r="P618" s="1">
        <v>507</v>
      </c>
      <c r="Q618" s="1">
        <v>3</v>
      </c>
      <c r="R618" s="7">
        <v>0.06</v>
      </c>
      <c r="S618" s="1">
        <v>19</v>
      </c>
      <c r="T618" s="1">
        <v>23</v>
      </c>
      <c r="U618" s="1">
        <v>-4</v>
      </c>
      <c r="V618" s="1" t="s">
        <v>3337</v>
      </c>
      <c r="W618" s="1" t="s">
        <v>3384</v>
      </c>
      <c r="X618" s="1" t="s">
        <v>146</v>
      </c>
      <c r="Y618" s="1" t="s">
        <v>212</v>
      </c>
      <c r="Z618" s="1" t="s">
        <v>107</v>
      </c>
      <c r="AA618" s="1" t="s">
        <v>129</v>
      </c>
      <c r="AB618" s="1"/>
      <c r="AC618" s="1" t="s">
        <v>283</v>
      </c>
      <c r="AD618" s="1">
        <v>2</v>
      </c>
      <c r="AE618" s="1" t="s">
        <v>45</v>
      </c>
      <c r="AF618" s="1" t="s">
        <v>284</v>
      </c>
    </row>
    <row r="619" spans="1:32" ht="18" customHeight="1">
      <c r="A619" s="1" t="s">
        <v>1986</v>
      </c>
      <c r="B619" s="1" t="s">
        <v>1987</v>
      </c>
      <c r="C619" s="4">
        <v>46174</v>
      </c>
      <c r="D619" s="4" t="s">
        <v>3688</v>
      </c>
      <c r="E619" s="4">
        <v>46193</v>
      </c>
      <c r="F619" s="1" t="s">
        <v>80</v>
      </c>
      <c r="G619" s="1" t="s">
        <v>81</v>
      </c>
      <c r="H619" s="1" t="s">
        <v>82</v>
      </c>
      <c r="I619" s="1" t="s">
        <v>49</v>
      </c>
      <c r="J619" s="1" t="s">
        <v>35</v>
      </c>
      <c r="K619" s="1" t="s">
        <v>1988</v>
      </c>
      <c r="L619" s="1" t="s">
        <v>180</v>
      </c>
      <c r="M619" s="1">
        <v>1812.41</v>
      </c>
      <c r="N619" s="1" t="s">
        <v>172</v>
      </c>
      <c r="O619" s="1">
        <v>75</v>
      </c>
      <c r="P619" s="1"/>
      <c r="Q619" s="1">
        <v>1</v>
      </c>
      <c r="R619" s="7">
        <v>1.3299999999999999E-2</v>
      </c>
      <c r="S619" s="1">
        <v>19</v>
      </c>
      <c r="T619" s="1">
        <v>8</v>
      </c>
      <c r="U619" s="1">
        <v>11</v>
      </c>
      <c r="V619" s="1" t="s">
        <v>39</v>
      </c>
      <c r="W619" s="1" t="s">
        <v>40</v>
      </c>
      <c r="X619" s="1" t="s">
        <v>105</v>
      </c>
      <c r="Y619" s="1" t="s">
        <v>42</v>
      </c>
      <c r="Z619" s="1" t="s">
        <v>173</v>
      </c>
      <c r="AA619" s="1" t="s">
        <v>206</v>
      </c>
      <c r="AB619" s="1" t="s">
        <v>137</v>
      </c>
      <c r="AC619" s="1"/>
      <c r="AD619" s="1"/>
      <c r="AE619" s="1" t="s">
        <v>57</v>
      </c>
      <c r="AF619" s="1" t="s">
        <v>46</v>
      </c>
    </row>
    <row r="620" spans="1:32" ht="18" customHeight="1">
      <c r="A620" s="1" t="s">
        <v>1989</v>
      </c>
      <c r="B620" s="1" t="s">
        <v>1990</v>
      </c>
      <c r="C620" s="4">
        <v>46144</v>
      </c>
      <c r="D620" s="4">
        <v>46153</v>
      </c>
      <c r="E620" s="4">
        <v>46154</v>
      </c>
      <c r="F620" s="1" t="s">
        <v>162</v>
      </c>
      <c r="G620" s="1" t="s">
        <v>3382</v>
      </c>
      <c r="H620" s="1" t="s">
        <v>3327</v>
      </c>
      <c r="I620" s="1" t="s">
        <v>241</v>
      </c>
      <c r="J620" s="1" t="s">
        <v>163</v>
      </c>
      <c r="K620" s="1" t="s">
        <v>1991</v>
      </c>
      <c r="L620" s="1" t="s">
        <v>269</v>
      </c>
      <c r="M620" s="1">
        <v>1290.06</v>
      </c>
      <c r="N620" s="1" t="s">
        <v>172</v>
      </c>
      <c r="O620" s="1">
        <v>1500</v>
      </c>
      <c r="P620" s="1"/>
      <c r="Q620" s="1">
        <v>17</v>
      </c>
      <c r="R620" s="7">
        <v>1.1299999999999999E-2</v>
      </c>
      <c r="S620" s="1">
        <v>10</v>
      </c>
      <c r="T620" s="1">
        <v>9</v>
      </c>
      <c r="U620" s="1">
        <v>1</v>
      </c>
      <c r="V620" s="1" t="s">
        <v>135</v>
      </c>
      <c r="W620" s="1" t="s">
        <v>40</v>
      </c>
      <c r="X620" s="1" t="s">
        <v>3324</v>
      </c>
      <c r="Y620" s="1" t="s">
        <v>212</v>
      </c>
      <c r="Z620" s="1" t="s">
        <v>128</v>
      </c>
      <c r="AA620" s="1" t="s">
        <v>206</v>
      </c>
      <c r="AB620" s="1" t="s">
        <v>56</v>
      </c>
      <c r="AC620" s="1"/>
      <c r="AD620" s="1">
        <v>3.2</v>
      </c>
      <c r="AE620" s="1" t="s">
        <v>45</v>
      </c>
      <c r="AF620" s="1" t="s">
        <v>46</v>
      </c>
    </row>
    <row r="621" spans="1:32" ht="18" customHeight="1">
      <c r="A621" s="1" t="s">
        <v>1992</v>
      </c>
      <c r="B621" s="1" t="s">
        <v>1993</v>
      </c>
      <c r="C621" s="4">
        <v>46056</v>
      </c>
      <c r="D621" s="4">
        <v>46064</v>
      </c>
      <c r="E621" s="4">
        <v>46072</v>
      </c>
      <c r="F621" s="1" t="s">
        <v>100</v>
      </c>
      <c r="G621" s="1" t="s">
        <v>101</v>
      </c>
      <c r="H621" s="1" t="s">
        <v>102</v>
      </c>
      <c r="I621" s="1" t="s">
        <v>49</v>
      </c>
      <c r="J621" s="1" t="s">
        <v>112</v>
      </c>
      <c r="K621" s="1" t="s">
        <v>1994</v>
      </c>
      <c r="L621" s="1" t="s">
        <v>229</v>
      </c>
      <c r="M621" s="1">
        <v>754.39</v>
      </c>
      <c r="N621" s="1" t="s">
        <v>159</v>
      </c>
      <c r="O621" s="1">
        <v>100</v>
      </c>
      <c r="P621" s="1">
        <v>75439</v>
      </c>
      <c r="Q621" s="1">
        <v>0</v>
      </c>
      <c r="R621" s="7">
        <v>0</v>
      </c>
      <c r="S621" s="1">
        <v>16</v>
      </c>
      <c r="T621" s="1">
        <v>8</v>
      </c>
      <c r="U621" s="1">
        <v>8</v>
      </c>
      <c r="V621" s="1" t="s">
        <v>3328</v>
      </c>
      <c r="W621" s="1" t="s">
        <v>40</v>
      </c>
      <c r="X621" s="1"/>
      <c r="Y621" s="1" t="s">
        <v>42</v>
      </c>
      <c r="Z621" s="1" t="s">
        <v>43</v>
      </c>
      <c r="AA621" s="1" t="s">
        <v>206</v>
      </c>
      <c r="AB621" s="1" t="s">
        <v>147</v>
      </c>
      <c r="AC621" s="1"/>
      <c r="AD621" s="1">
        <v>2.2999999999999998</v>
      </c>
      <c r="AE621" s="1" t="s">
        <v>45</v>
      </c>
      <c r="AF621" s="1" t="s">
        <v>148</v>
      </c>
    </row>
    <row r="622" spans="1:32" ht="18" customHeight="1">
      <c r="A622" s="1" t="s">
        <v>1995</v>
      </c>
      <c r="B622" s="1" t="s">
        <v>1996</v>
      </c>
      <c r="C622" s="4" t="s">
        <v>3689</v>
      </c>
      <c r="D622" s="4">
        <v>46064</v>
      </c>
      <c r="E622" s="4">
        <v>46059</v>
      </c>
      <c r="F622" s="1" t="s">
        <v>118</v>
      </c>
      <c r="G622" s="1" t="s">
        <v>3461</v>
      </c>
      <c r="H622" s="1" t="s">
        <v>301</v>
      </c>
      <c r="I622" s="1" t="s">
        <v>241</v>
      </c>
      <c r="J622" s="1" t="s">
        <v>62</v>
      </c>
      <c r="K622" s="1" t="s">
        <v>1997</v>
      </c>
      <c r="L622" s="1" t="s">
        <v>225</v>
      </c>
      <c r="M622" s="1">
        <v>754.44</v>
      </c>
      <c r="N622" s="1" t="s">
        <v>38</v>
      </c>
      <c r="O622" s="1">
        <v>1500</v>
      </c>
      <c r="P622" s="1">
        <v>1131660</v>
      </c>
      <c r="Q622" s="1">
        <v>33</v>
      </c>
      <c r="R622" s="7">
        <v>2.1999999999999999E-2</v>
      </c>
      <c r="S622" s="1" t="s">
        <v>3367</v>
      </c>
      <c r="T622" s="1">
        <v>27</v>
      </c>
      <c r="U622" s="1">
        <v>-5</v>
      </c>
      <c r="V622" s="1" t="s">
        <v>3352</v>
      </c>
      <c r="W622" s="1" t="s">
        <v>404</v>
      </c>
      <c r="X622" s="1" t="s">
        <v>127</v>
      </c>
      <c r="Y622" s="1"/>
      <c r="Z622" s="1" t="s">
        <v>173</v>
      </c>
      <c r="AA622" s="1"/>
      <c r="AB622" s="1" t="s">
        <v>147</v>
      </c>
      <c r="AC622" s="1"/>
      <c r="AD622" s="1">
        <v>3</v>
      </c>
      <c r="AE622" s="1" t="s">
        <v>45</v>
      </c>
      <c r="AF622" s="1" t="s">
        <v>130</v>
      </c>
    </row>
    <row r="623" spans="1:32" ht="18" customHeight="1">
      <c r="A623" s="1" t="s">
        <v>1998</v>
      </c>
      <c r="B623" s="1" t="s">
        <v>1999</v>
      </c>
      <c r="C623" s="4">
        <v>46131</v>
      </c>
      <c r="D623" s="4">
        <v>46150</v>
      </c>
      <c r="E623" s="4">
        <v>46153</v>
      </c>
      <c r="F623" s="1" t="s">
        <v>142</v>
      </c>
      <c r="G623" s="1" t="s">
        <v>3391</v>
      </c>
      <c r="H623" s="1" t="s">
        <v>3392</v>
      </c>
      <c r="I623" s="1" t="s">
        <v>83</v>
      </c>
      <c r="J623" s="1" t="s">
        <v>35</v>
      </c>
      <c r="K623" s="1" t="s">
        <v>2000</v>
      </c>
      <c r="L623" s="1" t="s">
        <v>180</v>
      </c>
      <c r="M623" s="1">
        <v>293.44</v>
      </c>
      <c r="N623" s="1" t="s">
        <v>65</v>
      </c>
      <c r="O623" s="1">
        <v>750</v>
      </c>
      <c r="P623" s="1">
        <v>220080</v>
      </c>
      <c r="Q623" s="1">
        <v>15</v>
      </c>
      <c r="R623" s="7">
        <v>0.02</v>
      </c>
      <c r="S623" s="1">
        <v>22</v>
      </c>
      <c r="T623" s="1">
        <v>19</v>
      </c>
      <c r="U623" s="1">
        <v>3</v>
      </c>
      <c r="V623" s="1" t="s">
        <v>166</v>
      </c>
      <c r="W623" s="1" t="s">
        <v>40</v>
      </c>
      <c r="X623" s="1" t="s">
        <v>105</v>
      </c>
      <c r="Y623" s="1" t="s">
        <v>190</v>
      </c>
      <c r="Z623" s="1" t="s">
        <v>173</v>
      </c>
      <c r="AA623" s="1" t="s">
        <v>3341</v>
      </c>
      <c r="AB623" s="1" t="s">
        <v>95</v>
      </c>
      <c r="AC623" s="1"/>
      <c r="AD623" s="1">
        <v>4.2</v>
      </c>
      <c r="AE623" s="1" t="s">
        <v>115</v>
      </c>
      <c r="AF623" s="1" t="s">
        <v>46</v>
      </c>
    </row>
    <row r="624" spans="1:32" ht="18" customHeight="1">
      <c r="A624" s="1" t="s">
        <v>1527</v>
      </c>
      <c r="B624" s="1" t="s">
        <v>2001</v>
      </c>
      <c r="C624" s="4">
        <v>46183</v>
      </c>
      <c r="D624" s="4">
        <v>46195</v>
      </c>
      <c r="E624" s="4">
        <v>46209</v>
      </c>
      <c r="F624" s="1" t="s">
        <v>60</v>
      </c>
      <c r="G624" s="1" t="s">
        <v>466</v>
      </c>
      <c r="H624" s="1" t="s">
        <v>3408</v>
      </c>
      <c r="I624" s="1" t="s">
        <v>49</v>
      </c>
      <c r="J624" s="1" t="s">
        <v>62</v>
      </c>
      <c r="K624" s="1" t="s">
        <v>2002</v>
      </c>
      <c r="L624" s="1" t="s">
        <v>94</v>
      </c>
      <c r="M624" s="1">
        <v>512.49</v>
      </c>
      <c r="N624" s="1" t="s">
        <v>65</v>
      </c>
      <c r="O624" s="1">
        <v>200</v>
      </c>
      <c r="P624" s="1">
        <v>102498</v>
      </c>
      <c r="Q624" s="1">
        <v>0</v>
      </c>
      <c r="R624" s="7">
        <v>0</v>
      </c>
      <c r="S624" s="1">
        <v>26</v>
      </c>
      <c r="T624" s="1">
        <v>12</v>
      </c>
      <c r="U624" s="1">
        <v>14</v>
      </c>
      <c r="V624" s="1" t="s">
        <v>39</v>
      </c>
      <c r="W624" s="1" t="s">
        <v>40</v>
      </c>
      <c r="X624" s="1" t="s">
        <v>105</v>
      </c>
      <c r="Y624" s="1" t="s">
        <v>190</v>
      </c>
      <c r="Z624" s="1" t="s">
        <v>43</v>
      </c>
      <c r="AA624" s="1" t="s">
        <v>3341</v>
      </c>
      <c r="AB624" s="1" t="s">
        <v>137</v>
      </c>
      <c r="AC624" s="1"/>
      <c r="AD624" s="1">
        <v>1</v>
      </c>
      <c r="AE624" s="1" t="s">
        <v>108</v>
      </c>
      <c r="AF624" s="1" t="s">
        <v>46</v>
      </c>
    </row>
    <row r="625" spans="1:32" ht="18" customHeight="1">
      <c r="A625" s="1" t="s">
        <v>2003</v>
      </c>
      <c r="B625" s="1" t="s">
        <v>2004</v>
      </c>
      <c r="C625" s="4">
        <v>46086</v>
      </c>
      <c r="D625" s="4">
        <v>46096</v>
      </c>
      <c r="E625" s="4">
        <v>46098</v>
      </c>
      <c r="F625" s="1" t="s">
        <v>80</v>
      </c>
      <c r="G625" s="1" t="s">
        <v>81</v>
      </c>
      <c r="H625" s="1" t="s">
        <v>3442</v>
      </c>
      <c r="I625" s="1" t="s">
        <v>61</v>
      </c>
      <c r="J625" s="1" t="s">
        <v>35</v>
      </c>
      <c r="K625" s="1" t="s">
        <v>2005</v>
      </c>
      <c r="L625" s="1" t="s">
        <v>85</v>
      </c>
      <c r="M625" s="1">
        <v>3402.86</v>
      </c>
      <c r="N625" s="1" t="s">
        <v>104</v>
      </c>
      <c r="O625" s="1">
        <v>500</v>
      </c>
      <c r="P625" s="1">
        <v>1701430</v>
      </c>
      <c r="Q625" s="1">
        <v>14</v>
      </c>
      <c r="R625" s="7">
        <v>2.8000000000000001E-2</v>
      </c>
      <c r="S625" s="1">
        <v>12</v>
      </c>
      <c r="T625" s="1">
        <v>10</v>
      </c>
      <c r="U625" s="1">
        <v>2</v>
      </c>
      <c r="V625" s="1" t="s">
        <v>135</v>
      </c>
      <c r="W625" s="1" t="s">
        <v>40</v>
      </c>
      <c r="X625" s="1" t="s">
        <v>41</v>
      </c>
      <c r="Y625" s="1" t="s">
        <v>212</v>
      </c>
      <c r="Z625" s="1"/>
      <c r="AA625" s="1" t="s">
        <v>136</v>
      </c>
      <c r="AB625" s="1" t="s">
        <v>147</v>
      </c>
      <c r="AC625" s="1"/>
      <c r="AD625" s="1">
        <v>3.7</v>
      </c>
      <c r="AE625" s="1" t="s">
        <v>139</v>
      </c>
      <c r="AF625" s="1" t="s">
        <v>46</v>
      </c>
    </row>
    <row r="626" spans="1:32" ht="18" hidden="1" customHeight="1">
      <c r="A626" s="1" t="s">
        <v>2006</v>
      </c>
      <c r="B626" s="1" t="s">
        <v>2007</v>
      </c>
      <c r="C626" s="4">
        <v>46126</v>
      </c>
      <c r="D626" s="1">
        <v>46133</v>
      </c>
      <c r="E626" s="1" t="s">
        <v>3690</v>
      </c>
      <c r="F626" s="1" t="s">
        <v>209</v>
      </c>
      <c r="G626" s="1" t="s">
        <v>3389</v>
      </c>
      <c r="H626" s="1" t="s">
        <v>316</v>
      </c>
      <c r="I626" s="1" t="s">
        <v>61</v>
      </c>
      <c r="J626" s="1" t="s">
        <v>153</v>
      </c>
      <c r="K626" s="1" t="s">
        <v>2008</v>
      </c>
      <c r="L626" s="1" t="s">
        <v>204</v>
      </c>
      <c r="M626" s="1">
        <v>186.26</v>
      </c>
      <c r="N626" s="1" t="s">
        <v>159</v>
      </c>
      <c r="O626" s="1">
        <v>500</v>
      </c>
      <c r="P626" s="1">
        <v>93130</v>
      </c>
      <c r="Q626" s="1">
        <v>29</v>
      </c>
      <c r="R626" s="7">
        <v>5.8000000000000003E-2</v>
      </c>
      <c r="S626" s="1">
        <v>26</v>
      </c>
      <c r="T626" s="1">
        <v>7</v>
      </c>
      <c r="U626" s="1">
        <v>19</v>
      </c>
      <c r="V626" s="1" t="s">
        <v>3328</v>
      </c>
      <c r="W626" s="1" t="s">
        <v>420</v>
      </c>
      <c r="X626" s="1" t="s">
        <v>146</v>
      </c>
      <c r="Y626" s="1" t="s">
        <v>66</v>
      </c>
      <c r="Z626" s="1" t="s">
        <v>107</v>
      </c>
      <c r="AA626" s="1" t="s">
        <v>55</v>
      </c>
      <c r="AB626" s="1" t="s">
        <v>44</v>
      </c>
      <c r="AC626" s="1" t="s">
        <v>96</v>
      </c>
      <c r="AD626" s="1">
        <v>3.2</v>
      </c>
      <c r="AE626" s="1" t="s">
        <v>108</v>
      </c>
      <c r="AF626" s="1" t="s">
        <v>185</v>
      </c>
    </row>
    <row r="627" spans="1:32" ht="18" customHeight="1">
      <c r="A627" s="1" t="s">
        <v>2009</v>
      </c>
      <c r="B627" s="1" t="s">
        <v>2010</v>
      </c>
      <c r="C627" s="4">
        <v>46075</v>
      </c>
      <c r="D627" s="4">
        <v>46089</v>
      </c>
      <c r="E627" s="4">
        <v>46095</v>
      </c>
      <c r="F627" s="1" t="s">
        <v>100</v>
      </c>
      <c r="G627" s="1" t="s">
        <v>101</v>
      </c>
      <c r="H627" s="1" t="s">
        <v>3361</v>
      </c>
      <c r="I627" s="1" t="s">
        <v>241</v>
      </c>
      <c r="J627" s="1" t="s">
        <v>50</v>
      </c>
      <c r="K627" s="1" t="s">
        <v>2011</v>
      </c>
      <c r="L627" s="1" t="s">
        <v>145</v>
      </c>
      <c r="M627" s="1">
        <v>2023.18</v>
      </c>
      <c r="N627" s="1" t="s">
        <v>159</v>
      </c>
      <c r="O627" s="1">
        <v>300</v>
      </c>
      <c r="P627" s="1">
        <v>606954</v>
      </c>
      <c r="Q627" s="1">
        <v>7</v>
      </c>
      <c r="R627" s="7">
        <v>2.3300000000000001E-2</v>
      </c>
      <c r="S627" s="1">
        <v>20</v>
      </c>
      <c r="T627" s="1">
        <v>14</v>
      </c>
      <c r="U627" s="1">
        <v>6</v>
      </c>
      <c r="V627" s="1" t="s">
        <v>3328</v>
      </c>
      <c r="W627" s="1" t="s">
        <v>40</v>
      </c>
      <c r="X627" s="1" t="s">
        <v>127</v>
      </c>
      <c r="Y627" s="1" t="s">
        <v>190</v>
      </c>
      <c r="Z627" s="1" t="s">
        <v>43</v>
      </c>
      <c r="AA627" s="1"/>
      <c r="AB627" s="1" t="s">
        <v>95</v>
      </c>
      <c r="AC627" s="1"/>
      <c r="AD627" s="1">
        <v>2.7</v>
      </c>
      <c r="AE627" s="1" t="s">
        <v>45</v>
      </c>
      <c r="AF627" s="1" t="s">
        <v>148</v>
      </c>
    </row>
    <row r="628" spans="1:32" ht="18" customHeight="1">
      <c r="A628" s="1" t="s">
        <v>2012</v>
      </c>
      <c r="B628" s="1" t="s">
        <v>2013</v>
      </c>
      <c r="C628" s="4">
        <v>46202</v>
      </c>
      <c r="D628" s="4">
        <v>46209</v>
      </c>
      <c r="E628" s="4">
        <v>46217</v>
      </c>
      <c r="F628" s="1" t="s">
        <v>69</v>
      </c>
      <c r="G628" s="1" t="s">
        <v>3331</v>
      </c>
      <c r="H628" s="1" t="s">
        <v>194</v>
      </c>
      <c r="I628" s="1" t="s">
        <v>241</v>
      </c>
      <c r="J628" s="1" t="s">
        <v>163</v>
      </c>
      <c r="K628" s="1" t="s">
        <v>2014</v>
      </c>
      <c r="L628" s="1" t="s">
        <v>165</v>
      </c>
      <c r="M628" s="1">
        <v>3452.17</v>
      </c>
      <c r="N628" s="1" t="s">
        <v>86</v>
      </c>
      <c r="O628" s="1">
        <v>200</v>
      </c>
      <c r="P628" s="1">
        <v>690434</v>
      </c>
      <c r="Q628" s="1">
        <v>0</v>
      </c>
      <c r="R628" s="7">
        <v>0</v>
      </c>
      <c r="S628" s="1">
        <v>15</v>
      </c>
      <c r="T628" s="1">
        <v>7</v>
      </c>
      <c r="U628" s="1">
        <v>8</v>
      </c>
      <c r="V628" s="1" t="s">
        <v>3328</v>
      </c>
      <c r="W628" s="1" t="s">
        <v>40</v>
      </c>
      <c r="X628" s="1" t="s">
        <v>3329</v>
      </c>
      <c r="Y628" s="1" t="s">
        <v>106</v>
      </c>
      <c r="Z628" s="1" t="s">
        <v>3333</v>
      </c>
      <c r="AA628" s="1"/>
      <c r="AB628" s="1" t="s">
        <v>191</v>
      </c>
      <c r="AC628" s="1"/>
      <c r="AD628" s="1">
        <v>2.5</v>
      </c>
      <c r="AE628" s="1" t="s">
        <v>108</v>
      </c>
      <c r="AF628" s="1" t="s">
        <v>46</v>
      </c>
    </row>
    <row r="629" spans="1:32" ht="18" hidden="1" customHeight="1">
      <c r="A629" s="1" t="s">
        <v>2015</v>
      </c>
      <c r="B629" s="1" t="s">
        <v>2016</v>
      </c>
      <c r="C629" s="4">
        <v>46158</v>
      </c>
      <c r="D629" s="1">
        <v>46179</v>
      </c>
      <c r="E629" s="1">
        <v>46182</v>
      </c>
      <c r="F629" s="1" t="s">
        <v>256</v>
      </c>
      <c r="G629" s="1" t="s">
        <v>3432</v>
      </c>
      <c r="H629" s="1" t="s">
        <v>258</v>
      </c>
      <c r="I629" s="1" t="s">
        <v>83</v>
      </c>
      <c r="J629" s="1" t="s">
        <v>163</v>
      </c>
      <c r="K629" s="1" t="s">
        <v>2017</v>
      </c>
      <c r="L629" s="1" t="s">
        <v>171</v>
      </c>
      <c r="M629" s="1">
        <v>3345</v>
      </c>
      <c r="N629" s="1" t="s">
        <v>65</v>
      </c>
      <c r="O629" s="1"/>
      <c r="P629" s="1">
        <v>250875</v>
      </c>
      <c r="Q629" s="1">
        <v>7</v>
      </c>
      <c r="R629" s="7">
        <v>9.3299999999999994E-2</v>
      </c>
      <c r="S629" s="1">
        <v>24</v>
      </c>
      <c r="T629" s="1">
        <v>21</v>
      </c>
      <c r="U629" s="1">
        <v>3</v>
      </c>
      <c r="V629" s="1" t="s">
        <v>135</v>
      </c>
      <c r="W629" s="1" t="s">
        <v>366</v>
      </c>
      <c r="X629" s="1" t="s">
        <v>146</v>
      </c>
      <c r="Y629" s="1" t="s">
        <v>106</v>
      </c>
      <c r="Z629" s="1" t="s">
        <v>3333</v>
      </c>
      <c r="AA629" s="1" t="s">
        <v>129</v>
      </c>
      <c r="AB629" s="1"/>
      <c r="AC629" s="1" t="s">
        <v>96</v>
      </c>
      <c r="AD629" s="1">
        <v>2.1</v>
      </c>
      <c r="AE629" s="1" t="s">
        <v>115</v>
      </c>
      <c r="AF629" s="1" t="s">
        <v>185</v>
      </c>
    </row>
    <row r="630" spans="1:32" ht="18" customHeight="1">
      <c r="A630" s="1" t="s">
        <v>2018</v>
      </c>
      <c r="B630" s="1" t="s">
        <v>2019</v>
      </c>
      <c r="C630" s="4">
        <v>46031</v>
      </c>
      <c r="D630" s="4" t="s">
        <v>3400</v>
      </c>
      <c r="E630" s="4">
        <v>46031</v>
      </c>
      <c r="F630" s="1" t="s">
        <v>151</v>
      </c>
      <c r="G630" s="1" t="s">
        <v>244</v>
      </c>
      <c r="H630" s="1" t="s">
        <v>152</v>
      </c>
      <c r="I630" s="1" t="s">
        <v>34</v>
      </c>
      <c r="J630" s="1" t="s">
        <v>112</v>
      </c>
      <c r="K630" s="1" t="s">
        <v>2020</v>
      </c>
      <c r="L630" s="1" t="s">
        <v>229</v>
      </c>
      <c r="M630" s="1">
        <v>13.15</v>
      </c>
      <c r="N630" s="1" t="s">
        <v>38</v>
      </c>
      <c r="O630" s="1">
        <v>200</v>
      </c>
      <c r="P630" s="1">
        <v>2630</v>
      </c>
      <c r="Q630" s="1">
        <v>0</v>
      </c>
      <c r="R630" s="7">
        <v>0</v>
      </c>
      <c r="S630" s="1">
        <v>0</v>
      </c>
      <c r="T630" s="1">
        <v>1</v>
      </c>
      <c r="U630" s="1"/>
      <c r="V630" s="1" t="s">
        <v>270</v>
      </c>
      <c r="W630" s="1" t="s">
        <v>40</v>
      </c>
      <c r="X630" s="1"/>
      <c r="Y630" s="1" t="s">
        <v>66</v>
      </c>
      <c r="Z630" s="1" t="s">
        <v>43</v>
      </c>
      <c r="AA630" s="1" t="s">
        <v>136</v>
      </c>
      <c r="AB630" s="1" t="s">
        <v>44</v>
      </c>
      <c r="AC630" s="1"/>
      <c r="AD630" s="1">
        <v>3.3</v>
      </c>
      <c r="AE630" s="1" t="s">
        <v>108</v>
      </c>
      <c r="AF630" s="1" t="s">
        <v>130</v>
      </c>
    </row>
    <row r="631" spans="1:32" ht="18" customHeight="1">
      <c r="A631" s="1" t="s">
        <v>2021</v>
      </c>
      <c r="B631" s="1" t="s">
        <v>2022</v>
      </c>
      <c r="C631" s="4">
        <v>46184</v>
      </c>
      <c r="D631" s="4">
        <v>46199</v>
      </c>
      <c r="E631" s="4">
        <v>46194</v>
      </c>
      <c r="F631" s="1" t="s">
        <v>209</v>
      </c>
      <c r="G631" s="1" t="s">
        <v>210</v>
      </c>
      <c r="H631" s="1" t="s">
        <v>3365</v>
      </c>
      <c r="I631" s="1" t="s">
        <v>92</v>
      </c>
      <c r="J631" s="1" t="s">
        <v>71</v>
      </c>
      <c r="K631" s="1" t="s">
        <v>2023</v>
      </c>
      <c r="L631" s="1" t="s">
        <v>238</v>
      </c>
      <c r="M631" s="1">
        <v>342.92</v>
      </c>
      <c r="N631" s="1" t="s">
        <v>159</v>
      </c>
      <c r="O631" s="1">
        <v>75</v>
      </c>
      <c r="P631" s="1">
        <v>25719</v>
      </c>
      <c r="Q631" s="1">
        <v>3</v>
      </c>
      <c r="R631" s="7">
        <v>0.04</v>
      </c>
      <c r="S631" s="1">
        <v>10</v>
      </c>
      <c r="T631" s="1">
        <v>15</v>
      </c>
      <c r="U631" s="1">
        <v>-5</v>
      </c>
      <c r="V631" s="1" t="s">
        <v>270</v>
      </c>
      <c r="W631" s="1" t="s">
        <v>40</v>
      </c>
      <c r="X631" s="1" t="s">
        <v>105</v>
      </c>
      <c r="Y631" s="1" t="s">
        <v>212</v>
      </c>
      <c r="Z631" s="1" t="s">
        <v>54</v>
      </c>
      <c r="AA631" s="1" t="s">
        <v>88</v>
      </c>
      <c r="AB631" s="1" t="s">
        <v>191</v>
      </c>
      <c r="AC631" s="1"/>
      <c r="AD631" s="1">
        <v>2.7</v>
      </c>
      <c r="AE631" s="1" t="s">
        <v>139</v>
      </c>
      <c r="AF631" s="1"/>
    </row>
    <row r="632" spans="1:32" ht="18" customHeight="1">
      <c r="A632" s="1" t="s">
        <v>2024</v>
      </c>
      <c r="B632" s="1" t="s">
        <v>2025</v>
      </c>
      <c r="C632" s="4">
        <v>46140</v>
      </c>
      <c r="D632" s="4">
        <v>46147</v>
      </c>
      <c r="E632" s="4">
        <v>46152</v>
      </c>
      <c r="F632" s="1" t="s">
        <v>151</v>
      </c>
      <c r="G632" s="1" t="s">
        <v>244</v>
      </c>
      <c r="H632" s="1" t="s">
        <v>3354</v>
      </c>
      <c r="I632" s="1" t="s">
        <v>83</v>
      </c>
      <c r="J632" s="1" t="s">
        <v>112</v>
      </c>
      <c r="K632" s="1" t="s">
        <v>2026</v>
      </c>
      <c r="L632" s="1" t="s">
        <v>246</v>
      </c>
      <c r="M632" s="1">
        <v>771.17</v>
      </c>
      <c r="N632" s="1" t="s">
        <v>159</v>
      </c>
      <c r="O632" s="1">
        <v>300</v>
      </c>
      <c r="P632" s="1">
        <v>231351</v>
      </c>
      <c r="Q632" s="1">
        <v>0</v>
      </c>
      <c r="R632" s="7">
        <v>0</v>
      </c>
      <c r="S632" s="1">
        <v>12</v>
      </c>
      <c r="T632" s="1">
        <v>7</v>
      </c>
      <c r="U632" s="1">
        <v>5</v>
      </c>
      <c r="V632" s="1" t="s">
        <v>3328</v>
      </c>
      <c r="W632" s="1" t="s">
        <v>40</v>
      </c>
      <c r="X632" s="1"/>
      <c r="Y632" s="1" t="s">
        <v>212</v>
      </c>
      <c r="Z632" s="1" t="s">
        <v>3333</v>
      </c>
      <c r="AA632" s="1"/>
      <c r="AB632" s="1" t="s">
        <v>95</v>
      </c>
      <c r="AC632" s="1"/>
      <c r="AD632" s="1">
        <v>3.7</v>
      </c>
      <c r="AE632" s="1" t="s">
        <v>115</v>
      </c>
      <c r="AF632" s="1" t="s">
        <v>148</v>
      </c>
    </row>
    <row r="633" spans="1:32" ht="18" customHeight="1">
      <c r="A633" s="1" t="s">
        <v>2027</v>
      </c>
      <c r="B633" s="1" t="s">
        <v>2028</v>
      </c>
      <c r="C633" s="4">
        <v>46068</v>
      </c>
      <c r="D633" s="4"/>
      <c r="E633" s="4" t="s">
        <v>3545</v>
      </c>
      <c r="F633" s="1" t="s">
        <v>48</v>
      </c>
      <c r="G633" s="1" t="s">
        <v>232</v>
      </c>
      <c r="H633" s="1" t="s">
        <v>3361</v>
      </c>
      <c r="I633" s="1" t="s">
        <v>61</v>
      </c>
      <c r="J633" s="1" t="s">
        <v>71</v>
      </c>
      <c r="K633" s="1" t="s">
        <v>2029</v>
      </c>
      <c r="L633" s="1" t="s">
        <v>238</v>
      </c>
      <c r="M633" s="1">
        <v>191.94</v>
      </c>
      <c r="N633" s="1" t="s">
        <v>65</v>
      </c>
      <c r="O633" s="1">
        <v>2000</v>
      </c>
      <c r="P633" s="1">
        <v>383880</v>
      </c>
      <c r="Q633" s="1">
        <v>10</v>
      </c>
      <c r="R633" s="7">
        <v>5.0000000000000001E-3</v>
      </c>
      <c r="S633" s="1">
        <v>27</v>
      </c>
      <c r="T633" s="1">
        <v>7</v>
      </c>
      <c r="U633" s="1">
        <v>20</v>
      </c>
      <c r="V633" s="1" t="s">
        <v>205</v>
      </c>
      <c r="W633" s="1" t="s">
        <v>40</v>
      </c>
      <c r="X633" s="1" t="s">
        <v>3324</v>
      </c>
      <c r="Y633" s="1" t="s">
        <v>66</v>
      </c>
      <c r="Z633" s="1" t="s">
        <v>173</v>
      </c>
      <c r="AA633" s="1" t="s">
        <v>55</v>
      </c>
      <c r="AB633" s="1"/>
      <c r="AC633" s="1"/>
      <c r="AD633" s="1">
        <v>1.9</v>
      </c>
      <c r="AE633" s="1" t="s">
        <v>115</v>
      </c>
      <c r="AF633" s="1" t="s">
        <v>46</v>
      </c>
    </row>
    <row r="634" spans="1:32" ht="18" customHeight="1">
      <c r="A634" s="1" t="s">
        <v>2030</v>
      </c>
      <c r="B634" s="1" t="s">
        <v>2031</v>
      </c>
      <c r="C634" s="4" t="s">
        <v>3691</v>
      </c>
      <c r="D634" s="4">
        <v>46053</v>
      </c>
      <c r="E634" s="4">
        <v>46059</v>
      </c>
      <c r="F634" s="1" t="s">
        <v>142</v>
      </c>
      <c r="G634" s="1" t="s">
        <v>3542</v>
      </c>
      <c r="H634" s="1" t="s">
        <v>169</v>
      </c>
      <c r="I634" s="1" t="s">
        <v>241</v>
      </c>
      <c r="J634" s="1" t="s">
        <v>50</v>
      </c>
      <c r="K634" s="1" t="s">
        <v>2032</v>
      </c>
      <c r="L634" s="1" t="s">
        <v>126</v>
      </c>
      <c r="M634" s="1">
        <v>752.47</v>
      </c>
      <c r="N634" s="1" t="s">
        <v>159</v>
      </c>
      <c r="O634" s="1">
        <v>75</v>
      </c>
      <c r="P634" s="1">
        <v>56435.25</v>
      </c>
      <c r="Q634" s="1">
        <v>2</v>
      </c>
      <c r="R634" s="7">
        <v>2.6700000000000002E-2</v>
      </c>
      <c r="S634" s="1">
        <v>23</v>
      </c>
      <c r="T634" s="1">
        <v>17</v>
      </c>
      <c r="U634" s="1">
        <v>6</v>
      </c>
      <c r="V634" s="1" t="s">
        <v>3328</v>
      </c>
      <c r="W634" s="1" t="s">
        <v>40</v>
      </c>
      <c r="X634" s="1" t="s">
        <v>127</v>
      </c>
      <c r="Y634" s="1" t="s">
        <v>3334</v>
      </c>
      <c r="Z634" s="1" t="s">
        <v>173</v>
      </c>
      <c r="AA634" s="1" t="s">
        <v>136</v>
      </c>
      <c r="AB634" s="1" t="s">
        <v>95</v>
      </c>
      <c r="AC634" s="1"/>
      <c r="AD634" s="1">
        <v>1.8</v>
      </c>
      <c r="AE634" s="1" t="s">
        <v>45</v>
      </c>
      <c r="AF634" s="1" t="s">
        <v>148</v>
      </c>
    </row>
    <row r="635" spans="1:32" ht="18" customHeight="1">
      <c r="A635" s="1" t="s">
        <v>2033</v>
      </c>
      <c r="B635" s="1" t="s">
        <v>2034</v>
      </c>
      <c r="C635" s="4">
        <v>46072</v>
      </c>
      <c r="D635" s="4"/>
      <c r="E635" s="4" t="s">
        <v>3400</v>
      </c>
      <c r="F635" s="1" t="s">
        <v>60</v>
      </c>
      <c r="G635" s="1" t="s">
        <v>466</v>
      </c>
      <c r="H635" s="1" t="s">
        <v>3408</v>
      </c>
      <c r="I635" s="1" t="s">
        <v>92</v>
      </c>
      <c r="J635" s="1" t="s">
        <v>35</v>
      </c>
      <c r="K635" s="1" t="s">
        <v>2035</v>
      </c>
      <c r="L635" s="1" t="s">
        <v>180</v>
      </c>
      <c r="M635" s="1">
        <v>2311.9299999999998</v>
      </c>
      <c r="N635" s="1" t="s">
        <v>86</v>
      </c>
      <c r="O635" s="1">
        <v>75</v>
      </c>
      <c r="P635" s="1">
        <v>173394.75</v>
      </c>
      <c r="Q635" s="1">
        <v>0</v>
      </c>
      <c r="R635" s="7">
        <v>0</v>
      </c>
      <c r="S635" s="1">
        <v>16</v>
      </c>
      <c r="T635" s="1">
        <v>6</v>
      </c>
      <c r="U635" s="1">
        <v>10</v>
      </c>
      <c r="V635" s="1" t="s">
        <v>3328</v>
      </c>
      <c r="W635" s="1" t="s">
        <v>40</v>
      </c>
      <c r="X635" s="1" t="s">
        <v>3329</v>
      </c>
      <c r="Y635" s="1" t="s">
        <v>212</v>
      </c>
      <c r="Z635" s="1" t="s">
        <v>43</v>
      </c>
      <c r="AA635" s="1" t="s">
        <v>55</v>
      </c>
      <c r="AB635" s="1" t="s">
        <v>95</v>
      </c>
      <c r="AC635" s="1"/>
      <c r="AD635" s="1">
        <v>1.5</v>
      </c>
      <c r="AE635" s="1" t="s">
        <v>139</v>
      </c>
      <c r="AF635" s="1" t="s">
        <v>46</v>
      </c>
    </row>
    <row r="636" spans="1:32" ht="18" hidden="1" customHeight="1">
      <c r="A636" s="1" t="s">
        <v>2036</v>
      </c>
      <c r="B636" s="1" t="s">
        <v>2037</v>
      </c>
      <c r="C636" s="4" t="s">
        <v>3565</v>
      </c>
      <c r="D636" s="1">
        <v>46173</v>
      </c>
      <c r="E636" s="1"/>
      <c r="F636" s="1" t="s">
        <v>48</v>
      </c>
      <c r="G636" s="1" t="s">
        <v>232</v>
      </c>
      <c r="H636" s="1" t="s">
        <v>102</v>
      </c>
      <c r="I636" s="1" t="s">
        <v>241</v>
      </c>
      <c r="J636" s="1" t="s">
        <v>50</v>
      </c>
      <c r="K636" s="1" t="s">
        <v>2038</v>
      </c>
      <c r="L636" s="1" t="s">
        <v>52</v>
      </c>
      <c r="M636" s="1">
        <v>1553.57</v>
      </c>
      <c r="N636" s="1" t="s">
        <v>159</v>
      </c>
      <c r="O636" s="1">
        <v>200</v>
      </c>
      <c r="P636" s="1">
        <v>310714</v>
      </c>
      <c r="Q636" s="1">
        <v>10</v>
      </c>
      <c r="R636" s="7">
        <v>0.05</v>
      </c>
      <c r="S636" s="1">
        <v>17</v>
      </c>
      <c r="T636" s="1"/>
      <c r="U636" s="1">
        <v>8</v>
      </c>
      <c r="V636" s="1" t="s">
        <v>3328</v>
      </c>
      <c r="W636" s="1" t="s">
        <v>366</v>
      </c>
      <c r="X636" s="1"/>
      <c r="Y636" s="1"/>
      <c r="Z636" s="1" t="s">
        <v>43</v>
      </c>
      <c r="AA636" s="1" t="s">
        <v>136</v>
      </c>
      <c r="AB636" s="1" t="s">
        <v>95</v>
      </c>
      <c r="AC636" s="1" t="s">
        <v>373</v>
      </c>
      <c r="AD636" s="1">
        <v>2.2000000000000002</v>
      </c>
      <c r="AE636" s="1" t="s">
        <v>76</v>
      </c>
      <c r="AF636" s="1" t="s">
        <v>185</v>
      </c>
    </row>
    <row r="637" spans="1:32" ht="18" customHeight="1">
      <c r="A637" s="1" t="s">
        <v>2039</v>
      </c>
      <c r="B637" s="1" t="s">
        <v>2040</v>
      </c>
      <c r="C637" s="4">
        <v>46078</v>
      </c>
      <c r="D637" s="4">
        <v>46095</v>
      </c>
      <c r="E637" s="4">
        <v>46097</v>
      </c>
      <c r="F637" s="1" t="s">
        <v>32</v>
      </c>
      <c r="G637" s="1" t="s">
        <v>3359</v>
      </c>
      <c r="H637" s="1" t="s">
        <v>3319</v>
      </c>
      <c r="I637" s="1" t="s">
        <v>34</v>
      </c>
      <c r="J637" s="1" t="s">
        <v>35</v>
      </c>
      <c r="K637" s="1" t="s">
        <v>2041</v>
      </c>
      <c r="L637" s="1" t="s">
        <v>180</v>
      </c>
      <c r="M637" s="1">
        <v>2053.8000000000002</v>
      </c>
      <c r="N637" s="1" t="s">
        <v>65</v>
      </c>
      <c r="O637" s="1">
        <v>1500</v>
      </c>
      <c r="P637" s="1">
        <v>3080700</v>
      </c>
      <c r="Q637" s="1">
        <v>0</v>
      </c>
      <c r="R637" s="7">
        <v>0</v>
      </c>
      <c r="S637" s="1">
        <v>19</v>
      </c>
      <c r="T637" s="1">
        <v>17</v>
      </c>
      <c r="U637" s="1"/>
      <c r="V637" s="1" t="s">
        <v>3323</v>
      </c>
      <c r="W637" s="1" t="s">
        <v>40</v>
      </c>
      <c r="X637" s="1" t="s">
        <v>3324</v>
      </c>
      <c r="Y637" s="1" t="s">
        <v>106</v>
      </c>
      <c r="Z637" s="1" t="s">
        <v>128</v>
      </c>
      <c r="AA637" s="1" t="s">
        <v>129</v>
      </c>
      <c r="AB637" s="1"/>
      <c r="AC637" s="1"/>
      <c r="AD637" s="1">
        <v>4.5</v>
      </c>
      <c r="AE637" s="1" t="s">
        <v>184</v>
      </c>
      <c r="AF637" s="1" t="s">
        <v>46</v>
      </c>
    </row>
    <row r="638" spans="1:32" ht="18" customHeight="1">
      <c r="A638" s="1" t="s">
        <v>2042</v>
      </c>
      <c r="B638" s="1" t="s">
        <v>2043</v>
      </c>
      <c r="C638" s="4"/>
      <c r="D638" s="4" t="s">
        <v>3692</v>
      </c>
      <c r="E638" s="4" t="s">
        <v>3693</v>
      </c>
      <c r="F638" s="1" t="s">
        <v>100</v>
      </c>
      <c r="G638" s="1" t="s">
        <v>3485</v>
      </c>
      <c r="H638" s="1" t="s">
        <v>3322</v>
      </c>
      <c r="I638" s="1" t="s">
        <v>61</v>
      </c>
      <c r="J638" s="1" t="s">
        <v>112</v>
      </c>
      <c r="K638" s="1" t="s">
        <v>2044</v>
      </c>
      <c r="L638" s="1" t="s">
        <v>218</v>
      </c>
      <c r="M638" s="1">
        <v>534.98</v>
      </c>
      <c r="N638" s="1" t="s">
        <v>86</v>
      </c>
      <c r="O638" s="1">
        <v>200</v>
      </c>
      <c r="P638" s="1" t="s">
        <v>3694</v>
      </c>
      <c r="Q638" s="1">
        <v>7</v>
      </c>
      <c r="R638" s="7">
        <v>3.5000000000000003E-2</v>
      </c>
      <c r="S638" s="1">
        <v>17</v>
      </c>
      <c r="T638" s="1">
        <v>16</v>
      </c>
      <c r="U638" s="1">
        <v>1</v>
      </c>
      <c r="V638" s="1" t="s">
        <v>3323</v>
      </c>
      <c r="W638" s="1" t="s">
        <v>40</v>
      </c>
      <c r="X638" s="1" t="s">
        <v>146</v>
      </c>
      <c r="Y638" s="1" t="s">
        <v>66</v>
      </c>
      <c r="Z638" s="1" t="s">
        <v>43</v>
      </c>
      <c r="AA638" s="1" t="s">
        <v>88</v>
      </c>
      <c r="AB638" s="1"/>
      <c r="AC638" s="1"/>
      <c r="AD638" s="1">
        <v>3.6</v>
      </c>
      <c r="AE638" s="1" t="s">
        <v>45</v>
      </c>
      <c r="AF638" s="1" t="s">
        <v>148</v>
      </c>
    </row>
    <row r="639" spans="1:32" ht="18" hidden="1" customHeight="1">
      <c r="A639" s="1" t="s">
        <v>2045</v>
      </c>
      <c r="B639" s="1" t="s">
        <v>2046</v>
      </c>
      <c r="C639" s="4">
        <v>46195</v>
      </c>
      <c r="D639" s="1">
        <v>46209</v>
      </c>
      <c r="E639" s="1" t="s">
        <v>3695</v>
      </c>
      <c r="F639" s="1" t="s">
        <v>100</v>
      </c>
      <c r="G639" s="1" t="s">
        <v>3429</v>
      </c>
      <c r="H639" s="1" t="s">
        <v>3361</v>
      </c>
      <c r="I639" s="1" t="s">
        <v>241</v>
      </c>
      <c r="J639" s="1" t="s">
        <v>112</v>
      </c>
      <c r="K639" s="1" t="s">
        <v>2047</v>
      </c>
      <c r="L639" s="1" t="s">
        <v>229</v>
      </c>
      <c r="M639" s="1">
        <v>374.8</v>
      </c>
      <c r="N639" s="1" t="s">
        <v>38</v>
      </c>
      <c r="O639" s="1">
        <v>250</v>
      </c>
      <c r="P639" s="1" t="s">
        <v>3696</v>
      </c>
      <c r="Q639" s="1">
        <v>11</v>
      </c>
      <c r="R639" s="7">
        <v>4.3999999999999997E-2</v>
      </c>
      <c r="S639" s="1">
        <v>19</v>
      </c>
      <c r="T639" s="1">
        <v>14</v>
      </c>
      <c r="U639" s="1">
        <v>5</v>
      </c>
      <c r="V639" s="1" t="s">
        <v>3328</v>
      </c>
      <c r="W639" s="1" t="s">
        <v>420</v>
      </c>
      <c r="X639" s="1" t="s">
        <v>41</v>
      </c>
      <c r="Y639" s="1" t="s">
        <v>66</v>
      </c>
      <c r="Z639" s="1"/>
      <c r="AA639" s="1" t="s">
        <v>136</v>
      </c>
      <c r="AB639" s="1" t="s">
        <v>56</v>
      </c>
      <c r="AC639" s="1" t="s">
        <v>373</v>
      </c>
      <c r="AD639" s="1">
        <v>1.4</v>
      </c>
      <c r="AE639" s="1" t="s">
        <v>139</v>
      </c>
      <c r="AF639" s="1" t="s">
        <v>77</v>
      </c>
    </row>
    <row r="640" spans="1:32" ht="18" customHeight="1">
      <c r="A640" s="1" t="s">
        <v>370</v>
      </c>
      <c r="B640" s="1" t="s">
        <v>2048</v>
      </c>
      <c r="C640" s="4">
        <v>46067</v>
      </c>
      <c r="D640" s="4">
        <v>46076</v>
      </c>
      <c r="E640" s="4">
        <v>46082</v>
      </c>
      <c r="F640" s="1" t="s">
        <v>209</v>
      </c>
      <c r="G640" s="1" t="s">
        <v>210</v>
      </c>
      <c r="H640" s="1" t="s">
        <v>3390</v>
      </c>
      <c r="I640" s="1" t="s">
        <v>49</v>
      </c>
      <c r="J640" s="1" t="s">
        <v>153</v>
      </c>
      <c r="K640" s="1" t="s">
        <v>2049</v>
      </c>
      <c r="L640" s="1" t="s">
        <v>295</v>
      </c>
      <c r="M640" s="1">
        <v>647.35</v>
      </c>
      <c r="N640" s="1"/>
      <c r="O640" s="1">
        <v>150</v>
      </c>
      <c r="P640" s="1">
        <v>97102.5</v>
      </c>
      <c r="Q640" s="1">
        <v>0</v>
      </c>
      <c r="R640" s="7">
        <v>0</v>
      </c>
      <c r="S640" s="1">
        <v>15</v>
      </c>
      <c r="T640" s="1">
        <v>9</v>
      </c>
      <c r="U640" s="1">
        <v>6</v>
      </c>
      <c r="V640" s="1" t="s">
        <v>39</v>
      </c>
      <c r="W640" s="1" t="s">
        <v>40</v>
      </c>
      <c r="X640" s="1" t="s">
        <v>3324</v>
      </c>
      <c r="Y640" s="1" t="s">
        <v>3334</v>
      </c>
      <c r="Z640" s="1" t="s">
        <v>107</v>
      </c>
      <c r="AA640" s="1" t="s">
        <v>55</v>
      </c>
      <c r="AB640" s="1" t="s">
        <v>191</v>
      </c>
      <c r="AC640" s="1"/>
      <c r="AD640" s="1">
        <v>2.4</v>
      </c>
      <c r="AE640" s="1" t="s">
        <v>76</v>
      </c>
      <c r="AF640" s="1" t="s">
        <v>46</v>
      </c>
    </row>
    <row r="641" spans="1:32" ht="18" customHeight="1">
      <c r="A641" s="1" t="s">
        <v>2050</v>
      </c>
      <c r="B641" s="1" t="s">
        <v>2051</v>
      </c>
      <c r="C641" s="4" t="s">
        <v>3447</v>
      </c>
      <c r="D641" s="4">
        <v>46145</v>
      </c>
      <c r="E641" s="4">
        <v>46151</v>
      </c>
      <c r="F641" s="1" t="s">
        <v>90</v>
      </c>
      <c r="G641" s="1" t="s">
        <v>3346</v>
      </c>
      <c r="H641" s="1" t="s">
        <v>3425</v>
      </c>
      <c r="I641" s="1" t="s">
        <v>83</v>
      </c>
      <c r="J641" s="1" t="s">
        <v>71</v>
      </c>
      <c r="K641" s="1" t="s">
        <v>2052</v>
      </c>
      <c r="L641" s="1" t="s">
        <v>73</v>
      </c>
      <c r="M641" s="1">
        <v>-765.32</v>
      </c>
      <c r="N641" s="1" t="s">
        <v>53</v>
      </c>
      <c r="O641" s="1">
        <v>2000</v>
      </c>
      <c r="P641" s="1">
        <v>1530640</v>
      </c>
      <c r="Q641" s="1">
        <v>14</v>
      </c>
      <c r="R641" s="7">
        <v>7.0000000000000001E-3</v>
      </c>
      <c r="S641" s="1">
        <v>21</v>
      </c>
      <c r="T641" s="1">
        <v>15</v>
      </c>
      <c r="U641" s="1">
        <v>6</v>
      </c>
      <c r="V641" s="1" t="s">
        <v>205</v>
      </c>
      <c r="W641" s="1" t="s">
        <v>40</v>
      </c>
      <c r="X641" s="1" t="s">
        <v>41</v>
      </c>
      <c r="Y641" s="1" t="s">
        <v>66</v>
      </c>
      <c r="Z641" s="1" t="s">
        <v>3333</v>
      </c>
      <c r="AA641" s="1" t="s">
        <v>136</v>
      </c>
      <c r="AB641" s="1" t="s">
        <v>95</v>
      </c>
      <c r="AC641" s="1"/>
      <c r="AD641" s="1">
        <v>1.4</v>
      </c>
      <c r="AE641" s="1" t="s">
        <v>108</v>
      </c>
      <c r="AF641" s="1" t="s">
        <v>46</v>
      </c>
    </row>
    <row r="642" spans="1:32" ht="18" customHeight="1">
      <c r="A642" s="1" t="s">
        <v>2053</v>
      </c>
      <c r="B642" s="1" t="s">
        <v>2054</v>
      </c>
      <c r="C642" s="4">
        <v>46134</v>
      </c>
      <c r="D642" s="4">
        <v>46147</v>
      </c>
      <c r="E642" s="4">
        <v>46148</v>
      </c>
      <c r="F642" s="1" t="s">
        <v>80</v>
      </c>
      <c r="G642" s="1" t="s">
        <v>3413</v>
      </c>
      <c r="H642" s="1" t="s">
        <v>3414</v>
      </c>
      <c r="I642" s="1" t="s">
        <v>83</v>
      </c>
      <c r="J642" s="1" t="s">
        <v>35</v>
      </c>
      <c r="K642" s="1" t="s">
        <v>2055</v>
      </c>
      <c r="L642" s="1" t="s">
        <v>85</v>
      </c>
      <c r="M642" s="1">
        <v>1654.98</v>
      </c>
      <c r="N642" s="1" t="s">
        <v>104</v>
      </c>
      <c r="O642" s="1" t="s">
        <v>3344</v>
      </c>
      <c r="P642" s="1">
        <v>496494</v>
      </c>
      <c r="Q642" s="1">
        <v>4</v>
      </c>
      <c r="R642" s="7">
        <v>1.3299999999999999E-2</v>
      </c>
      <c r="S642" s="1">
        <v>14</v>
      </c>
      <c r="T642" s="1">
        <v>13</v>
      </c>
      <c r="U642" s="1">
        <v>1</v>
      </c>
      <c r="V642" s="1" t="s">
        <v>135</v>
      </c>
      <c r="W642" s="1" t="s">
        <v>40</v>
      </c>
      <c r="X642" s="1" t="s">
        <v>41</v>
      </c>
      <c r="Y642" s="1" t="s">
        <v>3334</v>
      </c>
      <c r="Z642" s="1" t="s">
        <v>43</v>
      </c>
      <c r="AA642" s="1" t="s">
        <v>88</v>
      </c>
      <c r="AB642" s="1" t="s">
        <v>56</v>
      </c>
      <c r="AC642" s="1"/>
      <c r="AD642" s="1">
        <v>3.3</v>
      </c>
      <c r="AE642" s="1" t="s">
        <v>115</v>
      </c>
      <c r="AF642" s="1" t="s">
        <v>46</v>
      </c>
    </row>
    <row r="643" spans="1:32" ht="18" hidden="1" customHeight="1">
      <c r="A643" s="1" t="s">
        <v>2056</v>
      </c>
      <c r="B643" s="1" t="s">
        <v>2057</v>
      </c>
      <c r="C643" s="4">
        <v>46161</v>
      </c>
      <c r="D643" s="1">
        <v>46183</v>
      </c>
      <c r="E643" s="1" t="s">
        <v>3697</v>
      </c>
      <c r="F643" s="1" t="s">
        <v>32</v>
      </c>
      <c r="G643" s="1" t="s">
        <v>3422</v>
      </c>
      <c r="H643" s="1" t="s">
        <v>3319</v>
      </c>
      <c r="I643" s="1" t="s">
        <v>83</v>
      </c>
      <c r="J643" s="1" t="s">
        <v>35</v>
      </c>
      <c r="K643" s="1" t="s">
        <v>2058</v>
      </c>
      <c r="L643" s="1" t="s">
        <v>37</v>
      </c>
      <c r="M643" s="1">
        <v>2286.81</v>
      </c>
      <c r="N643" s="1" t="s">
        <v>53</v>
      </c>
      <c r="O643" s="1">
        <v>2000</v>
      </c>
      <c r="P643" s="1">
        <v>0</v>
      </c>
      <c r="Q643" s="1">
        <v>128</v>
      </c>
      <c r="R643" s="7">
        <v>6.4000000000000001E-2</v>
      </c>
      <c r="S643" s="1">
        <v>25</v>
      </c>
      <c r="T643" s="1">
        <v>22</v>
      </c>
      <c r="U643" s="1">
        <v>3</v>
      </c>
      <c r="V643" s="1" t="s">
        <v>135</v>
      </c>
      <c r="W643" s="1" t="s">
        <v>3384</v>
      </c>
      <c r="X643" s="1" t="s">
        <v>41</v>
      </c>
      <c r="Y643" s="1" t="s">
        <v>106</v>
      </c>
      <c r="Z643" s="1" t="s">
        <v>128</v>
      </c>
      <c r="AA643" s="1" t="s">
        <v>129</v>
      </c>
      <c r="AB643" s="1" t="s">
        <v>137</v>
      </c>
      <c r="AC643" s="1" t="s">
        <v>373</v>
      </c>
      <c r="AD643" s="1">
        <v>2.8</v>
      </c>
      <c r="AE643" s="1" t="s">
        <v>57</v>
      </c>
      <c r="AF643" s="1" t="s">
        <v>77</v>
      </c>
    </row>
    <row r="644" spans="1:32" ht="18" customHeight="1">
      <c r="A644" s="1" t="s">
        <v>2059</v>
      </c>
      <c r="B644" s="1" t="s">
        <v>2060</v>
      </c>
      <c r="C644" s="4">
        <v>46040</v>
      </c>
      <c r="D644" s="4" t="s">
        <v>3698</v>
      </c>
      <c r="E644" s="4">
        <v>46049</v>
      </c>
      <c r="F644" s="1" t="s">
        <v>60</v>
      </c>
      <c r="G644" s="1" t="s">
        <v>466</v>
      </c>
      <c r="H644" s="1" t="s">
        <v>152</v>
      </c>
      <c r="I644" s="1" t="s">
        <v>241</v>
      </c>
      <c r="J644" s="1" t="s">
        <v>62</v>
      </c>
      <c r="K644" s="1" t="s">
        <v>2061</v>
      </c>
      <c r="L644" s="1" t="s">
        <v>122</v>
      </c>
      <c r="M644" s="1">
        <v>750.53</v>
      </c>
      <c r="N644" s="1" t="s">
        <v>65</v>
      </c>
      <c r="O644" s="1">
        <v>-750</v>
      </c>
      <c r="P644" s="1">
        <v>562897.5</v>
      </c>
      <c r="Q644" s="1">
        <v>15</v>
      </c>
      <c r="R644" s="7">
        <v>0.02</v>
      </c>
      <c r="S644" s="1"/>
      <c r="T644" s="1">
        <v>8</v>
      </c>
      <c r="U644" s="1">
        <v>1</v>
      </c>
      <c r="V644" s="1" t="s">
        <v>166</v>
      </c>
      <c r="W644" s="1" t="s">
        <v>40</v>
      </c>
      <c r="X644" s="1" t="s">
        <v>3324</v>
      </c>
      <c r="Y644" s="1" t="s">
        <v>190</v>
      </c>
      <c r="Z644" s="1" t="s">
        <v>128</v>
      </c>
      <c r="AA644" s="1" t="s">
        <v>55</v>
      </c>
      <c r="AB644" s="1" t="s">
        <v>44</v>
      </c>
      <c r="AC644" s="1"/>
      <c r="AD644" s="1">
        <v>6</v>
      </c>
      <c r="AE644" s="1" t="s">
        <v>139</v>
      </c>
      <c r="AF644" s="1" t="s">
        <v>46</v>
      </c>
    </row>
    <row r="645" spans="1:32" ht="18" customHeight="1">
      <c r="A645" s="1" t="s">
        <v>2062</v>
      </c>
      <c r="B645" s="1" t="s">
        <v>2063</v>
      </c>
      <c r="C645" s="4">
        <v>46038</v>
      </c>
      <c r="D645" s="4">
        <v>46056</v>
      </c>
      <c r="E645" s="4">
        <v>46064</v>
      </c>
      <c r="F645" s="1" t="s">
        <v>392</v>
      </c>
      <c r="G645" s="1" t="s">
        <v>3359</v>
      </c>
      <c r="H645" s="1" t="s">
        <v>3319</v>
      </c>
      <c r="I645" s="1" t="s">
        <v>70</v>
      </c>
      <c r="J645" s="1" t="s">
        <v>62</v>
      </c>
      <c r="K645" s="1" t="s">
        <v>2064</v>
      </c>
      <c r="L645" s="1" t="s">
        <v>94</v>
      </c>
      <c r="M645" s="1">
        <v>698.39</v>
      </c>
      <c r="N645" s="1" t="s">
        <v>172</v>
      </c>
      <c r="O645" s="1">
        <v>1500</v>
      </c>
      <c r="P645" s="1">
        <v>1047585</v>
      </c>
      <c r="Q645" s="1">
        <v>43</v>
      </c>
      <c r="R645" s="7">
        <v>2.87E-2</v>
      </c>
      <c r="S645" s="1">
        <v>26</v>
      </c>
      <c r="T645" s="1">
        <v>18</v>
      </c>
      <c r="U645" s="1">
        <v>8</v>
      </c>
      <c r="V645" s="1" t="s">
        <v>3328</v>
      </c>
      <c r="W645" s="1" t="s">
        <v>40</v>
      </c>
      <c r="X645" s="1" t="s">
        <v>3329</v>
      </c>
      <c r="Y645" s="1" t="s">
        <v>66</v>
      </c>
      <c r="Z645" s="1" t="s">
        <v>54</v>
      </c>
      <c r="AA645" s="1" t="s">
        <v>174</v>
      </c>
      <c r="AB645" s="1" t="s">
        <v>191</v>
      </c>
      <c r="AC645" s="1"/>
      <c r="AD645" s="1">
        <v>1.2</v>
      </c>
      <c r="AE645" s="1" t="s">
        <v>108</v>
      </c>
      <c r="AF645" s="1" t="s">
        <v>386</v>
      </c>
    </row>
    <row r="646" spans="1:32" ht="18" customHeight="1">
      <c r="A646" s="1" t="s">
        <v>2065</v>
      </c>
      <c r="B646" s="1" t="s">
        <v>2066</v>
      </c>
      <c r="C646" s="4">
        <v>46057</v>
      </c>
      <c r="D646" s="4" t="s">
        <v>3699</v>
      </c>
      <c r="E646" s="4" t="s">
        <v>3621</v>
      </c>
      <c r="F646" s="1" t="s">
        <v>48</v>
      </c>
      <c r="G646" s="1" t="s">
        <v>3467</v>
      </c>
      <c r="H646" s="1" t="s">
        <v>3322</v>
      </c>
      <c r="I646" s="1" t="s">
        <v>92</v>
      </c>
      <c r="J646" s="1" t="s">
        <v>163</v>
      </c>
      <c r="K646" s="1" t="s">
        <v>2067</v>
      </c>
      <c r="L646" s="1" t="s">
        <v>165</v>
      </c>
      <c r="M646" s="1">
        <v>1086.5899999999999</v>
      </c>
      <c r="N646" s="1" t="s">
        <v>53</v>
      </c>
      <c r="O646" s="1">
        <v>200</v>
      </c>
      <c r="P646" s="1">
        <v>217318</v>
      </c>
      <c r="Q646" s="1">
        <v>5</v>
      </c>
      <c r="R646" s="7">
        <v>2.5000000000000001E-2</v>
      </c>
      <c r="S646" s="1">
        <v>13</v>
      </c>
      <c r="T646" s="1">
        <v>19</v>
      </c>
      <c r="U646" s="1">
        <v>-6</v>
      </c>
      <c r="V646" s="1" t="s">
        <v>3337</v>
      </c>
      <c r="W646" s="1" t="s">
        <v>40</v>
      </c>
      <c r="X646" s="1" t="s">
        <v>3324</v>
      </c>
      <c r="Y646" s="1" t="s">
        <v>212</v>
      </c>
      <c r="Z646" s="1" t="s">
        <v>107</v>
      </c>
      <c r="AA646" s="1" t="s">
        <v>88</v>
      </c>
      <c r="AB646" s="1" t="s">
        <v>44</v>
      </c>
      <c r="AC646" s="1"/>
      <c r="AD646" s="1">
        <v>5</v>
      </c>
      <c r="AE646" s="1" t="s">
        <v>139</v>
      </c>
      <c r="AF646" s="1"/>
    </row>
    <row r="647" spans="1:32" ht="18" hidden="1" customHeight="1">
      <c r="A647" s="1" t="s">
        <v>2068</v>
      </c>
      <c r="B647" s="1" t="s">
        <v>2069</v>
      </c>
      <c r="C647" s="4">
        <v>46123</v>
      </c>
      <c r="D647" s="1">
        <v>46133</v>
      </c>
      <c r="E647" s="1">
        <v>46138</v>
      </c>
      <c r="F647" s="1" t="s">
        <v>209</v>
      </c>
      <c r="G647" s="1" t="s">
        <v>3482</v>
      </c>
      <c r="H647" s="1" t="s">
        <v>3365</v>
      </c>
      <c r="I647" s="1" t="s">
        <v>34</v>
      </c>
      <c r="J647" s="1" t="s">
        <v>153</v>
      </c>
      <c r="K647" s="1" t="s">
        <v>894</v>
      </c>
      <c r="L647" s="1" t="s">
        <v>318</v>
      </c>
      <c r="M647" s="1">
        <v>194.43</v>
      </c>
      <c r="N647" s="1" t="s">
        <v>86</v>
      </c>
      <c r="O647" s="1">
        <v>75</v>
      </c>
      <c r="P647" s="1">
        <v>14582.25</v>
      </c>
      <c r="Q647" s="1">
        <v>4</v>
      </c>
      <c r="R647" s="7">
        <v>5.33E-2</v>
      </c>
      <c r="S647" s="1">
        <v>15</v>
      </c>
      <c r="T647" s="1">
        <v>10</v>
      </c>
      <c r="U647" s="1">
        <v>5</v>
      </c>
      <c r="V647" s="1" t="s">
        <v>205</v>
      </c>
      <c r="W647" s="1" t="s">
        <v>3384</v>
      </c>
      <c r="X647" s="1" t="s">
        <v>127</v>
      </c>
      <c r="Y647" s="1" t="s">
        <v>106</v>
      </c>
      <c r="Z647" s="1" t="s">
        <v>43</v>
      </c>
      <c r="AA647" s="1" t="s">
        <v>174</v>
      </c>
      <c r="AB647" s="1" t="s">
        <v>56</v>
      </c>
      <c r="AC647" s="1" t="s">
        <v>283</v>
      </c>
      <c r="AD647" s="1">
        <v>1.1000000000000001</v>
      </c>
      <c r="AE647" s="1" t="s">
        <v>184</v>
      </c>
      <c r="AF647" s="1" t="s">
        <v>185</v>
      </c>
    </row>
    <row r="648" spans="1:32" ht="18" hidden="1" customHeight="1">
      <c r="A648" s="1" t="s">
        <v>2070</v>
      </c>
      <c r="B648" s="1" t="s">
        <v>2071</v>
      </c>
      <c r="C648" s="4">
        <v>46074</v>
      </c>
      <c r="D648" s="1"/>
      <c r="E648" s="1" t="s">
        <v>3693</v>
      </c>
      <c r="F648" s="1" t="s">
        <v>256</v>
      </c>
      <c r="G648" s="1" t="s">
        <v>257</v>
      </c>
      <c r="H648" s="1" t="s">
        <v>3433</v>
      </c>
      <c r="I648" s="1" t="s">
        <v>241</v>
      </c>
      <c r="J648" s="1" t="s">
        <v>153</v>
      </c>
      <c r="K648" s="1" t="s">
        <v>1181</v>
      </c>
      <c r="L648" s="1" t="s">
        <v>318</v>
      </c>
      <c r="M648" s="1">
        <v>72.55</v>
      </c>
      <c r="N648" s="1" t="s">
        <v>65</v>
      </c>
      <c r="O648" s="1">
        <v>250</v>
      </c>
      <c r="P648" s="1">
        <v>18137.5</v>
      </c>
      <c r="Q648" s="1">
        <v>12</v>
      </c>
      <c r="R648" s="7">
        <v>4.8000000000000001E-2</v>
      </c>
      <c r="S648" s="1">
        <v>20</v>
      </c>
      <c r="T648" s="1">
        <v>14</v>
      </c>
      <c r="U648" s="1">
        <v>6</v>
      </c>
      <c r="V648" s="1" t="s">
        <v>3328</v>
      </c>
      <c r="W648" s="1" t="s">
        <v>74</v>
      </c>
      <c r="X648" s="1" t="s">
        <v>105</v>
      </c>
      <c r="Y648" s="1" t="s">
        <v>106</v>
      </c>
      <c r="Z648" s="1" t="s">
        <v>43</v>
      </c>
      <c r="AA648" s="1" t="s">
        <v>129</v>
      </c>
      <c r="AB648" s="1" t="s">
        <v>44</v>
      </c>
      <c r="AC648" s="1" t="s">
        <v>96</v>
      </c>
      <c r="AD648" s="1">
        <v>2.5</v>
      </c>
      <c r="AE648" s="1" t="s">
        <v>108</v>
      </c>
      <c r="AF648" s="1" t="s">
        <v>77</v>
      </c>
    </row>
    <row r="649" spans="1:32" ht="18" hidden="1" customHeight="1">
      <c r="A649" s="1" t="s">
        <v>2072</v>
      </c>
      <c r="B649" s="1" t="s">
        <v>2073</v>
      </c>
      <c r="C649" s="4">
        <v>46087</v>
      </c>
      <c r="D649" s="1">
        <v>46103</v>
      </c>
      <c r="E649" s="1">
        <v>46100</v>
      </c>
      <c r="F649" s="1" t="s">
        <v>90</v>
      </c>
      <c r="G649" s="1" t="s">
        <v>91</v>
      </c>
      <c r="H649" s="1" t="s">
        <v>133</v>
      </c>
      <c r="I649" s="1" t="s">
        <v>83</v>
      </c>
      <c r="J649" s="1" t="s">
        <v>50</v>
      </c>
      <c r="K649" s="1" t="s">
        <v>1068</v>
      </c>
      <c r="L649" s="1" t="s">
        <v>52</v>
      </c>
      <c r="M649" s="1">
        <v>4478.93</v>
      </c>
      <c r="N649" s="1" t="s">
        <v>38</v>
      </c>
      <c r="O649" s="1">
        <v>100</v>
      </c>
      <c r="P649" s="1">
        <v>447893</v>
      </c>
      <c r="Q649" s="1">
        <v>5</v>
      </c>
      <c r="R649" s="7">
        <v>0.05</v>
      </c>
      <c r="S649" s="1">
        <v>13</v>
      </c>
      <c r="T649" s="1">
        <v>16</v>
      </c>
      <c r="U649" s="1">
        <v>-3</v>
      </c>
      <c r="V649" s="1" t="s">
        <v>87</v>
      </c>
      <c r="W649" s="1" t="s">
        <v>74</v>
      </c>
      <c r="X649" s="1" t="s">
        <v>105</v>
      </c>
      <c r="Y649" s="1" t="s">
        <v>66</v>
      </c>
      <c r="Z649" s="1" t="s">
        <v>43</v>
      </c>
      <c r="AA649" s="1" t="s">
        <v>174</v>
      </c>
      <c r="AB649" s="1" t="s">
        <v>44</v>
      </c>
      <c r="AC649" s="1" t="s">
        <v>96</v>
      </c>
      <c r="AD649" s="1">
        <v>3.4</v>
      </c>
      <c r="AE649" s="1" t="s">
        <v>45</v>
      </c>
      <c r="AF649" s="1" t="s">
        <v>97</v>
      </c>
    </row>
    <row r="650" spans="1:32" ht="18" customHeight="1">
      <c r="A650" s="1" t="s">
        <v>2074</v>
      </c>
      <c r="B650" s="1" t="s">
        <v>2075</v>
      </c>
      <c r="C650" s="4">
        <v>46145</v>
      </c>
      <c r="D650" s="4">
        <v>46163</v>
      </c>
      <c r="E650" s="4">
        <v>46150</v>
      </c>
      <c r="F650" s="1" t="s">
        <v>80</v>
      </c>
      <c r="G650" s="1" t="s">
        <v>81</v>
      </c>
      <c r="H650" s="1" t="s">
        <v>82</v>
      </c>
      <c r="I650" s="1" t="s">
        <v>92</v>
      </c>
      <c r="J650" s="1" t="s">
        <v>35</v>
      </c>
      <c r="K650" s="1" t="s">
        <v>2076</v>
      </c>
      <c r="L650" s="1" t="s">
        <v>37</v>
      </c>
      <c r="M650" s="1">
        <v>1128.4100000000001</v>
      </c>
      <c r="N650" s="1" t="s">
        <v>38</v>
      </c>
      <c r="O650" s="1">
        <v>750</v>
      </c>
      <c r="P650" s="1"/>
      <c r="Q650" s="1">
        <v>2</v>
      </c>
      <c r="R650" s="7">
        <v>2.7000000000000001E-3</v>
      </c>
      <c r="S650" s="1">
        <v>5</v>
      </c>
      <c r="T650" s="1">
        <v>18</v>
      </c>
      <c r="U650" s="1">
        <v>-13</v>
      </c>
      <c r="V650" s="1" t="s">
        <v>270</v>
      </c>
      <c r="W650" s="1" t="s">
        <v>40</v>
      </c>
      <c r="X650" s="1" t="s">
        <v>105</v>
      </c>
      <c r="Y650" s="1" t="s">
        <v>212</v>
      </c>
      <c r="Z650" s="1" t="s">
        <v>173</v>
      </c>
      <c r="AA650" s="1"/>
      <c r="AB650" s="1" t="s">
        <v>191</v>
      </c>
      <c r="AC650" s="1"/>
      <c r="AD650" s="1">
        <v>-1</v>
      </c>
      <c r="AE650" s="1" t="s">
        <v>115</v>
      </c>
      <c r="AF650" s="1"/>
    </row>
    <row r="651" spans="1:32" ht="18" customHeight="1">
      <c r="A651" s="1" t="s">
        <v>2077</v>
      </c>
      <c r="B651" s="1" t="s">
        <v>2078</v>
      </c>
      <c r="C651" s="4">
        <v>46110</v>
      </c>
      <c r="D651" s="4">
        <v>46133</v>
      </c>
      <c r="E651" s="4">
        <v>46124</v>
      </c>
      <c r="F651" s="1" t="s">
        <v>32</v>
      </c>
      <c r="G651" s="1" t="s">
        <v>3359</v>
      </c>
      <c r="H651" s="1" t="s">
        <v>177</v>
      </c>
      <c r="I651" s="1" t="s">
        <v>49</v>
      </c>
      <c r="J651" s="1" t="s">
        <v>71</v>
      </c>
      <c r="K651" s="1" t="s">
        <v>2079</v>
      </c>
      <c r="L651" s="1" t="s">
        <v>73</v>
      </c>
      <c r="M651" s="1">
        <v>681.13</v>
      </c>
      <c r="N651" s="1" t="s">
        <v>65</v>
      </c>
      <c r="O651" s="1">
        <v>75</v>
      </c>
      <c r="P651" s="1">
        <v>51084.75</v>
      </c>
      <c r="Q651" s="1">
        <v>2</v>
      </c>
      <c r="R651" s="7">
        <v>2.6700000000000002E-2</v>
      </c>
      <c r="S651" s="1">
        <v>14</v>
      </c>
      <c r="T651" s="1">
        <v>23</v>
      </c>
      <c r="U651" s="1">
        <v>-9</v>
      </c>
      <c r="V651" s="1" t="s">
        <v>3337</v>
      </c>
      <c r="W651" s="1" t="s">
        <v>40</v>
      </c>
      <c r="X651" s="1" t="s">
        <v>105</v>
      </c>
      <c r="Y651" s="1" t="s">
        <v>190</v>
      </c>
      <c r="Z651" s="1" t="s">
        <v>54</v>
      </c>
      <c r="AA651" s="1" t="s">
        <v>55</v>
      </c>
      <c r="AB651" s="1" t="s">
        <v>191</v>
      </c>
      <c r="AC651" s="1"/>
      <c r="AD651" s="1">
        <v>4.2</v>
      </c>
      <c r="AE651" s="1" t="s">
        <v>57</v>
      </c>
      <c r="AF651" s="1"/>
    </row>
    <row r="652" spans="1:32" ht="18" hidden="1" customHeight="1">
      <c r="A652" s="1" t="s">
        <v>2080</v>
      </c>
      <c r="B652" s="1" t="s">
        <v>2081</v>
      </c>
      <c r="C652" s="4" t="s">
        <v>3700</v>
      </c>
      <c r="D652" s="1" t="s">
        <v>3611</v>
      </c>
      <c r="E652" s="1" t="s">
        <v>3612</v>
      </c>
      <c r="F652" s="1" t="s">
        <v>69</v>
      </c>
      <c r="G652" s="1" t="s">
        <v>3362</v>
      </c>
      <c r="H652" s="1" t="s">
        <v>3338</v>
      </c>
      <c r="I652" s="1" t="s">
        <v>241</v>
      </c>
      <c r="J652" s="1" t="s">
        <v>112</v>
      </c>
      <c r="K652" s="1" t="s">
        <v>2082</v>
      </c>
      <c r="L652" s="1" t="s">
        <v>229</v>
      </c>
      <c r="M652" s="1">
        <v>608.01</v>
      </c>
      <c r="N652" s="1" t="s">
        <v>53</v>
      </c>
      <c r="O652" s="1">
        <v>50</v>
      </c>
      <c r="P652" s="1">
        <v>30400.5</v>
      </c>
      <c r="Q652" s="1">
        <v>4</v>
      </c>
      <c r="R652" s="7">
        <v>0.08</v>
      </c>
      <c r="S652" s="1">
        <v>12</v>
      </c>
      <c r="T652" s="1">
        <v>9</v>
      </c>
      <c r="U652" s="1">
        <v>3</v>
      </c>
      <c r="V652" s="1" t="s">
        <v>3323</v>
      </c>
      <c r="W652" s="1" t="s">
        <v>74</v>
      </c>
      <c r="X652" s="1" t="s">
        <v>41</v>
      </c>
      <c r="Y652" s="1" t="s">
        <v>190</v>
      </c>
      <c r="Z652" s="1" t="s">
        <v>128</v>
      </c>
      <c r="AA652" s="1" t="s">
        <v>55</v>
      </c>
      <c r="AB652" s="1" t="s">
        <v>95</v>
      </c>
      <c r="AC652" s="1" t="s">
        <v>283</v>
      </c>
      <c r="AD652" s="1">
        <v>1.8</v>
      </c>
      <c r="AE652" s="1" t="s">
        <v>139</v>
      </c>
      <c r="AF652" s="1" t="s">
        <v>77</v>
      </c>
    </row>
    <row r="653" spans="1:32" ht="18" customHeight="1">
      <c r="A653" s="1" t="s">
        <v>2083</v>
      </c>
      <c r="B653" s="1" t="s">
        <v>2084</v>
      </c>
      <c r="C653" s="4">
        <v>46078</v>
      </c>
      <c r="D653" s="4">
        <v>46084</v>
      </c>
      <c r="E653" s="4" t="s">
        <v>3416</v>
      </c>
      <c r="F653" s="1" t="s">
        <v>162</v>
      </c>
      <c r="G653" s="1" t="s">
        <v>3382</v>
      </c>
      <c r="H653" s="1" t="s">
        <v>3408</v>
      </c>
      <c r="I653" s="1" t="s">
        <v>241</v>
      </c>
      <c r="J653" s="1" t="s">
        <v>163</v>
      </c>
      <c r="K653" s="1" t="s">
        <v>2085</v>
      </c>
      <c r="L653" s="1" t="s">
        <v>171</v>
      </c>
      <c r="M653" s="1">
        <v>1869.53</v>
      </c>
      <c r="N653" s="1" t="s">
        <v>53</v>
      </c>
      <c r="O653" s="1">
        <v>2000</v>
      </c>
      <c r="P653" s="1">
        <v>3739060</v>
      </c>
      <c r="Q653" s="1">
        <v>55</v>
      </c>
      <c r="R653" s="7">
        <v>2.75E-2</v>
      </c>
      <c r="S653" s="1">
        <v>18</v>
      </c>
      <c r="T653" s="1">
        <v>6</v>
      </c>
      <c r="U653" s="1">
        <v>12</v>
      </c>
      <c r="V653" s="1" t="s">
        <v>205</v>
      </c>
      <c r="W653" s="1" t="s">
        <v>40</v>
      </c>
      <c r="X653" s="1" t="s">
        <v>105</v>
      </c>
      <c r="Y653" s="1" t="s">
        <v>66</v>
      </c>
      <c r="Z653" s="1" t="s">
        <v>173</v>
      </c>
      <c r="AA653" s="1"/>
      <c r="AB653" s="1" t="s">
        <v>191</v>
      </c>
      <c r="AC653" s="1"/>
      <c r="AD653" s="1">
        <v>6</v>
      </c>
      <c r="AE653" s="1" t="s">
        <v>76</v>
      </c>
      <c r="AF653" s="1" t="s">
        <v>46</v>
      </c>
    </row>
    <row r="654" spans="1:32" ht="18" customHeight="1">
      <c r="A654" s="1" t="s">
        <v>2086</v>
      </c>
      <c r="B654" s="1" t="s">
        <v>2087</v>
      </c>
      <c r="C654" s="4">
        <v>46139</v>
      </c>
      <c r="D654" s="4">
        <v>46151</v>
      </c>
      <c r="E654" s="4">
        <v>46155</v>
      </c>
      <c r="F654" s="1" t="s">
        <v>162</v>
      </c>
      <c r="G654" s="1" t="s">
        <v>3444</v>
      </c>
      <c r="H654" s="1" t="s">
        <v>3354</v>
      </c>
      <c r="I654" s="1" t="s">
        <v>49</v>
      </c>
      <c r="J654" s="1" t="s">
        <v>163</v>
      </c>
      <c r="K654" s="1" t="s">
        <v>2088</v>
      </c>
      <c r="L654" s="1" t="s">
        <v>269</v>
      </c>
      <c r="M654" s="1">
        <v>1623.81</v>
      </c>
      <c r="N654" s="1" t="s">
        <v>159</v>
      </c>
      <c r="O654" s="1">
        <v>250</v>
      </c>
      <c r="P654" s="1">
        <v>405952.5</v>
      </c>
      <c r="Q654" s="1">
        <v>0</v>
      </c>
      <c r="R654" s="7">
        <v>0</v>
      </c>
      <c r="S654" s="1">
        <v>16</v>
      </c>
      <c r="T654" s="1">
        <v>12</v>
      </c>
      <c r="U654" s="1">
        <v>4</v>
      </c>
      <c r="V654" s="1" t="s">
        <v>39</v>
      </c>
      <c r="W654" s="1" t="s">
        <v>40</v>
      </c>
      <c r="X654" s="1" t="s">
        <v>41</v>
      </c>
      <c r="Y654" s="1" t="s">
        <v>3334</v>
      </c>
      <c r="Z654" s="1" t="s">
        <v>43</v>
      </c>
      <c r="AA654" s="1" t="s">
        <v>3341</v>
      </c>
      <c r="AB654" s="1"/>
      <c r="AC654" s="1"/>
      <c r="AD654" s="1">
        <v>3.8</v>
      </c>
      <c r="AE654" s="1" t="s">
        <v>76</v>
      </c>
      <c r="AF654" s="1" t="s">
        <v>46</v>
      </c>
    </row>
    <row r="655" spans="1:32" ht="18" customHeight="1">
      <c r="A655" s="1" t="s">
        <v>2089</v>
      </c>
      <c r="B655" s="1" t="s">
        <v>2090</v>
      </c>
      <c r="C655" s="4">
        <v>46031</v>
      </c>
      <c r="D655" s="4">
        <v>46045</v>
      </c>
      <c r="E655" s="4" t="s">
        <v>3701</v>
      </c>
      <c r="F655" s="1" t="s">
        <v>48</v>
      </c>
      <c r="G655" s="1" t="s">
        <v>3467</v>
      </c>
      <c r="H655" s="1" t="s">
        <v>3361</v>
      </c>
      <c r="I655" s="1" t="s">
        <v>120</v>
      </c>
      <c r="J655" s="1" t="s">
        <v>50</v>
      </c>
      <c r="K655" s="1" t="s">
        <v>2091</v>
      </c>
      <c r="L655" s="1" t="s">
        <v>145</v>
      </c>
      <c r="M655" s="1">
        <v>595.83000000000004</v>
      </c>
      <c r="N655" s="1" t="s">
        <v>53</v>
      </c>
      <c r="O655" s="1">
        <v>250</v>
      </c>
      <c r="P655" s="1">
        <v>148957.5</v>
      </c>
      <c r="Q655" s="1">
        <v>6</v>
      </c>
      <c r="R655" s="7">
        <v>2.4E-2</v>
      </c>
      <c r="S655" s="1">
        <v>9</v>
      </c>
      <c r="T655" s="1">
        <v>14</v>
      </c>
      <c r="U655" s="1">
        <v>-5</v>
      </c>
      <c r="V655" s="1" t="s">
        <v>87</v>
      </c>
      <c r="W655" s="1" t="s">
        <v>40</v>
      </c>
      <c r="X655" s="1" t="s">
        <v>105</v>
      </c>
      <c r="Y655" s="1" t="s">
        <v>42</v>
      </c>
      <c r="Z655" s="1" t="s">
        <v>43</v>
      </c>
      <c r="AA655" s="1" t="s">
        <v>206</v>
      </c>
      <c r="AB655" s="1" t="s">
        <v>147</v>
      </c>
      <c r="AC655" s="1"/>
      <c r="AD655" s="1">
        <v>4</v>
      </c>
      <c r="AE655" s="1" t="s">
        <v>45</v>
      </c>
      <c r="AF655" s="1"/>
    </row>
    <row r="656" spans="1:32" ht="18" customHeight="1">
      <c r="A656" s="1" t="s">
        <v>2092</v>
      </c>
      <c r="B656" s="1" t="s">
        <v>2093</v>
      </c>
      <c r="C656" s="4">
        <v>46091</v>
      </c>
      <c r="D656" s="4">
        <v>46102</v>
      </c>
      <c r="E656" s="4">
        <v>46106</v>
      </c>
      <c r="F656" s="1" t="s">
        <v>80</v>
      </c>
      <c r="G656" s="1" t="s">
        <v>81</v>
      </c>
      <c r="H656" s="1" t="s">
        <v>3442</v>
      </c>
      <c r="I656" s="1" t="s">
        <v>120</v>
      </c>
      <c r="J656" s="1" t="s">
        <v>71</v>
      </c>
      <c r="K656" s="1" t="s">
        <v>2094</v>
      </c>
      <c r="L656" s="1" t="s">
        <v>337</v>
      </c>
      <c r="M656" s="1">
        <v>664.63</v>
      </c>
      <c r="N656" s="1" t="s">
        <v>86</v>
      </c>
      <c r="O656" s="1">
        <v>300</v>
      </c>
      <c r="P656" s="1">
        <v>199389</v>
      </c>
      <c r="Q656" s="1">
        <v>5</v>
      </c>
      <c r="R656" s="7">
        <v>1.67E-2</v>
      </c>
      <c r="S656" s="1">
        <v>15</v>
      </c>
      <c r="T656" s="1">
        <v>11</v>
      </c>
      <c r="U656" s="1">
        <v>4</v>
      </c>
      <c r="V656" s="1" t="s">
        <v>205</v>
      </c>
      <c r="W656" s="1" t="s">
        <v>40</v>
      </c>
      <c r="X656" s="1" t="s">
        <v>41</v>
      </c>
      <c r="Y656" s="1" t="s">
        <v>42</v>
      </c>
      <c r="Z656" s="1" t="s">
        <v>128</v>
      </c>
      <c r="AA656" s="1" t="s">
        <v>88</v>
      </c>
      <c r="AB656" s="1" t="s">
        <v>191</v>
      </c>
      <c r="AC656" s="1"/>
      <c r="AD656" s="1">
        <v>3.9</v>
      </c>
      <c r="AE656" s="1" t="s">
        <v>45</v>
      </c>
      <c r="AF656" s="1" t="s">
        <v>46</v>
      </c>
    </row>
    <row r="657" spans="1:32" ht="18" customHeight="1">
      <c r="A657" s="1" t="s">
        <v>2095</v>
      </c>
      <c r="B657" s="1" t="s">
        <v>2096</v>
      </c>
      <c r="C657" s="4">
        <v>46127</v>
      </c>
      <c r="D657" s="4">
        <v>46139</v>
      </c>
      <c r="E657" s="4">
        <v>46155</v>
      </c>
      <c r="F657" s="1" t="s">
        <v>48</v>
      </c>
      <c r="G657" s="1" t="s">
        <v>3467</v>
      </c>
      <c r="H657" s="1" t="s">
        <v>3361</v>
      </c>
      <c r="I657" s="1" t="s">
        <v>49</v>
      </c>
      <c r="J657" s="1" t="s">
        <v>50</v>
      </c>
      <c r="K657" s="1" t="s">
        <v>2097</v>
      </c>
      <c r="L657" s="1" t="s">
        <v>52</v>
      </c>
      <c r="M657" s="1">
        <v>2636.72</v>
      </c>
      <c r="N657" s="1" t="s">
        <v>104</v>
      </c>
      <c r="O657" s="1">
        <v>1000</v>
      </c>
      <c r="P657" s="1">
        <v>2636720</v>
      </c>
      <c r="Q657" s="1">
        <v>0</v>
      </c>
      <c r="R657" s="7">
        <v>0</v>
      </c>
      <c r="S657" s="1">
        <v>28</v>
      </c>
      <c r="T657" s="1">
        <v>12</v>
      </c>
      <c r="U657" s="1">
        <v>16</v>
      </c>
      <c r="V657" s="1" t="s">
        <v>3328</v>
      </c>
      <c r="W657" s="1" t="s">
        <v>40</v>
      </c>
      <c r="X657" s="1" t="s">
        <v>127</v>
      </c>
      <c r="Y657" s="1" t="s">
        <v>66</v>
      </c>
      <c r="Z657" s="1" t="s">
        <v>54</v>
      </c>
      <c r="AA657" s="1" t="s">
        <v>136</v>
      </c>
      <c r="AB657" s="1" t="s">
        <v>191</v>
      </c>
      <c r="AC657" s="1"/>
      <c r="AD657" s="1">
        <v>2.6</v>
      </c>
      <c r="AE657" s="1" t="s">
        <v>115</v>
      </c>
      <c r="AF657" s="1" t="s">
        <v>148</v>
      </c>
    </row>
    <row r="658" spans="1:32" ht="18" customHeight="1">
      <c r="A658" s="1" t="s">
        <v>2098</v>
      </c>
      <c r="B658" s="1" t="s">
        <v>2099</v>
      </c>
      <c r="C658" s="4">
        <v>46194</v>
      </c>
      <c r="D658" s="4" t="s">
        <v>3400</v>
      </c>
      <c r="E658" s="4">
        <v>46213</v>
      </c>
      <c r="F658" s="1" t="s">
        <v>60</v>
      </c>
      <c r="G658" s="1" t="s">
        <v>3488</v>
      </c>
      <c r="H658" s="1" t="s">
        <v>3327</v>
      </c>
      <c r="I658" s="1" t="s">
        <v>61</v>
      </c>
      <c r="J658" s="1" t="s">
        <v>62</v>
      </c>
      <c r="K658" s="1" t="s">
        <v>2100</v>
      </c>
      <c r="L658" s="1" t="s">
        <v>122</v>
      </c>
      <c r="M658" s="1">
        <v>704.24</v>
      </c>
      <c r="N658" s="1" t="s">
        <v>86</v>
      </c>
      <c r="O658" s="1">
        <v>200</v>
      </c>
      <c r="P658" s="1">
        <v>140848</v>
      </c>
      <c r="Q658" s="1"/>
      <c r="R658" s="7">
        <v>1.4999999999999999E-2</v>
      </c>
      <c r="S658" s="1">
        <v>19</v>
      </c>
      <c r="T658" s="1">
        <v>6</v>
      </c>
      <c r="U658" s="1">
        <v>13</v>
      </c>
      <c r="V658" s="1" t="s">
        <v>205</v>
      </c>
      <c r="W658" s="1" t="s">
        <v>40</v>
      </c>
      <c r="X658" s="1" t="s">
        <v>127</v>
      </c>
      <c r="Y658" s="1" t="s">
        <v>190</v>
      </c>
      <c r="Z658" s="1" t="s">
        <v>107</v>
      </c>
      <c r="AA658" s="1" t="s">
        <v>206</v>
      </c>
      <c r="AB658" s="1" t="s">
        <v>137</v>
      </c>
      <c r="AC658" s="1"/>
      <c r="AD658" s="1">
        <v>2.4</v>
      </c>
      <c r="AE658" s="1" t="s">
        <v>115</v>
      </c>
      <c r="AF658" s="1" t="s">
        <v>148</v>
      </c>
    </row>
    <row r="659" spans="1:32" ht="18" customHeight="1">
      <c r="A659" s="1" t="s">
        <v>2101</v>
      </c>
      <c r="B659" s="1" t="s">
        <v>2102</v>
      </c>
      <c r="C659" s="4">
        <v>46119</v>
      </c>
      <c r="D659" s="4">
        <v>46138</v>
      </c>
      <c r="E659" s="4">
        <v>46135</v>
      </c>
      <c r="F659" s="1" t="s">
        <v>256</v>
      </c>
      <c r="G659" s="1" t="s">
        <v>257</v>
      </c>
      <c r="H659" s="1" t="s">
        <v>3410</v>
      </c>
      <c r="I659" s="1" t="s">
        <v>70</v>
      </c>
      <c r="J659" s="1" t="s">
        <v>163</v>
      </c>
      <c r="K659" s="1" t="s">
        <v>2103</v>
      </c>
      <c r="L659" s="1" t="s">
        <v>165</v>
      </c>
      <c r="M659" s="1">
        <v>1596.18</v>
      </c>
      <c r="N659" s="1" t="s">
        <v>53</v>
      </c>
      <c r="O659" s="1">
        <v>75</v>
      </c>
      <c r="P659" s="1">
        <v>119713.5</v>
      </c>
      <c r="Q659" s="1">
        <v>0</v>
      </c>
      <c r="R659" s="7">
        <v>0</v>
      </c>
      <c r="S659" s="1">
        <v>16</v>
      </c>
      <c r="T659" s="1">
        <v>19</v>
      </c>
      <c r="U659" s="1">
        <v>-3</v>
      </c>
      <c r="V659" s="1" t="s">
        <v>3352</v>
      </c>
      <c r="W659" s="1" t="s">
        <v>40</v>
      </c>
      <c r="X659" s="1" t="s">
        <v>3324</v>
      </c>
      <c r="Y659" s="1" t="s">
        <v>3334</v>
      </c>
      <c r="Z659" s="1" t="s">
        <v>107</v>
      </c>
      <c r="AA659" s="1" t="s">
        <v>55</v>
      </c>
      <c r="AB659" s="1"/>
      <c r="AC659" s="1"/>
      <c r="AD659" s="1">
        <v>4.4000000000000004</v>
      </c>
      <c r="AE659" s="1" t="s">
        <v>184</v>
      </c>
      <c r="AF659" s="1"/>
    </row>
    <row r="660" spans="1:32" ht="18" hidden="1" customHeight="1">
      <c r="A660" s="1" t="s">
        <v>2104</v>
      </c>
      <c r="B660" s="1" t="s">
        <v>2105</v>
      </c>
      <c r="C660" s="4">
        <v>46098</v>
      </c>
      <c r="D660" s="1">
        <v>46117</v>
      </c>
      <c r="E660" s="1" t="s">
        <v>3702</v>
      </c>
      <c r="F660" s="1" t="s">
        <v>32</v>
      </c>
      <c r="G660" s="1" t="s">
        <v>3422</v>
      </c>
      <c r="H660" s="1" t="s">
        <v>177</v>
      </c>
      <c r="I660" s="1" t="s">
        <v>49</v>
      </c>
      <c r="J660" s="1" t="s">
        <v>35</v>
      </c>
      <c r="K660" s="1" t="s">
        <v>2106</v>
      </c>
      <c r="L660" s="1" t="s">
        <v>37</v>
      </c>
      <c r="M660" s="1">
        <v>106.97</v>
      </c>
      <c r="N660" s="1" t="s">
        <v>53</v>
      </c>
      <c r="O660" s="1">
        <v>100</v>
      </c>
      <c r="P660" s="1">
        <v>10697</v>
      </c>
      <c r="Q660" s="1">
        <v>5</v>
      </c>
      <c r="R660" s="7">
        <v>0.05</v>
      </c>
      <c r="S660" s="1">
        <v>28</v>
      </c>
      <c r="T660" s="1"/>
      <c r="U660" s="1">
        <v>9</v>
      </c>
      <c r="V660" s="1" t="s">
        <v>39</v>
      </c>
      <c r="W660" s="1" t="s">
        <v>420</v>
      </c>
      <c r="X660" s="1" t="s">
        <v>105</v>
      </c>
      <c r="Y660" s="1" t="s">
        <v>212</v>
      </c>
      <c r="Z660" s="1" t="s">
        <v>107</v>
      </c>
      <c r="AA660" s="1" t="s">
        <v>88</v>
      </c>
      <c r="AB660" s="1" t="s">
        <v>44</v>
      </c>
      <c r="AC660" s="1" t="s">
        <v>96</v>
      </c>
      <c r="AD660" s="1">
        <v>1.1000000000000001</v>
      </c>
      <c r="AE660" s="1" t="s">
        <v>76</v>
      </c>
      <c r="AF660" s="1" t="s">
        <v>77</v>
      </c>
    </row>
    <row r="661" spans="1:32" ht="18" customHeight="1">
      <c r="A661" s="1" t="s">
        <v>2107</v>
      </c>
      <c r="B661" s="1" t="s">
        <v>2108</v>
      </c>
      <c r="C661" s="4" t="s">
        <v>3406</v>
      </c>
      <c r="D661" s="4">
        <v>46089</v>
      </c>
      <c r="E661" s="4">
        <v>46093</v>
      </c>
      <c r="F661" s="1" t="s">
        <v>60</v>
      </c>
      <c r="G661" s="1" t="s">
        <v>466</v>
      </c>
      <c r="H661" s="1" t="s">
        <v>152</v>
      </c>
      <c r="I661" s="1" t="s">
        <v>92</v>
      </c>
      <c r="J661" s="1" t="s">
        <v>163</v>
      </c>
      <c r="K661" s="1" t="s">
        <v>2109</v>
      </c>
      <c r="L661" s="1" t="s">
        <v>165</v>
      </c>
      <c r="M661" s="1">
        <v>952.48</v>
      </c>
      <c r="N661" s="1" t="s">
        <v>38</v>
      </c>
      <c r="O661" s="1">
        <v>500</v>
      </c>
      <c r="P661" s="1">
        <v>476240</v>
      </c>
      <c r="Q661" s="1">
        <v>0</v>
      </c>
      <c r="R661" s="7">
        <v>0</v>
      </c>
      <c r="S661" s="1">
        <v>11</v>
      </c>
      <c r="T661" s="1">
        <v>7</v>
      </c>
      <c r="U661" s="1">
        <v>4</v>
      </c>
      <c r="V661" s="1" t="s">
        <v>3328</v>
      </c>
      <c r="W661" s="1" t="s">
        <v>40</v>
      </c>
      <c r="X661" s="1"/>
      <c r="Y661" s="1" t="s">
        <v>212</v>
      </c>
      <c r="Z661" s="1" t="s">
        <v>173</v>
      </c>
      <c r="AA661" s="1" t="s">
        <v>88</v>
      </c>
      <c r="AB661" s="1"/>
      <c r="AC661" s="1"/>
      <c r="AD661" s="1">
        <v>4.8</v>
      </c>
      <c r="AE661" s="1" t="s">
        <v>115</v>
      </c>
      <c r="AF661" s="1" t="s">
        <v>148</v>
      </c>
    </row>
    <row r="662" spans="1:32" ht="18" customHeight="1">
      <c r="A662" s="1" t="s">
        <v>2110</v>
      </c>
      <c r="B662" s="1" t="s">
        <v>2111</v>
      </c>
      <c r="C662" s="4">
        <v>46202</v>
      </c>
      <c r="D662" s="4">
        <v>46223</v>
      </c>
      <c r="E662" s="4" t="s">
        <v>3703</v>
      </c>
      <c r="F662" s="1" t="s">
        <v>32</v>
      </c>
      <c r="G662" s="1" t="s">
        <v>3422</v>
      </c>
      <c r="H662" s="1" t="s">
        <v>177</v>
      </c>
      <c r="I662" s="1" t="s">
        <v>49</v>
      </c>
      <c r="J662" s="1" t="s">
        <v>112</v>
      </c>
      <c r="K662" s="1" t="s">
        <v>2112</v>
      </c>
      <c r="L662" s="1" t="s">
        <v>246</v>
      </c>
      <c r="M662" s="1">
        <v>333.4</v>
      </c>
      <c r="N662" s="1" t="s">
        <v>159</v>
      </c>
      <c r="O662" s="1">
        <v>-1500</v>
      </c>
      <c r="P662" s="1">
        <v>500100</v>
      </c>
      <c r="Q662" s="1">
        <v>0</v>
      </c>
      <c r="R662" s="7">
        <v>0</v>
      </c>
      <c r="S662" s="1">
        <v>30</v>
      </c>
      <c r="T662" s="1">
        <v>21</v>
      </c>
      <c r="U662" s="1">
        <v>9</v>
      </c>
      <c r="V662" s="1" t="s">
        <v>3328</v>
      </c>
      <c r="W662" s="1" t="s">
        <v>40</v>
      </c>
      <c r="X662" s="1" t="s">
        <v>105</v>
      </c>
      <c r="Y662" s="1"/>
      <c r="Z662" s="1" t="s">
        <v>43</v>
      </c>
      <c r="AA662" s="1" t="s">
        <v>129</v>
      </c>
      <c r="AB662" s="1" t="s">
        <v>56</v>
      </c>
      <c r="AC662" s="1"/>
      <c r="AD662" s="1">
        <v>2.8</v>
      </c>
      <c r="AE662" s="1" t="s">
        <v>76</v>
      </c>
      <c r="AF662" s="1" t="s">
        <v>46</v>
      </c>
    </row>
    <row r="663" spans="1:32" ht="18" customHeight="1">
      <c r="A663" s="1" t="s">
        <v>2113</v>
      </c>
      <c r="B663" s="1" t="s">
        <v>2114</v>
      </c>
      <c r="C663" s="4">
        <v>46096</v>
      </c>
      <c r="D663" s="4">
        <v>46117</v>
      </c>
      <c r="E663" s="4">
        <v>46114</v>
      </c>
      <c r="F663" s="1" t="s">
        <v>118</v>
      </c>
      <c r="G663" s="1" t="s">
        <v>119</v>
      </c>
      <c r="H663" s="1" t="s">
        <v>3407</v>
      </c>
      <c r="I663" s="1" t="s">
        <v>70</v>
      </c>
      <c r="J663" s="1" t="s">
        <v>62</v>
      </c>
      <c r="K663" s="1" t="s">
        <v>2115</v>
      </c>
      <c r="L663" s="1" t="s">
        <v>94</v>
      </c>
      <c r="M663" s="1">
        <v>259.33</v>
      </c>
      <c r="N663" s="1" t="s">
        <v>53</v>
      </c>
      <c r="O663" s="1">
        <v>2000</v>
      </c>
      <c r="P663" s="1">
        <v>518660</v>
      </c>
      <c r="Q663" s="1">
        <v>2002</v>
      </c>
      <c r="R663" s="7">
        <v>3.7499999999999999E-2</v>
      </c>
      <c r="S663" s="1">
        <v>18</v>
      </c>
      <c r="T663" s="1" t="s">
        <v>3704</v>
      </c>
      <c r="U663" s="1" t="s">
        <v>3380</v>
      </c>
      <c r="V663" s="1" t="s">
        <v>3337</v>
      </c>
      <c r="W663" s="1" t="s">
        <v>40</v>
      </c>
      <c r="X663" s="1" t="s">
        <v>3324</v>
      </c>
      <c r="Y663" s="1" t="s">
        <v>3334</v>
      </c>
      <c r="Z663" s="1" t="s">
        <v>3333</v>
      </c>
      <c r="AA663" s="1" t="s">
        <v>136</v>
      </c>
      <c r="AB663" s="1" t="s">
        <v>147</v>
      </c>
      <c r="AC663" s="1"/>
      <c r="AD663" s="1">
        <v>2.1</v>
      </c>
      <c r="AE663" s="1" t="s">
        <v>76</v>
      </c>
      <c r="AF663" s="1"/>
    </row>
    <row r="664" spans="1:32" ht="18" customHeight="1">
      <c r="A664" s="1" t="s">
        <v>2116</v>
      </c>
      <c r="B664" s="1" t="s">
        <v>2117</v>
      </c>
      <c r="C664" s="4" t="s">
        <v>3463</v>
      </c>
      <c r="D664" s="4">
        <v>46052</v>
      </c>
      <c r="E664" s="4">
        <v>46052</v>
      </c>
      <c r="F664" s="1" t="s">
        <v>209</v>
      </c>
      <c r="G664" s="1" t="s">
        <v>210</v>
      </c>
      <c r="H664" s="1" t="s">
        <v>3390</v>
      </c>
      <c r="I664" s="1" t="s">
        <v>49</v>
      </c>
      <c r="J664" s="1" t="s">
        <v>153</v>
      </c>
      <c r="K664" s="1" t="s">
        <v>2118</v>
      </c>
      <c r="L664" s="1" t="s">
        <v>318</v>
      </c>
      <c r="M664" s="1">
        <v>744.86</v>
      </c>
      <c r="N664" s="1" t="s">
        <v>86</v>
      </c>
      <c r="O664" s="1">
        <v>150</v>
      </c>
      <c r="P664" s="1">
        <v>111729</v>
      </c>
      <c r="Q664" s="1"/>
      <c r="R664" s="7">
        <v>1.3299999999999999E-2</v>
      </c>
      <c r="S664" s="1">
        <v>9</v>
      </c>
      <c r="T664" s="1">
        <v>9</v>
      </c>
      <c r="U664" s="1">
        <v>0</v>
      </c>
      <c r="V664" s="1" t="s">
        <v>87</v>
      </c>
      <c r="W664" s="1" t="s">
        <v>40</v>
      </c>
      <c r="X664" s="1"/>
      <c r="Y664" s="1" t="s">
        <v>190</v>
      </c>
      <c r="Z664" s="1"/>
      <c r="AA664" s="1"/>
      <c r="AB664" s="1" t="s">
        <v>95</v>
      </c>
      <c r="AC664" s="1"/>
      <c r="AD664" s="1">
        <v>4.5999999999999996</v>
      </c>
      <c r="AE664" s="1" t="s">
        <v>76</v>
      </c>
      <c r="AF664" s="1" t="s">
        <v>130</v>
      </c>
    </row>
    <row r="665" spans="1:32" ht="18" customHeight="1">
      <c r="A665" s="1" t="s">
        <v>2119</v>
      </c>
      <c r="B665" s="1" t="s">
        <v>2120</v>
      </c>
      <c r="C665" s="4">
        <v>46070</v>
      </c>
      <c r="D665" s="4">
        <v>46086</v>
      </c>
      <c r="E665" s="4">
        <v>46093</v>
      </c>
      <c r="F665" s="1" t="s">
        <v>90</v>
      </c>
      <c r="G665" s="1" t="s">
        <v>91</v>
      </c>
      <c r="H665" s="1" t="s">
        <v>133</v>
      </c>
      <c r="I665" s="1" t="s">
        <v>70</v>
      </c>
      <c r="J665" s="1" t="s">
        <v>71</v>
      </c>
      <c r="K665" s="1" t="s">
        <v>2121</v>
      </c>
      <c r="L665" s="1" t="s">
        <v>553</v>
      </c>
      <c r="M665" s="1">
        <v>540.54999999999995</v>
      </c>
      <c r="N665" s="1" t="s">
        <v>159</v>
      </c>
      <c r="O665" s="1"/>
      <c r="P665" s="1">
        <v>54055</v>
      </c>
      <c r="Q665" s="1">
        <v>0</v>
      </c>
      <c r="R665" s="7">
        <v>0</v>
      </c>
      <c r="S665" s="1">
        <v>23</v>
      </c>
      <c r="T665" s="1">
        <v>16</v>
      </c>
      <c r="U665" s="1">
        <v>7</v>
      </c>
      <c r="V665" s="1" t="s">
        <v>3328</v>
      </c>
      <c r="W665" s="1"/>
      <c r="X665" s="1" t="s">
        <v>105</v>
      </c>
      <c r="Y665" s="1" t="s">
        <v>190</v>
      </c>
      <c r="Z665" s="1" t="s">
        <v>128</v>
      </c>
      <c r="AA665" s="1" t="s">
        <v>129</v>
      </c>
      <c r="AB665" s="1" t="s">
        <v>191</v>
      </c>
      <c r="AC665" s="1"/>
      <c r="AD665" s="1">
        <v>3.4</v>
      </c>
      <c r="AE665" s="1" t="s">
        <v>108</v>
      </c>
      <c r="AF665" s="1" t="s">
        <v>46</v>
      </c>
    </row>
    <row r="666" spans="1:32" ht="18" customHeight="1">
      <c r="A666" s="1" t="s">
        <v>2122</v>
      </c>
      <c r="B666" s="1" t="s">
        <v>2123</v>
      </c>
      <c r="C666" s="4">
        <v>46176</v>
      </c>
      <c r="D666" s="4">
        <v>46185</v>
      </c>
      <c r="E666" s="4">
        <v>46196</v>
      </c>
      <c r="F666" s="1" t="s">
        <v>209</v>
      </c>
      <c r="G666" s="1" t="s">
        <v>3482</v>
      </c>
      <c r="H666" s="1" t="s">
        <v>3390</v>
      </c>
      <c r="I666" s="1" t="s">
        <v>83</v>
      </c>
      <c r="J666" s="1" t="s">
        <v>153</v>
      </c>
      <c r="K666" s="1" t="s">
        <v>2124</v>
      </c>
      <c r="L666" s="1" t="s">
        <v>155</v>
      </c>
      <c r="M666" s="1">
        <v>628.28</v>
      </c>
      <c r="N666" s="1" t="s">
        <v>159</v>
      </c>
      <c r="O666" s="1">
        <v>750</v>
      </c>
      <c r="P666" s="1">
        <v>471210</v>
      </c>
      <c r="Q666" s="1">
        <v>0</v>
      </c>
      <c r="R666" s="7">
        <v>0</v>
      </c>
      <c r="S666" s="1">
        <v>20</v>
      </c>
      <c r="T666" s="1">
        <v>9</v>
      </c>
      <c r="U666" s="1">
        <v>11</v>
      </c>
      <c r="V666" s="1" t="s">
        <v>3328</v>
      </c>
      <c r="W666" s="1" t="s">
        <v>40</v>
      </c>
      <c r="X666" s="1" t="s">
        <v>3329</v>
      </c>
      <c r="Y666" s="1" t="s">
        <v>66</v>
      </c>
      <c r="Z666" s="1" t="s">
        <v>3330</v>
      </c>
      <c r="AA666" s="1" t="s">
        <v>174</v>
      </c>
      <c r="AB666" s="1" t="s">
        <v>95</v>
      </c>
      <c r="AC666" s="1"/>
      <c r="AD666" s="1">
        <v>1.4</v>
      </c>
      <c r="AE666" s="1" t="s">
        <v>76</v>
      </c>
      <c r="AF666" s="1" t="s">
        <v>46</v>
      </c>
    </row>
    <row r="667" spans="1:32" ht="18" customHeight="1">
      <c r="A667" s="1" t="s">
        <v>2125</v>
      </c>
      <c r="B667" s="1" t="s">
        <v>2126</v>
      </c>
      <c r="C667" s="4">
        <v>46151</v>
      </c>
      <c r="D667" s="4">
        <v>46168</v>
      </c>
      <c r="E667" s="4" t="s">
        <v>3452</v>
      </c>
      <c r="F667" s="1" t="s">
        <v>142</v>
      </c>
      <c r="G667" s="1" t="s">
        <v>3542</v>
      </c>
      <c r="H667" s="1" t="s">
        <v>169</v>
      </c>
      <c r="I667" s="1" t="s">
        <v>120</v>
      </c>
      <c r="J667" s="1" t="s">
        <v>50</v>
      </c>
      <c r="K667" s="1" t="s">
        <v>2127</v>
      </c>
      <c r="L667" s="1" t="s">
        <v>145</v>
      </c>
      <c r="M667" s="1"/>
      <c r="N667" s="1" t="s">
        <v>104</v>
      </c>
      <c r="O667" s="1">
        <v>200</v>
      </c>
      <c r="P667" s="1">
        <v>128180</v>
      </c>
      <c r="Q667" s="1">
        <v>1</v>
      </c>
      <c r="R667" s="7">
        <v>5.0000000000000001E-3</v>
      </c>
      <c r="S667" s="1">
        <v>18</v>
      </c>
      <c r="T667" s="1">
        <v>17</v>
      </c>
      <c r="U667" s="1">
        <v>1</v>
      </c>
      <c r="V667" s="1" t="s">
        <v>166</v>
      </c>
      <c r="W667" s="1" t="s">
        <v>40</v>
      </c>
      <c r="X667" s="1" t="s">
        <v>105</v>
      </c>
      <c r="Y667" s="1" t="s">
        <v>106</v>
      </c>
      <c r="Z667" s="1" t="s">
        <v>54</v>
      </c>
      <c r="AA667" s="1" t="s">
        <v>55</v>
      </c>
      <c r="AB667" s="1" t="s">
        <v>95</v>
      </c>
      <c r="AC667" s="1"/>
      <c r="AD667" s="1">
        <v>4.7</v>
      </c>
      <c r="AE667" s="1" t="s">
        <v>45</v>
      </c>
      <c r="AF667" s="1" t="s">
        <v>46</v>
      </c>
    </row>
    <row r="668" spans="1:32" ht="18" customHeight="1">
      <c r="A668" s="1" t="s">
        <v>2128</v>
      </c>
      <c r="B668" s="1" t="s">
        <v>2129</v>
      </c>
      <c r="C668" s="4">
        <v>46163</v>
      </c>
      <c r="D668" s="4">
        <v>46173</v>
      </c>
      <c r="E668" s="4" t="s">
        <v>3357</v>
      </c>
      <c r="F668" s="1" t="s">
        <v>69</v>
      </c>
      <c r="G668" s="1" t="s">
        <v>3362</v>
      </c>
      <c r="H668" s="1" t="s">
        <v>3332</v>
      </c>
      <c r="I668" s="1" t="s">
        <v>61</v>
      </c>
      <c r="J668" s="1" t="s">
        <v>112</v>
      </c>
      <c r="K668" s="1" t="s">
        <v>2130</v>
      </c>
      <c r="L668" s="1" t="s">
        <v>218</v>
      </c>
      <c r="M668" s="1">
        <v>372.32</v>
      </c>
      <c r="N668" s="1" t="s">
        <v>53</v>
      </c>
      <c r="O668" s="1">
        <v>1500</v>
      </c>
      <c r="P668" s="1" t="s">
        <v>3705</v>
      </c>
      <c r="Q668" s="1">
        <v>24</v>
      </c>
      <c r="R668" s="7">
        <v>1.6E-2</v>
      </c>
      <c r="S668" s="1">
        <v>20</v>
      </c>
      <c r="T668" s="1">
        <v>10</v>
      </c>
      <c r="U668" s="1">
        <v>10</v>
      </c>
      <c r="V668" s="1" t="s">
        <v>3328</v>
      </c>
      <c r="W668" s="1" t="s">
        <v>404</v>
      </c>
      <c r="X668" s="1" t="s">
        <v>41</v>
      </c>
      <c r="Y668" s="1" t="s">
        <v>190</v>
      </c>
      <c r="Z668" s="1" t="s">
        <v>107</v>
      </c>
      <c r="AA668" s="1"/>
      <c r="AB668" s="1" t="s">
        <v>137</v>
      </c>
      <c r="AC668" s="1"/>
      <c r="AD668" s="1">
        <v>3.3</v>
      </c>
      <c r="AE668" s="1" t="s">
        <v>76</v>
      </c>
      <c r="AF668" s="1" t="s">
        <v>46</v>
      </c>
    </row>
    <row r="669" spans="1:32" ht="18" customHeight="1">
      <c r="A669" s="1" t="s">
        <v>2131</v>
      </c>
      <c r="B669" s="1" t="s">
        <v>2132</v>
      </c>
      <c r="C669" s="4">
        <v>46125</v>
      </c>
      <c r="D669" s="4">
        <v>46136</v>
      </c>
      <c r="E669" s="4">
        <v>46133</v>
      </c>
      <c r="F669" s="1" t="s">
        <v>209</v>
      </c>
      <c r="G669" s="1" t="s">
        <v>3389</v>
      </c>
      <c r="H669" s="1" t="s">
        <v>3365</v>
      </c>
      <c r="I669" s="1" t="s">
        <v>34</v>
      </c>
      <c r="J669" s="1" t="s">
        <v>153</v>
      </c>
      <c r="K669" s="1" t="s">
        <v>2133</v>
      </c>
      <c r="L669" s="1" t="s">
        <v>295</v>
      </c>
      <c r="M669" s="1">
        <v>515.04</v>
      </c>
      <c r="N669" s="1" t="s">
        <v>53</v>
      </c>
      <c r="O669" s="1">
        <v>300</v>
      </c>
      <c r="P669" s="1">
        <v>154512</v>
      </c>
      <c r="Q669" s="1">
        <v>1</v>
      </c>
      <c r="R669" s="7">
        <v>3.3E-3</v>
      </c>
      <c r="S669" s="1">
        <v>8</v>
      </c>
      <c r="T669" s="1">
        <v>11</v>
      </c>
      <c r="U669" s="1">
        <v>-3</v>
      </c>
      <c r="V669" s="1" t="s">
        <v>3337</v>
      </c>
      <c r="W669" s="1" t="s">
        <v>40</v>
      </c>
      <c r="X669" s="1" t="s">
        <v>41</v>
      </c>
      <c r="Y669" s="1" t="s">
        <v>66</v>
      </c>
      <c r="Z669" s="1" t="s">
        <v>107</v>
      </c>
      <c r="AA669" s="1" t="s">
        <v>129</v>
      </c>
      <c r="AB669" s="1" t="s">
        <v>147</v>
      </c>
      <c r="AC669" s="1"/>
      <c r="AD669" s="1">
        <v>2.1</v>
      </c>
      <c r="AE669" s="1" t="s">
        <v>57</v>
      </c>
      <c r="AF669" s="1"/>
    </row>
    <row r="670" spans="1:32" ht="18" customHeight="1">
      <c r="A670" s="1" t="s">
        <v>2134</v>
      </c>
      <c r="B670" s="1" t="s">
        <v>2135</v>
      </c>
      <c r="C670" s="4">
        <v>46117</v>
      </c>
      <c r="D670" s="4">
        <v>46131</v>
      </c>
      <c r="E670" s="4">
        <v>46139</v>
      </c>
      <c r="F670" s="1" t="s">
        <v>100</v>
      </c>
      <c r="G670" s="1" t="s">
        <v>3485</v>
      </c>
      <c r="H670" s="1" t="s">
        <v>102</v>
      </c>
      <c r="I670" s="1" t="s">
        <v>178</v>
      </c>
      <c r="J670" s="1" t="s">
        <v>62</v>
      </c>
      <c r="K670" s="1" t="s">
        <v>2136</v>
      </c>
      <c r="L670" s="1" t="s">
        <v>94</v>
      </c>
      <c r="M670" s="1">
        <v>778.64</v>
      </c>
      <c r="N670" s="1" t="s">
        <v>159</v>
      </c>
      <c r="O670" s="1">
        <v>300</v>
      </c>
      <c r="P670" s="1">
        <v>233592</v>
      </c>
      <c r="Q670" s="1">
        <v>4</v>
      </c>
      <c r="R670" s="7">
        <v>1.3299999999999999E-2</v>
      </c>
      <c r="S670" s="1">
        <v>22</v>
      </c>
      <c r="T670" s="1">
        <v>14</v>
      </c>
      <c r="U670" s="1">
        <v>8</v>
      </c>
      <c r="V670" s="1" t="s">
        <v>3328</v>
      </c>
      <c r="W670" s="1" t="s">
        <v>40</v>
      </c>
      <c r="X670" s="1" t="s">
        <v>41</v>
      </c>
      <c r="Y670" s="1" t="s">
        <v>212</v>
      </c>
      <c r="Z670" s="1" t="s">
        <v>107</v>
      </c>
      <c r="AA670" s="1" t="s">
        <v>206</v>
      </c>
      <c r="AB670" s="1"/>
      <c r="AC670" s="1"/>
      <c r="AD670" s="1">
        <v>2.5</v>
      </c>
      <c r="AE670" s="1" t="s">
        <v>45</v>
      </c>
      <c r="AF670" s="1" t="s">
        <v>46</v>
      </c>
    </row>
    <row r="671" spans="1:32" ht="18" customHeight="1">
      <c r="A671" s="1" t="s">
        <v>2137</v>
      </c>
      <c r="B671" s="1" t="s">
        <v>2138</v>
      </c>
      <c r="C671" s="4" t="s">
        <v>3706</v>
      </c>
      <c r="D671" s="4">
        <v>46115</v>
      </c>
      <c r="E671" s="4">
        <v>46113</v>
      </c>
      <c r="F671" s="1" t="s">
        <v>151</v>
      </c>
      <c r="G671" s="1" t="s">
        <v>3351</v>
      </c>
      <c r="H671" s="1" t="s">
        <v>3408</v>
      </c>
      <c r="I671" s="1" t="s">
        <v>241</v>
      </c>
      <c r="J671" s="1" t="s">
        <v>112</v>
      </c>
      <c r="K671" s="1" t="s">
        <v>1578</v>
      </c>
      <c r="L671" s="1" t="s">
        <v>229</v>
      </c>
      <c r="M671" s="1" t="s">
        <v>3707</v>
      </c>
      <c r="N671" s="1" t="s">
        <v>38</v>
      </c>
      <c r="O671" s="1">
        <v>1500</v>
      </c>
      <c r="P671" s="1">
        <v>829125</v>
      </c>
      <c r="Q671" s="1">
        <v>23</v>
      </c>
      <c r="R671" s="7">
        <v>1.5299999999999999E-2</v>
      </c>
      <c r="S671" s="1">
        <v>3</v>
      </c>
      <c r="T671" s="1">
        <v>5</v>
      </c>
      <c r="U671" s="1">
        <v>-2</v>
      </c>
      <c r="V671" s="1" t="s">
        <v>3352</v>
      </c>
      <c r="W671" s="1" t="s">
        <v>40</v>
      </c>
      <c r="X671" s="1" t="s">
        <v>41</v>
      </c>
      <c r="Y671" s="1" t="s">
        <v>212</v>
      </c>
      <c r="Z671" s="1" t="s">
        <v>3330</v>
      </c>
      <c r="AA671" s="1"/>
      <c r="AB671" s="1" t="s">
        <v>95</v>
      </c>
      <c r="AC671" s="1"/>
      <c r="AD671" s="1">
        <v>3</v>
      </c>
      <c r="AE671" s="1" t="s">
        <v>184</v>
      </c>
      <c r="AF671" s="1"/>
    </row>
    <row r="672" spans="1:32" ht="18" customHeight="1">
      <c r="A672" s="1" t="s">
        <v>2139</v>
      </c>
      <c r="B672" s="1" t="s">
        <v>2140</v>
      </c>
      <c r="C672" s="4">
        <v>46196</v>
      </c>
      <c r="D672" s="4">
        <v>46213</v>
      </c>
      <c r="E672" s="4" t="s">
        <v>3708</v>
      </c>
      <c r="F672" s="1" t="s">
        <v>90</v>
      </c>
      <c r="G672" s="1" t="s">
        <v>91</v>
      </c>
      <c r="H672" s="1" t="s">
        <v>3336</v>
      </c>
      <c r="I672" s="1" t="s">
        <v>83</v>
      </c>
      <c r="J672" s="1" t="s">
        <v>71</v>
      </c>
      <c r="K672" s="1" t="s">
        <v>2141</v>
      </c>
      <c r="L672" s="1" t="s">
        <v>238</v>
      </c>
      <c r="M672" s="1">
        <v>579.83000000000004</v>
      </c>
      <c r="N672" s="1" t="s">
        <v>86</v>
      </c>
      <c r="O672" s="1">
        <v>1000</v>
      </c>
      <c r="P672" s="1">
        <v>579830</v>
      </c>
      <c r="Q672" s="1">
        <v>0</v>
      </c>
      <c r="R672" s="7">
        <v>0</v>
      </c>
      <c r="S672" s="1">
        <v>32</v>
      </c>
      <c r="T672" s="1">
        <v>17</v>
      </c>
      <c r="U672" s="1">
        <v>15</v>
      </c>
      <c r="V672" s="1" t="s">
        <v>205</v>
      </c>
      <c r="W672" s="1" t="s">
        <v>40</v>
      </c>
      <c r="X672" s="1" t="s">
        <v>105</v>
      </c>
      <c r="Y672" s="1" t="s">
        <v>42</v>
      </c>
      <c r="Z672" s="1"/>
      <c r="AA672" s="1" t="s">
        <v>136</v>
      </c>
      <c r="AB672" s="1" t="s">
        <v>147</v>
      </c>
      <c r="AC672" s="1"/>
      <c r="AD672" s="1">
        <v>3</v>
      </c>
      <c r="AE672" s="1" t="s">
        <v>45</v>
      </c>
      <c r="AF672" s="1" t="s">
        <v>46</v>
      </c>
    </row>
    <row r="673" spans="1:32" ht="18" customHeight="1">
      <c r="A673" s="1" t="s">
        <v>2142</v>
      </c>
      <c r="B673" s="1" t="s">
        <v>2143</v>
      </c>
      <c r="C673" s="4" t="s">
        <v>3462</v>
      </c>
      <c r="D673" s="4">
        <v>46037</v>
      </c>
      <c r="E673" s="4">
        <v>46031</v>
      </c>
      <c r="F673" s="1" t="s">
        <v>80</v>
      </c>
      <c r="G673" s="1" t="s">
        <v>81</v>
      </c>
      <c r="H673" s="1" t="s">
        <v>3442</v>
      </c>
      <c r="I673" s="1" t="s">
        <v>120</v>
      </c>
      <c r="J673" s="1" t="s">
        <v>35</v>
      </c>
      <c r="K673" s="1" t="s">
        <v>2144</v>
      </c>
      <c r="L673" s="1" t="s">
        <v>37</v>
      </c>
      <c r="M673" s="1">
        <v>24.56</v>
      </c>
      <c r="N673" s="1" t="s">
        <v>86</v>
      </c>
      <c r="O673" s="1">
        <v>1500</v>
      </c>
      <c r="P673" s="1">
        <v>36840</v>
      </c>
      <c r="Q673" s="1">
        <v>47</v>
      </c>
      <c r="R673" s="7">
        <v>3.1300000000000001E-2</v>
      </c>
      <c r="S673" s="1">
        <v>8</v>
      </c>
      <c r="T673" s="1">
        <v>14</v>
      </c>
      <c r="U673" s="1">
        <v>-6</v>
      </c>
      <c r="V673" s="1" t="s">
        <v>87</v>
      </c>
      <c r="W673" s="1" t="s">
        <v>40</v>
      </c>
      <c r="X673" s="1" t="s">
        <v>127</v>
      </c>
      <c r="Y673" s="1" t="s">
        <v>212</v>
      </c>
      <c r="Z673" s="1" t="s">
        <v>3330</v>
      </c>
      <c r="AA673" s="1"/>
      <c r="AB673" s="1"/>
      <c r="AC673" s="1"/>
      <c r="AD673" s="1">
        <v>4.0999999999999996</v>
      </c>
      <c r="AE673" s="1" t="s">
        <v>76</v>
      </c>
      <c r="AF673" s="1" t="s">
        <v>130</v>
      </c>
    </row>
    <row r="674" spans="1:32" ht="18" customHeight="1">
      <c r="A674" s="1" t="s">
        <v>2145</v>
      </c>
      <c r="B674" s="1" t="s">
        <v>2146</v>
      </c>
      <c r="C674" s="4">
        <v>46064</v>
      </c>
      <c r="D674" s="4">
        <v>46077</v>
      </c>
      <c r="E674" s="4">
        <v>46081</v>
      </c>
      <c r="F674" s="1" t="s">
        <v>80</v>
      </c>
      <c r="G674" s="1" t="s">
        <v>81</v>
      </c>
      <c r="H674" s="1" t="s">
        <v>82</v>
      </c>
      <c r="I674" s="1" t="s">
        <v>241</v>
      </c>
      <c r="J674" s="1" t="s">
        <v>35</v>
      </c>
      <c r="K674" s="1" t="s">
        <v>2147</v>
      </c>
      <c r="L674" s="1" t="s">
        <v>37</v>
      </c>
      <c r="M674" s="1">
        <v>92.05</v>
      </c>
      <c r="N674" s="1" t="s">
        <v>65</v>
      </c>
      <c r="O674" s="1">
        <v>750</v>
      </c>
      <c r="P674" s="1">
        <v>69037.5</v>
      </c>
      <c r="Q674" s="1">
        <v>4</v>
      </c>
      <c r="R674" s="7">
        <v>5.3E-3</v>
      </c>
      <c r="S674" s="1">
        <v>17</v>
      </c>
      <c r="T674" s="1">
        <v>13</v>
      </c>
      <c r="U674" s="1">
        <v>4</v>
      </c>
      <c r="V674" s="1" t="s">
        <v>39</v>
      </c>
      <c r="W674" s="1" t="s">
        <v>40</v>
      </c>
      <c r="X674" s="1" t="s">
        <v>41</v>
      </c>
      <c r="Y674" s="1" t="s">
        <v>66</v>
      </c>
      <c r="Z674" s="1" t="s">
        <v>54</v>
      </c>
      <c r="AA674" s="1" t="s">
        <v>3341</v>
      </c>
      <c r="AB674" s="1" t="s">
        <v>44</v>
      </c>
      <c r="AC674" s="1"/>
      <c r="AD674" s="1">
        <v>2.7</v>
      </c>
      <c r="AE674" s="1" t="s">
        <v>108</v>
      </c>
      <c r="AF674" s="1" t="s">
        <v>46</v>
      </c>
    </row>
    <row r="675" spans="1:32" ht="18" customHeight="1">
      <c r="A675" s="1" t="s">
        <v>2148</v>
      </c>
      <c r="B675" s="1" t="s">
        <v>2149</v>
      </c>
      <c r="C675" s="4">
        <v>46126</v>
      </c>
      <c r="D675" s="4">
        <v>46134</v>
      </c>
      <c r="E675" s="4">
        <v>46144</v>
      </c>
      <c r="F675" s="1" t="s">
        <v>60</v>
      </c>
      <c r="G675" s="1" t="s">
        <v>466</v>
      </c>
      <c r="H675" s="1" t="s">
        <v>152</v>
      </c>
      <c r="I675" s="1" t="s">
        <v>241</v>
      </c>
      <c r="J675" s="1" t="s">
        <v>62</v>
      </c>
      <c r="K675" s="1" t="s">
        <v>2150</v>
      </c>
      <c r="L675" s="1" t="s">
        <v>64</v>
      </c>
      <c r="M675" s="1">
        <v>620.72</v>
      </c>
      <c r="N675" s="1" t="s">
        <v>159</v>
      </c>
      <c r="O675" s="1">
        <v>100</v>
      </c>
      <c r="P675" s="1">
        <v>62072</v>
      </c>
      <c r="Q675" s="1">
        <v>2</v>
      </c>
      <c r="R675" s="7">
        <v>0.02</v>
      </c>
      <c r="S675" s="1">
        <v>18</v>
      </c>
      <c r="T675" s="1">
        <v>8</v>
      </c>
      <c r="U675" s="1">
        <v>10</v>
      </c>
      <c r="V675" s="1" t="s">
        <v>3328</v>
      </c>
      <c r="W675" s="1" t="s">
        <v>40</v>
      </c>
      <c r="X675" s="1"/>
      <c r="Y675" s="1" t="s">
        <v>212</v>
      </c>
      <c r="Z675" s="1"/>
      <c r="AA675" s="1" t="s">
        <v>174</v>
      </c>
      <c r="AB675" s="1" t="s">
        <v>147</v>
      </c>
      <c r="AC675" s="1"/>
      <c r="AD675" s="1">
        <v>3.2</v>
      </c>
      <c r="AE675" s="1" t="s">
        <v>108</v>
      </c>
      <c r="AF675" s="1" t="s">
        <v>148</v>
      </c>
    </row>
    <row r="676" spans="1:32" ht="18" customHeight="1">
      <c r="A676" s="1" t="s">
        <v>2151</v>
      </c>
      <c r="B676" s="1" t="s">
        <v>2152</v>
      </c>
      <c r="C676" s="4">
        <v>46116</v>
      </c>
      <c r="D676" s="4">
        <v>46126</v>
      </c>
      <c r="E676" s="4">
        <v>46121</v>
      </c>
      <c r="F676" s="1" t="s">
        <v>209</v>
      </c>
      <c r="G676" s="1" t="s">
        <v>3482</v>
      </c>
      <c r="H676" s="1" t="s">
        <v>3365</v>
      </c>
      <c r="I676" s="1" t="s">
        <v>34</v>
      </c>
      <c r="J676" s="1" t="s">
        <v>153</v>
      </c>
      <c r="K676" s="1" t="s">
        <v>2153</v>
      </c>
      <c r="L676" s="1" t="s">
        <v>155</v>
      </c>
      <c r="M676" s="1">
        <v>506.71</v>
      </c>
      <c r="N676" s="1" t="s">
        <v>53</v>
      </c>
      <c r="O676" s="1">
        <v>150</v>
      </c>
      <c r="P676" s="1">
        <v>76006.5</v>
      </c>
      <c r="Q676" s="1">
        <v>0</v>
      </c>
      <c r="R676" s="7">
        <v>0</v>
      </c>
      <c r="S676" s="1">
        <v>5</v>
      </c>
      <c r="T676" s="1">
        <v>10</v>
      </c>
      <c r="U676" s="1">
        <v>-5</v>
      </c>
      <c r="V676" s="1" t="s">
        <v>87</v>
      </c>
      <c r="W676" s="1" t="s">
        <v>40</v>
      </c>
      <c r="X676" s="1" t="s">
        <v>41</v>
      </c>
      <c r="Y676" s="1" t="s">
        <v>42</v>
      </c>
      <c r="Z676" s="1" t="s">
        <v>128</v>
      </c>
      <c r="AA676" s="1" t="s">
        <v>129</v>
      </c>
      <c r="AB676" s="1" t="s">
        <v>95</v>
      </c>
      <c r="AC676" s="1"/>
      <c r="AD676" s="1">
        <v>4.8</v>
      </c>
      <c r="AE676" s="1" t="s">
        <v>76</v>
      </c>
      <c r="AF676" s="1"/>
    </row>
    <row r="677" spans="1:32" ht="18" hidden="1" customHeight="1">
      <c r="A677" s="1" t="s">
        <v>2154</v>
      </c>
      <c r="B677" s="1" t="s">
        <v>2155</v>
      </c>
      <c r="C677" s="4" t="s">
        <v>3634</v>
      </c>
      <c r="D677" s="1">
        <v>46182</v>
      </c>
      <c r="E677" s="1">
        <v>46182</v>
      </c>
      <c r="F677" s="1" t="s">
        <v>32</v>
      </c>
      <c r="G677" s="1" t="s">
        <v>3422</v>
      </c>
      <c r="H677" s="1" t="s">
        <v>3319</v>
      </c>
      <c r="I677" s="1" t="s">
        <v>34</v>
      </c>
      <c r="J677" s="1" t="s">
        <v>35</v>
      </c>
      <c r="K677" s="1" t="s">
        <v>2156</v>
      </c>
      <c r="L677" s="1" t="s">
        <v>85</v>
      </c>
      <c r="M677" s="1">
        <v>3023.02</v>
      </c>
      <c r="N677" s="1" t="s">
        <v>38</v>
      </c>
      <c r="O677" s="1">
        <v>500</v>
      </c>
      <c r="P677" s="1">
        <v>1511510</v>
      </c>
      <c r="Q677" s="1">
        <v>23</v>
      </c>
      <c r="R677" s="7">
        <v>4.5999999999999999E-2</v>
      </c>
      <c r="S677" s="1">
        <v>21</v>
      </c>
      <c r="T677" s="1">
        <v>21</v>
      </c>
      <c r="U677" s="1">
        <v>0</v>
      </c>
      <c r="V677" s="1" t="s">
        <v>3337</v>
      </c>
      <c r="W677" s="1" t="s">
        <v>3384</v>
      </c>
      <c r="X677" s="1" t="s">
        <v>3324</v>
      </c>
      <c r="Y677" s="1" t="s">
        <v>106</v>
      </c>
      <c r="Z677" s="1" t="s">
        <v>3333</v>
      </c>
      <c r="AA677" s="1"/>
      <c r="AB677" s="1" t="s">
        <v>147</v>
      </c>
      <c r="AC677" s="1" t="s">
        <v>183</v>
      </c>
      <c r="AD677" s="1">
        <v>2.5</v>
      </c>
      <c r="AE677" s="1" t="s">
        <v>108</v>
      </c>
      <c r="AF677" s="1" t="s">
        <v>97</v>
      </c>
    </row>
    <row r="678" spans="1:32" ht="18" customHeight="1">
      <c r="A678" s="1" t="s">
        <v>2157</v>
      </c>
      <c r="B678" s="1" t="s">
        <v>2158</v>
      </c>
      <c r="C678" s="4">
        <v>46130</v>
      </c>
      <c r="D678" s="4">
        <v>46149</v>
      </c>
      <c r="E678" s="4" t="s">
        <v>3418</v>
      </c>
      <c r="F678" s="1" t="s">
        <v>142</v>
      </c>
      <c r="G678" s="1" t="s">
        <v>143</v>
      </c>
      <c r="H678" s="1" t="s">
        <v>169</v>
      </c>
      <c r="I678" s="1" t="s">
        <v>34</v>
      </c>
      <c r="J678" s="1" t="s">
        <v>163</v>
      </c>
      <c r="K678" s="1" t="s">
        <v>2159</v>
      </c>
      <c r="L678" s="1" t="s">
        <v>269</v>
      </c>
      <c r="M678" s="1">
        <v>139.77000000000001</v>
      </c>
      <c r="N678" s="1" t="s">
        <v>104</v>
      </c>
      <c r="O678" s="1">
        <v>200</v>
      </c>
      <c r="P678" s="1">
        <v>27954</v>
      </c>
      <c r="Q678" s="1">
        <v>5</v>
      </c>
      <c r="R678" s="7">
        <v>2.5000000000000001E-2</v>
      </c>
      <c r="S678" s="1">
        <v>21</v>
      </c>
      <c r="T678" s="1">
        <v>19</v>
      </c>
      <c r="U678" s="1">
        <v>2</v>
      </c>
      <c r="V678" s="1" t="s">
        <v>3323</v>
      </c>
      <c r="W678" s="1" t="s">
        <v>40</v>
      </c>
      <c r="X678" s="1" t="s">
        <v>127</v>
      </c>
      <c r="Y678" s="1" t="s">
        <v>106</v>
      </c>
      <c r="Z678" s="1" t="s">
        <v>107</v>
      </c>
      <c r="AA678" s="1"/>
      <c r="AB678" s="1" t="s">
        <v>56</v>
      </c>
      <c r="AC678" s="1"/>
      <c r="AD678" s="1">
        <v>4.9000000000000004</v>
      </c>
      <c r="AE678" s="1" t="s">
        <v>108</v>
      </c>
      <c r="AF678" s="1" t="s">
        <v>148</v>
      </c>
    </row>
    <row r="679" spans="1:32" ht="18" hidden="1" customHeight="1">
      <c r="A679" s="1" t="s">
        <v>2160</v>
      </c>
      <c r="B679" s="1" t="s">
        <v>2161</v>
      </c>
      <c r="C679" s="4">
        <v>46054</v>
      </c>
      <c r="D679" s="1">
        <v>46067</v>
      </c>
      <c r="E679" s="1">
        <v>46071</v>
      </c>
      <c r="F679" s="1" t="s">
        <v>235</v>
      </c>
      <c r="G679" s="1" t="s">
        <v>236</v>
      </c>
      <c r="H679" s="1" t="s">
        <v>3374</v>
      </c>
      <c r="I679" s="1" t="s">
        <v>178</v>
      </c>
      <c r="J679" s="1" t="s">
        <v>71</v>
      </c>
      <c r="K679" s="1" t="s">
        <v>2162</v>
      </c>
      <c r="L679" s="1" t="s">
        <v>553</v>
      </c>
      <c r="M679" s="1">
        <v>381.82</v>
      </c>
      <c r="N679" s="1" t="s">
        <v>86</v>
      </c>
      <c r="O679" s="1">
        <v>50</v>
      </c>
      <c r="P679" s="1">
        <v>19091</v>
      </c>
      <c r="Q679" s="1">
        <v>3</v>
      </c>
      <c r="R679" s="7">
        <v>0.06</v>
      </c>
      <c r="S679" s="1">
        <v>17</v>
      </c>
      <c r="T679" s="1">
        <v>13</v>
      </c>
      <c r="U679" s="1">
        <v>4</v>
      </c>
      <c r="V679" s="1" t="s">
        <v>39</v>
      </c>
      <c r="W679" s="1" t="s">
        <v>74</v>
      </c>
      <c r="X679" s="1" t="s">
        <v>3329</v>
      </c>
      <c r="Y679" s="1" t="s">
        <v>3334</v>
      </c>
      <c r="Z679" s="1" t="s">
        <v>173</v>
      </c>
      <c r="AA679" s="1" t="s">
        <v>3341</v>
      </c>
      <c r="AB679" s="1" t="s">
        <v>56</v>
      </c>
      <c r="AC679" s="1" t="s">
        <v>75</v>
      </c>
      <c r="AD679" s="1">
        <v>3</v>
      </c>
      <c r="AE679" s="1" t="s">
        <v>45</v>
      </c>
      <c r="AF679" s="1" t="s">
        <v>77</v>
      </c>
    </row>
    <row r="680" spans="1:32" ht="18" customHeight="1">
      <c r="A680" s="1" t="s">
        <v>2163</v>
      </c>
      <c r="B680" s="1" t="s">
        <v>2164</v>
      </c>
      <c r="C680" s="4">
        <v>46153</v>
      </c>
      <c r="D680" s="4">
        <v>46168</v>
      </c>
      <c r="E680" s="4">
        <v>46166</v>
      </c>
      <c r="F680" s="1" t="s">
        <v>48</v>
      </c>
      <c r="G680" s="1" t="s">
        <v>232</v>
      </c>
      <c r="H680" s="1" t="s">
        <v>3322</v>
      </c>
      <c r="I680" s="1" t="s">
        <v>241</v>
      </c>
      <c r="J680" s="1" t="s">
        <v>50</v>
      </c>
      <c r="K680" s="1" t="s">
        <v>2165</v>
      </c>
      <c r="L680" s="1" t="s">
        <v>189</v>
      </c>
      <c r="M680" s="1">
        <v>2411.58</v>
      </c>
      <c r="N680" s="1" t="s">
        <v>104</v>
      </c>
      <c r="O680" s="1">
        <v>2000</v>
      </c>
      <c r="P680" s="1">
        <v>4823160</v>
      </c>
      <c r="Q680" s="1">
        <v>1</v>
      </c>
      <c r="R680" s="7">
        <v>5.0000000000000001E-4</v>
      </c>
      <c r="S680" s="1">
        <v>13</v>
      </c>
      <c r="T680" s="1">
        <v>15</v>
      </c>
      <c r="U680" s="1">
        <v>-2</v>
      </c>
      <c r="V680" s="1" t="s">
        <v>270</v>
      </c>
      <c r="W680" s="1" t="s">
        <v>40</v>
      </c>
      <c r="X680" s="1" t="s">
        <v>3329</v>
      </c>
      <c r="Y680" s="1" t="s">
        <v>106</v>
      </c>
      <c r="Z680" s="1" t="s">
        <v>3333</v>
      </c>
      <c r="AA680" s="1"/>
      <c r="AB680" s="1" t="s">
        <v>147</v>
      </c>
      <c r="AC680" s="1"/>
      <c r="AD680" s="1">
        <v>2.2999999999999998</v>
      </c>
      <c r="AE680" s="1" t="s">
        <v>108</v>
      </c>
      <c r="AF680" s="1"/>
    </row>
    <row r="681" spans="1:32" ht="18" customHeight="1">
      <c r="A681" s="1" t="s">
        <v>2166</v>
      </c>
      <c r="B681" s="1" t="s">
        <v>2167</v>
      </c>
      <c r="C681" s="4">
        <v>46115</v>
      </c>
      <c r="D681" s="4">
        <v>46127</v>
      </c>
      <c r="E681" s="4" t="s">
        <v>3709</v>
      </c>
      <c r="F681" s="1" t="s">
        <v>256</v>
      </c>
      <c r="G681" s="1" t="s">
        <v>257</v>
      </c>
      <c r="H681" s="1" t="s">
        <v>3420</v>
      </c>
      <c r="I681" s="1" t="s">
        <v>61</v>
      </c>
      <c r="J681" s="1" t="s">
        <v>153</v>
      </c>
      <c r="K681" s="1" t="s">
        <v>2168</v>
      </c>
      <c r="L681" s="1" t="s">
        <v>295</v>
      </c>
      <c r="M681" s="1"/>
      <c r="N681" s="1" t="s">
        <v>159</v>
      </c>
      <c r="O681" s="1">
        <v>200</v>
      </c>
      <c r="P681" s="1">
        <v>39810</v>
      </c>
      <c r="Q681" s="1">
        <v>1</v>
      </c>
      <c r="R681" s="7">
        <v>5.0000000000000001E-3</v>
      </c>
      <c r="S681" s="1">
        <v>13</v>
      </c>
      <c r="T681" s="1">
        <v>12</v>
      </c>
      <c r="U681" s="1">
        <v>1</v>
      </c>
      <c r="V681" s="1" t="s">
        <v>3323</v>
      </c>
      <c r="W681" s="1" t="s">
        <v>40</v>
      </c>
      <c r="X681" s="1" t="s">
        <v>105</v>
      </c>
      <c r="Y681" s="1" t="s">
        <v>3334</v>
      </c>
      <c r="Z681" s="1" t="s">
        <v>128</v>
      </c>
      <c r="AA681" s="1" t="s">
        <v>174</v>
      </c>
      <c r="AB681" s="1" t="s">
        <v>56</v>
      </c>
      <c r="AC681" s="1"/>
      <c r="AD681" s="1">
        <v>4.0999999999999996</v>
      </c>
      <c r="AE681" s="1" t="s">
        <v>57</v>
      </c>
      <c r="AF681" s="1" t="s">
        <v>46</v>
      </c>
    </row>
    <row r="682" spans="1:32" ht="18" customHeight="1">
      <c r="A682" s="1" t="s">
        <v>2169</v>
      </c>
      <c r="B682" s="1" t="s">
        <v>2170</v>
      </c>
      <c r="C682" s="4">
        <v>46031</v>
      </c>
      <c r="D682" s="4">
        <v>46052</v>
      </c>
      <c r="E682" s="4">
        <v>46047</v>
      </c>
      <c r="F682" s="1" t="s">
        <v>118</v>
      </c>
      <c r="G682" s="1" t="s">
        <v>119</v>
      </c>
      <c r="H682" s="1" t="s">
        <v>3340</v>
      </c>
      <c r="I682" s="1" t="s">
        <v>92</v>
      </c>
      <c r="J682" s="1" t="s">
        <v>62</v>
      </c>
      <c r="K682" s="1" t="s">
        <v>2171</v>
      </c>
      <c r="L682" s="1" t="s">
        <v>225</v>
      </c>
      <c r="M682" s="1">
        <v>620.78</v>
      </c>
      <c r="N682" s="1" t="s">
        <v>104</v>
      </c>
      <c r="O682" s="1">
        <v>50</v>
      </c>
      <c r="P682" s="1">
        <v>31039</v>
      </c>
      <c r="Q682" s="1">
        <v>0</v>
      </c>
      <c r="R682" s="7">
        <v>0</v>
      </c>
      <c r="S682" s="1">
        <v>16</v>
      </c>
      <c r="T682" s="1">
        <v>21</v>
      </c>
      <c r="U682" s="1">
        <v>-5</v>
      </c>
      <c r="V682" s="1" t="s">
        <v>3337</v>
      </c>
      <c r="W682" s="1" t="s">
        <v>40</v>
      </c>
      <c r="X682" s="1"/>
      <c r="Y682" s="1"/>
      <c r="Z682" s="1" t="s">
        <v>173</v>
      </c>
      <c r="AA682" s="1" t="s">
        <v>3341</v>
      </c>
      <c r="AB682" s="1" t="s">
        <v>137</v>
      </c>
      <c r="AC682" s="1"/>
      <c r="AD682" s="1">
        <v>4.7</v>
      </c>
      <c r="AE682" s="1" t="s">
        <v>45</v>
      </c>
      <c r="AF682" s="1" t="s">
        <v>130</v>
      </c>
    </row>
    <row r="683" spans="1:32" ht="18" customHeight="1">
      <c r="A683" s="1" t="s">
        <v>2172</v>
      </c>
      <c r="B683" s="1" t="s">
        <v>2173</v>
      </c>
      <c r="C683" s="4" t="s">
        <v>3710</v>
      </c>
      <c r="D683" s="4" t="s">
        <v>3400</v>
      </c>
      <c r="E683" s="4" t="s">
        <v>3711</v>
      </c>
      <c r="F683" s="1" t="s">
        <v>151</v>
      </c>
      <c r="G683" s="1" t="s">
        <v>3351</v>
      </c>
      <c r="H683" s="1" t="s">
        <v>3408</v>
      </c>
      <c r="I683" s="1" t="s">
        <v>49</v>
      </c>
      <c r="J683" s="1" t="s">
        <v>112</v>
      </c>
      <c r="K683" s="1" t="s">
        <v>2174</v>
      </c>
      <c r="L683" s="1" t="s">
        <v>114</v>
      </c>
      <c r="M683" s="1">
        <v>724.07</v>
      </c>
      <c r="N683" s="1"/>
      <c r="O683" s="1">
        <v>150</v>
      </c>
      <c r="P683" s="1">
        <v>108610.5</v>
      </c>
      <c r="Q683" s="1">
        <v>1</v>
      </c>
      <c r="R683" s="7">
        <v>6.7000000000000002E-3</v>
      </c>
      <c r="S683" s="1">
        <v>0</v>
      </c>
      <c r="T683" s="1">
        <v>8</v>
      </c>
      <c r="U683" s="1">
        <v>-8</v>
      </c>
      <c r="V683" s="1" t="s">
        <v>3337</v>
      </c>
      <c r="W683" s="1"/>
      <c r="X683" s="1"/>
      <c r="Y683" s="1"/>
      <c r="Z683" s="1" t="s">
        <v>107</v>
      </c>
      <c r="AA683" s="1" t="s">
        <v>3341</v>
      </c>
      <c r="AB683" s="1" t="s">
        <v>44</v>
      </c>
      <c r="AC683" s="1"/>
      <c r="AD683" s="1">
        <v>4.4000000000000004</v>
      </c>
      <c r="AE683" s="1" t="s">
        <v>139</v>
      </c>
      <c r="AF683" s="1" t="s">
        <v>130</v>
      </c>
    </row>
    <row r="684" spans="1:32" ht="18" customHeight="1">
      <c r="A684" s="1" t="s">
        <v>2175</v>
      </c>
      <c r="B684" s="1" t="s">
        <v>2176</v>
      </c>
      <c r="C684" s="4">
        <v>46183</v>
      </c>
      <c r="D684" s="4" t="s">
        <v>3400</v>
      </c>
      <c r="E684" s="4" t="s">
        <v>3578</v>
      </c>
      <c r="F684" s="1" t="s">
        <v>100</v>
      </c>
      <c r="G684" s="1" t="s">
        <v>101</v>
      </c>
      <c r="H684" s="1" t="s">
        <v>3361</v>
      </c>
      <c r="I684" s="1" t="s">
        <v>241</v>
      </c>
      <c r="J684" s="1" t="s">
        <v>50</v>
      </c>
      <c r="K684" s="1" t="s">
        <v>2177</v>
      </c>
      <c r="L684" s="1" t="s">
        <v>52</v>
      </c>
      <c r="M684" s="1">
        <v>1233.2</v>
      </c>
      <c r="N684" s="1" t="s">
        <v>86</v>
      </c>
      <c r="O684" s="1">
        <v>300</v>
      </c>
      <c r="P684" s="1">
        <v>369960</v>
      </c>
      <c r="Q684" s="1">
        <v>10</v>
      </c>
      <c r="R684" s="7">
        <v>3.3300000000000003E-2</v>
      </c>
      <c r="S684" s="1">
        <v>15</v>
      </c>
      <c r="T684" s="1">
        <v>12</v>
      </c>
      <c r="U684" s="1">
        <v>3</v>
      </c>
      <c r="V684" s="1" t="s">
        <v>135</v>
      </c>
      <c r="W684" s="1" t="s">
        <v>40</v>
      </c>
      <c r="X684" s="1" t="s">
        <v>3329</v>
      </c>
      <c r="Y684" s="1"/>
      <c r="Z684" s="1" t="s">
        <v>128</v>
      </c>
      <c r="AA684" s="1"/>
      <c r="AB684" s="1" t="s">
        <v>95</v>
      </c>
      <c r="AC684" s="1"/>
      <c r="AD684" s="1">
        <v>4.5999999999999996</v>
      </c>
      <c r="AE684" s="1" t="s">
        <v>45</v>
      </c>
      <c r="AF684" s="1" t="s">
        <v>46</v>
      </c>
    </row>
    <row r="685" spans="1:32" ht="18" customHeight="1">
      <c r="A685" s="1" t="s">
        <v>2178</v>
      </c>
      <c r="B685" s="1" t="s">
        <v>2179</v>
      </c>
      <c r="C685" s="4">
        <v>46142</v>
      </c>
      <c r="D685" s="4">
        <v>46158</v>
      </c>
      <c r="E685" s="4">
        <v>46148</v>
      </c>
      <c r="F685" s="1" t="s">
        <v>48</v>
      </c>
      <c r="G685" s="1" t="s">
        <v>232</v>
      </c>
      <c r="H685" s="1" t="s">
        <v>102</v>
      </c>
      <c r="I685" s="1" t="s">
        <v>34</v>
      </c>
      <c r="J685" s="1" t="s">
        <v>112</v>
      </c>
      <c r="K685" s="1" t="s">
        <v>2180</v>
      </c>
      <c r="L685" s="1" t="s">
        <v>229</v>
      </c>
      <c r="M685" s="1">
        <v>659.62</v>
      </c>
      <c r="N685" s="1" t="s">
        <v>104</v>
      </c>
      <c r="O685" s="1">
        <v>75</v>
      </c>
      <c r="P685" s="1"/>
      <c r="Q685" s="1">
        <v>1</v>
      </c>
      <c r="R685" s="7">
        <v>1.3299999999999999E-2</v>
      </c>
      <c r="S685" s="1">
        <v>6</v>
      </c>
      <c r="T685" s="1">
        <v>16</v>
      </c>
      <c r="U685" s="1">
        <v>-10</v>
      </c>
      <c r="V685" s="1" t="s">
        <v>270</v>
      </c>
      <c r="W685" s="1" t="s">
        <v>40</v>
      </c>
      <c r="X685" s="1"/>
      <c r="Y685" s="1" t="s">
        <v>3334</v>
      </c>
      <c r="Z685" s="1" t="s">
        <v>128</v>
      </c>
      <c r="AA685" s="1" t="s">
        <v>174</v>
      </c>
      <c r="AB685" s="1" t="s">
        <v>147</v>
      </c>
      <c r="AC685" s="1"/>
      <c r="AD685" s="1">
        <v>2.7</v>
      </c>
      <c r="AE685" s="1" t="s">
        <v>76</v>
      </c>
      <c r="AF685" s="1" t="s">
        <v>130</v>
      </c>
    </row>
    <row r="686" spans="1:32" ht="18" customHeight="1">
      <c r="A686" s="1" t="s">
        <v>2181</v>
      </c>
      <c r="B686" s="1" t="s">
        <v>2182</v>
      </c>
      <c r="C686" s="4">
        <v>46070</v>
      </c>
      <c r="D686" s="4" t="s">
        <v>3699</v>
      </c>
      <c r="E686" s="4">
        <v>46075</v>
      </c>
      <c r="F686" s="1" t="s">
        <v>151</v>
      </c>
      <c r="G686" s="1" t="s">
        <v>3353</v>
      </c>
      <c r="H686" s="1" t="s">
        <v>3408</v>
      </c>
      <c r="I686" s="1" t="s">
        <v>83</v>
      </c>
      <c r="J686" s="1" t="s">
        <v>112</v>
      </c>
      <c r="K686" s="1" t="s">
        <v>2183</v>
      </c>
      <c r="L686" s="1" t="s">
        <v>246</v>
      </c>
      <c r="M686" s="1">
        <v>412.18</v>
      </c>
      <c r="N686" s="1" t="s">
        <v>53</v>
      </c>
      <c r="O686" s="1">
        <v>150</v>
      </c>
      <c r="P686" s="1">
        <v>61827</v>
      </c>
      <c r="Q686" s="1">
        <v>0</v>
      </c>
      <c r="R686" s="7">
        <v>0</v>
      </c>
      <c r="S686" s="1">
        <v>5</v>
      </c>
      <c r="T686" s="1">
        <v>6</v>
      </c>
      <c r="U686" s="1"/>
      <c r="V686" s="1" t="s">
        <v>3352</v>
      </c>
      <c r="W686" s="1" t="s">
        <v>40</v>
      </c>
      <c r="X686" s="1" t="s">
        <v>127</v>
      </c>
      <c r="Y686" s="1" t="s">
        <v>106</v>
      </c>
      <c r="Z686" s="1" t="s">
        <v>128</v>
      </c>
      <c r="AA686" s="1" t="s">
        <v>206</v>
      </c>
      <c r="AB686" s="1" t="s">
        <v>191</v>
      </c>
      <c r="AC686" s="1"/>
      <c r="AD686" s="1">
        <v>2.5</v>
      </c>
      <c r="AE686" s="1" t="s">
        <v>57</v>
      </c>
      <c r="AF686" s="1" t="s">
        <v>130</v>
      </c>
    </row>
    <row r="687" spans="1:32" ht="18" customHeight="1">
      <c r="A687" s="1" t="s">
        <v>2184</v>
      </c>
      <c r="B687" s="1" t="s">
        <v>2185</v>
      </c>
      <c r="C687" s="4">
        <v>46174</v>
      </c>
      <c r="D687" s="4">
        <v>46188</v>
      </c>
      <c r="E687" s="4">
        <v>46185</v>
      </c>
      <c r="F687" s="1" t="s">
        <v>48</v>
      </c>
      <c r="G687" s="1" t="s">
        <v>232</v>
      </c>
      <c r="H687" s="1" t="s">
        <v>3322</v>
      </c>
      <c r="I687" s="1" t="s">
        <v>120</v>
      </c>
      <c r="J687" s="1" t="s">
        <v>153</v>
      </c>
      <c r="K687" s="1" t="s">
        <v>2186</v>
      </c>
      <c r="L687" s="1" t="s">
        <v>318</v>
      </c>
      <c r="M687" s="1">
        <v>433.58</v>
      </c>
      <c r="N687" s="1" t="s">
        <v>38</v>
      </c>
      <c r="O687" s="1">
        <v>250</v>
      </c>
      <c r="P687" s="1">
        <v>108395</v>
      </c>
      <c r="Q687" s="1">
        <v>0</v>
      </c>
      <c r="R687" s="7">
        <v>0</v>
      </c>
      <c r="S687" s="1">
        <v>11</v>
      </c>
      <c r="T687" s="1">
        <v>14</v>
      </c>
      <c r="U687" s="1">
        <v>-3</v>
      </c>
      <c r="V687" s="1" t="s">
        <v>3352</v>
      </c>
      <c r="W687" s="1" t="s">
        <v>40</v>
      </c>
      <c r="X687" s="1" t="s">
        <v>105</v>
      </c>
      <c r="Y687" s="1"/>
      <c r="Z687" s="1" t="s">
        <v>107</v>
      </c>
      <c r="AA687" s="1" t="s">
        <v>129</v>
      </c>
      <c r="AB687" s="1" t="s">
        <v>44</v>
      </c>
      <c r="AC687" s="1"/>
      <c r="AD687" s="1">
        <v>2.1</v>
      </c>
      <c r="AE687" s="1" t="s">
        <v>139</v>
      </c>
      <c r="AF687" s="1"/>
    </row>
    <row r="688" spans="1:32" ht="18" customHeight="1">
      <c r="A688" s="1" t="s">
        <v>2187</v>
      </c>
      <c r="B688" s="1" t="s">
        <v>2188</v>
      </c>
      <c r="C688" s="4">
        <v>46070</v>
      </c>
      <c r="D688" s="4">
        <v>46089</v>
      </c>
      <c r="E688" s="4">
        <v>46100</v>
      </c>
      <c r="F688" s="1" t="s">
        <v>142</v>
      </c>
      <c r="G688" s="1" t="s">
        <v>143</v>
      </c>
      <c r="H688" s="1" t="s">
        <v>3405</v>
      </c>
      <c r="I688" s="1" t="s">
        <v>92</v>
      </c>
      <c r="J688" s="1" t="s">
        <v>50</v>
      </c>
      <c r="K688" s="1" t="s">
        <v>2189</v>
      </c>
      <c r="L688" s="1" t="s">
        <v>126</v>
      </c>
      <c r="M688" s="1">
        <v>3229.19</v>
      </c>
      <c r="N688" s="1" t="s">
        <v>65</v>
      </c>
      <c r="O688" s="1">
        <v>500</v>
      </c>
      <c r="P688" s="1">
        <v>1614595</v>
      </c>
      <c r="Q688" s="1">
        <v>4</v>
      </c>
      <c r="R688" s="7">
        <v>8.0000000000000002E-3</v>
      </c>
      <c r="S688" s="1">
        <v>30</v>
      </c>
      <c r="T688" s="1">
        <v>19</v>
      </c>
      <c r="U688" s="1">
        <v>11</v>
      </c>
      <c r="V688" s="1" t="s">
        <v>3328</v>
      </c>
      <c r="W688" s="1" t="s">
        <v>40</v>
      </c>
      <c r="X688" s="1" t="s">
        <v>41</v>
      </c>
      <c r="Y688" s="1" t="s">
        <v>190</v>
      </c>
      <c r="Z688" s="1"/>
      <c r="AA688" s="1" t="s">
        <v>206</v>
      </c>
      <c r="AB688" s="1" t="s">
        <v>191</v>
      </c>
      <c r="AC688" s="1"/>
      <c r="AD688" s="1">
        <v>3.2</v>
      </c>
      <c r="AE688" s="1" t="s">
        <v>76</v>
      </c>
      <c r="AF688" s="1" t="s">
        <v>46</v>
      </c>
    </row>
    <row r="689" spans="1:32" ht="18" hidden="1" customHeight="1">
      <c r="A689" s="1" t="s">
        <v>2190</v>
      </c>
      <c r="B689" s="1" t="s">
        <v>2191</v>
      </c>
      <c r="C689" s="4">
        <v>46103</v>
      </c>
      <c r="D689" s="1">
        <v>46114</v>
      </c>
      <c r="E689" s="1" t="s">
        <v>3400</v>
      </c>
      <c r="F689" s="1" t="s">
        <v>69</v>
      </c>
      <c r="G689" s="1" t="s">
        <v>3362</v>
      </c>
      <c r="H689" s="1" t="s">
        <v>194</v>
      </c>
      <c r="I689" s="1" t="s">
        <v>241</v>
      </c>
      <c r="J689" s="1" t="s">
        <v>50</v>
      </c>
      <c r="K689" s="1" t="s">
        <v>2192</v>
      </c>
      <c r="L689" s="1" t="s">
        <v>189</v>
      </c>
      <c r="M689" s="1">
        <v>1423.17</v>
      </c>
      <c r="N689" s="1" t="s">
        <v>65</v>
      </c>
      <c r="O689" s="1">
        <v>1500</v>
      </c>
      <c r="P689" s="1">
        <v>2134755</v>
      </c>
      <c r="Q689" s="1">
        <v>66</v>
      </c>
      <c r="R689" s="7">
        <v>4.3999999999999997E-2</v>
      </c>
      <c r="S689" s="1">
        <v>10</v>
      </c>
      <c r="T689" s="1">
        <v>11</v>
      </c>
      <c r="U689" s="1">
        <v>-1</v>
      </c>
      <c r="V689" s="1" t="s">
        <v>270</v>
      </c>
      <c r="W689" s="1" t="s">
        <v>420</v>
      </c>
      <c r="X689" s="1" t="s">
        <v>127</v>
      </c>
      <c r="Y689" s="1" t="s">
        <v>3334</v>
      </c>
      <c r="Z689" s="1" t="s">
        <v>3333</v>
      </c>
      <c r="AA689" s="1" t="s">
        <v>174</v>
      </c>
      <c r="AB689" s="1" t="s">
        <v>95</v>
      </c>
      <c r="AC689" s="1" t="s">
        <v>75</v>
      </c>
      <c r="AD689" s="1">
        <v>2.8</v>
      </c>
      <c r="AE689" s="1" t="s">
        <v>57</v>
      </c>
      <c r="AF689" s="1" t="s">
        <v>284</v>
      </c>
    </row>
    <row r="690" spans="1:32" ht="18" customHeight="1">
      <c r="A690" s="1" t="s">
        <v>2193</v>
      </c>
      <c r="B690" s="1" t="s">
        <v>2194</v>
      </c>
      <c r="C690" s="4">
        <v>46101</v>
      </c>
      <c r="D690" s="4">
        <v>46112</v>
      </c>
      <c r="E690" s="4" t="s">
        <v>3452</v>
      </c>
      <c r="F690" s="1" t="s">
        <v>151</v>
      </c>
      <c r="G690" s="1" t="s">
        <v>3351</v>
      </c>
      <c r="H690" s="1" t="s">
        <v>3408</v>
      </c>
      <c r="I690" s="1" t="s">
        <v>83</v>
      </c>
      <c r="J690" s="1" t="s">
        <v>112</v>
      </c>
      <c r="K690" s="1" t="s">
        <v>2195</v>
      </c>
      <c r="L690" s="1" t="s">
        <v>218</v>
      </c>
      <c r="M690" s="1">
        <v>151.94</v>
      </c>
      <c r="N690" s="1" t="s">
        <v>172</v>
      </c>
      <c r="O690" s="1" t="s">
        <v>3712</v>
      </c>
      <c r="P690" s="1">
        <v>303880</v>
      </c>
      <c r="Q690" s="1">
        <v>30</v>
      </c>
      <c r="R690" s="7">
        <v>1.4999999999999999E-2</v>
      </c>
      <c r="S690" s="1">
        <v>11</v>
      </c>
      <c r="T690" s="1">
        <v>11</v>
      </c>
      <c r="U690" s="1">
        <v>0</v>
      </c>
      <c r="V690" s="1" t="s">
        <v>270</v>
      </c>
      <c r="W690" s="1" t="s">
        <v>40</v>
      </c>
      <c r="X690" s="1" t="s">
        <v>41</v>
      </c>
      <c r="Y690" s="1" t="s">
        <v>190</v>
      </c>
      <c r="Z690" s="1" t="s">
        <v>173</v>
      </c>
      <c r="AA690" s="1" t="s">
        <v>88</v>
      </c>
      <c r="AB690" s="1" t="s">
        <v>191</v>
      </c>
      <c r="AC690" s="1"/>
      <c r="AD690" s="1">
        <v>3.3</v>
      </c>
      <c r="AE690" s="1" t="s">
        <v>45</v>
      </c>
      <c r="AF690" s="1"/>
    </row>
    <row r="691" spans="1:32" ht="18" customHeight="1">
      <c r="A691" s="1" t="s">
        <v>2196</v>
      </c>
      <c r="B691" s="1" t="s">
        <v>2197</v>
      </c>
      <c r="C691" s="4">
        <v>46151</v>
      </c>
      <c r="D691" s="4">
        <v>46160</v>
      </c>
      <c r="E691" s="4" t="s">
        <v>3634</v>
      </c>
      <c r="F691" s="1" t="s">
        <v>100</v>
      </c>
      <c r="G691" s="1" t="s">
        <v>3429</v>
      </c>
      <c r="H691" s="1" t="s">
        <v>3322</v>
      </c>
      <c r="I691" s="1" t="s">
        <v>178</v>
      </c>
      <c r="J691" s="1" t="s">
        <v>112</v>
      </c>
      <c r="K691" s="1" t="s">
        <v>2198</v>
      </c>
      <c r="L691" s="1" t="s">
        <v>218</v>
      </c>
      <c r="M691" s="1">
        <v>365.36</v>
      </c>
      <c r="N691" s="1" t="s">
        <v>159</v>
      </c>
      <c r="O691" s="1">
        <v>150</v>
      </c>
      <c r="P691" s="1" t="s">
        <v>3713</v>
      </c>
      <c r="Q691" s="1">
        <v>2</v>
      </c>
      <c r="R691" s="7">
        <v>1.3299999999999999E-2</v>
      </c>
      <c r="S691" s="1"/>
      <c r="T691" s="1">
        <v>9</v>
      </c>
      <c r="U691" s="1"/>
      <c r="V691" s="1" t="s">
        <v>166</v>
      </c>
      <c r="W691" s="1" t="s">
        <v>40</v>
      </c>
      <c r="X691" s="1"/>
      <c r="Y691" s="1"/>
      <c r="Z691" s="1" t="s">
        <v>43</v>
      </c>
      <c r="AA691" s="1" t="s">
        <v>55</v>
      </c>
      <c r="AB691" s="1" t="s">
        <v>56</v>
      </c>
      <c r="AC691" s="1"/>
      <c r="AD691" s="1">
        <v>4.8</v>
      </c>
      <c r="AE691" s="1" t="s">
        <v>139</v>
      </c>
      <c r="AF691" s="1" t="s">
        <v>148</v>
      </c>
    </row>
    <row r="692" spans="1:32" ht="18" hidden="1" customHeight="1">
      <c r="A692" s="1" t="s">
        <v>2199</v>
      </c>
      <c r="B692" s="1" t="s">
        <v>2200</v>
      </c>
      <c r="C692" s="4">
        <v>46077</v>
      </c>
      <c r="D692" s="1">
        <v>46094</v>
      </c>
      <c r="E692" s="1">
        <v>46090</v>
      </c>
      <c r="F692" s="1" t="s">
        <v>100</v>
      </c>
      <c r="G692" s="1" t="s">
        <v>3429</v>
      </c>
      <c r="H692" s="1" t="s">
        <v>102</v>
      </c>
      <c r="I692" s="1" t="s">
        <v>61</v>
      </c>
      <c r="J692" s="1" t="s">
        <v>50</v>
      </c>
      <c r="K692" s="1" t="s">
        <v>2201</v>
      </c>
      <c r="L692" s="1" t="s">
        <v>189</v>
      </c>
      <c r="M692" s="1" t="s">
        <v>3714</v>
      </c>
      <c r="N692" s="1" t="s">
        <v>65</v>
      </c>
      <c r="O692" s="1">
        <v>250</v>
      </c>
      <c r="P692" s="1">
        <v>46682.5</v>
      </c>
      <c r="Q692" s="1">
        <v>12</v>
      </c>
      <c r="R692" s="7">
        <v>4.8000000000000001E-2</v>
      </c>
      <c r="S692" s="1">
        <v>13</v>
      </c>
      <c r="T692" s="1">
        <v>17</v>
      </c>
      <c r="U692" s="1">
        <v>-4</v>
      </c>
      <c r="V692" s="1" t="s">
        <v>3337</v>
      </c>
      <c r="W692" s="1" t="s">
        <v>366</v>
      </c>
      <c r="X692" s="1" t="s">
        <v>105</v>
      </c>
      <c r="Y692" s="1" t="s">
        <v>42</v>
      </c>
      <c r="Z692" s="1" t="s">
        <v>3333</v>
      </c>
      <c r="AA692" s="1" t="s">
        <v>129</v>
      </c>
      <c r="AB692" s="1" t="s">
        <v>56</v>
      </c>
      <c r="AC692" s="1" t="s">
        <v>373</v>
      </c>
      <c r="AD692" s="1">
        <v>1.9</v>
      </c>
      <c r="AE692" s="1" t="s">
        <v>57</v>
      </c>
      <c r="AF692" s="1" t="s">
        <v>97</v>
      </c>
    </row>
    <row r="693" spans="1:32" ht="18" hidden="1" customHeight="1">
      <c r="A693" s="1" t="s">
        <v>2202</v>
      </c>
      <c r="B693" s="1" t="s">
        <v>2203</v>
      </c>
      <c r="C693" s="4" t="s">
        <v>3715</v>
      </c>
      <c r="D693" s="1"/>
      <c r="E693" s="1">
        <v>46178</v>
      </c>
      <c r="F693" s="1" t="s">
        <v>100</v>
      </c>
      <c r="G693" s="1" t="s">
        <v>101</v>
      </c>
      <c r="H693" s="1" t="s">
        <v>3322</v>
      </c>
      <c r="I693" s="1" t="s">
        <v>49</v>
      </c>
      <c r="J693" s="1" t="s">
        <v>50</v>
      </c>
      <c r="K693" s="1" t="s">
        <v>2204</v>
      </c>
      <c r="L693" s="1" t="s">
        <v>52</v>
      </c>
      <c r="M693" s="1">
        <v>26.56</v>
      </c>
      <c r="N693" s="1" t="s">
        <v>65</v>
      </c>
      <c r="O693" s="1">
        <v>100</v>
      </c>
      <c r="P693" s="1">
        <v>2656</v>
      </c>
      <c r="Q693" s="1">
        <v>5</v>
      </c>
      <c r="R693" s="7">
        <v>0.05</v>
      </c>
      <c r="S693" s="1">
        <v>20</v>
      </c>
      <c r="T693" s="1">
        <v>13</v>
      </c>
      <c r="U693" s="1">
        <v>7</v>
      </c>
      <c r="V693" s="1" t="s">
        <v>205</v>
      </c>
      <c r="W693" s="1" t="s">
        <v>420</v>
      </c>
      <c r="X693" s="1" t="s">
        <v>105</v>
      </c>
      <c r="Y693" s="1"/>
      <c r="Z693" s="1" t="s">
        <v>43</v>
      </c>
      <c r="AA693" s="1" t="s">
        <v>174</v>
      </c>
      <c r="AB693" s="1" t="s">
        <v>44</v>
      </c>
      <c r="AC693" s="1" t="s">
        <v>373</v>
      </c>
      <c r="AD693" s="1" t="s">
        <v>3431</v>
      </c>
      <c r="AE693" s="1" t="s">
        <v>45</v>
      </c>
      <c r="AF693" s="1" t="s">
        <v>77</v>
      </c>
    </row>
    <row r="694" spans="1:32" ht="18" customHeight="1">
      <c r="A694" s="1" t="s">
        <v>1646</v>
      </c>
      <c r="B694" s="1" t="s">
        <v>2205</v>
      </c>
      <c r="C694" s="4">
        <v>46113</v>
      </c>
      <c r="D694" s="4">
        <v>46122</v>
      </c>
      <c r="E694" s="4">
        <v>46121</v>
      </c>
      <c r="F694" s="1" t="s">
        <v>151</v>
      </c>
      <c r="G694" s="1" t="s">
        <v>3353</v>
      </c>
      <c r="H694" s="1" t="s">
        <v>3354</v>
      </c>
      <c r="I694" s="1" t="s">
        <v>49</v>
      </c>
      <c r="J694" s="1" t="s">
        <v>112</v>
      </c>
      <c r="K694" s="1" t="s">
        <v>2206</v>
      </c>
      <c r="L694" s="1" t="s">
        <v>229</v>
      </c>
      <c r="M694" s="1">
        <v>754.22</v>
      </c>
      <c r="N694" s="1" t="s">
        <v>86</v>
      </c>
      <c r="O694" s="1">
        <v>200</v>
      </c>
      <c r="P694" s="1">
        <v>150844</v>
      </c>
      <c r="Q694" s="1">
        <v>3</v>
      </c>
      <c r="R694" s="7">
        <v>1.4999999999999999E-2</v>
      </c>
      <c r="S694" s="1">
        <v>8</v>
      </c>
      <c r="T694" s="1"/>
      <c r="U694" s="1">
        <v>-1</v>
      </c>
      <c r="V694" s="1" t="s">
        <v>87</v>
      </c>
      <c r="W694" s="1" t="s">
        <v>40</v>
      </c>
      <c r="X694" s="1" t="s">
        <v>127</v>
      </c>
      <c r="Y694" s="1" t="s">
        <v>3334</v>
      </c>
      <c r="Z694" s="1" t="s">
        <v>3333</v>
      </c>
      <c r="AA694" s="1" t="s">
        <v>206</v>
      </c>
      <c r="AB694" s="1" t="s">
        <v>137</v>
      </c>
      <c r="AC694" s="1"/>
      <c r="AD694" s="1">
        <v>2.5</v>
      </c>
      <c r="AE694" s="1" t="s">
        <v>139</v>
      </c>
      <c r="AF694" s="1" t="s">
        <v>130</v>
      </c>
    </row>
    <row r="695" spans="1:32" ht="18" customHeight="1">
      <c r="A695" s="1" t="s">
        <v>2207</v>
      </c>
      <c r="B695" s="1" t="s">
        <v>2208</v>
      </c>
      <c r="C695" s="4">
        <v>46200</v>
      </c>
      <c r="D695" s="4">
        <v>46214</v>
      </c>
      <c r="E695" s="4">
        <v>46215</v>
      </c>
      <c r="F695" s="1" t="s">
        <v>69</v>
      </c>
      <c r="G695" s="1" t="s">
        <v>111</v>
      </c>
      <c r="H695" s="1" t="s">
        <v>3332</v>
      </c>
      <c r="I695" s="1" t="s">
        <v>49</v>
      </c>
      <c r="J695" s="1" t="s">
        <v>153</v>
      </c>
      <c r="K695" s="1" t="s">
        <v>2209</v>
      </c>
      <c r="L695" s="1" t="s">
        <v>204</v>
      </c>
      <c r="M695" s="1">
        <v>733.99</v>
      </c>
      <c r="N695" s="1" t="s">
        <v>65</v>
      </c>
      <c r="O695" s="1">
        <v>200</v>
      </c>
      <c r="P695" s="1">
        <v>146798</v>
      </c>
      <c r="Q695" s="1">
        <v>7</v>
      </c>
      <c r="R695" s="7">
        <v>3.5000000000000003E-2</v>
      </c>
      <c r="S695" s="1">
        <v>15</v>
      </c>
      <c r="T695" s="1">
        <v>14</v>
      </c>
      <c r="U695" s="1">
        <v>1</v>
      </c>
      <c r="V695" s="1" t="s">
        <v>135</v>
      </c>
      <c r="W695" s="1" t="s">
        <v>40</v>
      </c>
      <c r="X695" s="1" t="s">
        <v>105</v>
      </c>
      <c r="Y695" s="1" t="s">
        <v>3334</v>
      </c>
      <c r="Z695" s="1" t="s">
        <v>173</v>
      </c>
      <c r="AA695" s="1" t="s">
        <v>55</v>
      </c>
      <c r="AB695" s="1"/>
      <c r="AC695" s="1"/>
      <c r="AD695" s="1">
        <v>3.4</v>
      </c>
      <c r="AE695" s="1" t="s">
        <v>57</v>
      </c>
      <c r="AF695" s="1" t="s">
        <v>46</v>
      </c>
    </row>
    <row r="696" spans="1:32" ht="18" customHeight="1">
      <c r="A696" s="1" t="s">
        <v>779</v>
      </c>
      <c r="B696" s="1" t="s">
        <v>2210</v>
      </c>
      <c r="C696" s="4" t="s">
        <v>3716</v>
      </c>
      <c r="D696" s="4">
        <v>46035</v>
      </c>
      <c r="E696" s="4"/>
      <c r="F696" s="1" t="s">
        <v>162</v>
      </c>
      <c r="G696" s="1" t="s">
        <v>3383</v>
      </c>
      <c r="H696" s="1" t="s">
        <v>3354</v>
      </c>
      <c r="I696" s="1" t="s">
        <v>241</v>
      </c>
      <c r="J696" s="1" t="s">
        <v>163</v>
      </c>
      <c r="K696" s="1" t="s">
        <v>2088</v>
      </c>
      <c r="L696" s="1" t="s">
        <v>171</v>
      </c>
      <c r="M696" s="1">
        <v>75.19</v>
      </c>
      <c r="N696" s="1" t="s">
        <v>159</v>
      </c>
      <c r="O696" s="1">
        <v>1500</v>
      </c>
      <c r="P696" s="1"/>
      <c r="Q696" s="1">
        <v>18</v>
      </c>
      <c r="R696" s="7">
        <v>1.2E-2</v>
      </c>
      <c r="S696" s="1">
        <v>3</v>
      </c>
      <c r="T696" s="1" t="s">
        <v>3400</v>
      </c>
      <c r="U696" s="1">
        <v>-8</v>
      </c>
      <c r="V696" s="1" t="s">
        <v>87</v>
      </c>
      <c r="W696" s="1"/>
      <c r="X696" s="1" t="s">
        <v>127</v>
      </c>
      <c r="Y696" s="1" t="s">
        <v>3334</v>
      </c>
      <c r="Z696" s="1" t="s">
        <v>3333</v>
      </c>
      <c r="AA696" s="1" t="s">
        <v>174</v>
      </c>
      <c r="AB696" s="1" t="s">
        <v>56</v>
      </c>
      <c r="AC696" s="1"/>
      <c r="AD696" s="1">
        <v>4.7</v>
      </c>
      <c r="AE696" s="1" t="s">
        <v>184</v>
      </c>
      <c r="AF696" s="1" t="s">
        <v>130</v>
      </c>
    </row>
    <row r="697" spans="1:32" ht="18" customHeight="1">
      <c r="A697" s="1" t="s">
        <v>2211</v>
      </c>
      <c r="B697" s="1" t="s">
        <v>2212</v>
      </c>
      <c r="C697" s="4"/>
      <c r="D697" s="4" t="s">
        <v>3436</v>
      </c>
      <c r="E697" s="4">
        <v>46157</v>
      </c>
      <c r="F697" s="1" t="s">
        <v>100</v>
      </c>
      <c r="G697" s="1" t="s">
        <v>101</v>
      </c>
      <c r="H697" s="1" t="s">
        <v>102</v>
      </c>
      <c r="I697" s="1" t="s">
        <v>61</v>
      </c>
      <c r="J697" s="1" t="s">
        <v>50</v>
      </c>
      <c r="K697" s="1" t="s">
        <v>2213</v>
      </c>
      <c r="L697" s="1" t="s">
        <v>145</v>
      </c>
      <c r="M697" s="1">
        <v>1686.6</v>
      </c>
      <c r="N697" s="1"/>
      <c r="O697" s="1">
        <v>75</v>
      </c>
      <c r="P697" s="1">
        <v>126495</v>
      </c>
      <c r="Q697" s="1">
        <v>3</v>
      </c>
      <c r="R697" s="7">
        <v>0.04</v>
      </c>
      <c r="S697" s="1">
        <v>19</v>
      </c>
      <c r="T697" s="1">
        <v>13</v>
      </c>
      <c r="U697" s="1">
        <v>6</v>
      </c>
      <c r="V697" s="1" t="s">
        <v>39</v>
      </c>
      <c r="W697" s="1" t="s">
        <v>40</v>
      </c>
      <c r="X697" s="1" t="s">
        <v>105</v>
      </c>
      <c r="Y697" s="1"/>
      <c r="Z697" s="1" t="s">
        <v>43</v>
      </c>
      <c r="AA697" s="1" t="s">
        <v>3341</v>
      </c>
      <c r="AB697" s="1" t="s">
        <v>191</v>
      </c>
      <c r="AC697" s="1"/>
      <c r="AD697" s="1">
        <v>3.4</v>
      </c>
      <c r="AE697" s="1" t="s">
        <v>76</v>
      </c>
      <c r="AF697" s="1" t="s">
        <v>46</v>
      </c>
    </row>
    <row r="698" spans="1:32" ht="18" customHeight="1">
      <c r="A698" s="1" t="s">
        <v>2214</v>
      </c>
      <c r="B698" s="1" t="s">
        <v>2215</v>
      </c>
      <c r="C698" s="4">
        <v>46132</v>
      </c>
      <c r="D698" s="4">
        <v>46146</v>
      </c>
      <c r="E698" s="4">
        <v>46145</v>
      </c>
      <c r="F698" s="1" t="s">
        <v>215</v>
      </c>
      <c r="G698" s="1" t="s">
        <v>3415</v>
      </c>
      <c r="H698" s="1" t="s">
        <v>152</v>
      </c>
      <c r="I698" s="1" t="s">
        <v>49</v>
      </c>
      <c r="J698" s="1" t="s">
        <v>112</v>
      </c>
      <c r="K698" s="1" t="s">
        <v>2216</v>
      </c>
      <c r="L698" s="1" t="s">
        <v>246</v>
      </c>
      <c r="M698" s="1">
        <v>542.35</v>
      </c>
      <c r="N698" s="1" t="s">
        <v>104</v>
      </c>
      <c r="O698" s="1">
        <v>1500</v>
      </c>
      <c r="P698" s="1">
        <v>813525</v>
      </c>
      <c r="Q698" s="1">
        <v>28</v>
      </c>
      <c r="R698" s="7">
        <v>1.8700000000000001E-2</v>
      </c>
      <c r="S698" s="1">
        <v>13</v>
      </c>
      <c r="T698" s="1">
        <v>14</v>
      </c>
      <c r="U698" s="1">
        <v>-1</v>
      </c>
      <c r="V698" s="1" t="s">
        <v>3352</v>
      </c>
      <c r="W698" s="1" t="s">
        <v>40</v>
      </c>
      <c r="X698" s="1" t="s">
        <v>105</v>
      </c>
      <c r="Y698" s="1" t="s">
        <v>42</v>
      </c>
      <c r="Z698" s="1" t="s">
        <v>173</v>
      </c>
      <c r="AA698" s="1" t="s">
        <v>88</v>
      </c>
      <c r="AB698" s="1" t="s">
        <v>56</v>
      </c>
      <c r="AC698" s="1"/>
      <c r="AD698" s="1">
        <v>2.7</v>
      </c>
      <c r="AE698" s="1" t="s">
        <v>139</v>
      </c>
      <c r="AF698" s="1"/>
    </row>
    <row r="699" spans="1:32" ht="18" customHeight="1">
      <c r="A699" s="1" t="s">
        <v>2217</v>
      </c>
      <c r="B699" s="1" t="s">
        <v>2218</v>
      </c>
      <c r="C699" s="4">
        <v>46066</v>
      </c>
      <c r="D699" s="4"/>
      <c r="E699" s="4">
        <v>46084</v>
      </c>
      <c r="F699" s="1"/>
      <c r="G699" s="1" t="s">
        <v>3331</v>
      </c>
      <c r="H699" s="1" t="s">
        <v>194</v>
      </c>
      <c r="I699" s="1" t="s">
        <v>61</v>
      </c>
      <c r="J699" s="1" t="s">
        <v>112</v>
      </c>
      <c r="K699" s="1" t="s">
        <v>2219</v>
      </c>
      <c r="L699" s="1" t="s">
        <v>229</v>
      </c>
      <c r="M699" s="1">
        <v>148.66</v>
      </c>
      <c r="N699" s="1"/>
      <c r="O699" s="1">
        <v>150</v>
      </c>
      <c r="P699" s="1">
        <v>22299</v>
      </c>
      <c r="Q699" s="1">
        <v>0</v>
      </c>
      <c r="R699" s="7">
        <v>0</v>
      </c>
      <c r="S699" s="1" t="s">
        <v>3615</v>
      </c>
      <c r="T699" s="1">
        <v>8</v>
      </c>
      <c r="U699" s="1">
        <v>10</v>
      </c>
      <c r="V699" s="1" t="s">
        <v>205</v>
      </c>
      <c r="W699" s="1" t="s">
        <v>40</v>
      </c>
      <c r="X699" s="1" t="s">
        <v>3329</v>
      </c>
      <c r="Y699" s="1" t="s">
        <v>212</v>
      </c>
      <c r="Z699" s="1" t="s">
        <v>54</v>
      </c>
      <c r="AA699" s="1"/>
      <c r="AB699" s="1" t="s">
        <v>191</v>
      </c>
      <c r="AC699" s="1"/>
      <c r="AD699" s="1">
        <v>1.5</v>
      </c>
      <c r="AE699" s="1" t="s">
        <v>139</v>
      </c>
      <c r="AF699" s="1" t="s">
        <v>386</v>
      </c>
    </row>
    <row r="700" spans="1:32" ht="18" customHeight="1">
      <c r="A700" s="1" t="s">
        <v>2220</v>
      </c>
      <c r="B700" s="1" t="s">
        <v>2221</v>
      </c>
      <c r="C700" s="4">
        <v>46098</v>
      </c>
      <c r="D700" s="4">
        <v>46108</v>
      </c>
      <c r="E700" s="4">
        <v>46119</v>
      </c>
      <c r="F700" s="1" t="s">
        <v>69</v>
      </c>
      <c r="G700" s="1" t="s">
        <v>111</v>
      </c>
      <c r="H700" s="1" t="s">
        <v>3332</v>
      </c>
      <c r="I700" s="1" t="s">
        <v>34</v>
      </c>
      <c r="J700" s="1" t="s">
        <v>112</v>
      </c>
      <c r="K700" s="1" t="s">
        <v>2222</v>
      </c>
      <c r="L700" s="1" t="s">
        <v>229</v>
      </c>
      <c r="M700" s="1">
        <v>534.30999999999995</v>
      </c>
      <c r="N700" s="1" t="s">
        <v>104</v>
      </c>
      <c r="O700" s="1">
        <v>500</v>
      </c>
      <c r="P700" s="1">
        <v>267155</v>
      </c>
      <c r="Q700" s="1">
        <v>12</v>
      </c>
      <c r="R700" s="7">
        <v>2.4E-2</v>
      </c>
      <c r="S700" s="1">
        <v>21</v>
      </c>
      <c r="T700" s="1">
        <v>10</v>
      </c>
      <c r="U700" s="1">
        <v>11</v>
      </c>
      <c r="V700" s="1" t="s">
        <v>205</v>
      </c>
      <c r="W700" s="1" t="s">
        <v>40</v>
      </c>
      <c r="X700" s="1" t="s">
        <v>146</v>
      </c>
      <c r="Y700" s="1" t="s">
        <v>3334</v>
      </c>
      <c r="Z700" s="1" t="s">
        <v>107</v>
      </c>
      <c r="AA700" s="1" t="s">
        <v>88</v>
      </c>
      <c r="AB700" s="1" t="s">
        <v>147</v>
      </c>
      <c r="AC700" s="1"/>
      <c r="AD700" s="1">
        <v>2.6</v>
      </c>
      <c r="AE700" s="1" t="s">
        <v>45</v>
      </c>
      <c r="AF700" s="1" t="s">
        <v>148</v>
      </c>
    </row>
    <row r="701" spans="1:32" ht="18" hidden="1" customHeight="1">
      <c r="A701" s="1" t="s">
        <v>2223</v>
      </c>
      <c r="B701" s="1" t="s">
        <v>2224</v>
      </c>
      <c r="C701" s="4" t="s">
        <v>3363</v>
      </c>
      <c r="D701" s="1">
        <v>46132</v>
      </c>
      <c r="E701" s="1">
        <v>46131</v>
      </c>
      <c r="F701" s="1" t="s">
        <v>90</v>
      </c>
      <c r="G701" s="1" t="s">
        <v>3346</v>
      </c>
      <c r="H701" s="1" t="s">
        <v>3336</v>
      </c>
      <c r="I701" s="1" t="s">
        <v>120</v>
      </c>
      <c r="J701" s="1" t="s">
        <v>71</v>
      </c>
      <c r="K701" s="1" t="s">
        <v>2225</v>
      </c>
      <c r="L701" s="1" t="s">
        <v>238</v>
      </c>
      <c r="M701" s="1">
        <v>309.37</v>
      </c>
      <c r="N701" s="1" t="s">
        <v>53</v>
      </c>
      <c r="O701" s="1">
        <v>750</v>
      </c>
      <c r="P701" s="1">
        <v>232027.5</v>
      </c>
      <c r="Q701" s="1">
        <v>33</v>
      </c>
      <c r="R701" s="7">
        <v>4.3999999999999997E-2</v>
      </c>
      <c r="S701" s="1">
        <v>21</v>
      </c>
      <c r="T701" s="1">
        <v>22</v>
      </c>
      <c r="U701" s="1">
        <v>-1</v>
      </c>
      <c r="V701" s="1" t="s">
        <v>87</v>
      </c>
      <c r="W701" s="1" t="s">
        <v>420</v>
      </c>
      <c r="X701" s="1" t="s">
        <v>105</v>
      </c>
      <c r="Y701" s="1" t="s">
        <v>212</v>
      </c>
      <c r="Z701" s="1" t="s">
        <v>173</v>
      </c>
      <c r="AA701" s="1" t="s">
        <v>206</v>
      </c>
      <c r="AB701" s="1"/>
      <c r="AC701" s="1" t="s">
        <v>183</v>
      </c>
      <c r="AD701" s="1">
        <v>2.5</v>
      </c>
      <c r="AE701" s="1" t="s">
        <v>57</v>
      </c>
      <c r="AF701" s="1" t="s">
        <v>97</v>
      </c>
    </row>
    <row r="702" spans="1:32" ht="18" hidden="1" customHeight="1">
      <c r="A702" s="1" t="s">
        <v>2226</v>
      </c>
      <c r="B702" s="1" t="s">
        <v>2227</v>
      </c>
      <c r="C702" s="4">
        <v>46033</v>
      </c>
      <c r="D702" s="1"/>
      <c r="E702" s="1">
        <v>46052</v>
      </c>
      <c r="F702" s="1" t="s">
        <v>32</v>
      </c>
      <c r="G702" s="1" t="s">
        <v>3422</v>
      </c>
      <c r="H702" s="1" t="s">
        <v>3319</v>
      </c>
      <c r="I702" s="1" t="s">
        <v>49</v>
      </c>
      <c r="J702" s="1" t="s">
        <v>35</v>
      </c>
      <c r="K702" s="1" t="s">
        <v>2228</v>
      </c>
      <c r="L702" s="1" t="s">
        <v>85</v>
      </c>
      <c r="M702" s="1">
        <v>1515.82</v>
      </c>
      <c r="N702" s="1" t="s">
        <v>86</v>
      </c>
      <c r="O702" s="1">
        <v>150</v>
      </c>
      <c r="P702" s="1">
        <v>227373</v>
      </c>
      <c r="Q702" s="1">
        <v>7</v>
      </c>
      <c r="R702" s="7">
        <v>4.6699999999999998E-2</v>
      </c>
      <c r="S702" s="1">
        <v>19</v>
      </c>
      <c r="T702" s="1">
        <v>23</v>
      </c>
      <c r="U702" s="1">
        <v>-4</v>
      </c>
      <c r="V702" s="1" t="s">
        <v>3352</v>
      </c>
      <c r="W702" s="1" t="s">
        <v>3384</v>
      </c>
      <c r="X702" s="1" t="s">
        <v>3324</v>
      </c>
      <c r="Y702" s="1" t="s">
        <v>190</v>
      </c>
      <c r="Z702" s="1" t="s">
        <v>43</v>
      </c>
      <c r="AA702" s="1" t="s">
        <v>174</v>
      </c>
      <c r="AB702" s="1" t="s">
        <v>95</v>
      </c>
      <c r="AC702" s="1" t="s">
        <v>75</v>
      </c>
      <c r="AD702" s="1">
        <v>1</v>
      </c>
      <c r="AE702" s="1" t="s">
        <v>184</v>
      </c>
      <c r="AF702" s="1" t="s">
        <v>97</v>
      </c>
    </row>
    <row r="703" spans="1:32" ht="18" customHeight="1">
      <c r="A703" s="1" t="s">
        <v>2229</v>
      </c>
      <c r="B703" s="1" t="s">
        <v>2230</v>
      </c>
      <c r="C703" s="4">
        <v>46123</v>
      </c>
      <c r="D703" s="4" t="s">
        <v>3436</v>
      </c>
      <c r="E703" s="4">
        <v>46131</v>
      </c>
      <c r="F703" s="1" t="s">
        <v>69</v>
      </c>
      <c r="G703" s="1" t="s">
        <v>111</v>
      </c>
      <c r="H703" s="1" t="s">
        <v>194</v>
      </c>
      <c r="I703" s="1" t="s">
        <v>120</v>
      </c>
      <c r="J703" s="1" t="s">
        <v>112</v>
      </c>
      <c r="K703" s="1" t="s">
        <v>2231</v>
      </c>
      <c r="L703" s="1" t="s">
        <v>114</v>
      </c>
      <c r="M703" s="1">
        <v>-542.88</v>
      </c>
      <c r="N703" s="1" t="s">
        <v>104</v>
      </c>
      <c r="O703" s="1" t="s">
        <v>3348</v>
      </c>
      <c r="P703" s="1">
        <v>27144</v>
      </c>
      <c r="Q703" s="1">
        <v>1</v>
      </c>
      <c r="R703" s="7">
        <v>0.02</v>
      </c>
      <c r="S703" s="1">
        <v>8</v>
      </c>
      <c r="T703" s="1">
        <v>6</v>
      </c>
      <c r="U703" s="1">
        <v>2</v>
      </c>
      <c r="V703" s="1" t="s">
        <v>135</v>
      </c>
      <c r="W703" s="1" t="s">
        <v>40</v>
      </c>
      <c r="X703" s="1" t="s">
        <v>146</v>
      </c>
      <c r="Y703" s="1" t="s">
        <v>212</v>
      </c>
      <c r="Z703" s="1" t="s">
        <v>54</v>
      </c>
      <c r="AA703" s="1" t="s">
        <v>55</v>
      </c>
      <c r="AB703" s="1" t="s">
        <v>147</v>
      </c>
      <c r="AC703" s="1"/>
      <c r="AD703" s="1">
        <v>2.7</v>
      </c>
      <c r="AE703" s="1" t="s">
        <v>184</v>
      </c>
      <c r="AF703" s="1" t="s">
        <v>148</v>
      </c>
    </row>
    <row r="704" spans="1:32" ht="18" customHeight="1">
      <c r="A704" s="1" t="s">
        <v>2232</v>
      </c>
      <c r="B704" s="1" t="s">
        <v>2233</v>
      </c>
      <c r="C704" s="4">
        <v>46056</v>
      </c>
      <c r="D704" s="4">
        <v>46066</v>
      </c>
      <c r="E704" s="4" t="s">
        <v>3717</v>
      </c>
      <c r="F704" s="1" t="s">
        <v>80</v>
      </c>
      <c r="G704" s="1" t="s">
        <v>3470</v>
      </c>
      <c r="H704" s="1" t="s">
        <v>3414</v>
      </c>
      <c r="I704" s="1" t="s">
        <v>178</v>
      </c>
      <c r="J704" s="1" t="s">
        <v>35</v>
      </c>
      <c r="K704" s="1" t="s">
        <v>2234</v>
      </c>
      <c r="L704" s="1" t="s">
        <v>180</v>
      </c>
      <c r="M704" s="1">
        <v>36.380000000000003</v>
      </c>
      <c r="N704" s="1" t="s">
        <v>159</v>
      </c>
      <c r="O704" s="1"/>
      <c r="P704" s="1">
        <v>27285</v>
      </c>
      <c r="Q704" s="1">
        <v>0</v>
      </c>
      <c r="R704" s="7">
        <v>0</v>
      </c>
      <c r="S704" s="1">
        <v>14</v>
      </c>
      <c r="T704" s="1">
        <v>10</v>
      </c>
      <c r="U704" s="1">
        <v>4</v>
      </c>
      <c r="V704" s="1" t="s">
        <v>3328</v>
      </c>
      <c r="W704" s="1" t="s">
        <v>40</v>
      </c>
      <c r="X704" s="1" t="s">
        <v>3329</v>
      </c>
      <c r="Y704" s="1" t="s">
        <v>106</v>
      </c>
      <c r="Z704" s="1" t="s">
        <v>54</v>
      </c>
      <c r="AA704" s="1" t="s">
        <v>174</v>
      </c>
      <c r="AB704" s="1" t="s">
        <v>56</v>
      </c>
      <c r="AC704" s="1"/>
      <c r="AD704" s="1">
        <v>4.7</v>
      </c>
      <c r="AE704" s="1" t="s">
        <v>76</v>
      </c>
      <c r="AF704" s="1" t="s">
        <v>46</v>
      </c>
    </row>
    <row r="705" spans="1:32" ht="18" customHeight="1">
      <c r="A705" s="1" t="s">
        <v>2235</v>
      </c>
      <c r="B705" s="1" t="s">
        <v>2236</v>
      </c>
      <c r="C705" s="4">
        <v>46176</v>
      </c>
      <c r="D705" s="4">
        <v>46192</v>
      </c>
      <c r="E705" s="4">
        <v>46195</v>
      </c>
      <c r="F705" s="1" t="s">
        <v>118</v>
      </c>
      <c r="G705" s="1" t="s">
        <v>119</v>
      </c>
      <c r="H705" s="1" t="s">
        <v>3369</v>
      </c>
      <c r="I705" s="1" t="s">
        <v>178</v>
      </c>
      <c r="J705" s="1" t="s">
        <v>163</v>
      </c>
      <c r="K705" s="1" t="s">
        <v>2237</v>
      </c>
      <c r="L705" s="1" t="s">
        <v>171</v>
      </c>
      <c r="M705" s="1">
        <v>4096.0600000000004</v>
      </c>
      <c r="N705" s="1" t="s">
        <v>104</v>
      </c>
      <c r="O705" s="1">
        <v>1500</v>
      </c>
      <c r="P705" s="1">
        <v>6144090</v>
      </c>
      <c r="Q705" s="1">
        <v>6</v>
      </c>
      <c r="R705" s="7">
        <v>4.0000000000000001E-3</v>
      </c>
      <c r="S705" s="1">
        <v>19</v>
      </c>
      <c r="T705" s="1">
        <v>16</v>
      </c>
      <c r="U705" s="1">
        <v>3</v>
      </c>
      <c r="V705" s="1" t="s">
        <v>166</v>
      </c>
      <c r="W705" s="1" t="s">
        <v>40</v>
      </c>
      <c r="X705" s="1" t="s">
        <v>105</v>
      </c>
      <c r="Y705" s="1" t="s">
        <v>106</v>
      </c>
      <c r="Z705" s="1" t="s">
        <v>173</v>
      </c>
      <c r="AA705" s="1" t="s">
        <v>136</v>
      </c>
      <c r="AB705" s="1" t="s">
        <v>56</v>
      </c>
      <c r="AC705" s="1"/>
      <c r="AD705" s="1">
        <v>3.3</v>
      </c>
      <c r="AE705" s="1" t="s">
        <v>76</v>
      </c>
      <c r="AF705" s="1" t="s">
        <v>46</v>
      </c>
    </row>
    <row r="706" spans="1:32" ht="18" hidden="1" customHeight="1">
      <c r="A706" s="1" t="s">
        <v>2238</v>
      </c>
      <c r="B706" s="1" t="s">
        <v>2239</v>
      </c>
      <c r="C706" s="4">
        <v>46036</v>
      </c>
      <c r="D706" s="1">
        <v>46049</v>
      </c>
      <c r="E706" s="1">
        <v>46048</v>
      </c>
      <c r="F706" s="1" t="s">
        <v>256</v>
      </c>
      <c r="G706" s="1" t="s">
        <v>257</v>
      </c>
      <c r="H706" s="1" t="s">
        <v>258</v>
      </c>
      <c r="I706" s="1" t="s">
        <v>83</v>
      </c>
      <c r="J706" s="1" t="s">
        <v>153</v>
      </c>
      <c r="K706" s="1" t="s">
        <v>2240</v>
      </c>
      <c r="L706" s="1" t="s">
        <v>318</v>
      </c>
      <c r="M706" s="1">
        <v>524.41</v>
      </c>
      <c r="N706" s="1" t="s">
        <v>159</v>
      </c>
      <c r="O706" s="1">
        <v>150</v>
      </c>
      <c r="P706" s="1">
        <v>78661.5</v>
      </c>
      <c r="Q706" s="1">
        <v>8</v>
      </c>
      <c r="R706" s="7">
        <v>5.33E-2</v>
      </c>
      <c r="S706" s="1">
        <v>12</v>
      </c>
      <c r="T706" s="1">
        <v>13</v>
      </c>
      <c r="U706" s="1">
        <v>-1</v>
      </c>
      <c r="V706" s="1" t="s">
        <v>87</v>
      </c>
      <c r="W706" s="1" t="s">
        <v>3384</v>
      </c>
      <c r="X706" s="1" t="s">
        <v>3329</v>
      </c>
      <c r="Y706" s="1" t="s">
        <v>190</v>
      </c>
      <c r="Z706" s="1" t="s">
        <v>173</v>
      </c>
      <c r="AA706" s="1" t="s">
        <v>206</v>
      </c>
      <c r="AB706" s="1" t="s">
        <v>95</v>
      </c>
      <c r="AC706" s="1" t="s">
        <v>96</v>
      </c>
      <c r="AD706" s="1">
        <v>2.5</v>
      </c>
      <c r="AE706" s="1" t="s">
        <v>57</v>
      </c>
      <c r="AF706" s="1" t="s">
        <v>97</v>
      </c>
    </row>
    <row r="707" spans="1:32" ht="18" hidden="1" customHeight="1">
      <c r="A707" s="1" t="s">
        <v>2241</v>
      </c>
      <c r="B707" s="1" t="s">
        <v>2242</v>
      </c>
      <c r="C707" s="4" t="s">
        <v>3497</v>
      </c>
      <c r="D707" s="1">
        <v>46062</v>
      </c>
      <c r="E707" s="1">
        <v>46052</v>
      </c>
      <c r="F707" s="1" t="s">
        <v>90</v>
      </c>
      <c r="G707" s="1" t="s">
        <v>91</v>
      </c>
      <c r="H707" s="1" t="s">
        <v>133</v>
      </c>
      <c r="I707" s="1" t="s">
        <v>178</v>
      </c>
      <c r="J707" s="1" t="s">
        <v>71</v>
      </c>
      <c r="K707" s="1" t="s">
        <v>2243</v>
      </c>
      <c r="L707" s="1" t="s">
        <v>73</v>
      </c>
      <c r="M707" s="1" t="s">
        <v>3718</v>
      </c>
      <c r="N707" s="1" t="s">
        <v>159</v>
      </c>
      <c r="O707" s="1"/>
      <c r="P707" s="1">
        <v>5852</v>
      </c>
      <c r="Q707" s="1">
        <v>18</v>
      </c>
      <c r="R707" s="7">
        <v>0.09</v>
      </c>
      <c r="S707" s="1">
        <v>2</v>
      </c>
      <c r="T707" s="1">
        <v>12</v>
      </c>
      <c r="U707" s="1">
        <v>-10</v>
      </c>
      <c r="V707" s="1" t="s">
        <v>3337</v>
      </c>
      <c r="W707" s="1" t="s">
        <v>420</v>
      </c>
      <c r="X707" s="1" t="s">
        <v>105</v>
      </c>
      <c r="Y707" s="1" t="s">
        <v>66</v>
      </c>
      <c r="Z707" s="1" t="s">
        <v>54</v>
      </c>
      <c r="AA707" s="1" t="s">
        <v>55</v>
      </c>
      <c r="AB707" s="1"/>
      <c r="AC707" s="1" t="s">
        <v>183</v>
      </c>
      <c r="AD707" s="1">
        <v>3.3</v>
      </c>
      <c r="AE707" s="1" t="s">
        <v>139</v>
      </c>
      <c r="AF707" s="1" t="s">
        <v>97</v>
      </c>
    </row>
    <row r="708" spans="1:32" ht="18" customHeight="1">
      <c r="A708" s="1" t="s">
        <v>2244</v>
      </c>
      <c r="B708" s="1" t="s">
        <v>2245</v>
      </c>
      <c r="C708" s="4">
        <v>46116</v>
      </c>
      <c r="D708" s="4">
        <v>46138</v>
      </c>
      <c r="E708" s="4">
        <v>46136</v>
      </c>
      <c r="F708" s="1" t="s">
        <v>118</v>
      </c>
      <c r="G708" s="1" t="s">
        <v>119</v>
      </c>
      <c r="H708" s="1" t="s">
        <v>3369</v>
      </c>
      <c r="I708" s="1" t="s">
        <v>49</v>
      </c>
      <c r="J708" s="1" t="s">
        <v>62</v>
      </c>
      <c r="K708" s="1" t="s">
        <v>2246</v>
      </c>
      <c r="L708" s="1" t="s">
        <v>225</v>
      </c>
      <c r="M708" s="1">
        <v>639.92999999999995</v>
      </c>
      <c r="N708" s="1" t="s">
        <v>104</v>
      </c>
      <c r="O708" s="1">
        <v>250</v>
      </c>
      <c r="P708" s="1">
        <v>159982.5</v>
      </c>
      <c r="Q708" s="1">
        <v>4</v>
      </c>
      <c r="R708" s="7">
        <v>1.6E-2</v>
      </c>
      <c r="S708" s="1">
        <v>20</v>
      </c>
      <c r="T708" s="1">
        <v>22</v>
      </c>
      <c r="U708" s="1">
        <v>-2</v>
      </c>
      <c r="V708" s="1" t="s">
        <v>3337</v>
      </c>
      <c r="W708" s="1" t="s">
        <v>40</v>
      </c>
      <c r="X708" s="1" t="s">
        <v>105</v>
      </c>
      <c r="Y708" s="1"/>
      <c r="Z708" s="1" t="s">
        <v>3333</v>
      </c>
      <c r="AA708" s="1" t="s">
        <v>174</v>
      </c>
      <c r="AB708" s="1"/>
      <c r="AC708" s="1"/>
      <c r="AD708" s="1">
        <v>2.7</v>
      </c>
      <c r="AE708" s="1" t="s">
        <v>108</v>
      </c>
      <c r="AF708" s="1"/>
    </row>
    <row r="709" spans="1:32" ht="18" customHeight="1">
      <c r="A709" s="1" t="s">
        <v>2247</v>
      </c>
      <c r="B709" s="1" t="s">
        <v>2248</v>
      </c>
      <c r="C709" s="4">
        <v>46177</v>
      </c>
      <c r="D709" s="4">
        <v>46203</v>
      </c>
      <c r="E709" s="4"/>
      <c r="F709" s="1" t="s">
        <v>32</v>
      </c>
      <c r="G709" s="1" t="s">
        <v>3359</v>
      </c>
      <c r="H709" s="1" t="s">
        <v>3395</v>
      </c>
      <c r="I709" s="1" t="s">
        <v>92</v>
      </c>
      <c r="J709" s="1" t="s">
        <v>153</v>
      </c>
      <c r="K709" s="1" t="s">
        <v>2249</v>
      </c>
      <c r="L709" s="1" t="s">
        <v>295</v>
      </c>
      <c r="M709" s="1">
        <v>603.5</v>
      </c>
      <c r="N709" s="1" t="s">
        <v>53</v>
      </c>
      <c r="O709" s="1">
        <v>300</v>
      </c>
      <c r="P709" s="1">
        <v>181050</v>
      </c>
      <c r="Q709" s="1">
        <v>11</v>
      </c>
      <c r="R709" s="7">
        <v>3.6700000000000003E-2</v>
      </c>
      <c r="S709" s="1"/>
      <c r="T709" s="1">
        <v>26</v>
      </c>
      <c r="U709" s="1">
        <v>-3</v>
      </c>
      <c r="V709" s="1" t="s">
        <v>87</v>
      </c>
      <c r="W709" s="1" t="s">
        <v>40</v>
      </c>
      <c r="X709" s="1" t="s">
        <v>105</v>
      </c>
      <c r="Y709" s="1" t="s">
        <v>66</v>
      </c>
      <c r="Z709" s="1" t="s">
        <v>3330</v>
      </c>
      <c r="AA709" s="1" t="s">
        <v>3341</v>
      </c>
      <c r="AB709" s="1" t="s">
        <v>147</v>
      </c>
      <c r="AC709" s="1"/>
      <c r="AD709" s="1">
        <v>3.8</v>
      </c>
      <c r="AE709" s="1" t="s">
        <v>108</v>
      </c>
      <c r="AF709" s="1"/>
    </row>
    <row r="710" spans="1:32" ht="18" hidden="1" customHeight="1">
      <c r="A710" s="1" t="s">
        <v>2250</v>
      </c>
      <c r="B710" s="1" t="s">
        <v>2251</v>
      </c>
      <c r="C710" s="4">
        <v>46078</v>
      </c>
      <c r="D710" s="1">
        <v>46084</v>
      </c>
      <c r="E710" s="1">
        <v>46089</v>
      </c>
      <c r="F710" s="1" t="s">
        <v>215</v>
      </c>
      <c r="G710" s="1" t="s">
        <v>3415</v>
      </c>
      <c r="H710" s="1" t="s">
        <v>3408</v>
      </c>
      <c r="I710" s="1" t="s">
        <v>83</v>
      </c>
      <c r="J710" s="1" t="s">
        <v>71</v>
      </c>
      <c r="K710" s="1" t="s">
        <v>2252</v>
      </c>
      <c r="L710" s="1" t="s">
        <v>553</v>
      </c>
      <c r="M710" s="1">
        <v>680.82</v>
      </c>
      <c r="N710" s="1" t="s">
        <v>159</v>
      </c>
      <c r="O710" s="1">
        <v>250</v>
      </c>
      <c r="P710" s="1">
        <v>170205</v>
      </c>
      <c r="Q710" s="1">
        <v>12</v>
      </c>
      <c r="R710" s="7">
        <v>4.8000000000000001E-2</v>
      </c>
      <c r="S710" s="1">
        <v>11</v>
      </c>
      <c r="T710" s="1">
        <v>6</v>
      </c>
      <c r="U710" s="1">
        <v>5</v>
      </c>
      <c r="V710" s="1" t="s">
        <v>39</v>
      </c>
      <c r="W710" s="1" t="s">
        <v>366</v>
      </c>
      <c r="X710" s="1" t="s">
        <v>146</v>
      </c>
      <c r="Y710" s="1" t="s">
        <v>106</v>
      </c>
      <c r="Z710" s="1"/>
      <c r="AA710" s="1" t="s">
        <v>129</v>
      </c>
      <c r="AB710" s="1"/>
      <c r="AC710" s="1" t="s">
        <v>373</v>
      </c>
      <c r="AD710" s="1">
        <v>1.5</v>
      </c>
      <c r="AE710" s="1" t="s">
        <v>45</v>
      </c>
      <c r="AF710" s="1" t="s">
        <v>185</v>
      </c>
    </row>
    <row r="711" spans="1:32" ht="18" customHeight="1">
      <c r="A711" s="1" t="s">
        <v>2253</v>
      </c>
      <c r="B711" s="1" t="s">
        <v>2254</v>
      </c>
      <c r="C711" s="4">
        <v>46065</v>
      </c>
      <c r="D711" s="4">
        <v>46081</v>
      </c>
      <c r="E711" s="4">
        <v>46079</v>
      </c>
      <c r="F711" s="1" t="s">
        <v>80</v>
      </c>
      <c r="G711" s="1" t="s">
        <v>81</v>
      </c>
      <c r="H711" s="1" t="s">
        <v>3442</v>
      </c>
      <c r="I711" s="1" t="s">
        <v>61</v>
      </c>
      <c r="J711" s="1" t="s">
        <v>35</v>
      </c>
      <c r="K711" s="1" t="s">
        <v>2255</v>
      </c>
      <c r="L711" s="1" t="s">
        <v>37</v>
      </c>
      <c r="M711" s="1">
        <v>2887.97</v>
      </c>
      <c r="N711" s="1" t="s">
        <v>104</v>
      </c>
      <c r="O711" s="1" t="s">
        <v>3673</v>
      </c>
      <c r="P711" s="1">
        <v>2165977.5</v>
      </c>
      <c r="Q711" s="1">
        <v>6</v>
      </c>
      <c r="R711" s="7">
        <v>8.0000000000000002E-3</v>
      </c>
      <c r="S711" s="1">
        <v>14</v>
      </c>
      <c r="T711" s="1">
        <v>16</v>
      </c>
      <c r="U711" s="1">
        <v>-2</v>
      </c>
      <c r="V711" s="1" t="s">
        <v>87</v>
      </c>
      <c r="W711" s="1" t="s">
        <v>40</v>
      </c>
      <c r="X711" s="1" t="s">
        <v>105</v>
      </c>
      <c r="Y711" s="1" t="s">
        <v>106</v>
      </c>
      <c r="Z711" s="1"/>
      <c r="AA711" s="1"/>
      <c r="AB711" s="1"/>
      <c r="AC711" s="1"/>
      <c r="AD711" s="1">
        <v>3.2</v>
      </c>
      <c r="AE711" s="1" t="s">
        <v>139</v>
      </c>
      <c r="AF711" s="1"/>
    </row>
    <row r="712" spans="1:32" ht="18" customHeight="1">
      <c r="A712" s="1" t="s">
        <v>2256</v>
      </c>
      <c r="B712" s="1" t="s">
        <v>2257</v>
      </c>
      <c r="C712" s="4">
        <v>46158</v>
      </c>
      <c r="D712" s="4">
        <v>46169</v>
      </c>
      <c r="E712" s="4" t="s">
        <v>3719</v>
      </c>
      <c r="F712" s="1" t="s">
        <v>69</v>
      </c>
      <c r="G712" s="1" t="s">
        <v>111</v>
      </c>
      <c r="H712" s="1" t="s">
        <v>194</v>
      </c>
      <c r="I712" s="1" t="s">
        <v>241</v>
      </c>
      <c r="J712" s="1" t="s">
        <v>35</v>
      </c>
      <c r="K712" s="1" t="s">
        <v>2258</v>
      </c>
      <c r="L712" s="1" t="s">
        <v>200</v>
      </c>
      <c r="M712" s="1">
        <v>4175.74</v>
      </c>
      <c r="N712" s="1" t="s">
        <v>104</v>
      </c>
      <c r="O712" s="1">
        <v>1500</v>
      </c>
      <c r="P712" s="1">
        <v>6263610</v>
      </c>
      <c r="Q712" s="1">
        <v>0</v>
      </c>
      <c r="R712" s="7">
        <v>0</v>
      </c>
      <c r="S712" s="1">
        <v>7</v>
      </c>
      <c r="T712" s="1">
        <v>11</v>
      </c>
      <c r="U712" s="1">
        <v>-4</v>
      </c>
      <c r="V712" s="1" t="s">
        <v>3352</v>
      </c>
      <c r="W712" s="1" t="s">
        <v>40</v>
      </c>
      <c r="X712" s="1"/>
      <c r="Y712" s="1" t="s">
        <v>66</v>
      </c>
      <c r="Z712" s="1" t="s">
        <v>107</v>
      </c>
      <c r="AA712" s="1" t="s">
        <v>136</v>
      </c>
      <c r="AB712" s="1" t="s">
        <v>147</v>
      </c>
      <c r="AC712" s="1"/>
      <c r="AD712" s="1">
        <v>2.7</v>
      </c>
      <c r="AE712" s="1" t="s">
        <v>115</v>
      </c>
      <c r="AF712" s="1" t="s">
        <v>130</v>
      </c>
    </row>
    <row r="713" spans="1:32" ht="18" hidden="1" customHeight="1">
      <c r="A713" s="1" t="s">
        <v>2259</v>
      </c>
      <c r="B713" s="1" t="s">
        <v>2260</v>
      </c>
      <c r="C713" s="4">
        <v>46105</v>
      </c>
      <c r="D713" s="1">
        <v>46122</v>
      </c>
      <c r="E713" s="1">
        <v>46127</v>
      </c>
      <c r="F713" s="1" t="s">
        <v>235</v>
      </c>
      <c r="G713" s="1" t="s">
        <v>236</v>
      </c>
      <c r="H713" s="1" t="s">
        <v>479</v>
      </c>
      <c r="I713" s="1" t="s">
        <v>178</v>
      </c>
      <c r="J713" s="1" t="s">
        <v>71</v>
      </c>
      <c r="K713" s="1" t="s">
        <v>2261</v>
      </c>
      <c r="L713" s="1" t="s">
        <v>238</v>
      </c>
      <c r="M713" s="1">
        <v>242.21</v>
      </c>
      <c r="N713" s="1" t="s">
        <v>38</v>
      </c>
      <c r="O713" s="1">
        <v>500</v>
      </c>
      <c r="P713" s="1">
        <v>121105</v>
      </c>
      <c r="Q713" s="1">
        <v>27</v>
      </c>
      <c r="R713" s="7">
        <v>5.3999999999999999E-2</v>
      </c>
      <c r="S713" s="1">
        <v>22</v>
      </c>
      <c r="T713" s="1">
        <v>17</v>
      </c>
      <c r="U713" s="1">
        <v>5</v>
      </c>
      <c r="V713" s="1" t="s">
        <v>39</v>
      </c>
      <c r="W713" s="1" t="s">
        <v>74</v>
      </c>
      <c r="X713" s="1" t="s">
        <v>41</v>
      </c>
      <c r="Y713" s="1" t="s">
        <v>3334</v>
      </c>
      <c r="Z713" s="1" t="s">
        <v>3330</v>
      </c>
      <c r="AA713" s="1" t="s">
        <v>3341</v>
      </c>
      <c r="AB713" s="1" t="s">
        <v>191</v>
      </c>
      <c r="AC713" s="1" t="s">
        <v>373</v>
      </c>
      <c r="AD713" s="1">
        <v>2.2999999999999998</v>
      </c>
      <c r="AE713" s="1" t="s">
        <v>76</v>
      </c>
      <c r="AF713" s="1" t="s">
        <v>77</v>
      </c>
    </row>
    <row r="714" spans="1:32" ht="18" hidden="1" customHeight="1">
      <c r="A714" s="1" t="s">
        <v>2262</v>
      </c>
      <c r="B714" s="1" t="s">
        <v>2263</v>
      </c>
      <c r="C714" s="4">
        <v>46172</v>
      </c>
      <c r="D714" s="1">
        <v>46179</v>
      </c>
      <c r="E714" s="1" t="s">
        <v>3357</v>
      </c>
      <c r="F714" s="1" t="s">
        <v>215</v>
      </c>
      <c r="G714" s="1" t="s">
        <v>216</v>
      </c>
      <c r="H714" s="1" t="s">
        <v>152</v>
      </c>
      <c r="I714" s="1" t="s">
        <v>241</v>
      </c>
      <c r="J714" s="1" t="s">
        <v>112</v>
      </c>
      <c r="K714" s="1" t="s">
        <v>2264</v>
      </c>
      <c r="L714" s="1" t="s">
        <v>229</v>
      </c>
      <c r="M714" s="1">
        <v>647.14</v>
      </c>
      <c r="N714" s="1" t="s">
        <v>53</v>
      </c>
      <c r="O714" s="1">
        <v>50</v>
      </c>
      <c r="P714" s="1">
        <v>32357</v>
      </c>
      <c r="Q714" s="1">
        <v>3</v>
      </c>
      <c r="R714" s="7">
        <v>0.06</v>
      </c>
      <c r="S714" s="1">
        <v>11</v>
      </c>
      <c r="T714" s="1">
        <v>7</v>
      </c>
      <c r="U714" s="1">
        <v>4</v>
      </c>
      <c r="V714" s="1" t="s">
        <v>39</v>
      </c>
      <c r="W714" s="1" t="s">
        <v>74</v>
      </c>
      <c r="X714" s="1" t="s">
        <v>41</v>
      </c>
      <c r="Y714" s="1" t="s">
        <v>106</v>
      </c>
      <c r="Z714" s="1" t="s">
        <v>128</v>
      </c>
      <c r="AA714" s="1" t="s">
        <v>3341</v>
      </c>
      <c r="AB714" s="1" t="s">
        <v>95</v>
      </c>
      <c r="AC714" s="1" t="s">
        <v>373</v>
      </c>
      <c r="AD714" s="1">
        <v>1.4</v>
      </c>
      <c r="AE714" s="1" t="s">
        <v>45</v>
      </c>
      <c r="AF714" s="1" t="s">
        <v>77</v>
      </c>
    </row>
    <row r="715" spans="1:32" ht="18" customHeight="1">
      <c r="A715" s="1" t="s">
        <v>2265</v>
      </c>
      <c r="B715" s="1" t="s">
        <v>2266</v>
      </c>
      <c r="C715" s="4" t="s">
        <v>3720</v>
      </c>
      <c r="D715" s="4">
        <v>46108</v>
      </c>
      <c r="E715" s="4">
        <v>46108</v>
      </c>
      <c r="F715" s="1" t="s">
        <v>162</v>
      </c>
      <c r="G715" s="1" t="s">
        <v>3444</v>
      </c>
      <c r="H715" s="1" t="s">
        <v>3408</v>
      </c>
      <c r="I715" s="1" t="s">
        <v>61</v>
      </c>
      <c r="J715" s="1" t="s">
        <v>163</v>
      </c>
      <c r="K715" s="1" t="s">
        <v>2267</v>
      </c>
      <c r="L715" s="1" t="s">
        <v>165</v>
      </c>
      <c r="M715" s="1">
        <v>-3039.21</v>
      </c>
      <c r="N715" s="1" t="s">
        <v>38</v>
      </c>
      <c r="O715" s="1">
        <v>100</v>
      </c>
      <c r="P715" s="1">
        <v>303921</v>
      </c>
      <c r="Q715" s="1">
        <v>0</v>
      </c>
      <c r="R715" s="7">
        <v>0</v>
      </c>
      <c r="S715" s="1">
        <v>8</v>
      </c>
      <c r="T715" s="1">
        <v>8</v>
      </c>
      <c r="U715" s="1">
        <v>0</v>
      </c>
      <c r="V715" s="1" t="s">
        <v>87</v>
      </c>
      <c r="W715" s="1" t="s">
        <v>40</v>
      </c>
      <c r="X715" s="1" t="s">
        <v>105</v>
      </c>
      <c r="Y715" s="1"/>
      <c r="Z715" s="1" t="s">
        <v>107</v>
      </c>
      <c r="AA715" s="1" t="s">
        <v>206</v>
      </c>
      <c r="AB715" s="1" t="s">
        <v>95</v>
      </c>
      <c r="AC715" s="1"/>
      <c r="AD715" s="1">
        <v>2.2000000000000002</v>
      </c>
      <c r="AE715" s="1" t="s">
        <v>115</v>
      </c>
      <c r="AF715" s="1"/>
    </row>
    <row r="716" spans="1:32" ht="18" customHeight="1">
      <c r="A716" s="1" t="s">
        <v>2268</v>
      </c>
      <c r="B716" s="1" t="s">
        <v>2269</v>
      </c>
      <c r="C716" s="4">
        <v>46034</v>
      </c>
      <c r="D716" s="4">
        <v>46047</v>
      </c>
      <c r="E716" s="4">
        <v>46055</v>
      </c>
      <c r="F716" s="1" t="s">
        <v>48</v>
      </c>
      <c r="G716" s="1" t="s">
        <v>232</v>
      </c>
      <c r="H716" s="1" t="s">
        <v>3322</v>
      </c>
      <c r="I716" s="1" t="s">
        <v>61</v>
      </c>
      <c r="J716" s="1" t="s">
        <v>50</v>
      </c>
      <c r="K716" s="1" t="s">
        <v>2270</v>
      </c>
      <c r="L716" s="1" t="s">
        <v>52</v>
      </c>
      <c r="M716" s="1">
        <v>2035.62</v>
      </c>
      <c r="N716" s="1" t="s">
        <v>53</v>
      </c>
      <c r="O716" s="1">
        <v>75</v>
      </c>
      <c r="P716" s="1">
        <v>152671.5</v>
      </c>
      <c r="Q716" s="1">
        <v>0</v>
      </c>
      <c r="R716" s="7">
        <v>0</v>
      </c>
      <c r="S716" s="1">
        <v>21</v>
      </c>
      <c r="T716" s="1">
        <v>13</v>
      </c>
      <c r="U716" s="1">
        <v>8</v>
      </c>
      <c r="V716" s="1" t="s">
        <v>205</v>
      </c>
      <c r="W716" s="1" t="s">
        <v>40</v>
      </c>
      <c r="X716" s="1" t="s">
        <v>146</v>
      </c>
      <c r="Y716" s="1" t="s">
        <v>3334</v>
      </c>
      <c r="Z716" s="1" t="s">
        <v>107</v>
      </c>
      <c r="AA716" s="1" t="s">
        <v>174</v>
      </c>
      <c r="AB716" s="1" t="s">
        <v>137</v>
      </c>
      <c r="AC716" s="1"/>
      <c r="AD716" s="1">
        <v>2.1</v>
      </c>
      <c r="AE716" s="1" t="s">
        <v>184</v>
      </c>
      <c r="AF716" s="1" t="s">
        <v>148</v>
      </c>
    </row>
    <row r="717" spans="1:32" ht="18" customHeight="1">
      <c r="A717" s="1" t="s">
        <v>2271</v>
      </c>
      <c r="B717" s="1" t="s">
        <v>2272</v>
      </c>
      <c r="C717" s="4" t="s">
        <v>3721</v>
      </c>
      <c r="D717" s="4"/>
      <c r="E717" s="4">
        <v>46204</v>
      </c>
      <c r="F717" s="1" t="s">
        <v>80</v>
      </c>
      <c r="G717" s="1" t="s">
        <v>81</v>
      </c>
      <c r="H717" s="1" t="s">
        <v>82</v>
      </c>
      <c r="I717" s="1" t="s">
        <v>120</v>
      </c>
      <c r="J717" s="1" t="s">
        <v>35</v>
      </c>
      <c r="K717" s="1" t="s">
        <v>2273</v>
      </c>
      <c r="L717" s="1" t="s">
        <v>85</v>
      </c>
      <c r="M717" s="1">
        <v>511.91</v>
      </c>
      <c r="N717" s="1" t="s">
        <v>86</v>
      </c>
      <c r="O717" s="1">
        <v>1000</v>
      </c>
      <c r="P717" s="1">
        <v>511910</v>
      </c>
      <c r="Q717" s="1">
        <v>25</v>
      </c>
      <c r="R717" s="7">
        <v>2.5000000000000001E-2</v>
      </c>
      <c r="S717" s="1">
        <v>9</v>
      </c>
      <c r="T717" s="1">
        <v>13</v>
      </c>
      <c r="U717" s="1">
        <v>-4</v>
      </c>
      <c r="V717" s="1" t="s">
        <v>3337</v>
      </c>
      <c r="W717" s="1" t="s">
        <v>40</v>
      </c>
      <c r="X717" s="1"/>
      <c r="Y717" s="1" t="s">
        <v>212</v>
      </c>
      <c r="Z717" s="1" t="s">
        <v>173</v>
      </c>
      <c r="AA717" s="1" t="s">
        <v>174</v>
      </c>
      <c r="AB717" s="1" t="s">
        <v>147</v>
      </c>
      <c r="AC717" s="1"/>
      <c r="AD717" s="1">
        <v>2.2999999999999998</v>
      </c>
      <c r="AE717" s="1" t="s">
        <v>45</v>
      </c>
      <c r="AF717" s="1" t="s">
        <v>130</v>
      </c>
    </row>
    <row r="718" spans="1:32" ht="18" customHeight="1">
      <c r="A718" s="1" t="s">
        <v>2274</v>
      </c>
      <c r="B718" s="1" t="s">
        <v>2275</v>
      </c>
      <c r="C718" s="4" t="s">
        <v>3602</v>
      </c>
      <c r="D718" s="4">
        <v>46138</v>
      </c>
      <c r="E718" s="4">
        <v>46139</v>
      </c>
      <c r="F718" s="1" t="s">
        <v>209</v>
      </c>
      <c r="G718" s="1" t="s">
        <v>210</v>
      </c>
      <c r="H718" s="1" t="s">
        <v>316</v>
      </c>
      <c r="I718" s="1" t="s">
        <v>34</v>
      </c>
      <c r="J718" s="1" t="s">
        <v>153</v>
      </c>
      <c r="K718" s="1" t="s">
        <v>2276</v>
      </c>
      <c r="L718" s="1" t="s">
        <v>204</v>
      </c>
      <c r="M718" s="1">
        <v>338.51</v>
      </c>
      <c r="N718" s="1" t="s">
        <v>53</v>
      </c>
      <c r="O718" s="1">
        <v>250</v>
      </c>
      <c r="P718" s="1">
        <v>84627.5</v>
      </c>
      <c r="Q718" s="1">
        <v>8</v>
      </c>
      <c r="R718" s="7">
        <v>3.2000000000000001E-2</v>
      </c>
      <c r="S718" s="1">
        <v>14</v>
      </c>
      <c r="T718" s="1">
        <v>13</v>
      </c>
      <c r="U718" s="1">
        <v>1</v>
      </c>
      <c r="V718" s="1" t="s">
        <v>3323</v>
      </c>
      <c r="W718" s="1" t="s">
        <v>40</v>
      </c>
      <c r="X718" s="1" t="s">
        <v>105</v>
      </c>
      <c r="Y718" s="1" t="s">
        <v>106</v>
      </c>
      <c r="Z718" s="1" t="s">
        <v>3330</v>
      </c>
      <c r="AA718" s="1" t="s">
        <v>206</v>
      </c>
      <c r="AB718" s="1" t="s">
        <v>137</v>
      </c>
      <c r="AC718" s="1"/>
      <c r="AD718" s="1">
        <v>2.7</v>
      </c>
      <c r="AE718" s="1" t="s">
        <v>57</v>
      </c>
      <c r="AF718" s="1" t="s">
        <v>46</v>
      </c>
    </row>
    <row r="719" spans="1:32" ht="18" customHeight="1">
      <c r="A719" s="1" t="s">
        <v>2277</v>
      </c>
      <c r="B719" s="1" t="s">
        <v>2278</v>
      </c>
      <c r="C719" s="4">
        <v>46070</v>
      </c>
      <c r="D719" s="4"/>
      <c r="E719" s="4">
        <v>46082</v>
      </c>
      <c r="F719" s="1" t="s">
        <v>151</v>
      </c>
      <c r="G719" s="1" t="s">
        <v>244</v>
      </c>
      <c r="H719" s="1" t="s">
        <v>152</v>
      </c>
      <c r="I719" s="1" t="s">
        <v>49</v>
      </c>
      <c r="J719" s="1" t="s">
        <v>112</v>
      </c>
      <c r="K719" s="1" t="s">
        <v>2279</v>
      </c>
      <c r="L719" s="1" t="s">
        <v>229</v>
      </c>
      <c r="M719" s="1">
        <v>411.93</v>
      </c>
      <c r="N719" s="1" t="s">
        <v>38</v>
      </c>
      <c r="O719" s="1">
        <v>1500</v>
      </c>
      <c r="P719" s="1">
        <v>617895</v>
      </c>
      <c r="Q719" s="1">
        <v>22</v>
      </c>
      <c r="R719" s="7">
        <v>1.47E-2</v>
      </c>
      <c r="S719" s="1" t="s">
        <v>3406</v>
      </c>
      <c r="T719" s="1">
        <v>4</v>
      </c>
      <c r="U719" s="1">
        <v>8</v>
      </c>
      <c r="V719" s="1" t="s">
        <v>39</v>
      </c>
      <c r="W719" s="1" t="s">
        <v>40</v>
      </c>
      <c r="X719" s="1" t="s">
        <v>105</v>
      </c>
      <c r="Y719" s="1"/>
      <c r="Z719" s="1" t="s">
        <v>173</v>
      </c>
      <c r="AA719" s="1" t="s">
        <v>136</v>
      </c>
      <c r="AB719" s="1" t="s">
        <v>191</v>
      </c>
      <c r="AC719" s="1"/>
      <c r="AD719" s="1">
        <v>1.9</v>
      </c>
      <c r="AE719" s="1" t="s">
        <v>76</v>
      </c>
      <c r="AF719" s="1" t="s">
        <v>46</v>
      </c>
    </row>
    <row r="720" spans="1:32" ht="18" customHeight="1">
      <c r="A720" s="1" t="s">
        <v>2280</v>
      </c>
      <c r="B720" s="1" t="s">
        <v>2281</v>
      </c>
      <c r="C720" s="4">
        <v>46045</v>
      </c>
      <c r="D720" s="4"/>
      <c r="E720" s="4" t="s">
        <v>3619</v>
      </c>
      <c r="F720" s="1" t="s">
        <v>235</v>
      </c>
      <c r="G720" s="1" t="s">
        <v>236</v>
      </c>
      <c r="H720" s="1" t="s">
        <v>3371</v>
      </c>
      <c r="I720" s="1" t="s">
        <v>83</v>
      </c>
      <c r="J720" s="1" t="s">
        <v>71</v>
      </c>
      <c r="K720" s="1" t="s">
        <v>2282</v>
      </c>
      <c r="L720" s="1" t="s">
        <v>337</v>
      </c>
      <c r="M720" s="1">
        <v>617.99</v>
      </c>
      <c r="N720" s="1" t="s">
        <v>65</v>
      </c>
      <c r="O720" s="1">
        <v>75</v>
      </c>
      <c r="P720" s="1">
        <v>46349.25</v>
      </c>
      <c r="Q720" s="1">
        <v>0</v>
      </c>
      <c r="R720" s="7">
        <v>0</v>
      </c>
      <c r="S720" s="1">
        <v>22</v>
      </c>
      <c r="T720" s="1">
        <v>18</v>
      </c>
      <c r="U720" s="1">
        <v>4</v>
      </c>
      <c r="V720" s="1" t="s">
        <v>205</v>
      </c>
      <c r="W720" s="1" t="s">
        <v>649</v>
      </c>
      <c r="X720" s="1" t="s">
        <v>3324</v>
      </c>
      <c r="Y720" s="1" t="s">
        <v>66</v>
      </c>
      <c r="Z720" s="1" t="s">
        <v>173</v>
      </c>
      <c r="AA720" s="1"/>
      <c r="AB720" s="1"/>
      <c r="AC720" s="1"/>
      <c r="AD720" s="1">
        <v>2.5</v>
      </c>
      <c r="AE720" s="1" t="s">
        <v>76</v>
      </c>
      <c r="AF720" s="1" t="s">
        <v>46</v>
      </c>
    </row>
    <row r="721" spans="1:32" ht="18" hidden="1" customHeight="1">
      <c r="A721" s="1" t="s">
        <v>2283</v>
      </c>
      <c r="B721" s="1" t="s">
        <v>2284</v>
      </c>
      <c r="C721" s="4">
        <v>46057</v>
      </c>
      <c r="D721" s="1">
        <v>46075</v>
      </c>
      <c r="E721" s="1">
        <v>46078</v>
      </c>
      <c r="F721" s="1" t="s">
        <v>256</v>
      </c>
      <c r="G721" s="1" t="s">
        <v>257</v>
      </c>
      <c r="H721" s="1" t="s">
        <v>3420</v>
      </c>
      <c r="I721" s="1" t="s">
        <v>92</v>
      </c>
      <c r="J721" s="1" t="s">
        <v>153</v>
      </c>
      <c r="K721" s="1" t="s">
        <v>2285</v>
      </c>
      <c r="L721" s="1" t="s">
        <v>204</v>
      </c>
      <c r="M721" s="1" t="s">
        <v>3722</v>
      </c>
      <c r="N721" s="1" t="s">
        <v>86</v>
      </c>
      <c r="O721" s="1">
        <v>150</v>
      </c>
      <c r="P721" s="1">
        <v>61965</v>
      </c>
      <c r="Q721" s="1">
        <v>9</v>
      </c>
      <c r="R721" s="7">
        <v>0.06</v>
      </c>
      <c r="S721" s="1">
        <v>21</v>
      </c>
      <c r="T721" s="1">
        <v>18</v>
      </c>
      <c r="U721" s="1">
        <v>3</v>
      </c>
      <c r="V721" s="1" t="s">
        <v>3323</v>
      </c>
      <c r="W721" s="1" t="s">
        <v>366</v>
      </c>
      <c r="X721" s="1" t="s">
        <v>146</v>
      </c>
      <c r="Y721" s="1" t="s">
        <v>190</v>
      </c>
      <c r="Z721" s="1"/>
      <c r="AA721" s="1" t="s">
        <v>206</v>
      </c>
      <c r="AB721" s="1" t="s">
        <v>137</v>
      </c>
      <c r="AC721" s="1" t="s">
        <v>373</v>
      </c>
      <c r="AD721" s="1">
        <v>2.1</v>
      </c>
      <c r="AE721" s="1" t="s">
        <v>184</v>
      </c>
      <c r="AF721" s="1" t="s">
        <v>185</v>
      </c>
    </row>
    <row r="722" spans="1:32" ht="18" customHeight="1">
      <c r="A722" s="1" t="s">
        <v>2286</v>
      </c>
      <c r="B722" s="1" t="s">
        <v>2287</v>
      </c>
      <c r="C722" s="4">
        <v>46060</v>
      </c>
      <c r="D722" s="4" t="s">
        <v>3400</v>
      </c>
      <c r="E722" s="4" t="s">
        <v>3603</v>
      </c>
      <c r="F722" s="1" t="s">
        <v>100</v>
      </c>
      <c r="G722" s="1" t="s">
        <v>101</v>
      </c>
      <c r="H722" s="1" t="s">
        <v>102</v>
      </c>
      <c r="I722" s="1" t="s">
        <v>92</v>
      </c>
      <c r="J722" s="1" t="s">
        <v>153</v>
      </c>
      <c r="K722" s="1" t="s">
        <v>2288</v>
      </c>
      <c r="L722" s="1" t="s">
        <v>295</v>
      </c>
      <c r="M722" s="1">
        <v>631.92999999999995</v>
      </c>
      <c r="N722" s="1" t="s">
        <v>53</v>
      </c>
      <c r="O722" s="1">
        <v>200</v>
      </c>
      <c r="P722" s="1">
        <v>126386</v>
      </c>
      <c r="Q722" s="1">
        <v>1</v>
      </c>
      <c r="R722" s="7">
        <v>5.0000000000000001E-3</v>
      </c>
      <c r="S722" s="1">
        <v>8</v>
      </c>
      <c r="T722" s="1">
        <v>9</v>
      </c>
      <c r="U722" s="1">
        <v>-1</v>
      </c>
      <c r="V722" s="1" t="s">
        <v>3352</v>
      </c>
      <c r="W722" s="1" t="s">
        <v>40</v>
      </c>
      <c r="X722" s="1" t="s">
        <v>105</v>
      </c>
      <c r="Y722" s="1" t="s">
        <v>212</v>
      </c>
      <c r="Z722" s="1"/>
      <c r="AA722" s="1" t="s">
        <v>206</v>
      </c>
      <c r="AB722" s="1" t="s">
        <v>95</v>
      </c>
      <c r="AC722" s="1"/>
      <c r="AD722" s="1">
        <v>4.3</v>
      </c>
      <c r="AE722" s="1" t="s">
        <v>115</v>
      </c>
      <c r="AF722" s="1"/>
    </row>
    <row r="723" spans="1:32" ht="18" hidden="1" customHeight="1">
      <c r="A723" s="1" t="s">
        <v>2012</v>
      </c>
      <c r="B723" s="1" t="s">
        <v>2289</v>
      </c>
      <c r="C723" s="4" t="s">
        <v>3406</v>
      </c>
      <c r="D723" s="1">
        <v>46100</v>
      </c>
      <c r="E723" s="1">
        <v>46111</v>
      </c>
      <c r="F723" s="1" t="s">
        <v>256</v>
      </c>
      <c r="G723" s="1" t="s">
        <v>257</v>
      </c>
      <c r="H723" s="1" t="s">
        <v>3410</v>
      </c>
      <c r="I723" s="1" t="s">
        <v>120</v>
      </c>
      <c r="J723" s="1" t="s">
        <v>50</v>
      </c>
      <c r="K723" s="1" t="s">
        <v>2290</v>
      </c>
      <c r="L723" s="1" t="s">
        <v>52</v>
      </c>
      <c r="M723" s="1">
        <v>549.89</v>
      </c>
      <c r="N723" s="1" t="s">
        <v>104</v>
      </c>
      <c r="O723" s="1">
        <v>500</v>
      </c>
      <c r="P723" s="1">
        <v>274945</v>
      </c>
      <c r="Q723" s="1">
        <v>25</v>
      </c>
      <c r="R723" s="7">
        <v>0.05</v>
      </c>
      <c r="S723" s="1">
        <v>23</v>
      </c>
      <c r="T723" s="1">
        <v>12</v>
      </c>
      <c r="U723" s="1">
        <v>11</v>
      </c>
      <c r="V723" s="1" t="s">
        <v>205</v>
      </c>
      <c r="W723" s="1" t="s">
        <v>74</v>
      </c>
      <c r="X723" s="1" t="s">
        <v>127</v>
      </c>
      <c r="Y723" s="1" t="s">
        <v>3334</v>
      </c>
      <c r="Z723" s="1" t="s">
        <v>3330</v>
      </c>
      <c r="AA723" s="1" t="s">
        <v>3341</v>
      </c>
      <c r="AB723" s="1" t="s">
        <v>137</v>
      </c>
      <c r="AC723" s="1" t="s">
        <v>373</v>
      </c>
      <c r="AD723" s="1">
        <v>1</v>
      </c>
      <c r="AE723" s="1" t="s">
        <v>108</v>
      </c>
      <c r="AF723" s="1" t="s">
        <v>185</v>
      </c>
    </row>
    <row r="724" spans="1:32" ht="18" hidden="1" customHeight="1">
      <c r="A724" s="1" t="s">
        <v>2291</v>
      </c>
      <c r="B724" s="1" t="s">
        <v>2292</v>
      </c>
      <c r="C724" s="4" t="s">
        <v>3720</v>
      </c>
      <c r="D724" s="1">
        <v>46116</v>
      </c>
      <c r="E724" s="1" t="s">
        <v>3550</v>
      </c>
      <c r="F724" s="1" t="s">
        <v>235</v>
      </c>
      <c r="G724" s="1" t="s">
        <v>236</v>
      </c>
      <c r="H724" s="1"/>
      <c r="I724" s="1" t="s">
        <v>70</v>
      </c>
      <c r="J724" s="1" t="s">
        <v>71</v>
      </c>
      <c r="K724" s="1" t="s">
        <v>2293</v>
      </c>
      <c r="L724" s="1" t="s">
        <v>73</v>
      </c>
      <c r="M724" s="1">
        <v>517.71</v>
      </c>
      <c r="N724" s="1" t="s">
        <v>38</v>
      </c>
      <c r="O724" s="1">
        <v>1500</v>
      </c>
      <c r="P724" s="1">
        <v>776565</v>
      </c>
      <c r="Q724" s="1">
        <v>90</v>
      </c>
      <c r="R724" s="7">
        <v>0.06</v>
      </c>
      <c r="S724" s="1">
        <v>20</v>
      </c>
      <c r="T724" s="1">
        <v>16</v>
      </c>
      <c r="U724" s="1">
        <v>4</v>
      </c>
      <c r="V724" s="1" t="s">
        <v>3328</v>
      </c>
      <c r="W724" s="1" t="s">
        <v>366</v>
      </c>
      <c r="X724" s="1" t="s">
        <v>127</v>
      </c>
      <c r="Y724" s="1" t="s">
        <v>106</v>
      </c>
      <c r="Z724" s="1" t="s">
        <v>54</v>
      </c>
      <c r="AA724" s="1" t="s">
        <v>55</v>
      </c>
      <c r="AB724" s="1" t="s">
        <v>44</v>
      </c>
      <c r="AC724" s="1" t="s">
        <v>75</v>
      </c>
      <c r="AD724" s="1">
        <v>2</v>
      </c>
      <c r="AE724" s="1" t="s">
        <v>184</v>
      </c>
      <c r="AF724" s="1" t="s">
        <v>185</v>
      </c>
    </row>
    <row r="725" spans="1:32" ht="18" customHeight="1">
      <c r="A725" s="1" t="s">
        <v>2294</v>
      </c>
      <c r="B725" s="1" t="s">
        <v>2295</v>
      </c>
      <c r="C725" s="4">
        <v>46148</v>
      </c>
      <c r="D725" s="4">
        <v>46157</v>
      </c>
      <c r="E725" s="4">
        <v>46159</v>
      </c>
      <c r="F725" s="1" t="s">
        <v>151</v>
      </c>
      <c r="G725" s="1" t="s">
        <v>3351</v>
      </c>
      <c r="H725" s="1" t="s">
        <v>3354</v>
      </c>
      <c r="I725" s="1" t="s">
        <v>61</v>
      </c>
      <c r="J725" s="1" t="s">
        <v>112</v>
      </c>
      <c r="K725" s="1" t="s">
        <v>2296</v>
      </c>
      <c r="L725" s="1" t="s">
        <v>246</v>
      </c>
      <c r="M725" s="1">
        <v>821.5</v>
      </c>
      <c r="N725" s="1" t="s">
        <v>38</v>
      </c>
      <c r="O725" s="1">
        <v>75</v>
      </c>
      <c r="P725" s="1">
        <v>61612.5</v>
      </c>
      <c r="Q725" s="1">
        <v>1</v>
      </c>
      <c r="R725" s="7">
        <v>1.3299999999999999E-2</v>
      </c>
      <c r="S725" s="1">
        <v>11</v>
      </c>
      <c r="T725" s="1">
        <v>9</v>
      </c>
      <c r="U725" s="1">
        <v>2</v>
      </c>
      <c r="V725" s="1" t="s">
        <v>135</v>
      </c>
      <c r="W725" s="1" t="s">
        <v>40</v>
      </c>
      <c r="X725" s="1" t="s">
        <v>105</v>
      </c>
      <c r="Y725" s="1" t="s">
        <v>190</v>
      </c>
      <c r="Z725" s="1" t="s">
        <v>107</v>
      </c>
      <c r="AA725" s="1" t="s">
        <v>55</v>
      </c>
      <c r="AB725" s="1" t="s">
        <v>147</v>
      </c>
      <c r="AC725" s="1"/>
      <c r="AD725" s="1">
        <v>4.9000000000000004</v>
      </c>
      <c r="AE725" s="1" t="s">
        <v>184</v>
      </c>
      <c r="AF725" s="1" t="s">
        <v>46</v>
      </c>
    </row>
    <row r="726" spans="1:32" ht="18" hidden="1" customHeight="1">
      <c r="A726" s="1" t="s">
        <v>2297</v>
      </c>
      <c r="B726" s="1" t="s">
        <v>2298</v>
      </c>
      <c r="C726" s="4">
        <v>46159</v>
      </c>
      <c r="D726" s="1">
        <v>46166</v>
      </c>
      <c r="E726" s="1">
        <v>46163</v>
      </c>
      <c r="F726" s="1" t="s">
        <v>69</v>
      </c>
      <c r="G726" s="1" t="s">
        <v>3331</v>
      </c>
      <c r="H726" s="1" t="s">
        <v>194</v>
      </c>
      <c r="I726" s="1" t="s">
        <v>34</v>
      </c>
      <c r="J726" s="1" t="s">
        <v>112</v>
      </c>
      <c r="K726" s="1" t="s">
        <v>2299</v>
      </c>
      <c r="L726" s="1" t="s">
        <v>218</v>
      </c>
      <c r="M726" s="1">
        <v>164.7</v>
      </c>
      <c r="N726" s="1"/>
      <c r="O726" s="1">
        <v>200</v>
      </c>
      <c r="P726" s="1">
        <v>32940</v>
      </c>
      <c r="Q726" s="1">
        <v>11</v>
      </c>
      <c r="R726" s="7">
        <v>5.5E-2</v>
      </c>
      <c r="S726" s="1">
        <v>4</v>
      </c>
      <c r="T726" s="1">
        <v>7</v>
      </c>
      <c r="U726" s="1">
        <v>-3</v>
      </c>
      <c r="V726" s="1" t="s">
        <v>3337</v>
      </c>
      <c r="W726" s="1" t="s">
        <v>420</v>
      </c>
      <c r="X726" s="1" t="s">
        <v>3324</v>
      </c>
      <c r="Y726" s="1"/>
      <c r="Z726" s="1" t="s">
        <v>54</v>
      </c>
      <c r="AA726" s="1" t="s">
        <v>129</v>
      </c>
      <c r="AB726" s="1" t="s">
        <v>95</v>
      </c>
      <c r="AC726" s="1" t="s">
        <v>183</v>
      </c>
      <c r="AD726" s="1">
        <v>2.7</v>
      </c>
      <c r="AE726" s="1" t="s">
        <v>115</v>
      </c>
      <c r="AF726" s="1" t="s">
        <v>97</v>
      </c>
    </row>
    <row r="727" spans="1:32" ht="18" customHeight="1">
      <c r="A727" s="1" t="s">
        <v>2300</v>
      </c>
      <c r="B727" s="1" t="s">
        <v>2301</v>
      </c>
      <c r="C727" s="4">
        <v>46032</v>
      </c>
      <c r="D727" s="4">
        <v>46039</v>
      </c>
      <c r="E727" s="4">
        <v>46042</v>
      </c>
      <c r="F727" s="1" t="s">
        <v>162</v>
      </c>
      <c r="G727" s="1" t="s">
        <v>3382</v>
      </c>
      <c r="H727" s="1" t="s">
        <v>3408</v>
      </c>
      <c r="I727" s="1" t="s">
        <v>61</v>
      </c>
      <c r="J727" s="1" t="s">
        <v>163</v>
      </c>
      <c r="K727" s="1" t="s">
        <v>2302</v>
      </c>
      <c r="L727" s="1" t="s">
        <v>171</v>
      </c>
      <c r="M727" s="1">
        <v>-984.83</v>
      </c>
      <c r="N727" s="1" t="s">
        <v>86</v>
      </c>
      <c r="O727" s="1">
        <v>50</v>
      </c>
      <c r="P727" s="1">
        <v>49241.5</v>
      </c>
      <c r="Q727" s="1">
        <v>0</v>
      </c>
      <c r="R727" s="7">
        <v>0</v>
      </c>
      <c r="S727" s="1">
        <v>10</v>
      </c>
      <c r="T727" s="1">
        <v>7</v>
      </c>
      <c r="U727" s="1">
        <v>3</v>
      </c>
      <c r="V727" s="1" t="s">
        <v>166</v>
      </c>
      <c r="W727" s="1" t="s">
        <v>40</v>
      </c>
      <c r="X727" s="1"/>
      <c r="Y727" s="1" t="s">
        <v>190</v>
      </c>
      <c r="Z727" s="1" t="s">
        <v>128</v>
      </c>
      <c r="AA727" s="1" t="s">
        <v>88</v>
      </c>
      <c r="AB727" s="1" t="s">
        <v>95</v>
      </c>
      <c r="AC727" s="1"/>
      <c r="AD727" s="1"/>
      <c r="AE727" s="1" t="s">
        <v>76</v>
      </c>
      <c r="AF727" s="1" t="s">
        <v>148</v>
      </c>
    </row>
    <row r="728" spans="1:32" ht="18" customHeight="1">
      <c r="A728" s="1" t="s">
        <v>2303</v>
      </c>
      <c r="B728" s="1" t="s">
        <v>2304</v>
      </c>
      <c r="C728" s="4">
        <v>46145</v>
      </c>
      <c r="D728" s="4">
        <v>46152</v>
      </c>
      <c r="E728" s="4">
        <v>46155</v>
      </c>
      <c r="F728" s="1" t="s">
        <v>60</v>
      </c>
      <c r="G728" s="1" t="s">
        <v>3488</v>
      </c>
      <c r="H728" s="1" t="s">
        <v>152</v>
      </c>
      <c r="I728" s="1" t="s">
        <v>34</v>
      </c>
      <c r="J728" s="1" t="s">
        <v>62</v>
      </c>
      <c r="K728" s="1" t="s">
        <v>2305</v>
      </c>
      <c r="L728" s="1" t="s">
        <v>94</v>
      </c>
      <c r="M728" s="1">
        <v>35.99</v>
      </c>
      <c r="N728" s="1" t="s">
        <v>38</v>
      </c>
      <c r="O728" s="1">
        <v>1000</v>
      </c>
      <c r="P728" s="1">
        <v>35990</v>
      </c>
      <c r="Q728" s="1">
        <v>0</v>
      </c>
      <c r="R728" s="7">
        <v>0</v>
      </c>
      <c r="S728" s="1">
        <v>10</v>
      </c>
      <c r="T728" s="1">
        <v>7</v>
      </c>
      <c r="U728" s="1">
        <v>3</v>
      </c>
      <c r="V728" s="1" t="s">
        <v>3323</v>
      </c>
      <c r="W728" s="1" t="s">
        <v>40</v>
      </c>
      <c r="X728" s="1" t="s">
        <v>105</v>
      </c>
      <c r="Y728" s="1" t="s">
        <v>3334</v>
      </c>
      <c r="Z728" s="1"/>
      <c r="AA728" s="1" t="s">
        <v>174</v>
      </c>
      <c r="AB728" s="1" t="s">
        <v>191</v>
      </c>
      <c r="AC728" s="1"/>
      <c r="AD728" s="1">
        <v>2.7</v>
      </c>
      <c r="AE728" s="1" t="s">
        <v>184</v>
      </c>
      <c r="AF728" s="1" t="s">
        <v>46</v>
      </c>
    </row>
    <row r="729" spans="1:32" ht="18" hidden="1" customHeight="1">
      <c r="A729" s="1" t="s">
        <v>2306</v>
      </c>
      <c r="B729" s="1" t="s">
        <v>2307</v>
      </c>
      <c r="C729" s="4">
        <v>46056</v>
      </c>
      <c r="D729" s="1">
        <v>46074</v>
      </c>
      <c r="E729" s="1">
        <v>46086</v>
      </c>
      <c r="F729" s="1" t="s">
        <v>142</v>
      </c>
      <c r="G729" s="1" t="s">
        <v>143</v>
      </c>
      <c r="H729" s="1" t="s">
        <v>169</v>
      </c>
      <c r="I729" s="1" t="s">
        <v>83</v>
      </c>
      <c r="J729" s="1" t="s">
        <v>50</v>
      </c>
      <c r="K729" s="1" t="s">
        <v>2308</v>
      </c>
      <c r="L729" s="1" t="s">
        <v>189</v>
      </c>
      <c r="M729" s="1">
        <v>1793</v>
      </c>
      <c r="N729" s="1" t="s">
        <v>38</v>
      </c>
      <c r="O729" s="1">
        <v>50</v>
      </c>
      <c r="P729" s="1">
        <v>89650</v>
      </c>
      <c r="Q729" s="1">
        <v>3</v>
      </c>
      <c r="R729" s="7">
        <v>0.06</v>
      </c>
      <c r="S729" s="1">
        <v>30</v>
      </c>
      <c r="T729" s="1">
        <v>18</v>
      </c>
      <c r="U729" s="1">
        <v>12</v>
      </c>
      <c r="V729" s="1" t="s">
        <v>39</v>
      </c>
      <c r="W729" s="1" t="s">
        <v>420</v>
      </c>
      <c r="X729" s="1"/>
      <c r="Y729" s="1" t="s">
        <v>212</v>
      </c>
      <c r="Z729" s="1" t="s">
        <v>107</v>
      </c>
      <c r="AA729" s="1" t="s">
        <v>55</v>
      </c>
      <c r="AB729" s="1" t="s">
        <v>147</v>
      </c>
      <c r="AC729" s="1" t="s">
        <v>373</v>
      </c>
      <c r="AD729" s="1"/>
      <c r="AE729" s="1" t="s">
        <v>139</v>
      </c>
      <c r="AF729" s="1" t="s">
        <v>185</v>
      </c>
    </row>
    <row r="730" spans="1:32" ht="18" customHeight="1">
      <c r="A730" s="1" t="s">
        <v>2309</v>
      </c>
      <c r="B730" s="1" t="s">
        <v>2310</v>
      </c>
      <c r="C730" s="4">
        <v>46149</v>
      </c>
      <c r="D730" s="4">
        <v>46160</v>
      </c>
      <c r="E730" s="4">
        <v>46161</v>
      </c>
      <c r="F730" s="1" t="s">
        <v>215</v>
      </c>
      <c r="G730" s="1" t="s">
        <v>216</v>
      </c>
      <c r="H730" s="1" t="s">
        <v>3354</v>
      </c>
      <c r="I730" s="1" t="s">
        <v>70</v>
      </c>
      <c r="J730" s="1" t="s">
        <v>112</v>
      </c>
      <c r="K730" s="1" t="s">
        <v>1139</v>
      </c>
      <c r="L730" s="1" t="s">
        <v>218</v>
      </c>
      <c r="M730" s="1">
        <v>10.78</v>
      </c>
      <c r="N730" s="1" t="s">
        <v>159</v>
      </c>
      <c r="O730" s="1">
        <v>1500</v>
      </c>
      <c r="P730" s="1">
        <v>16170</v>
      </c>
      <c r="Q730" s="1">
        <v>12</v>
      </c>
      <c r="R730" s="7">
        <v>8.0000000000000002E-3</v>
      </c>
      <c r="S730" s="1" t="s">
        <v>3723</v>
      </c>
      <c r="T730" s="1">
        <v>11</v>
      </c>
      <c r="U730" s="1">
        <v>1</v>
      </c>
      <c r="V730" s="1" t="s">
        <v>3323</v>
      </c>
      <c r="W730" s="1" t="s">
        <v>40</v>
      </c>
      <c r="X730" s="1" t="s">
        <v>105</v>
      </c>
      <c r="Y730" s="1" t="s">
        <v>3334</v>
      </c>
      <c r="Z730" s="1" t="s">
        <v>3333</v>
      </c>
      <c r="AA730" s="1" t="s">
        <v>174</v>
      </c>
      <c r="AB730" s="1" t="s">
        <v>56</v>
      </c>
      <c r="AC730" s="1"/>
      <c r="AD730" s="1">
        <v>4.0999999999999996</v>
      </c>
      <c r="AE730" s="1" t="s">
        <v>57</v>
      </c>
      <c r="AF730" s="1" t="s">
        <v>46</v>
      </c>
    </row>
    <row r="731" spans="1:32" ht="18" customHeight="1">
      <c r="A731" s="1" t="s">
        <v>2311</v>
      </c>
      <c r="B731" s="1" t="s">
        <v>2312</v>
      </c>
      <c r="C731" s="4">
        <v>46200</v>
      </c>
      <c r="D731" s="4">
        <v>46212</v>
      </c>
      <c r="E731" s="4">
        <v>46216</v>
      </c>
      <c r="F731" s="1" t="s">
        <v>69</v>
      </c>
      <c r="G731" s="1" t="s">
        <v>3331</v>
      </c>
      <c r="H731" s="1" t="s">
        <v>3332</v>
      </c>
      <c r="I731" s="1" t="s">
        <v>178</v>
      </c>
      <c r="J731" s="1" t="s">
        <v>112</v>
      </c>
      <c r="K731" s="1" t="s">
        <v>2313</v>
      </c>
      <c r="L731" s="1" t="s">
        <v>246</v>
      </c>
      <c r="M731" s="1">
        <v>162.62</v>
      </c>
      <c r="N731" s="1" t="s">
        <v>53</v>
      </c>
      <c r="O731" s="1">
        <v>-750</v>
      </c>
      <c r="P731" s="1">
        <v>121965</v>
      </c>
      <c r="Q731" s="1">
        <v>27</v>
      </c>
      <c r="R731" s="7">
        <v>3.5999999999999997E-2</v>
      </c>
      <c r="S731" s="1">
        <v>16</v>
      </c>
      <c r="T731" s="1">
        <v>12</v>
      </c>
      <c r="U731" s="1">
        <v>4</v>
      </c>
      <c r="V731" s="1" t="s">
        <v>39</v>
      </c>
      <c r="W731" s="1" t="s">
        <v>40</v>
      </c>
      <c r="X731" s="1" t="s">
        <v>41</v>
      </c>
      <c r="Y731" s="1" t="s">
        <v>212</v>
      </c>
      <c r="Z731" s="1"/>
      <c r="AA731" s="1" t="s">
        <v>206</v>
      </c>
      <c r="AB731" s="1" t="s">
        <v>56</v>
      </c>
      <c r="AC731" s="1"/>
      <c r="AD731" s="1" t="s">
        <v>3431</v>
      </c>
      <c r="AE731" s="1" t="s">
        <v>45</v>
      </c>
      <c r="AF731" s="1" t="s">
        <v>46</v>
      </c>
    </row>
    <row r="732" spans="1:32" ht="18" customHeight="1">
      <c r="A732" s="1" t="s">
        <v>2314</v>
      </c>
      <c r="B732" s="1" t="s">
        <v>2315</v>
      </c>
      <c r="C732" s="4">
        <v>46058</v>
      </c>
      <c r="D732" s="4" t="s">
        <v>3724</v>
      </c>
      <c r="E732" s="4">
        <v>46080</v>
      </c>
      <c r="F732" s="1" t="s">
        <v>209</v>
      </c>
      <c r="G732" s="1" t="s">
        <v>3482</v>
      </c>
      <c r="H732" s="1" t="s">
        <v>3365</v>
      </c>
      <c r="I732" s="1" t="s">
        <v>241</v>
      </c>
      <c r="J732" s="1" t="s">
        <v>163</v>
      </c>
      <c r="K732" s="1" t="s">
        <v>2316</v>
      </c>
      <c r="L732" s="1" t="s">
        <v>171</v>
      </c>
      <c r="M732" s="1">
        <v>1902.2</v>
      </c>
      <c r="N732" s="1" t="s">
        <v>53</v>
      </c>
      <c r="O732" s="1">
        <v>75</v>
      </c>
      <c r="P732" s="1" t="s">
        <v>3725</v>
      </c>
      <c r="Q732" s="1">
        <v>2</v>
      </c>
      <c r="R732" s="7">
        <v>2.6700000000000002E-2</v>
      </c>
      <c r="S732" s="1">
        <v>22</v>
      </c>
      <c r="T732" s="1">
        <v>9</v>
      </c>
      <c r="U732" s="1">
        <v>13</v>
      </c>
      <c r="V732" s="1" t="s">
        <v>3328</v>
      </c>
      <c r="W732" s="1" t="s">
        <v>40</v>
      </c>
      <c r="X732" s="1" t="s">
        <v>41</v>
      </c>
      <c r="Y732" s="1" t="s">
        <v>190</v>
      </c>
      <c r="Z732" s="1"/>
      <c r="AA732" s="1" t="s">
        <v>129</v>
      </c>
      <c r="AB732" s="1"/>
      <c r="AC732" s="1"/>
      <c r="AD732" s="1">
        <v>1.1000000000000001</v>
      </c>
      <c r="AE732" s="1" t="s">
        <v>108</v>
      </c>
      <c r="AF732" s="1" t="s">
        <v>46</v>
      </c>
    </row>
    <row r="733" spans="1:32" ht="18" customHeight="1">
      <c r="A733" s="1" t="s">
        <v>2317</v>
      </c>
      <c r="B733" s="1" t="s">
        <v>2318</v>
      </c>
      <c r="C733" s="4">
        <v>46161</v>
      </c>
      <c r="D733" s="4">
        <v>46166</v>
      </c>
      <c r="E733" s="4">
        <v>46168</v>
      </c>
      <c r="F733" s="1" t="s">
        <v>151</v>
      </c>
      <c r="G733" s="1" t="s">
        <v>244</v>
      </c>
      <c r="H733" s="1" t="s">
        <v>152</v>
      </c>
      <c r="I733" s="1" t="s">
        <v>92</v>
      </c>
      <c r="J733" s="1" t="s">
        <v>163</v>
      </c>
      <c r="K733" s="1" t="s">
        <v>2319</v>
      </c>
      <c r="L733" s="1" t="s">
        <v>253</v>
      </c>
      <c r="M733" s="1"/>
      <c r="N733" s="1" t="s">
        <v>38</v>
      </c>
      <c r="O733" s="1">
        <v>1500</v>
      </c>
      <c r="P733" s="1">
        <v>3828540</v>
      </c>
      <c r="Q733" s="1">
        <v>26</v>
      </c>
      <c r="R733" s="7">
        <v>1.7299999999999999E-2</v>
      </c>
      <c r="S733" s="1">
        <v>7</v>
      </c>
      <c r="T733" s="1">
        <v>5</v>
      </c>
      <c r="U733" s="1">
        <v>2</v>
      </c>
      <c r="V733" s="1" t="s">
        <v>135</v>
      </c>
      <c r="W733" s="1" t="s">
        <v>40</v>
      </c>
      <c r="X733" s="1" t="s">
        <v>3324</v>
      </c>
      <c r="Y733" s="1" t="s">
        <v>212</v>
      </c>
      <c r="Z733" s="1" t="s">
        <v>54</v>
      </c>
      <c r="AA733" s="1" t="s">
        <v>88</v>
      </c>
      <c r="AB733" s="1" t="s">
        <v>191</v>
      </c>
      <c r="AC733" s="1"/>
      <c r="AD733" s="1">
        <v>2.4</v>
      </c>
      <c r="AE733" s="1" t="s">
        <v>45</v>
      </c>
      <c r="AF733" s="1" t="s">
        <v>46</v>
      </c>
    </row>
    <row r="734" spans="1:32" ht="18" customHeight="1">
      <c r="A734" s="1" t="s">
        <v>2320</v>
      </c>
      <c r="B734" s="1" t="s">
        <v>2321</v>
      </c>
      <c r="C734" s="4">
        <v>46170</v>
      </c>
      <c r="D734" s="4">
        <v>46173</v>
      </c>
      <c r="E734" s="4">
        <v>46191</v>
      </c>
      <c r="F734" s="1" t="s">
        <v>215</v>
      </c>
      <c r="G734" s="1" t="s">
        <v>3502</v>
      </c>
      <c r="H734" s="1" t="s">
        <v>3408</v>
      </c>
      <c r="I734" s="1" t="s">
        <v>92</v>
      </c>
      <c r="J734" s="1" t="s">
        <v>112</v>
      </c>
      <c r="K734" s="1" t="s">
        <v>2322</v>
      </c>
      <c r="L734" s="1" t="s">
        <v>246</v>
      </c>
      <c r="M734" s="1">
        <v>774.09</v>
      </c>
      <c r="N734" s="1" t="s">
        <v>86</v>
      </c>
      <c r="O734" s="1">
        <v>75</v>
      </c>
      <c r="P734" s="1">
        <v>58056.75</v>
      </c>
      <c r="Q734" s="1">
        <v>1</v>
      </c>
      <c r="R734" s="7">
        <v>1.3299999999999999E-2</v>
      </c>
      <c r="S734" s="1">
        <v>21</v>
      </c>
      <c r="T734" s="1">
        <v>3</v>
      </c>
      <c r="U734" s="1">
        <v>18</v>
      </c>
      <c r="V734" s="1" t="s">
        <v>39</v>
      </c>
      <c r="W734" s="1" t="s">
        <v>40</v>
      </c>
      <c r="X734" s="1" t="s">
        <v>3329</v>
      </c>
      <c r="Y734" s="1" t="s">
        <v>212</v>
      </c>
      <c r="Z734" s="1" t="s">
        <v>3333</v>
      </c>
      <c r="AA734" s="1" t="s">
        <v>136</v>
      </c>
      <c r="AB734" s="1" t="s">
        <v>56</v>
      </c>
      <c r="AC734" s="1"/>
      <c r="AD734" s="1">
        <v>2.2999999999999998</v>
      </c>
      <c r="AE734" s="1" t="s">
        <v>139</v>
      </c>
      <c r="AF734" s="1" t="s">
        <v>46</v>
      </c>
    </row>
    <row r="735" spans="1:32" ht="18" customHeight="1">
      <c r="A735" s="1" t="s">
        <v>2323</v>
      </c>
      <c r="B735" s="1" t="s">
        <v>2324</v>
      </c>
      <c r="C735" s="4">
        <v>46071</v>
      </c>
      <c r="D735" s="4">
        <v>46081</v>
      </c>
      <c r="E735" s="4" t="s">
        <v>3576</v>
      </c>
      <c r="F735" s="1" t="s">
        <v>151</v>
      </c>
      <c r="G735" s="1" t="s">
        <v>3353</v>
      </c>
      <c r="H735" s="1" t="s">
        <v>702</v>
      </c>
      <c r="I735" s="1" t="s">
        <v>34</v>
      </c>
      <c r="J735" s="1" t="s">
        <v>112</v>
      </c>
      <c r="K735" s="1" t="s">
        <v>2325</v>
      </c>
      <c r="L735" s="1" t="s">
        <v>218</v>
      </c>
      <c r="M735" s="1">
        <v>633.62</v>
      </c>
      <c r="N735" s="1" t="s">
        <v>86</v>
      </c>
      <c r="O735" s="1">
        <v>50</v>
      </c>
      <c r="P735" s="1" t="s">
        <v>3726</v>
      </c>
      <c r="Q735" s="1">
        <v>0</v>
      </c>
      <c r="R735" s="7">
        <v>0</v>
      </c>
      <c r="S735" s="1">
        <v>12</v>
      </c>
      <c r="T735" s="1">
        <v>10</v>
      </c>
      <c r="U735" s="1">
        <v>2</v>
      </c>
      <c r="V735" s="1" t="s">
        <v>3323</v>
      </c>
      <c r="W735" s="1" t="s">
        <v>40</v>
      </c>
      <c r="X735" s="1" t="s">
        <v>105</v>
      </c>
      <c r="Y735" s="1" t="s">
        <v>190</v>
      </c>
      <c r="Z735" s="1" t="s">
        <v>173</v>
      </c>
      <c r="AA735" s="1" t="s">
        <v>206</v>
      </c>
      <c r="AB735" s="1" t="s">
        <v>147</v>
      </c>
      <c r="AC735" s="1"/>
      <c r="AD735" s="1">
        <v>4.0999999999999996</v>
      </c>
      <c r="AE735" s="1" t="s">
        <v>45</v>
      </c>
      <c r="AF735" s="1" t="s">
        <v>46</v>
      </c>
    </row>
    <row r="736" spans="1:32" ht="18" customHeight="1">
      <c r="A736" s="1" t="s">
        <v>2326</v>
      </c>
      <c r="B736" s="1" t="s">
        <v>2327</v>
      </c>
      <c r="C736" s="4">
        <v>46029</v>
      </c>
      <c r="D736" s="4">
        <v>46036</v>
      </c>
      <c r="E736" s="4">
        <v>46038</v>
      </c>
      <c r="F736" s="1" t="s">
        <v>162</v>
      </c>
      <c r="G736" s="1" t="s">
        <v>3444</v>
      </c>
      <c r="H736" s="1" t="s">
        <v>152</v>
      </c>
      <c r="I736" s="1" t="s">
        <v>178</v>
      </c>
      <c r="J736" s="1" t="s">
        <v>163</v>
      </c>
      <c r="K736" s="1" t="s">
        <v>2328</v>
      </c>
      <c r="L736" s="1" t="s">
        <v>171</v>
      </c>
      <c r="M736" s="1">
        <v>279.29000000000002</v>
      </c>
      <c r="N736" s="1" t="s">
        <v>104</v>
      </c>
      <c r="O736" s="1">
        <v>2000</v>
      </c>
      <c r="P736" s="1">
        <v>558580</v>
      </c>
      <c r="Q736" s="1">
        <v>30</v>
      </c>
      <c r="R736" s="7">
        <v>1.4999999999999999E-2</v>
      </c>
      <c r="S736" s="1">
        <v>9</v>
      </c>
      <c r="T736" s="1">
        <v>7</v>
      </c>
      <c r="U736" s="1">
        <v>2</v>
      </c>
      <c r="V736" s="1" t="s">
        <v>135</v>
      </c>
      <c r="W736" s="1" t="s">
        <v>649</v>
      </c>
      <c r="X736" s="1" t="s">
        <v>105</v>
      </c>
      <c r="Y736" s="1" t="s">
        <v>42</v>
      </c>
      <c r="Z736" s="1" t="s">
        <v>107</v>
      </c>
      <c r="AA736" s="1" t="s">
        <v>55</v>
      </c>
      <c r="AB736" s="1" t="s">
        <v>95</v>
      </c>
      <c r="AC736" s="1"/>
      <c r="AD736" s="1">
        <v>3.7</v>
      </c>
      <c r="AE736" s="1" t="s">
        <v>57</v>
      </c>
      <c r="AF736" s="1" t="s">
        <v>46</v>
      </c>
    </row>
    <row r="737" spans="1:32" ht="18" customHeight="1">
      <c r="A737" s="1" t="s">
        <v>2329</v>
      </c>
      <c r="B737" s="1" t="s">
        <v>2330</v>
      </c>
      <c r="C737" s="4">
        <v>46073</v>
      </c>
      <c r="D737" s="4">
        <v>46077</v>
      </c>
      <c r="E737" s="4">
        <v>46083</v>
      </c>
      <c r="F737" s="1" t="s">
        <v>151</v>
      </c>
      <c r="G737" s="1" t="s">
        <v>244</v>
      </c>
      <c r="H737" s="1" t="s">
        <v>3327</v>
      </c>
      <c r="I737" s="1" t="s">
        <v>178</v>
      </c>
      <c r="J737" s="1" t="s">
        <v>112</v>
      </c>
      <c r="K737" s="1" t="s">
        <v>2331</v>
      </c>
      <c r="L737" s="1" t="s">
        <v>246</v>
      </c>
      <c r="M737" s="1" t="s">
        <v>3727</v>
      </c>
      <c r="N737" s="1" t="s">
        <v>53</v>
      </c>
      <c r="O737" s="1">
        <v>300</v>
      </c>
      <c r="P737" s="1">
        <v>210615</v>
      </c>
      <c r="Q737" s="1">
        <v>-1</v>
      </c>
      <c r="R737" s="7">
        <v>3.3E-3</v>
      </c>
      <c r="S737" s="1">
        <v>10</v>
      </c>
      <c r="T737" s="1">
        <v>4</v>
      </c>
      <c r="U737" s="1">
        <v>6</v>
      </c>
      <c r="V737" s="1" t="s">
        <v>39</v>
      </c>
      <c r="W737" s="1" t="s">
        <v>40</v>
      </c>
      <c r="X737" s="1" t="s">
        <v>127</v>
      </c>
      <c r="Y737" s="1" t="s">
        <v>42</v>
      </c>
      <c r="Z737" s="1" t="s">
        <v>3333</v>
      </c>
      <c r="AA737" s="1" t="s">
        <v>174</v>
      </c>
      <c r="AB737" s="1"/>
      <c r="AC737" s="1"/>
      <c r="AD737" s="1">
        <v>3.1</v>
      </c>
      <c r="AE737" s="1" t="s">
        <v>76</v>
      </c>
      <c r="AF737" s="1" t="s">
        <v>148</v>
      </c>
    </row>
    <row r="738" spans="1:32" ht="18" customHeight="1">
      <c r="A738" s="1" t="s">
        <v>2332</v>
      </c>
      <c r="B738" s="1" t="s">
        <v>2333</v>
      </c>
      <c r="C738" s="4">
        <v>46090</v>
      </c>
      <c r="D738" s="4"/>
      <c r="E738" s="4">
        <v>46105</v>
      </c>
      <c r="F738" s="1" t="s">
        <v>162</v>
      </c>
      <c r="G738" s="1" t="s">
        <v>3356</v>
      </c>
      <c r="H738" s="1" t="s">
        <v>3408</v>
      </c>
      <c r="I738" s="1" t="s">
        <v>178</v>
      </c>
      <c r="J738" s="1" t="s">
        <v>163</v>
      </c>
      <c r="K738" s="1" t="s">
        <v>2334</v>
      </c>
      <c r="L738" s="1" t="s">
        <v>171</v>
      </c>
      <c r="M738" s="1">
        <v>1441.5</v>
      </c>
      <c r="N738" s="1" t="s">
        <v>159</v>
      </c>
      <c r="O738" s="1">
        <v>200</v>
      </c>
      <c r="P738" s="1">
        <v>288300</v>
      </c>
      <c r="Q738" s="1">
        <v>2</v>
      </c>
      <c r="R738" s="7">
        <v>0.01</v>
      </c>
      <c r="S738" s="1">
        <v>15</v>
      </c>
      <c r="T738" s="1">
        <v>7</v>
      </c>
      <c r="U738" s="1">
        <v>8</v>
      </c>
      <c r="V738" s="1" t="s">
        <v>39</v>
      </c>
      <c r="W738" s="1" t="s">
        <v>40</v>
      </c>
      <c r="X738" s="1" t="s">
        <v>105</v>
      </c>
      <c r="Y738" s="1" t="s">
        <v>190</v>
      </c>
      <c r="Z738" s="1" t="s">
        <v>3333</v>
      </c>
      <c r="AA738" s="1"/>
      <c r="AB738" s="1" t="s">
        <v>191</v>
      </c>
      <c r="AC738" s="1"/>
      <c r="AD738" s="1">
        <v>1.2</v>
      </c>
      <c r="AE738" s="1" t="s">
        <v>115</v>
      </c>
      <c r="AF738" s="1" t="s">
        <v>46</v>
      </c>
    </row>
    <row r="739" spans="1:32" ht="18" customHeight="1">
      <c r="A739" s="1" t="s">
        <v>2335</v>
      </c>
      <c r="B739" s="1" t="s">
        <v>2336</v>
      </c>
      <c r="C739" s="4" t="s">
        <v>3355</v>
      </c>
      <c r="D739" s="4">
        <v>46204</v>
      </c>
      <c r="E739" s="4">
        <v>46206</v>
      </c>
      <c r="F739" s="1" t="s">
        <v>151</v>
      </c>
      <c r="G739" s="1" t="s">
        <v>244</v>
      </c>
      <c r="H739" s="1" t="s">
        <v>3408</v>
      </c>
      <c r="I739" s="1" t="s">
        <v>49</v>
      </c>
      <c r="J739" s="1" t="s">
        <v>112</v>
      </c>
      <c r="K739" s="1" t="s">
        <v>2337</v>
      </c>
      <c r="L739" s="1" t="s">
        <v>114</v>
      </c>
      <c r="M739" s="1">
        <v>644.66</v>
      </c>
      <c r="N739" s="1" t="s">
        <v>53</v>
      </c>
      <c r="O739" s="1">
        <v>300</v>
      </c>
      <c r="P739" s="1">
        <v>193398</v>
      </c>
      <c r="Q739" s="1">
        <v>0</v>
      </c>
      <c r="R739" s="7">
        <v>0</v>
      </c>
      <c r="S739" s="1">
        <v>7</v>
      </c>
      <c r="T739" s="1"/>
      <c r="U739" s="1"/>
      <c r="V739" s="1" t="s">
        <v>135</v>
      </c>
      <c r="W739" s="1" t="s">
        <v>40</v>
      </c>
      <c r="X739" s="1" t="s">
        <v>105</v>
      </c>
      <c r="Y739" s="1" t="s">
        <v>190</v>
      </c>
      <c r="Z739" s="1" t="s">
        <v>107</v>
      </c>
      <c r="AA739" s="1" t="s">
        <v>129</v>
      </c>
      <c r="AB739" s="1" t="s">
        <v>137</v>
      </c>
      <c r="AC739" s="1"/>
      <c r="AD739" s="1">
        <v>3.5</v>
      </c>
      <c r="AE739" s="1" t="s">
        <v>45</v>
      </c>
      <c r="AF739" s="1" t="s">
        <v>46</v>
      </c>
    </row>
    <row r="740" spans="1:32" ht="18" customHeight="1">
      <c r="A740" s="1" t="s">
        <v>2338</v>
      </c>
      <c r="B740" s="1" t="s">
        <v>2339</v>
      </c>
      <c r="C740" s="4">
        <v>46136</v>
      </c>
      <c r="D740" s="4">
        <v>46145</v>
      </c>
      <c r="E740" s="4">
        <v>46151</v>
      </c>
      <c r="F740" s="1" t="s">
        <v>215</v>
      </c>
      <c r="G740" s="1" t="s">
        <v>216</v>
      </c>
      <c r="H740" s="1" t="s">
        <v>3354</v>
      </c>
      <c r="I740" s="1" t="s">
        <v>49</v>
      </c>
      <c r="J740" s="1" t="s">
        <v>112</v>
      </c>
      <c r="K740" s="1" t="s">
        <v>2340</v>
      </c>
      <c r="L740" s="1" t="s">
        <v>114</v>
      </c>
      <c r="M740" s="1">
        <v>527.92999999999995</v>
      </c>
      <c r="N740" s="1" t="s">
        <v>159</v>
      </c>
      <c r="O740" s="1">
        <v>300</v>
      </c>
      <c r="P740" s="1">
        <v>158379</v>
      </c>
      <c r="Q740" s="1">
        <v>10</v>
      </c>
      <c r="R740" s="7">
        <v>3.3300000000000003E-2</v>
      </c>
      <c r="S740" s="1"/>
      <c r="T740" s="1">
        <v>9</v>
      </c>
      <c r="U740" s="1">
        <v>6</v>
      </c>
      <c r="V740" s="1" t="s">
        <v>39</v>
      </c>
      <c r="W740" s="1" t="s">
        <v>40</v>
      </c>
      <c r="X740" s="1" t="s">
        <v>146</v>
      </c>
      <c r="Y740" s="1" t="s">
        <v>106</v>
      </c>
      <c r="Z740" s="1" t="s">
        <v>3333</v>
      </c>
      <c r="AA740" s="1" t="s">
        <v>174</v>
      </c>
      <c r="AB740" s="1" t="s">
        <v>191</v>
      </c>
      <c r="AC740" s="1"/>
      <c r="AD740" s="1">
        <v>-1</v>
      </c>
      <c r="AE740" s="1" t="s">
        <v>108</v>
      </c>
      <c r="AF740" s="1" t="s">
        <v>148</v>
      </c>
    </row>
    <row r="741" spans="1:32" ht="18" customHeight="1">
      <c r="A741" s="1" t="s">
        <v>2341</v>
      </c>
      <c r="B741" s="1" t="s">
        <v>2342</v>
      </c>
      <c r="C741" s="4">
        <v>46026</v>
      </c>
      <c r="D741" s="4">
        <v>46032</v>
      </c>
      <c r="E741" s="4">
        <v>46031</v>
      </c>
      <c r="F741" s="1" t="s">
        <v>60</v>
      </c>
      <c r="G741" s="1" t="s">
        <v>3488</v>
      </c>
      <c r="H741" s="1" t="s">
        <v>152</v>
      </c>
      <c r="I741" s="1" t="s">
        <v>120</v>
      </c>
      <c r="J741" s="1" t="s">
        <v>62</v>
      </c>
      <c r="K741" s="1" t="s">
        <v>1211</v>
      </c>
      <c r="L741" s="1" t="s">
        <v>64</v>
      </c>
      <c r="M741" s="1">
        <v>213.15</v>
      </c>
      <c r="N741" s="1" t="s">
        <v>38</v>
      </c>
      <c r="O741" s="1">
        <v>150</v>
      </c>
      <c r="P741" s="1">
        <v>31972.5</v>
      </c>
      <c r="Q741" s="1">
        <v>5</v>
      </c>
      <c r="R741" s="7">
        <v>3.3300000000000003E-2</v>
      </c>
      <c r="S741" s="1">
        <v>5</v>
      </c>
      <c r="T741" s="1">
        <v>6</v>
      </c>
      <c r="U741" s="1">
        <v>-1</v>
      </c>
      <c r="V741" s="1" t="s">
        <v>3337</v>
      </c>
      <c r="W741" s="1" t="s">
        <v>40</v>
      </c>
      <c r="X741" s="1" t="s">
        <v>3329</v>
      </c>
      <c r="Y741" s="1" t="s">
        <v>106</v>
      </c>
      <c r="Z741" s="1" t="s">
        <v>107</v>
      </c>
      <c r="AA741" s="1" t="s">
        <v>174</v>
      </c>
      <c r="AB741" s="1" t="s">
        <v>137</v>
      </c>
      <c r="AC741" s="1"/>
      <c r="AD741" s="1">
        <v>2.5</v>
      </c>
      <c r="AE741" s="1" t="s">
        <v>45</v>
      </c>
      <c r="AF741" s="1"/>
    </row>
    <row r="742" spans="1:32" ht="18" customHeight="1">
      <c r="A742" s="1" t="s">
        <v>2343</v>
      </c>
      <c r="B742" s="1" t="s">
        <v>2344</v>
      </c>
      <c r="C742" s="4" t="s">
        <v>3728</v>
      </c>
      <c r="D742" s="4">
        <v>46189</v>
      </c>
      <c r="E742" s="4" t="s">
        <v>3513</v>
      </c>
      <c r="F742" s="1" t="s">
        <v>118</v>
      </c>
      <c r="G742" s="1" t="s">
        <v>119</v>
      </c>
      <c r="H742" s="1" t="s">
        <v>301</v>
      </c>
      <c r="I742" s="1" t="s">
        <v>178</v>
      </c>
      <c r="J742" s="1" t="s">
        <v>62</v>
      </c>
      <c r="K742" s="1" t="s">
        <v>2345</v>
      </c>
      <c r="L742" s="1" t="s">
        <v>64</v>
      </c>
      <c r="M742" s="1">
        <v>773.21</v>
      </c>
      <c r="N742" s="1" t="s">
        <v>65</v>
      </c>
      <c r="O742" s="1">
        <v>150</v>
      </c>
      <c r="P742" s="1">
        <v>115981.5</v>
      </c>
      <c r="Q742" s="1">
        <v>1</v>
      </c>
      <c r="R742" s="7">
        <v>6.7000000000000002E-3</v>
      </c>
      <c r="S742" s="1">
        <v>29</v>
      </c>
      <c r="T742" s="1"/>
      <c r="U742" s="1">
        <v>7</v>
      </c>
      <c r="V742" s="1" t="s">
        <v>205</v>
      </c>
      <c r="W742" s="1" t="s">
        <v>404</v>
      </c>
      <c r="X742" s="1" t="s">
        <v>3329</v>
      </c>
      <c r="Y742" s="1"/>
      <c r="Z742" s="1" t="s">
        <v>3333</v>
      </c>
      <c r="AA742" s="1" t="s">
        <v>206</v>
      </c>
      <c r="AB742" s="1" t="s">
        <v>56</v>
      </c>
      <c r="AC742" s="1"/>
      <c r="AD742" s="1">
        <v>3</v>
      </c>
      <c r="AE742" s="1" t="s">
        <v>139</v>
      </c>
      <c r="AF742" s="1" t="s">
        <v>46</v>
      </c>
    </row>
    <row r="743" spans="1:32" ht="18" customHeight="1">
      <c r="A743" s="1" t="s">
        <v>2346</v>
      </c>
      <c r="B743" s="1" t="s">
        <v>2347</v>
      </c>
      <c r="C743" s="4">
        <v>46137</v>
      </c>
      <c r="D743" s="4">
        <v>46152</v>
      </c>
      <c r="E743" s="4" t="s">
        <v>3452</v>
      </c>
      <c r="F743" s="1" t="s">
        <v>69</v>
      </c>
      <c r="G743" s="1" t="s">
        <v>111</v>
      </c>
      <c r="H743" s="1" t="s">
        <v>3338</v>
      </c>
      <c r="I743" s="1" t="s">
        <v>70</v>
      </c>
      <c r="J743" s="1" t="s">
        <v>112</v>
      </c>
      <c r="K743" s="1" t="s">
        <v>2348</v>
      </c>
      <c r="L743" s="1" t="s">
        <v>246</v>
      </c>
      <c r="M743" s="1">
        <v>781.96</v>
      </c>
      <c r="N743" s="1" t="s">
        <v>86</v>
      </c>
      <c r="O743" s="1">
        <v>150</v>
      </c>
      <c r="P743" s="1">
        <v>117294</v>
      </c>
      <c r="Q743" s="1">
        <v>0</v>
      </c>
      <c r="R743" s="7">
        <v>0</v>
      </c>
      <c r="S743" s="1">
        <v>12</v>
      </c>
      <c r="T743" s="1">
        <v>15</v>
      </c>
      <c r="U743" s="1">
        <v>-3</v>
      </c>
      <c r="V743" s="1" t="s">
        <v>3352</v>
      </c>
      <c r="W743" s="1" t="s">
        <v>40</v>
      </c>
      <c r="X743" s="1" t="s">
        <v>105</v>
      </c>
      <c r="Y743" s="1"/>
      <c r="Z743" s="1" t="s">
        <v>43</v>
      </c>
      <c r="AA743" s="1" t="s">
        <v>129</v>
      </c>
      <c r="AB743" s="1" t="s">
        <v>191</v>
      </c>
      <c r="AC743" s="1"/>
      <c r="AD743" s="1">
        <v>2.6</v>
      </c>
      <c r="AE743" s="1" t="s">
        <v>76</v>
      </c>
      <c r="AF743" s="1"/>
    </row>
    <row r="744" spans="1:32" ht="18" customHeight="1">
      <c r="A744" s="1" t="s">
        <v>2349</v>
      </c>
      <c r="B744" s="1" t="s">
        <v>2350</v>
      </c>
      <c r="C744" s="4" t="s">
        <v>3729</v>
      </c>
      <c r="D744" s="4">
        <v>46108</v>
      </c>
      <c r="E744" s="4">
        <v>46097</v>
      </c>
      <c r="F744" s="1" t="s">
        <v>151</v>
      </c>
      <c r="G744" s="1" t="s">
        <v>244</v>
      </c>
      <c r="H744" s="1" t="s">
        <v>3327</v>
      </c>
      <c r="I744" s="1" t="s">
        <v>120</v>
      </c>
      <c r="J744" s="1" t="s">
        <v>112</v>
      </c>
      <c r="K744" s="1" t="s">
        <v>2351</v>
      </c>
      <c r="L744" s="1" t="s">
        <v>229</v>
      </c>
      <c r="M744" s="1">
        <v>191</v>
      </c>
      <c r="N744" s="1" t="s">
        <v>65</v>
      </c>
      <c r="O744" s="1">
        <v>250</v>
      </c>
      <c r="P744" s="1">
        <v>47750</v>
      </c>
      <c r="Q744" s="1">
        <v>5</v>
      </c>
      <c r="R744" s="7">
        <v>0.02</v>
      </c>
      <c r="S744" s="1">
        <v>-3</v>
      </c>
      <c r="T744" s="1">
        <v>8</v>
      </c>
      <c r="U744" s="1">
        <v>-11</v>
      </c>
      <c r="V744" s="1" t="s">
        <v>362</v>
      </c>
      <c r="W744" s="1" t="s">
        <v>40</v>
      </c>
      <c r="X744" s="1" t="s">
        <v>41</v>
      </c>
      <c r="Y744" s="1" t="s">
        <v>66</v>
      </c>
      <c r="Z744" s="1" t="s">
        <v>43</v>
      </c>
      <c r="AA744" s="1" t="s">
        <v>206</v>
      </c>
      <c r="AB744" s="1" t="s">
        <v>191</v>
      </c>
      <c r="AC744" s="1"/>
      <c r="AD744" s="1">
        <v>4.0999999999999996</v>
      </c>
      <c r="AE744" s="1" t="s">
        <v>115</v>
      </c>
      <c r="AF744" s="1"/>
    </row>
    <row r="745" spans="1:32" ht="18" customHeight="1">
      <c r="A745" s="1" t="s">
        <v>2211</v>
      </c>
      <c r="B745" s="1" t="s">
        <v>2352</v>
      </c>
      <c r="C745" s="4" t="s">
        <v>3656</v>
      </c>
      <c r="D745" s="4">
        <v>46130</v>
      </c>
      <c r="E745" s="4">
        <v>46129</v>
      </c>
      <c r="F745" s="1" t="s">
        <v>80</v>
      </c>
      <c r="G745" s="1" t="s">
        <v>81</v>
      </c>
      <c r="H745" s="1" t="s">
        <v>82</v>
      </c>
      <c r="I745" s="1" t="s">
        <v>61</v>
      </c>
      <c r="J745" s="1" t="s">
        <v>62</v>
      </c>
      <c r="K745" s="1" t="s">
        <v>2353</v>
      </c>
      <c r="L745" s="1" t="s">
        <v>64</v>
      </c>
      <c r="M745" s="1">
        <v>594.03</v>
      </c>
      <c r="N745" s="1" t="s">
        <v>65</v>
      </c>
      <c r="O745" s="1">
        <v>75</v>
      </c>
      <c r="P745" s="1">
        <v>44552.25</v>
      </c>
      <c r="Q745" s="1">
        <v>0</v>
      </c>
      <c r="R745" s="7">
        <v>0</v>
      </c>
      <c r="S745" s="1">
        <v>11</v>
      </c>
      <c r="T745" s="1">
        <v>12</v>
      </c>
      <c r="U745" s="1"/>
      <c r="V745" s="1" t="s">
        <v>3337</v>
      </c>
      <c r="W745" s="1" t="s">
        <v>40</v>
      </c>
      <c r="X745" s="1" t="s">
        <v>105</v>
      </c>
      <c r="Y745" s="1"/>
      <c r="Z745" s="1" t="s">
        <v>128</v>
      </c>
      <c r="AA745" s="1" t="s">
        <v>88</v>
      </c>
      <c r="AB745" s="1" t="s">
        <v>147</v>
      </c>
      <c r="AC745" s="1"/>
      <c r="AD745" s="1">
        <v>2.4</v>
      </c>
      <c r="AE745" s="1" t="s">
        <v>139</v>
      </c>
      <c r="AF745" s="1"/>
    </row>
    <row r="746" spans="1:32" ht="18" customHeight="1">
      <c r="A746" s="1" t="s">
        <v>2354</v>
      </c>
      <c r="B746" s="1" t="s">
        <v>2355</v>
      </c>
      <c r="C746" s="4">
        <v>46103</v>
      </c>
      <c r="D746" s="4">
        <v>46110</v>
      </c>
      <c r="E746" s="4">
        <v>46108</v>
      </c>
      <c r="F746" s="1" t="s">
        <v>60</v>
      </c>
      <c r="G746" s="1" t="s">
        <v>466</v>
      </c>
      <c r="H746" s="1" t="s">
        <v>3354</v>
      </c>
      <c r="I746" s="1" t="s">
        <v>241</v>
      </c>
      <c r="J746" s="1" t="s">
        <v>35</v>
      </c>
      <c r="K746" s="1" t="s">
        <v>1229</v>
      </c>
      <c r="L746" s="1" t="s">
        <v>200</v>
      </c>
      <c r="M746" s="1">
        <v>1027.73</v>
      </c>
      <c r="N746" s="1" t="s">
        <v>86</v>
      </c>
      <c r="O746" s="1">
        <v>1000</v>
      </c>
      <c r="P746" s="1">
        <v>1027730</v>
      </c>
      <c r="Q746" s="1" t="s">
        <v>3454</v>
      </c>
      <c r="R746" s="7">
        <v>1.4999999999999999E-2</v>
      </c>
      <c r="S746" s="1">
        <v>5</v>
      </c>
      <c r="T746" s="1">
        <v>7</v>
      </c>
      <c r="U746" s="1">
        <v>-2</v>
      </c>
      <c r="V746" s="1" t="s">
        <v>270</v>
      </c>
      <c r="W746" s="1" t="s">
        <v>40</v>
      </c>
      <c r="X746" s="1" t="s">
        <v>3324</v>
      </c>
      <c r="Y746" s="1" t="s">
        <v>212</v>
      </c>
      <c r="Z746" s="1" t="s">
        <v>128</v>
      </c>
      <c r="AA746" s="1"/>
      <c r="AB746" s="1" t="s">
        <v>137</v>
      </c>
      <c r="AC746" s="1"/>
      <c r="AD746" s="1">
        <v>3.5</v>
      </c>
      <c r="AE746" s="1" t="s">
        <v>184</v>
      </c>
      <c r="AF746" s="1"/>
    </row>
    <row r="747" spans="1:32" ht="18" customHeight="1">
      <c r="A747" s="1" t="s">
        <v>2356</v>
      </c>
      <c r="B747" s="1" t="s">
        <v>2357</v>
      </c>
      <c r="C747" s="4"/>
      <c r="D747" s="4">
        <v>46077</v>
      </c>
      <c r="E747" s="4" t="s">
        <v>3730</v>
      </c>
      <c r="F747" s="1" t="s">
        <v>69</v>
      </c>
      <c r="G747" s="1" t="s">
        <v>111</v>
      </c>
      <c r="H747" s="1" t="s">
        <v>3338</v>
      </c>
      <c r="I747" s="1" t="s">
        <v>70</v>
      </c>
      <c r="J747" s="1" t="s">
        <v>112</v>
      </c>
      <c r="K747" s="1" t="s">
        <v>2358</v>
      </c>
      <c r="L747" s="1" t="s">
        <v>218</v>
      </c>
      <c r="M747" s="1">
        <v>600.80999999999995</v>
      </c>
      <c r="N747" s="1" t="s">
        <v>86</v>
      </c>
      <c r="O747" s="1">
        <v>2000</v>
      </c>
      <c r="P747" s="1">
        <v>1201620</v>
      </c>
      <c r="Q747" s="1">
        <v>10</v>
      </c>
      <c r="R747" s="7">
        <v>5.0000000000000001E-3</v>
      </c>
      <c r="S747" s="1" t="s">
        <v>3731</v>
      </c>
      <c r="T747" s="1">
        <v>11</v>
      </c>
      <c r="U747" s="1">
        <v>0</v>
      </c>
      <c r="V747" s="1" t="s">
        <v>3352</v>
      </c>
      <c r="W747" s="1" t="s">
        <v>40</v>
      </c>
      <c r="X747" s="1" t="s">
        <v>3329</v>
      </c>
      <c r="Y747" s="1" t="s">
        <v>42</v>
      </c>
      <c r="Z747" s="1" t="s">
        <v>107</v>
      </c>
      <c r="AA747" s="1" t="s">
        <v>88</v>
      </c>
      <c r="AB747" s="1" t="s">
        <v>95</v>
      </c>
      <c r="AC747" s="1"/>
      <c r="AD747" s="1">
        <v>2.6</v>
      </c>
      <c r="AE747" s="1" t="s">
        <v>108</v>
      </c>
      <c r="AF747" s="1"/>
    </row>
    <row r="748" spans="1:32" ht="18" hidden="1" customHeight="1">
      <c r="A748" s="1" t="s">
        <v>2359</v>
      </c>
      <c r="B748" s="1" t="s">
        <v>2360</v>
      </c>
      <c r="C748" s="4">
        <v>46127</v>
      </c>
      <c r="D748" s="1">
        <v>46140</v>
      </c>
      <c r="E748" s="1">
        <v>46141</v>
      </c>
      <c r="F748" s="1" t="s">
        <v>69</v>
      </c>
      <c r="G748" s="1" t="s">
        <v>3331</v>
      </c>
      <c r="H748" s="1" t="s">
        <v>194</v>
      </c>
      <c r="I748" s="1" t="s">
        <v>120</v>
      </c>
      <c r="J748" s="1" t="s">
        <v>112</v>
      </c>
      <c r="K748" s="1" t="s">
        <v>2361</v>
      </c>
      <c r="L748" s="1" t="s">
        <v>246</v>
      </c>
      <c r="M748" s="1">
        <v>303.37</v>
      </c>
      <c r="N748" s="1" t="s">
        <v>104</v>
      </c>
      <c r="O748" s="1">
        <v>250</v>
      </c>
      <c r="P748" s="1">
        <v>75842.5</v>
      </c>
      <c r="Q748" s="1">
        <v>14</v>
      </c>
      <c r="R748" s="7">
        <v>5.6000000000000001E-2</v>
      </c>
      <c r="S748" s="1">
        <v>14</v>
      </c>
      <c r="T748" s="1"/>
      <c r="U748" s="1">
        <v>1</v>
      </c>
      <c r="V748" s="1" t="s">
        <v>3323</v>
      </c>
      <c r="W748" s="1" t="s">
        <v>420</v>
      </c>
      <c r="X748" s="1" t="s">
        <v>3329</v>
      </c>
      <c r="Y748" s="1" t="s">
        <v>106</v>
      </c>
      <c r="Z748" s="1" t="s">
        <v>3330</v>
      </c>
      <c r="AA748" s="1" t="s">
        <v>88</v>
      </c>
      <c r="AB748" s="1" t="s">
        <v>44</v>
      </c>
      <c r="AC748" s="1" t="s">
        <v>373</v>
      </c>
      <c r="AD748" s="1">
        <v>2.6</v>
      </c>
      <c r="AE748" s="1" t="s">
        <v>115</v>
      </c>
      <c r="AF748" s="1" t="s">
        <v>77</v>
      </c>
    </row>
    <row r="749" spans="1:32" ht="18" customHeight="1">
      <c r="A749" s="1" t="s">
        <v>2362</v>
      </c>
      <c r="B749" s="1" t="s">
        <v>2363</v>
      </c>
      <c r="C749" s="4" t="s">
        <v>3495</v>
      </c>
      <c r="D749" s="4">
        <v>46153</v>
      </c>
      <c r="E749" s="4">
        <v>46142</v>
      </c>
      <c r="F749" s="1" t="s">
        <v>235</v>
      </c>
      <c r="G749" s="1" t="s">
        <v>236</v>
      </c>
      <c r="H749" s="1" t="s">
        <v>3371</v>
      </c>
      <c r="I749" s="1" t="s">
        <v>178</v>
      </c>
      <c r="J749" s="1" t="s">
        <v>62</v>
      </c>
      <c r="K749" s="1" t="s">
        <v>1347</v>
      </c>
      <c r="L749" s="1" t="s">
        <v>94</v>
      </c>
      <c r="M749" s="1">
        <v>621.5</v>
      </c>
      <c r="N749" s="1" t="s">
        <v>159</v>
      </c>
      <c r="O749" s="1">
        <v>50</v>
      </c>
      <c r="P749" s="1">
        <v>31075</v>
      </c>
      <c r="Q749" s="1">
        <v>0</v>
      </c>
      <c r="R749" s="7">
        <v>0</v>
      </c>
      <c r="S749" s="1"/>
      <c r="T749" s="1">
        <v>17</v>
      </c>
      <c r="U749" s="1">
        <v>-11</v>
      </c>
      <c r="V749" s="1" t="s">
        <v>270</v>
      </c>
      <c r="W749" s="1"/>
      <c r="X749" s="1" t="s">
        <v>3329</v>
      </c>
      <c r="Y749" s="1" t="s">
        <v>66</v>
      </c>
      <c r="Z749" s="1" t="s">
        <v>3330</v>
      </c>
      <c r="AA749" s="1" t="s">
        <v>136</v>
      </c>
      <c r="AB749" s="1" t="s">
        <v>56</v>
      </c>
      <c r="AC749" s="1"/>
      <c r="AD749" s="1">
        <v>3.8</v>
      </c>
      <c r="AE749" s="1" t="s">
        <v>108</v>
      </c>
      <c r="AF749" s="1"/>
    </row>
    <row r="750" spans="1:32" ht="18" customHeight="1">
      <c r="A750" s="1" t="s">
        <v>2364</v>
      </c>
      <c r="B750" s="1" t="s">
        <v>2365</v>
      </c>
      <c r="C750" s="4">
        <v>46046</v>
      </c>
      <c r="D750" s="4">
        <v>46062</v>
      </c>
      <c r="E750" s="4">
        <v>46060</v>
      </c>
      <c r="F750" s="1" t="s">
        <v>209</v>
      </c>
      <c r="G750" s="1" t="s">
        <v>210</v>
      </c>
      <c r="H750" s="1" t="s">
        <v>316</v>
      </c>
      <c r="I750" s="1" t="s">
        <v>83</v>
      </c>
      <c r="J750" s="1" t="s">
        <v>153</v>
      </c>
      <c r="K750" s="1" t="s">
        <v>2366</v>
      </c>
      <c r="L750" s="1" t="s">
        <v>295</v>
      </c>
      <c r="M750" s="1">
        <v>451.89</v>
      </c>
      <c r="N750" s="1" t="s">
        <v>38</v>
      </c>
      <c r="O750" s="1">
        <v>150</v>
      </c>
      <c r="P750" s="1">
        <v>67783.5</v>
      </c>
      <c r="Q750" s="1">
        <v>0</v>
      </c>
      <c r="R750" s="7">
        <v>0</v>
      </c>
      <c r="S750" s="1">
        <v>14</v>
      </c>
      <c r="T750" s="1">
        <v>16</v>
      </c>
      <c r="U750" s="1">
        <v>-2</v>
      </c>
      <c r="V750" s="1" t="s">
        <v>270</v>
      </c>
      <c r="W750" s="1" t="s">
        <v>404</v>
      </c>
      <c r="X750" s="1" t="s">
        <v>146</v>
      </c>
      <c r="Y750" s="1" t="s">
        <v>42</v>
      </c>
      <c r="Z750" s="1" t="s">
        <v>173</v>
      </c>
      <c r="AA750" s="1" t="s">
        <v>174</v>
      </c>
      <c r="AB750" s="1" t="s">
        <v>147</v>
      </c>
      <c r="AC750" s="1"/>
      <c r="AD750" s="1">
        <v>4.0999999999999996</v>
      </c>
      <c r="AE750" s="1" t="s">
        <v>76</v>
      </c>
      <c r="AF750" s="1" t="s">
        <v>130</v>
      </c>
    </row>
    <row r="751" spans="1:32" ht="18" customHeight="1">
      <c r="A751" s="1" t="s">
        <v>2367</v>
      </c>
      <c r="B751" s="1" t="s">
        <v>2368</v>
      </c>
      <c r="C751" s="4">
        <v>46100</v>
      </c>
      <c r="D751" s="4">
        <v>46118</v>
      </c>
      <c r="E751" s="4" t="s">
        <v>3400</v>
      </c>
      <c r="F751" s="1" t="s">
        <v>90</v>
      </c>
      <c r="G751" s="1" t="s">
        <v>91</v>
      </c>
      <c r="H751" s="1" t="s">
        <v>3336</v>
      </c>
      <c r="I751" s="1" t="s">
        <v>70</v>
      </c>
      <c r="J751" s="1" t="s">
        <v>71</v>
      </c>
      <c r="K751" s="1" t="s">
        <v>2369</v>
      </c>
      <c r="L751" s="1" t="s">
        <v>73</v>
      </c>
      <c r="M751" s="1">
        <v>826.52</v>
      </c>
      <c r="N751" s="1" t="s">
        <v>38</v>
      </c>
      <c r="O751" s="1">
        <v>750</v>
      </c>
      <c r="P751" s="1">
        <v>619890</v>
      </c>
      <c r="Q751" s="1">
        <v>0</v>
      </c>
      <c r="R751" s="7">
        <v>0</v>
      </c>
      <c r="S751" s="1">
        <v>12</v>
      </c>
      <c r="T751" s="1">
        <v>18</v>
      </c>
      <c r="U751" s="1">
        <v>-6</v>
      </c>
      <c r="V751" s="1" t="s">
        <v>87</v>
      </c>
      <c r="W751" s="1" t="s">
        <v>40</v>
      </c>
      <c r="X751" s="1" t="s">
        <v>146</v>
      </c>
      <c r="Y751" s="1" t="s">
        <v>66</v>
      </c>
      <c r="Z751" s="1" t="s">
        <v>3333</v>
      </c>
      <c r="AA751" s="1" t="s">
        <v>136</v>
      </c>
      <c r="AB751" s="1" t="s">
        <v>191</v>
      </c>
      <c r="AC751" s="1"/>
      <c r="AD751" s="1"/>
      <c r="AE751" s="1" t="s">
        <v>45</v>
      </c>
      <c r="AF751" s="1" t="s">
        <v>130</v>
      </c>
    </row>
    <row r="752" spans="1:32" ht="18" customHeight="1">
      <c r="A752" s="1" t="s">
        <v>2370</v>
      </c>
      <c r="B752" s="1" t="s">
        <v>2371</v>
      </c>
      <c r="C752" s="4" t="s">
        <v>3732</v>
      </c>
      <c r="D752" s="4">
        <v>46066</v>
      </c>
      <c r="E752" s="4">
        <v>46064</v>
      </c>
      <c r="F752" s="1" t="s">
        <v>209</v>
      </c>
      <c r="G752" s="1" t="s">
        <v>210</v>
      </c>
      <c r="H752" s="1" t="s">
        <v>316</v>
      </c>
      <c r="I752" s="1" t="s">
        <v>49</v>
      </c>
      <c r="J752" s="1" t="s">
        <v>153</v>
      </c>
      <c r="K752" s="1" t="s">
        <v>2372</v>
      </c>
      <c r="L752" s="1" t="s">
        <v>318</v>
      </c>
      <c r="M752" s="1">
        <v>697.16</v>
      </c>
      <c r="N752" s="1" t="s">
        <v>104</v>
      </c>
      <c r="O752" s="1">
        <v>50</v>
      </c>
      <c r="P752" s="1">
        <v>34858</v>
      </c>
      <c r="Q752" s="1">
        <v>0</v>
      </c>
      <c r="R752" s="7">
        <v>0</v>
      </c>
      <c r="S752" s="1">
        <v>4</v>
      </c>
      <c r="T752" s="1">
        <v>6</v>
      </c>
      <c r="U752" s="1">
        <v>-2</v>
      </c>
      <c r="V752" s="1" t="s">
        <v>3352</v>
      </c>
      <c r="W752" s="1" t="s">
        <v>40</v>
      </c>
      <c r="X752" s="1" t="s">
        <v>3324</v>
      </c>
      <c r="Y752" s="1" t="s">
        <v>66</v>
      </c>
      <c r="Z752" s="1" t="s">
        <v>107</v>
      </c>
      <c r="AA752" s="1" t="s">
        <v>55</v>
      </c>
      <c r="AB752" s="1" t="s">
        <v>137</v>
      </c>
      <c r="AC752" s="1"/>
      <c r="AD752" s="1">
        <v>2.5</v>
      </c>
      <c r="AE752" s="1" t="s">
        <v>45</v>
      </c>
      <c r="AF752" s="1"/>
    </row>
    <row r="753" spans="1:32" ht="18" customHeight="1">
      <c r="A753" s="1" t="s">
        <v>2373</v>
      </c>
      <c r="B753" s="1" t="s">
        <v>2374</v>
      </c>
      <c r="C753" s="4">
        <v>46120</v>
      </c>
      <c r="D753" s="4">
        <v>46132</v>
      </c>
      <c r="E753" s="4">
        <v>46135</v>
      </c>
      <c r="F753" s="1" t="s">
        <v>162</v>
      </c>
      <c r="G753" s="1" t="s">
        <v>3383</v>
      </c>
      <c r="H753" s="1" t="s">
        <v>3354</v>
      </c>
      <c r="I753" s="1" t="s">
        <v>241</v>
      </c>
      <c r="J753" s="1" t="s">
        <v>50</v>
      </c>
      <c r="K753" s="1" t="s">
        <v>2375</v>
      </c>
      <c r="L753" s="1" t="s">
        <v>145</v>
      </c>
      <c r="M753" s="1">
        <v>1897.71</v>
      </c>
      <c r="N753" s="1" t="s">
        <v>65</v>
      </c>
      <c r="O753" s="1">
        <v>2000</v>
      </c>
      <c r="P753" s="1">
        <v>3795420</v>
      </c>
      <c r="Q753" s="1">
        <v>38</v>
      </c>
      <c r="R753" s="7">
        <v>1.9E-2</v>
      </c>
      <c r="S753" s="1">
        <v>15</v>
      </c>
      <c r="T753" s="1">
        <v>12</v>
      </c>
      <c r="U753" s="1">
        <v>3</v>
      </c>
      <c r="V753" s="1" t="s">
        <v>3323</v>
      </c>
      <c r="W753" s="1" t="s">
        <v>40</v>
      </c>
      <c r="X753" s="1" t="s">
        <v>3324</v>
      </c>
      <c r="Y753" s="1" t="s">
        <v>212</v>
      </c>
      <c r="Z753" s="1" t="s">
        <v>54</v>
      </c>
      <c r="AA753" s="1" t="s">
        <v>3341</v>
      </c>
      <c r="AB753" s="1" t="s">
        <v>95</v>
      </c>
      <c r="AC753" s="1"/>
      <c r="AD753" s="1">
        <v>2.6</v>
      </c>
      <c r="AE753" s="1" t="s">
        <v>108</v>
      </c>
      <c r="AF753" s="1" t="s">
        <v>46</v>
      </c>
    </row>
    <row r="754" spans="1:32" ht="18" customHeight="1">
      <c r="A754" s="1" t="s">
        <v>2376</v>
      </c>
      <c r="B754" s="1" t="s">
        <v>2377</v>
      </c>
      <c r="C754" s="4" t="s">
        <v>3462</v>
      </c>
      <c r="D754" s="4">
        <v>46038</v>
      </c>
      <c r="E754" s="4">
        <v>46039</v>
      </c>
      <c r="F754" s="1" t="s">
        <v>142</v>
      </c>
      <c r="G754" s="1" t="s">
        <v>143</v>
      </c>
      <c r="H754" s="1" t="s">
        <v>169</v>
      </c>
      <c r="I754" s="1" t="s">
        <v>120</v>
      </c>
      <c r="J754" s="1" t="s">
        <v>50</v>
      </c>
      <c r="K754" s="1" t="s">
        <v>2378</v>
      </c>
      <c r="L754" s="1" t="s">
        <v>126</v>
      </c>
      <c r="M754" s="1">
        <v>2127.3200000000002</v>
      </c>
      <c r="N754" s="1" t="s">
        <v>65</v>
      </c>
      <c r="O754" s="1">
        <v>500</v>
      </c>
      <c r="P754" s="1">
        <v>1063660</v>
      </c>
      <c r="Q754" s="1">
        <v>9</v>
      </c>
      <c r="R754" s="7">
        <v>1.7999999999999999E-2</v>
      </c>
      <c r="S754" s="1">
        <v>16</v>
      </c>
      <c r="T754" s="1">
        <v>15</v>
      </c>
      <c r="U754" s="1">
        <v>1</v>
      </c>
      <c r="V754" s="1" t="s">
        <v>3323</v>
      </c>
      <c r="W754" s="1" t="s">
        <v>40</v>
      </c>
      <c r="X754" s="1" t="s">
        <v>105</v>
      </c>
      <c r="Y754" s="1" t="s">
        <v>3334</v>
      </c>
      <c r="Z754" s="1"/>
      <c r="AA754" s="1" t="s">
        <v>174</v>
      </c>
      <c r="AB754" s="1" t="s">
        <v>44</v>
      </c>
      <c r="AC754" s="1"/>
      <c r="AD754" s="1">
        <v>3.1</v>
      </c>
      <c r="AE754" s="1" t="s">
        <v>115</v>
      </c>
      <c r="AF754" s="1" t="s">
        <v>46</v>
      </c>
    </row>
    <row r="755" spans="1:32" ht="18" customHeight="1">
      <c r="A755" s="1" t="s">
        <v>2379</v>
      </c>
      <c r="B755" s="1" t="s">
        <v>2380</v>
      </c>
      <c r="C755" s="4">
        <v>46111</v>
      </c>
      <c r="D755" s="4">
        <v>46118</v>
      </c>
      <c r="E755" s="4" t="s">
        <v>3452</v>
      </c>
      <c r="F755" s="1" t="s">
        <v>162</v>
      </c>
      <c r="G755" s="1" t="s">
        <v>3382</v>
      </c>
      <c r="H755" s="1" t="s">
        <v>3327</v>
      </c>
      <c r="I755" s="1" t="s">
        <v>49</v>
      </c>
      <c r="J755" s="1" t="s">
        <v>163</v>
      </c>
      <c r="K755" s="1" t="s">
        <v>2381</v>
      </c>
      <c r="L755" s="1" t="s">
        <v>269</v>
      </c>
      <c r="M755" s="1">
        <v>1354.11</v>
      </c>
      <c r="N755" s="1" t="s">
        <v>159</v>
      </c>
      <c r="O755" s="1">
        <v>75</v>
      </c>
      <c r="P755" s="1">
        <v>101558.25</v>
      </c>
      <c r="Q755" s="1">
        <v>0</v>
      </c>
      <c r="R755" s="7">
        <v>0</v>
      </c>
      <c r="S755" s="1">
        <v>4</v>
      </c>
      <c r="T755" s="1">
        <v>7</v>
      </c>
      <c r="U755" s="1">
        <v>-3</v>
      </c>
      <c r="V755" s="1" t="s">
        <v>3337</v>
      </c>
      <c r="W755" s="1" t="s">
        <v>40</v>
      </c>
      <c r="X755" s="1" t="s">
        <v>146</v>
      </c>
      <c r="Y755" s="1" t="s">
        <v>3334</v>
      </c>
      <c r="Z755" s="1" t="s">
        <v>107</v>
      </c>
      <c r="AA755" s="1" t="s">
        <v>3341</v>
      </c>
      <c r="AB755" s="1" t="s">
        <v>147</v>
      </c>
      <c r="AC755" s="1"/>
      <c r="AD755" s="1">
        <v>2.1</v>
      </c>
      <c r="AE755" s="1" t="s">
        <v>57</v>
      </c>
      <c r="AF755" s="1" t="s">
        <v>130</v>
      </c>
    </row>
    <row r="756" spans="1:32" ht="18" customHeight="1">
      <c r="A756" s="1" t="s">
        <v>2382</v>
      </c>
      <c r="B756" s="1" t="s">
        <v>2383</v>
      </c>
      <c r="C756" s="4">
        <v>46046</v>
      </c>
      <c r="D756" s="4">
        <v>46054</v>
      </c>
      <c r="E756" s="4">
        <v>46056</v>
      </c>
      <c r="F756" s="1" t="s">
        <v>69</v>
      </c>
      <c r="G756" s="1" t="s">
        <v>111</v>
      </c>
      <c r="H756" s="1" t="s">
        <v>194</v>
      </c>
      <c r="I756" s="1" t="s">
        <v>120</v>
      </c>
      <c r="J756" s="1" t="s">
        <v>112</v>
      </c>
      <c r="K756" s="1" t="s">
        <v>2384</v>
      </c>
      <c r="L756" s="1" t="s">
        <v>114</v>
      </c>
      <c r="M756" s="1">
        <v>76.72</v>
      </c>
      <c r="N756" s="1" t="s">
        <v>172</v>
      </c>
      <c r="O756" s="1">
        <v>75</v>
      </c>
      <c r="P756" s="1">
        <v>5754</v>
      </c>
      <c r="Q756" s="1">
        <v>0</v>
      </c>
      <c r="R756" s="7">
        <v>0</v>
      </c>
      <c r="S756" s="1">
        <v>10</v>
      </c>
      <c r="T756" s="1">
        <v>8</v>
      </c>
      <c r="U756" s="1">
        <v>2</v>
      </c>
      <c r="V756" s="1" t="s">
        <v>166</v>
      </c>
      <c r="W756" s="1" t="s">
        <v>40</v>
      </c>
      <c r="X756" s="1" t="s">
        <v>105</v>
      </c>
      <c r="Y756" s="1"/>
      <c r="Z756" s="1" t="s">
        <v>3333</v>
      </c>
      <c r="AA756" s="1" t="s">
        <v>3341</v>
      </c>
      <c r="AB756" s="1" t="s">
        <v>137</v>
      </c>
      <c r="AC756" s="1"/>
      <c r="AD756" s="1">
        <v>2.2999999999999998</v>
      </c>
      <c r="AE756" s="1" t="s">
        <v>115</v>
      </c>
      <c r="AF756" s="1" t="s">
        <v>46</v>
      </c>
    </row>
    <row r="757" spans="1:32" ht="18" customHeight="1">
      <c r="A757" s="1" t="s">
        <v>2385</v>
      </c>
      <c r="B757" s="1" t="s">
        <v>2386</v>
      </c>
      <c r="C757" s="4">
        <v>46174</v>
      </c>
      <c r="D757" s="4">
        <v>46183</v>
      </c>
      <c r="E757" s="4">
        <v>46188</v>
      </c>
      <c r="F757" s="1" t="s">
        <v>80</v>
      </c>
      <c r="G757" s="1" t="s">
        <v>81</v>
      </c>
      <c r="H757" s="1" t="s">
        <v>3442</v>
      </c>
      <c r="I757" s="1" t="s">
        <v>241</v>
      </c>
      <c r="J757" s="1" t="s">
        <v>163</v>
      </c>
      <c r="K757" s="1" t="s">
        <v>2387</v>
      </c>
      <c r="L757" s="1" t="s">
        <v>269</v>
      </c>
      <c r="M757" s="1">
        <v>323.61</v>
      </c>
      <c r="N757" s="1"/>
      <c r="O757" s="1">
        <v>2000</v>
      </c>
      <c r="P757" s="1">
        <v>647220</v>
      </c>
      <c r="Q757" s="1">
        <v>39</v>
      </c>
      <c r="R757" s="7">
        <v>1.95E-2</v>
      </c>
      <c r="S757" s="1">
        <v>14</v>
      </c>
      <c r="T757" s="1">
        <v>9</v>
      </c>
      <c r="U757" s="1">
        <v>5</v>
      </c>
      <c r="V757" s="1" t="s">
        <v>205</v>
      </c>
      <c r="W757" s="1" t="s">
        <v>40</v>
      </c>
      <c r="X757" s="1" t="s">
        <v>105</v>
      </c>
      <c r="Y757" s="1" t="s">
        <v>106</v>
      </c>
      <c r="Z757" s="1" t="s">
        <v>43</v>
      </c>
      <c r="AA757" s="1" t="s">
        <v>55</v>
      </c>
      <c r="AB757" s="1" t="s">
        <v>44</v>
      </c>
      <c r="AC757" s="1"/>
      <c r="AD757" s="1">
        <v>3.4</v>
      </c>
      <c r="AE757" s="1" t="s">
        <v>45</v>
      </c>
      <c r="AF757" s="1" t="s">
        <v>46</v>
      </c>
    </row>
    <row r="758" spans="1:32" ht="18" customHeight="1">
      <c r="A758" s="1" t="s">
        <v>2388</v>
      </c>
      <c r="B758" s="1" t="s">
        <v>2389</v>
      </c>
      <c r="C758" s="4">
        <v>46099</v>
      </c>
      <c r="D758" s="4">
        <v>46119</v>
      </c>
      <c r="E758" s="4">
        <v>46126</v>
      </c>
      <c r="F758" s="1" t="s">
        <v>142</v>
      </c>
      <c r="G758" s="1" t="s">
        <v>143</v>
      </c>
      <c r="H758" s="1" t="s">
        <v>169</v>
      </c>
      <c r="I758" s="1" t="s">
        <v>83</v>
      </c>
      <c r="J758" s="1" t="s">
        <v>50</v>
      </c>
      <c r="K758" s="1" t="s">
        <v>2390</v>
      </c>
      <c r="L758" s="1" t="s">
        <v>126</v>
      </c>
      <c r="M758" s="1" t="s">
        <v>3733</v>
      </c>
      <c r="N758" s="1" t="s">
        <v>86</v>
      </c>
      <c r="O758" s="1">
        <v>150</v>
      </c>
      <c r="P758" s="1">
        <v>386955</v>
      </c>
      <c r="Q758" s="1">
        <v>0</v>
      </c>
      <c r="R758" s="7">
        <v>0</v>
      </c>
      <c r="S758" s="1">
        <v>27</v>
      </c>
      <c r="T758" s="1">
        <v>20</v>
      </c>
      <c r="U758" s="1">
        <v>7</v>
      </c>
      <c r="V758" s="1" t="s">
        <v>205</v>
      </c>
      <c r="W758" s="1" t="s">
        <v>40</v>
      </c>
      <c r="X758" s="1" t="s">
        <v>105</v>
      </c>
      <c r="Y758" s="1" t="s">
        <v>212</v>
      </c>
      <c r="Z758" s="1" t="s">
        <v>173</v>
      </c>
      <c r="AA758" s="1" t="s">
        <v>88</v>
      </c>
      <c r="AB758" s="1" t="s">
        <v>56</v>
      </c>
      <c r="AC758" s="1"/>
      <c r="AD758" s="1">
        <v>2.8</v>
      </c>
      <c r="AE758" s="1" t="s">
        <v>45</v>
      </c>
      <c r="AF758" s="1" t="s">
        <v>46</v>
      </c>
    </row>
    <row r="759" spans="1:32" ht="18" hidden="1" customHeight="1">
      <c r="A759" s="1" t="s">
        <v>2391</v>
      </c>
      <c r="B759" s="1" t="s">
        <v>2392</v>
      </c>
      <c r="C759" s="4" t="s">
        <v>3406</v>
      </c>
      <c r="D759" s="1">
        <v>46159</v>
      </c>
      <c r="E759" s="1">
        <v>46157</v>
      </c>
      <c r="F759" s="1" t="s">
        <v>48</v>
      </c>
      <c r="G759" s="1" t="s">
        <v>3321</v>
      </c>
      <c r="H759" s="1" t="s">
        <v>3322</v>
      </c>
      <c r="I759" s="1" t="s">
        <v>178</v>
      </c>
      <c r="J759" s="1" t="s">
        <v>50</v>
      </c>
      <c r="K759" s="1" t="s">
        <v>2393</v>
      </c>
      <c r="L759" s="1" t="s">
        <v>145</v>
      </c>
      <c r="M759" s="1">
        <v>509.79</v>
      </c>
      <c r="N759" s="1" t="s">
        <v>53</v>
      </c>
      <c r="O759" s="1">
        <v>300</v>
      </c>
      <c r="P759" s="1">
        <v>152937</v>
      </c>
      <c r="Q759" s="1">
        <v>19</v>
      </c>
      <c r="R759" s="7">
        <v>6.3299999999999995E-2</v>
      </c>
      <c r="S759" s="1">
        <v>14</v>
      </c>
      <c r="T759" s="1">
        <v>16</v>
      </c>
      <c r="U759" s="1">
        <v>-2</v>
      </c>
      <c r="V759" s="1" t="s">
        <v>87</v>
      </c>
      <c r="W759" s="1" t="s">
        <v>74</v>
      </c>
      <c r="X759" s="1" t="s">
        <v>146</v>
      </c>
      <c r="Y759" s="1" t="s">
        <v>212</v>
      </c>
      <c r="Z759" s="1" t="s">
        <v>3333</v>
      </c>
      <c r="AA759" s="1" t="s">
        <v>136</v>
      </c>
      <c r="AB759" s="1" t="s">
        <v>137</v>
      </c>
      <c r="AC759" s="1" t="s">
        <v>283</v>
      </c>
      <c r="AD759" s="1">
        <v>2.1</v>
      </c>
      <c r="AE759" s="1" t="s">
        <v>184</v>
      </c>
      <c r="AF759" s="1" t="s">
        <v>284</v>
      </c>
    </row>
    <row r="760" spans="1:32" ht="18" customHeight="1">
      <c r="A760" s="1" t="s">
        <v>2394</v>
      </c>
      <c r="B760" s="1" t="s">
        <v>2395</v>
      </c>
      <c r="C760" s="4">
        <v>46154</v>
      </c>
      <c r="D760" s="4">
        <v>46165</v>
      </c>
      <c r="E760" s="4">
        <v>46171</v>
      </c>
      <c r="F760" s="1" t="s">
        <v>48</v>
      </c>
      <c r="G760" s="1" t="s">
        <v>232</v>
      </c>
      <c r="H760" s="1" t="s">
        <v>102</v>
      </c>
      <c r="I760" s="1" t="s">
        <v>49</v>
      </c>
      <c r="J760" s="1" t="s">
        <v>50</v>
      </c>
      <c r="K760" s="1" t="s">
        <v>2396</v>
      </c>
      <c r="L760" s="1" t="s">
        <v>52</v>
      </c>
      <c r="M760" s="1">
        <v>1591.73</v>
      </c>
      <c r="N760" s="1"/>
      <c r="O760" s="1">
        <v>150</v>
      </c>
      <c r="P760" s="1">
        <v>238759.5</v>
      </c>
      <c r="Q760" s="1">
        <v>2</v>
      </c>
      <c r="R760" s="7">
        <v>1.3299999999999999E-2</v>
      </c>
      <c r="S760" s="1">
        <v>17</v>
      </c>
      <c r="T760" s="1">
        <v>11</v>
      </c>
      <c r="U760" s="1">
        <v>6</v>
      </c>
      <c r="V760" s="1" t="s">
        <v>3328</v>
      </c>
      <c r="W760" s="1" t="s">
        <v>40</v>
      </c>
      <c r="X760" s="1" t="s">
        <v>127</v>
      </c>
      <c r="Y760" s="1" t="s">
        <v>3334</v>
      </c>
      <c r="Z760" s="1"/>
      <c r="AA760" s="1" t="s">
        <v>206</v>
      </c>
      <c r="AB760" s="1" t="s">
        <v>56</v>
      </c>
      <c r="AC760" s="1"/>
      <c r="AD760" s="1">
        <v>1.2</v>
      </c>
      <c r="AE760" s="1" t="s">
        <v>184</v>
      </c>
      <c r="AF760" s="1" t="s">
        <v>148</v>
      </c>
    </row>
    <row r="761" spans="1:32" ht="18" customHeight="1">
      <c r="A761" s="1" t="s">
        <v>2397</v>
      </c>
      <c r="B761" s="1" t="s">
        <v>2398</v>
      </c>
      <c r="C761" s="4">
        <v>46075</v>
      </c>
      <c r="D761" s="4">
        <v>46095</v>
      </c>
      <c r="E761" s="4">
        <v>46086</v>
      </c>
      <c r="F761" s="1" t="s">
        <v>32</v>
      </c>
      <c r="G761" s="1" t="s">
        <v>33</v>
      </c>
      <c r="H761" s="1" t="s">
        <v>177</v>
      </c>
      <c r="I761" s="1" t="s">
        <v>49</v>
      </c>
      <c r="J761" s="1" t="s">
        <v>35</v>
      </c>
      <c r="K761" s="1" t="s">
        <v>476</v>
      </c>
      <c r="L761" s="1" t="s">
        <v>180</v>
      </c>
      <c r="M761" s="1">
        <v>2821.62</v>
      </c>
      <c r="N761" s="1"/>
      <c r="O761" s="1">
        <v>1000</v>
      </c>
      <c r="P761" s="1">
        <v>2821620</v>
      </c>
      <c r="Q761" s="1">
        <v>26</v>
      </c>
      <c r="R761" s="7">
        <v>2.5999999999999999E-2</v>
      </c>
      <c r="S761" s="1" t="s">
        <v>3406</v>
      </c>
      <c r="T761" s="1">
        <v>20</v>
      </c>
      <c r="U761" s="1">
        <v>-9</v>
      </c>
      <c r="V761" s="1" t="s">
        <v>270</v>
      </c>
      <c r="W761" s="1" t="s">
        <v>40</v>
      </c>
      <c r="X761" s="1"/>
      <c r="Y761" s="1" t="s">
        <v>3334</v>
      </c>
      <c r="Z761" s="1" t="s">
        <v>173</v>
      </c>
      <c r="AA761" s="1" t="s">
        <v>129</v>
      </c>
      <c r="AB761" s="1" t="s">
        <v>44</v>
      </c>
      <c r="AC761" s="1"/>
      <c r="AD761" s="1">
        <v>4</v>
      </c>
      <c r="AE761" s="1" t="s">
        <v>57</v>
      </c>
      <c r="AF761" s="1" t="s">
        <v>130</v>
      </c>
    </row>
    <row r="762" spans="1:32" ht="18" customHeight="1">
      <c r="A762" s="1" t="s">
        <v>2018</v>
      </c>
      <c r="B762" s="1" t="s">
        <v>2399</v>
      </c>
      <c r="C762" s="4">
        <v>46057</v>
      </c>
      <c r="D762" s="4">
        <v>46069</v>
      </c>
      <c r="E762" s="4">
        <v>46078</v>
      </c>
      <c r="F762" s="1" t="s">
        <v>118</v>
      </c>
      <c r="G762" s="1" t="s">
        <v>3461</v>
      </c>
      <c r="H762" s="1" t="s">
        <v>3340</v>
      </c>
      <c r="I762" s="1" t="s">
        <v>92</v>
      </c>
      <c r="J762" s="1" t="s">
        <v>62</v>
      </c>
      <c r="K762" s="1" t="s">
        <v>2400</v>
      </c>
      <c r="L762" s="1" t="s">
        <v>122</v>
      </c>
      <c r="M762" s="1">
        <v>468.39</v>
      </c>
      <c r="N762" s="1" t="s">
        <v>86</v>
      </c>
      <c r="O762" s="1">
        <v>300</v>
      </c>
      <c r="P762" s="1">
        <v>140517</v>
      </c>
      <c r="Q762" s="1">
        <v>9</v>
      </c>
      <c r="R762" s="7">
        <v>0.03</v>
      </c>
      <c r="S762" s="1">
        <v>21</v>
      </c>
      <c r="T762" s="1">
        <v>12</v>
      </c>
      <c r="U762" s="1">
        <v>9</v>
      </c>
      <c r="V762" s="1" t="s">
        <v>205</v>
      </c>
      <c r="W762" s="1" t="s">
        <v>40</v>
      </c>
      <c r="X762" s="1" t="s">
        <v>3329</v>
      </c>
      <c r="Y762" s="1" t="s">
        <v>106</v>
      </c>
      <c r="Z762" s="1"/>
      <c r="AA762" s="1"/>
      <c r="AB762" s="1" t="s">
        <v>147</v>
      </c>
      <c r="AC762" s="1"/>
      <c r="AD762" s="1">
        <v>1.3</v>
      </c>
      <c r="AE762" s="1" t="s">
        <v>76</v>
      </c>
      <c r="AF762" s="1" t="s">
        <v>46</v>
      </c>
    </row>
    <row r="763" spans="1:32" ht="18" hidden="1" customHeight="1">
      <c r="A763" s="1" t="s">
        <v>2401</v>
      </c>
      <c r="B763" s="1" t="s">
        <v>2402</v>
      </c>
      <c r="C763" s="4">
        <v>46175</v>
      </c>
      <c r="D763" s="1">
        <v>46183</v>
      </c>
      <c r="E763" s="1">
        <v>46190</v>
      </c>
      <c r="F763" s="1" t="s">
        <v>80</v>
      </c>
      <c r="G763" s="1" t="s">
        <v>81</v>
      </c>
      <c r="H763" s="1" t="s">
        <v>3414</v>
      </c>
      <c r="I763" s="1" t="s">
        <v>34</v>
      </c>
      <c r="J763" s="1" t="s">
        <v>35</v>
      </c>
      <c r="K763" s="1" t="s">
        <v>2403</v>
      </c>
      <c r="L763" s="1" t="s">
        <v>180</v>
      </c>
      <c r="M763" s="1">
        <v>1217.54</v>
      </c>
      <c r="N763" s="1" t="s">
        <v>38</v>
      </c>
      <c r="O763" s="1">
        <v>150</v>
      </c>
      <c r="P763" s="1">
        <v>182631</v>
      </c>
      <c r="Q763" s="1">
        <v>7</v>
      </c>
      <c r="R763" s="7">
        <v>4.6699999999999998E-2</v>
      </c>
      <c r="S763" s="1">
        <v>15</v>
      </c>
      <c r="T763" s="1">
        <v>8</v>
      </c>
      <c r="U763" s="1">
        <v>7</v>
      </c>
      <c r="V763" s="1" t="s">
        <v>3328</v>
      </c>
      <c r="W763" s="1" t="s">
        <v>366</v>
      </c>
      <c r="X763" s="1" t="s">
        <v>3329</v>
      </c>
      <c r="Y763" s="1" t="s">
        <v>190</v>
      </c>
      <c r="Z763" s="1" t="s">
        <v>3333</v>
      </c>
      <c r="AA763" s="1"/>
      <c r="AB763" s="1" t="s">
        <v>147</v>
      </c>
      <c r="AC763" s="1" t="s">
        <v>373</v>
      </c>
      <c r="AD763" s="1">
        <v>1.1000000000000001</v>
      </c>
      <c r="AE763" s="1" t="s">
        <v>139</v>
      </c>
      <c r="AF763" s="1" t="s">
        <v>77</v>
      </c>
    </row>
    <row r="764" spans="1:32" ht="18" customHeight="1">
      <c r="A764" s="1" t="s">
        <v>2404</v>
      </c>
      <c r="B764" s="1" t="s">
        <v>2405</v>
      </c>
      <c r="C764" s="4">
        <v>46084</v>
      </c>
      <c r="D764" s="4">
        <v>46093</v>
      </c>
      <c r="E764" s="4">
        <v>46102</v>
      </c>
      <c r="F764" s="1" t="s">
        <v>209</v>
      </c>
      <c r="G764" s="1" t="s">
        <v>210</v>
      </c>
      <c r="H764" s="1" t="s">
        <v>3365</v>
      </c>
      <c r="I764" s="1" t="s">
        <v>178</v>
      </c>
      <c r="J764" s="1" t="s">
        <v>153</v>
      </c>
      <c r="K764" s="1" t="s">
        <v>2406</v>
      </c>
      <c r="L764" s="1" t="s">
        <v>204</v>
      </c>
      <c r="M764" s="1">
        <v>63.45</v>
      </c>
      <c r="N764" s="1" t="s">
        <v>65</v>
      </c>
      <c r="O764" s="1">
        <v>250</v>
      </c>
      <c r="P764" s="1"/>
      <c r="Q764" s="1">
        <v>8</v>
      </c>
      <c r="R764" s="7">
        <v>3.2000000000000001E-2</v>
      </c>
      <c r="S764" s="1">
        <v>18</v>
      </c>
      <c r="T764" s="1">
        <v>9</v>
      </c>
      <c r="U764" s="1">
        <v>9</v>
      </c>
      <c r="V764" s="1" t="s">
        <v>205</v>
      </c>
      <c r="W764" s="1" t="s">
        <v>40</v>
      </c>
      <c r="X764" s="1" t="s">
        <v>105</v>
      </c>
      <c r="Y764" s="1" t="s">
        <v>190</v>
      </c>
      <c r="Z764" s="1" t="s">
        <v>3330</v>
      </c>
      <c r="AA764" s="1" t="s">
        <v>206</v>
      </c>
      <c r="AB764" s="1" t="s">
        <v>137</v>
      </c>
      <c r="AC764" s="1"/>
      <c r="AD764" s="1">
        <v>1.2</v>
      </c>
      <c r="AE764" s="1" t="s">
        <v>76</v>
      </c>
      <c r="AF764" s="1" t="s">
        <v>46</v>
      </c>
    </row>
    <row r="765" spans="1:32" ht="18" customHeight="1">
      <c r="A765" s="1" t="s">
        <v>2407</v>
      </c>
      <c r="B765" s="1" t="s">
        <v>2408</v>
      </c>
      <c r="C765" s="4">
        <v>46180</v>
      </c>
      <c r="D765" s="4">
        <v>46204</v>
      </c>
      <c r="E765" s="4">
        <v>46201</v>
      </c>
      <c r="F765" s="1" t="s">
        <v>235</v>
      </c>
      <c r="G765" s="1" t="s">
        <v>3474</v>
      </c>
      <c r="H765" s="1" t="s">
        <v>479</v>
      </c>
      <c r="I765" s="1" t="s">
        <v>83</v>
      </c>
      <c r="J765" s="1" t="s">
        <v>71</v>
      </c>
      <c r="K765" s="1" t="s">
        <v>2409</v>
      </c>
      <c r="L765" s="1" t="s">
        <v>337</v>
      </c>
      <c r="M765" s="1" t="s">
        <v>3734</v>
      </c>
      <c r="N765" s="1" t="s">
        <v>86</v>
      </c>
      <c r="O765" s="1">
        <v>750</v>
      </c>
      <c r="P765" s="1">
        <v>139192.5</v>
      </c>
      <c r="Q765" s="1">
        <v>13</v>
      </c>
      <c r="R765" s="7">
        <v>1.7299999999999999E-2</v>
      </c>
      <c r="S765" s="1">
        <v>21</v>
      </c>
      <c r="T765" s="1">
        <v>24</v>
      </c>
      <c r="U765" s="1">
        <v>-3</v>
      </c>
      <c r="V765" s="1" t="s">
        <v>87</v>
      </c>
      <c r="W765" s="1" t="s">
        <v>40</v>
      </c>
      <c r="X765" s="1" t="s">
        <v>146</v>
      </c>
      <c r="Y765" s="1" t="s">
        <v>42</v>
      </c>
      <c r="Z765" s="1" t="s">
        <v>128</v>
      </c>
      <c r="AA765" s="1" t="s">
        <v>129</v>
      </c>
      <c r="AB765" s="1" t="s">
        <v>95</v>
      </c>
      <c r="AC765" s="1"/>
      <c r="AD765" s="1">
        <v>5</v>
      </c>
      <c r="AE765" s="1" t="s">
        <v>115</v>
      </c>
      <c r="AF765" s="1" t="s">
        <v>130</v>
      </c>
    </row>
    <row r="766" spans="1:32" ht="18" customHeight="1">
      <c r="A766" s="1" t="s">
        <v>2410</v>
      </c>
      <c r="B766" s="1" t="s">
        <v>2411</v>
      </c>
      <c r="C766" s="4">
        <v>46151</v>
      </c>
      <c r="D766" s="4">
        <v>46171</v>
      </c>
      <c r="E766" s="4">
        <v>46172</v>
      </c>
      <c r="F766" s="1" t="s">
        <v>142</v>
      </c>
      <c r="G766" s="1" t="s">
        <v>143</v>
      </c>
      <c r="H766" s="1" t="s">
        <v>3392</v>
      </c>
      <c r="I766" s="1" t="s">
        <v>120</v>
      </c>
      <c r="J766" s="1" t="s">
        <v>50</v>
      </c>
      <c r="K766" s="1" t="s">
        <v>2412</v>
      </c>
      <c r="L766" s="1" t="s">
        <v>52</v>
      </c>
      <c r="M766" s="1">
        <v>3754.26</v>
      </c>
      <c r="N766" s="1" t="s">
        <v>38</v>
      </c>
      <c r="O766" s="1">
        <v>150</v>
      </c>
      <c r="P766" s="1">
        <v>563139</v>
      </c>
      <c r="Q766" s="1">
        <v>3</v>
      </c>
      <c r="R766" s="7">
        <v>0.02</v>
      </c>
      <c r="S766" s="1">
        <v>21</v>
      </c>
      <c r="T766" s="1">
        <v>20</v>
      </c>
      <c r="U766" s="1">
        <v>1</v>
      </c>
      <c r="V766" s="1" t="s">
        <v>135</v>
      </c>
      <c r="W766" s="1" t="s">
        <v>40</v>
      </c>
      <c r="X766" s="1" t="s">
        <v>146</v>
      </c>
      <c r="Y766" s="1" t="s">
        <v>106</v>
      </c>
      <c r="Z766" s="1" t="s">
        <v>3333</v>
      </c>
      <c r="AA766" s="1" t="s">
        <v>174</v>
      </c>
      <c r="AB766" s="1" t="s">
        <v>137</v>
      </c>
      <c r="AC766" s="1"/>
      <c r="AD766" s="1">
        <v>3</v>
      </c>
      <c r="AE766" s="1" t="s">
        <v>184</v>
      </c>
      <c r="AF766" s="1" t="s">
        <v>148</v>
      </c>
    </row>
    <row r="767" spans="1:32" ht="18" customHeight="1">
      <c r="A767" s="1" t="s">
        <v>2413</v>
      </c>
      <c r="B767" s="1" t="s">
        <v>2414</v>
      </c>
      <c r="C767" s="4">
        <v>46034</v>
      </c>
      <c r="D767" s="4">
        <v>46050</v>
      </c>
      <c r="E767" s="4">
        <v>46063</v>
      </c>
      <c r="F767" s="1" t="s">
        <v>48</v>
      </c>
      <c r="G767" s="1" t="s">
        <v>232</v>
      </c>
      <c r="H767" s="1" t="s">
        <v>3361</v>
      </c>
      <c r="I767" s="1" t="s">
        <v>120</v>
      </c>
      <c r="J767" s="1" t="s">
        <v>71</v>
      </c>
      <c r="K767" s="1" t="s">
        <v>2415</v>
      </c>
      <c r="L767" s="1" t="s">
        <v>238</v>
      </c>
      <c r="M767" s="1">
        <v>145.44999999999999</v>
      </c>
      <c r="N767" s="1" t="s">
        <v>53</v>
      </c>
      <c r="O767" s="1">
        <v>75</v>
      </c>
      <c r="P767" s="1">
        <v>10908.75</v>
      </c>
      <c r="Q767" s="1">
        <v>0</v>
      </c>
      <c r="R767" s="7">
        <v>0</v>
      </c>
      <c r="S767" s="1">
        <v>29</v>
      </c>
      <c r="T767" s="1">
        <v>16</v>
      </c>
      <c r="U767" s="1">
        <v>13</v>
      </c>
      <c r="V767" s="1" t="s">
        <v>39</v>
      </c>
      <c r="W767" s="1" t="s">
        <v>40</v>
      </c>
      <c r="X767" s="1" t="s">
        <v>3329</v>
      </c>
      <c r="Y767" s="1"/>
      <c r="Z767" s="1" t="s">
        <v>128</v>
      </c>
      <c r="AA767" s="1" t="s">
        <v>174</v>
      </c>
      <c r="AB767" s="1" t="s">
        <v>191</v>
      </c>
      <c r="AC767" s="1"/>
      <c r="AD767" s="1">
        <v>1.8</v>
      </c>
      <c r="AE767" s="1" t="s">
        <v>139</v>
      </c>
      <c r="AF767" s="1" t="s">
        <v>46</v>
      </c>
    </row>
    <row r="768" spans="1:32" ht="18" customHeight="1">
      <c r="A768" s="1" t="s">
        <v>2416</v>
      </c>
      <c r="B768" s="1" t="s">
        <v>2417</v>
      </c>
      <c r="C768" s="4">
        <v>46125</v>
      </c>
      <c r="D768" s="4" t="s">
        <v>3436</v>
      </c>
      <c r="E768" s="4"/>
      <c r="F768" s="1" t="s">
        <v>209</v>
      </c>
      <c r="G768" s="1" t="s">
        <v>210</v>
      </c>
      <c r="H768" s="1" t="s">
        <v>3365</v>
      </c>
      <c r="I768" s="1" t="s">
        <v>241</v>
      </c>
      <c r="J768" s="1" t="s">
        <v>153</v>
      </c>
      <c r="K768" s="1" t="s">
        <v>2418</v>
      </c>
      <c r="L768" s="1" t="s">
        <v>295</v>
      </c>
      <c r="M768" s="1">
        <v>673.45</v>
      </c>
      <c r="N768" s="1" t="s">
        <v>53</v>
      </c>
      <c r="O768" s="1">
        <v>2000</v>
      </c>
      <c r="P768" s="1">
        <v>1346900</v>
      </c>
      <c r="Q768" s="1">
        <v>70</v>
      </c>
      <c r="R768" s="7">
        <v>3.5000000000000003E-2</v>
      </c>
      <c r="S768" s="1">
        <v>11</v>
      </c>
      <c r="T768" s="1">
        <v>12</v>
      </c>
      <c r="U768" s="1">
        <v>-1</v>
      </c>
      <c r="V768" s="1" t="s">
        <v>87</v>
      </c>
      <c r="W768" s="1" t="s">
        <v>40</v>
      </c>
      <c r="X768" s="1" t="s">
        <v>105</v>
      </c>
      <c r="Y768" s="1" t="s">
        <v>190</v>
      </c>
      <c r="Z768" s="1" t="s">
        <v>43</v>
      </c>
      <c r="AA768" s="1" t="s">
        <v>3341</v>
      </c>
      <c r="AB768" s="1" t="s">
        <v>191</v>
      </c>
      <c r="AC768" s="1"/>
      <c r="AD768" s="1">
        <v>2.5</v>
      </c>
      <c r="AE768" s="1" t="s">
        <v>115</v>
      </c>
      <c r="AF768" s="1"/>
    </row>
    <row r="769" spans="1:32" ht="18" customHeight="1">
      <c r="A769" s="1" t="s">
        <v>2419</v>
      </c>
      <c r="B769" s="1" t="s">
        <v>2420</v>
      </c>
      <c r="C769" s="4">
        <v>46105</v>
      </c>
      <c r="D769" s="4">
        <v>46117</v>
      </c>
      <c r="E769" s="4">
        <v>46114</v>
      </c>
      <c r="F769" s="1" t="s">
        <v>60</v>
      </c>
      <c r="G769" s="1" t="s">
        <v>466</v>
      </c>
      <c r="H769" s="1" t="s">
        <v>3354</v>
      </c>
      <c r="I769" s="1" t="s">
        <v>178</v>
      </c>
      <c r="J769" s="1" t="s">
        <v>62</v>
      </c>
      <c r="K769" s="1" t="s">
        <v>2421</v>
      </c>
      <c r="L769" s="1" t="s">
        <v>94</v>
      </c>
      <c r="M769" s="1">
        <v>273.8</v>
      </c>
      <c r="N769" s="1" t="s">
        <v>38</v>
      </c>
      <c r="O769" s="1">
        <v>1000</v>
      </c>
      <c r="P769" s="1">
        <v>273800</v>
      </c>
      <c r="Q769" s="1">
        <v>38</v>
      </c>
      <c r="R769" s="7">
        <v>3.7999999999999999E-2</v>
      </c>
      <c r="S769" s="1">
        <v>9</v>
      </c>
      <c r="T769" s="1">
        <v>12</v>
      </c>
      <c r="U769" s="1">
        <v>-3</v>
      </c>
      <c r="V769" s="1" t="s">
        <v>3337</v>
      </c>
      <c r="W769" s="1" t="s">
        <v>40</v>
      </c>
      <c r="X769" s="1" t="s">
        <v>105</v>
      </c>
      <c r="Y769" s="1" t="s">
        <v>106</v>
      </c>
      <c r="Z769" s="1" t="s">
        <v>43</v>
      </c>
      <c r="AA769" s="1" t="s">
        <v>88</v>
      </c>
      <c r="AB769" s="1" t="s">
        <v>56</v>
      </c>
      <c r="AC769" s="1"/>
      <c r="AD769" s="1">
        <v>4.5</v>
      </c>
      <c r="AE769" s="1" t="s">
        <v>139</v>
      </c>
      <c r="AF769" s="1"/>
    </row>
    <row r="770" spans="1:32" ht="18" customHeight="1">
      <c r="A770" s="1" t="s">
        <v>2422</v>
      </c>
      <c r="B770" s="1" t="s">
        <v>2423</v>
      </c>
      <c r="C770" s="4">
        <v>46037</v>
      </c>
      <c r="D770" s="4">
        <v>46049</v>
      </c>
      <c r="E770" s="4" t="s">
        <v>3735</v>
      </c>
      <c r="F770" s="1" t="s">
        <v>48</v>
      </c>
      <c r="G770" s="1" t="s">
        <v>3467</v>
      </c>
      <c r="H770" s="1" t="s">
        <v>3361</v>
      </c>
      <c r="I770" s="1" t="s">
        <v>241</v>
      </c>
      <c r="J770" s="1" t="s">
        <v>50</v>
      </c>
      <c r="K770" s="1" t="s">
        <v>950</v>
      </c>
      <c r="L770" s="1" t="s">
        <v>145</v>
      </c>
      <c r="M770" s="1"/>
      <c r="N770" s="1"/>
      <c r="O770" s="1">
        <v>75</v>
      </c>
      <c r="P770" s="1">
        <v>144540.75</v>
      </c>
      <c r="Q770" s="1">
        <v>0</v>
      </c>
      <c r="R770" s="7">
        <v>0</v>
      </c>
      <c r="S770" s="1">
        <v>22</v>
      </c>
      <c r="T770" s="1">
        <v>12</v>
      </c>
      <c r="U770" s="1">
        <v>10</v>
      </c>
      <c r="V770" s="1" t="s">
        <v>3328</v>
      </c>
      <c r="W770" s="1" t="s">
        <v>40</v>
      </c>
      <c r="X770" s="1" t="s">
        <v>105</v>
      </c>
      <c r="Y770" s="1" t="s">
        <v>42</v>
      </c>
      <c r="Z770" s="1" t="s">
        <v>3330</v>
      </c>
      <c r="AA770" s="1"/>
      <c r="AB770" s="1"/>
      <c r="AC770" s="1"/>
      <c r="AD770" s="1">
        <v>1.5</v>
      </c>
      <c r="AE770" s="1" t="s">
        <v>76</v>
      </c>
      <c r="AF770" s="1" t="s">
        <v>46</v>
      </c>
    </row>
    <row r="771" spans="1:32" ht="18" customHeight="1">
      <c r="A771" s="1" t="s">
        <v>2424</v>
      </c>
      <c r="B771" s="1" t="s">
        <v>2425</v>
      </c>
      <c r="C771" s="4"/>
      <c r="D771" s="4" t="s">
        <v>3436</v>
      </c>
      <c r="E771" s="4">
        <v>46071</v>
      </c>
      <c r="F771" s="1" t="s">
        <v>60</v>
      </c>
      <c r="G771" s="1" t="s">
        <v>466</v>
      </c>
      <c r="H771" s="1" t="s">
        <v>3408</v>
      </c>
      <c r="I771" s="1" t="s">
        <v>49</v>
      </c>
      <c r="J771" s="1" t="s">
        <v>62</v>
      </c>
      <c r="K771" s="1" t="s">
        <v>2426</v>
      </c>
      <c r="L771" s="1" t="s">
        <v>225</v>
      </c>
      <c r="M771" s="1">
        <v>40.270000000000003</v>
      </c>
      <c r="N771" s="1" t="s">
        <v>104</v>
      </c>
      <c r="O771" s="1">
        <v>250</v>
      </c>
      <c r="P771" s="1">
        <v>10067.5</v>
      </c>
      <c r="Q771" s="1">
        <v>7</v>
      </c>
      <c r="R771" s="7">
        <v>2.8000000000000001E-2</v>
      </c>
      <c r="S771" s="1">
        <v>20</v>
      </c>
      <c r="T771" s="1">
        <v>13</v>
      </c>
      <c r="U771" s="1">
        <v>7</v>
      </c>
      <c r="V771" s="1" t="s">
        <v>3328</v>
      </c>
      <c r="W771" s="1" t="s">
        <v>40</v>
      </c>
      <c r="X771" s="1" t="s">
        <v>3324</v>
      </c>
      <c r="Y771" s="1" t="s">
        <v>106</v>
      </c>
      <c r="Z771" s="1" t="s">
        <v>173</v>
      </c>
      <c r="AA771" s="1" t="s">
        <v>3341</v>
      </c>
      <c r="AB771" s="1" t="s">
        <v>191</v>
      </c>
      <c r="AC771" s="1"/>
      <c r="AD771" s="1">
        <v>2.4</v>
      </c>
      <c r="AE771" s="1" t="s">
        <v>115</v>
      </c>
      <c r="AF771" s="1" t="s">
        <v>46</v>
      </c>
    </row>
    <row r="772" spans="1:32" ht="18" hidden="1" customHeight="1">
      <c r="A772" s="1" t="s">
        <v>2427</v>
      </c>
      <c r="B772" s="1" t="s">
        <v>2428</v>
      </c>
      <c r="C772" s="4">
        <v>46039</v>
      </c>
      <c r="D772" s="1">
        <v>46049</v>
      </c>
      <c r="E772" s="1">
        <v>46054</v>
      </c>
      <c r="F772" s="1" t="s">
        <v>69</v>
      </c>
      <c r="G772" s="1" t="s">
        <v>3362</v>
      </c>
      <c r="H772" s="1" t="s">
        <v>3332</v>
      </c>
      <c r="I772" s="1" t="s">
        <v>241</v>
      </c>
      <c r="J772" s="1" t="s">
        <v>112</v>
      </c>
      <c r="K772" s="1" t="s">
        <v>2429</v>
      </c>
      <c r="L772" s="1" t="s">
        <v>114</v>
      </c>
      <c r="M772" s="1">
        <v>831.82</v>
      </c>
      <c r="N772" s="1" t="s">
        <v>86</v>
      </c>
      <c r="O772" s="1">
        <v>2000</v>
      </c>
      <c r="P772" s="1">
        <v>1663640</v>
      </c>
      <c r="Q772" s="1">
        <v>105</v>
      </c>
      <c r="R772" s="7">
        <v>5.2499999999999998E-2</v>
      </c>
      <c r="S772" s="1">
        <v>15</v>
      </c>
      <c r="T772" s="1">
        <v>10</v>
      </c>
      <c r="U772" s="1"/>
      <c r="V772" s="1" t="s">
        <v>205</v>
      </c>
      <c r="W772" s="1" t="s">
        <v>74</v>
      </c>
      <c r="X772" s="1" t="s">
        <v>105</v>
      </c>
      <c r="Y772" s="1" t="s">
        <v>42</v>
      </c>
      <c r="Z772" s="1" t="s">
        <v>3333</v>
      </c>
      <c r="AA772" s="1" t="s">
        <v>174</v>
      </c>
      <c r="AB772" s="1" t="s">
        <v>44</v>
      </c>
      <c r="AC772" s="1" t="s">
        <v>96</v>
      </c>
      <c r="AD772" s="1">
        <v>1.6</v>
      </c>
      <c r="AE772" s="1" t="s">
        <v>139</v>
      </c>
      <c r="AF772" s="1" t="s">
        <v>77</v>
      </c>
    </row>
    <row r="773" spans="1:32" ht="18" hidden="1" customHeight="1">
      <c r="A773" s="1" t="s">
        <v>2430</v>
      </c>
      <c r="B773" s="1" t="s">
        <v>2431</v>
      </c>
      <c r="C773" s="4" t="s">
        <v>3377</v>
      </c>
      <c r="D773" s="1">
        <v>46207</v>
      </c>
      <c r="E773" s="1">
        <v>46210</v>
      </c>
      <c r="F773" s="1" t="s">
        <v>69</v>
      </c>
      <c r="G773" s="1" t="s">
        <v>3362</v>
      </c>
      <c r="H773" s="1" t="s">
        <v>194</v>
      </c>
      <c r="I773" s="1" t="s">
        <v>34</v>
      </c>
      <c r="J773" s="1" t="s">
        <v>112</v>
      </c>
      <c r="K773" s="1" t="s">
        <v>2432</v>
      </c>
      <c r="L773" s="1" t="s">
        <v>246</v>
      </c>
      <c r="M773" s="1">
        <v>245.5</v>
      </c>
      <c r="N773" s="1" t="s">
        <v>38</v>
      </c>
      <c r="O773" s="1">
        <v>100</v>
      </c>
      <c r="P773" s="1">
        <v>24550</v>
      </c>
      <c r="Q773" s="1">
        <v>9</v>
      </c>
      <c r="R773" s="7">
        <v>0.09</v>
      </c>
      <c r="S773" s="1">
        <v>9</v>
      </c>
      <c r="T773" s="1">
        <v>6</v>
      </c>
      <c r="U773" s="1">
        <v>3</v>
      </c>
      <c r="V773" s="1" t="s">
        <v>3323</v>
      </c>
      <c r="W773" s="1" t="s">
        <v>366</v>
      </c>
      <c r="X773" s="1"/>
      <c r="Y773" s="1"/>
      <c r="Z773" s="1" t="s">
        <v>128</v>
      </c>
      <c r="AA773" s="1" t="s">
        <v>3341</v>
      </c>
      <c r="AB773" s="1"/>
      <c r="AC773" s="1" t="s">
        <v>283</v>
      </c>
      <c r="AD773" s="1">
        <v>3.1</v>
      </c>
      <c r="AE773" s="1" t="s">
        <v>45</v>
      </c>
      <c r="AF773" s="1" t="s">
        <v>185</v>
      </c>
    </row>
    <row r="774" spans="1:32" ht="18" customHeight="1">
      <c r="A774" s="1" t="s">
        <v>2433</v>
      </c>
      <c r="B774" s="1" t="s">
        <v>2434</v>
      </c>
      <c r="C774" s="4">
        <v>46034</v>
      </c>
      <c r="D774" s="4">
        <v>46055</v>
      </c>
      <c r="E774" s="4">
        <v>46057</v>
      </c>
      <c r="F774" s="1" t="s">
        <v>90</v>
      </c>
      <c r="G774" s="1" t="s">
        <v>3346</v>
      </c>
      <c r="H774" s="1" t="s">
        <v>133</v>
      </c>
      <c r="I774" s="1" t="s">
        <v>92</v>
      </c>
      <c r="J774" s="1" t="s">
        <v>35</v>
      </c>
      <c r="K774" s="1" t="s">
        <v>2435</v>
      </c>
      <c r="L774" s="1" t="s">
        <v>200</v>
      </c>
      <c r="M774" s="1">
        <v>2250.13</v>
      </c>
      <c r="N774" s="1" t="s">
        <v>104</v>
      </c>
      <c r="O774" s="1" t="s">
        <v>3344</v>
      </c>
      <c r="P774" s="1">
        <v>675039</v>
      </c>
      <c r="Q774" s="1">
        <v>0</v>
      </c>
      <c r="R774" s="7">
        <v>0</v>
      </c>
      <c r="S774" s="1">
        <v>23</v>
      </c>
      <c r="T774" s="1">
        <v>21</v>
      </c>
      <c r="U774" s="1">
        <v>2</v>
      </c>
      <c r="V774" s="1" t="s">
        <v>3323</v>
      </c>
      <c r="W774" s="1" t="s">
        <v>40</v>
      </c>
      <c r="X774" s="1"/>
      <c r="Y774" s="1" t="s">
        <v>212</v>
      </c>
      <c r="Z774" s="1" t="s">
        <v>54</v>
      </c>
      <c r="AA774" s="1" t="s">
        <v>88</v>
      </c>
      <c r="AB774" s="1" t="s">
        <v>137</v>
      </c>
      <c r="AC774" s="1"/>
      <c r="AD774" s="1">
        <v>3</v>
      </c>
      <c r="AE774" s="1" t="s">
        <v>184</v>
      </c>
      <c r="AF774" s="1" t="s">
        <v>148</v>
      </c>
    </row>
    <row r="775" spans="1:32" ht="18" customHeight="1">
      <c r="A775" s="1" t="s">
        <v>2436</v>
      </c>
      <c r="B775" s="1" t="s">
        <v>2437</v>
      </c>
      <c r="C775" s="4">
        <v>46189</v>
      </c>
      <c r="D775" s="4">
        <v>46203</v>
      </c>
      <c r="E775" s="4">
        <v>46219</v>
      </c>
      <c r="F775" s="1" t="s">
        <v>235</v>
      </c>
      <c r="G775" s="1" t="s">
        <v>236</v>
      </c>
      <c r="H775" s="1" t="s">
        <v>3374</v>
      </c>
      <c r="I775" s="1" t="s">
        <v>178</v>
      </c>
      <c r="J775" s="1" t="s">
        <v>71</v>
      </c>
      <c r="K775" s="1" t="s">
        <v>2438</v>
      </c>
      <c r="L775" s="1" t="s">
        <v>73</v>
      </c>
      <c r="M775" s="1">
        <v>143.79</v>
      </c>
      <c r="N775" s="1" t="s">
        <v>159</v>
      </c>
      <c r="O775" s="1">
        <v>75</v>
      </c>
      <c r="P775" s="1">
        <v>10784.25</v>
      </c>
      <c r="Q775" s="1">
        <v>3</v>
      </c>
      <c r="R775" s="7">
        <v>0.04</v>
      </c>
      <c r="S775" s="1">
        <v>30</v>
      </c>
      <c r="T775" s="1">
        <v>14</v>
      </c>
      <c r="U775" s="1">
        <v>16</v>
      </c>
      <c r="V775" s="1" t="s">
        <v>205</v>
      </c>
      <c r="W775" s="1" t="s">
        <v>40</v>
      </c>
      <c r="X775" s="1" t="s">
        <v>105</v>
      </c>
      <c r="Y775" s="1" t="s">
        <v>66</v>
      </c>
      <c r="Z775" s="1" t="s">
        <v>43</v>
      </c>
      <c r="AA775" s="1" t="s">
        <v>206</v>
      </c>
      <c r="AB775" s="1" t="s">
        <v>95</v>
      </c>
      <c r="AC775" s="1"/>
      <c r="AD775" s="1">
        <v>2.4</v>
      </c>
      <c r="AE775" s="1" t="s">
        <v>76</v>
      </c>
      <c r="AF775" s="1" t="s">
        <v>46</v>
      </c>
    </row>
    <row r="776" spans="1:32" ht="18" customHeight="1">
      <c r="A776" s="1" t="s">
        <v>2439</v>
      </c>
      <c r="B776" s="1" t="s">
        <v>2440</v>
      </c>
      <c r="C776" s="4">
        <v>46102</v>
      </c>
      <c r="D776" s="4" t="s">
        <v>3436</v>
      </c>
      <c r="E776" s="4">
        <v>46116</v>
      </c>
      <c r="F776" s="1" t="s">
        <v>151</v>
      </c>
      <c r="G776" s="1" t="s">
        <v>244</v>
      </c>
      <c r="H776" s="1" t="s">
        <v>152</v>
      </c>
      <c r="I776" s="1" t="s">
        <v>34</v>
      </c>
      <c r="J776" s="1" t="s">
        <v>112</v>
      </c>
      <c r="K776" s="1" t="s">
        <v>2441</v>
      </c>
      <c r="L776" s="1" t="s">
        <v>229</v>
      </c>
      <c r="M776" s="1">
        <v>416.59</v>
      </c>
      <c r="N776" s="1" t="s">
        <v>65</v>
      </c>
      <c r="O776" s="1">
        <v>500</v>
      </c>
      <c r="P776" s="1">
        <v>208295</v>
      </c>
      <c r="Q776" s="1">
        <v>7</v>
      </c>
      <c r="R776" s="7">
        <v>1.4E-2</v>
      </c>
      <c r="S776" s="1">
        <v>14</v>
      </c>
      <c r="T776" s="1">
        <v>1</v>
      </c>
      <c r="U776" s="1">
        <v>13</v>
      </c>
      <c r="V776" s="1" t="s">
        <v>205</v>
      </c>
      <c r="W776" s="1" t="s">
        <v>40</v>
      </c>
      <c r="X776" s="1" t="s">
        <v>105</v>
      </c>
      <c r="Y776" s="1" t="s">
        <v>212</v>
      </c>
      <c r="Z776" s="1" t="s">
        <v>54</v>
      </c>
      <c r="AA776" s="1" t="s">
        <v>3341</v>
      </c>
      <c r="AB776" s="1" t="s">
        <v>191</v>
      </c>
      <c r="AC776" s="1"/>
      <c r="AD776" s="1">
        <v>2.8</v>
      </c>
      <c r="AE776" s="1" t="s">
        <v>57</v>
      </c>
      <c r="AF776" s="1" t="s">
        <v>46</v>
      </c>
    </row>
    <row r="777" spans="1:32" ht="18" customHeight="1">
      <c r="A777" s="1" t="s">
        <v>2442</v>
      </c>
      <c r="B777" s="1" t="s">
        <v>2443</v>
      </c>
      <c r="C777" s="4">
        <v>46172</v>
      </c>
      <c r="D777" s="4">
        <v>46184</v>
      </c>
      <c r="E777" s="4">
        <v>46177</v>
      </c>
      <c r="F777" s="1" t="s">
        <v>100</v>
      </c>
      <c r="G777" s="1" t="s">
        <v>101</v>
      </c>
      <c r="H777" s="1" t="s">
        <v>102</v>
      </c>
      <c r="I777" s="1" t="s">
        <v>241</v>
      </c>
      <c r="J777" s="1" t="s">
        <v>50</v>
      </c>
      <c r="K777" s="1" t="s">
        <v>1538</v>
      </c>
      <c r="L777" s="1" t="s">
        <v>189</v>
      </c>
      <c r="M777" s="1">
        <v>3004.28</v>
      </c>
      <c r="N777" s="1" t="s">
        <v>53</v>
      </c>
      <c r="O777" s="1">
        <v>1500</v>
      </c>
      <c r="P777" s="1">
        <v>4506420</v>
      </c>
      <c r="Q777" s="1">
        <v>26</v>
      </c>
      <c r="R777" s="7">
        <v>1.7299999999999999E-2</v>
      </c>
      <c r="S777" s="1">
        <v>5</v>
      </c>
      <c r="T777" s="1">
        <v>12</v>
      </c>
      <c r="U777" s="1">
        <v>-7</v>
      </c>
      <c r="V777" s="1" t="s">
        <v>3352</v>
      </c>
      <c r="W777" s="1" t="s">
        <v>40</v>
      </c>
      <c r="X777" s="1" t="s">
        <v>105</v>
      </c>
      <c r="Y777" s="1" t="s">
        <v>106</v>
      </c>
      <c r="Z777" s="1" t="s">
        <v>43</v>
      </c>
      <c r="AA777" s="1" t="s">
        <v>129</v>
      </c>
      <c r="AB777" s="1" t="s">
        <v>95</v>
      </c>
      <c r="AC777" s="1"/>
      <c r="AD777" s="1">
        <v>3.2</v>
      </c>
      <c r="AE777" s="1" t="s">
        <v>57</v>
      </c>
      <c r="AF777" s="1"/>
    </row>
    <row r="778" spans="1:32" ht="18" customHeight="1">
      <c r="A778" s="1" t="s">
        <v>2444</v>
      </c>
      <c r="B778" s="1" t="s">
        <v>2445</v>
      </c>
      <c r="C778" s="4">
        <v>46119</v>
      </c>
      <c r="D778" s="4">
        <v>46133</v>
      </c>
      <c r="E778" s="4">
        <v>46132</v>
      </c>
      <c r="F778" s="1" t="s">
        <v>100</v>
      </c>
      <c r="G778" s="1" t="s">
        <v>3485</v>
      </c>
      <c r="H778" s="1" t="s">
        <v>102</v>
      </c>
      <c r="I778" s="1" t="s">
        <v>83</v>
      </c>
      <c r="J778" s="1" t="s">
        <v>50</v>
      </c>
      <c r="K778" s="1" t="s">
        <v>2446</v>
      </c>
      <c r="L778" s="1" t="s">
        <v>189</v>
      </c>
      <c r="M778" s="1" t="s">
        <v>3736</v>
      </c>
      <c r="N778" s="1" t="s">
        <v>104</v>
      </c>
      <c r="O778" s="1">
        <v>750</v>
      </c>
      <c r="P778" s="1">
        <v>103372.5</v>
      </c>
      <c r="Q778" s="1">
        <v>0</v>
      </c>
      <c r="R778" s="7">
        <v>0</v>
      </c>
      <c r="S778" s="1">
        <v>13</v>
      </c>
      <c r="T778" s="1">
        <v>14</v>
      </c>
      <c r="U778" s="1">
        <v>-1</v>
      </c>
      <c r="V778" s="1" t="s">
        <v>3337</v>
      </c>
      <c r="W778" s="1" t="s">
        <v>40</v>
      </c>
      <c r="X778" s="1" t="s">
        <v>105</v>
      </c>
      <c r="Y778" s="1" t="s">
        <v>212</v>
      </c>
      <c r="Z778" s="1" t="s">
        <v>3330</v>
      </c>
      <c r="AA778" s="1" t="s">
        <v>3341</v>
      </c>
      <c r="AB778" s="1" t="s">
        <v>44</v>
      </c>
      <c r="AC778" s="1"/>
      <c r="AD778" s="1">
        <v>2.7</v>
      </c>
      <c r="AE778" s="1" t="s">
        <v>76</v>
      </c>
      <c r="AF778" s="1"/>
    </row>
    <row r="779" spans="1:32" ht="18" hidden="1" customHeight="1">
      <c r="A779" s="1" t="s">
        <v>2447</v>
      </c>
      <c r="B779" s="1" t="s">
        <v>2448</v>
      </c>
      <c r="C779" s="4" t="s">
        <v>3737</v>
      </c>
      <c r="D779" s="1">
        <v>46070</v>
      </c>
      <c r="E779" s="1">
        <v>46071</v>
      </c>
      <c r="F779" s="1" t="s">
        <v>80</v>
      </c>
      <c r="G779" s="1" t="s">
        <v>81</v>
      </c>
      <c r="H779" s="1" t="s">
        <v>82</v>
      </c>
      <c r="I779" s="1" t="s">
        <v>83</v>
      </c>
      <c r="J779" s="1" t="s">
        <v>35</v>
      </c>
      <c r="K779" s="1" t="s">
        <v>990</v>
      </c>
      <c r="L779" s="1" t="s">
        <v>85</v>
      </c>
      <c r="M779" s="1">
        <v>2251.91</v>
      </c>
      <c r="N779" s="1" t="s">
        <v>86</v>
      </c>
      <c r="O779" s="1">
        <v>75</v>
      </c>
      <c r="P779" s="1">
        <v>168893.25</v>
      </c>
      <c r="Q779" s="1">
        <v>4</v>
      </c>
      <c r="R779" s="7">
        <v>5.33E-2</v>
      </c>
      <c r="S779" s="1">
        <v>14</v>
      </c>
      <c r="T779" s="1">
        <v>13</v>
      </c>
      <c r="U779" s="1">
        <v>1</v>
      </c>
      <c r="V779" s="1" t="s">
        <v>135</v>
      </c>
      <c r="W779" s="1" t="s">
        <v>366</v>
      </c>
      <c r="X779" s="1" t="s">
        <v>105</v>
      </c>
      <c r="Y779" s="1" t="s">
        <v>190</v>
      </c>
      <c r="Z779" s="1"/>
      <c r="AA779" s="1" t="s">
        <v>88</v>
      </c>
      <c r="AB779" s="1" t="s">
        <v>147</v>
      </c>
      <c r="AC779" s="1" t="s">
        <v>373</v>
      </c>
      <c r="AD779" s="1">
        <v>2.8</v>
      </c>
      <c r="AE779" s="1" t="s">
        <v>57</v>
      </c>
      <c r="AF779" s="1" t="s">
        <v>77</v>
      </c>
    </row>
    <row r="780" spans="1:32" ht="18" customHeight="1">
      <c r="A780" s="1" t="s">
        <v>2449</v>
      </c>
      <c r="B780" s="1" t="s">
        <v>2450</v>
      </c>
      <c r="C780" s="4" t="s">
        <v>3505</v>
      </c>
      <c r="D780" s="4">
        <v>46171</v>
      </c>
      <c r="E780" s="4" t="s">
        <v>3738</v>
      </c>
      <c r="F780" s="1" t="s">
        <v>90</v>
      </c>
      <c r="G780" s="1" t="s">
        <v>91</v>
      </c>
      <c r="H780" s="1" t="s">
        <v>3425</v>
      </c>
      <c r="I780" s="1" t="s">
        <v>120</v>
      </c>
      <c r="J780" s="1" t="s">
        <v>50</v>
      </c>
      <c r="K780" s="1" t="s">
        <v>2451</v>
      </c>
      <c r="L780" s="1" t="s">
        <v>189</v>
      </c>
      <c r="M780" s="1">
        <v>3087.32</v>
      </c>
      <c r="N780" s="1" t="s">
        <v>86</v>
      </c>
      <c r="O780" s="1">
        <v>1500</v>
      </c>
      <c r="P780" s="1">
        <v>4630980</v>
      </c>
      <c r="Q780" s="1">
        <v>38</v>
      </c>
      <c r="R780" s="7">
        <v>2.53E-2</v>
      </c>
      <c r="S780" s="1">
        <v>22</v>
      </c>
      <c r="T780" s="1" t="s">
        <v>3400</v>
      </c>
      <c r="U780" s="1">
        <v>5</v>
      </c>
      <c r="V780" s="1" t="s">
        <v>3328</v>
      </c>
      <c r="W780" s="1" t="s">
        <v>40</v>
      </c>
      <c r="X780" s="1" t="s">
        <v>105</v>
      </c>
      <c r="Y780" s="1"/>
      <c r="Z780" s="1" t="s">
        <v>54</v>
      </c>
      <c r="AA780" s="1" t="s">
        <v>129</v>
      </c>
      <c r="AB780" s="1"/>
      <c r="AC780" s="1"/>
      <c r="AD780" s="1">
        <v>3.6</v>
      </c>
      <c r="AE780" s="1" t="s">
        <v>57</v>
      </c>
      <c r="AF780" s="1" t="s">
        <v>46</v>
      </c>
    </row>
    <row r="781" spans="1:32" ht="18" customHeight="1">
      <c r="A781" s="1" t="s">
        <v>2452</v>
      </c>
      <c r="B781" s="1" t="s">
        <v>2453</v>
      </c>
      <c r="C781" s="4">
        <v>46067</v>
      </c>
      <c r="D781" s="4">
        <v>46078</v>
      </c>
      <c r="E781" s="4">
        <v>46086</v>
      </c>
      <c r="F781" s="1" t="s">
        <v>256</v>
      </c>
      <c r="G781" s="1" t="s">
        <v>3432</v>
      </c>
      <c r="H781" s="1" t="s">
        <v>258</v>
      </c>
      <c r="I781" s="1" t="s">
        <v>49</v>
      </c>
      <c r="J781" s="1" t="s">
        <v>62</v>
      </c>
      <c r="K781" s="1" t="s">
        <v>2454</v>
      </c>
      <c r="L781" s="1" t="s">
        <v>225</v>
      </c>
      <c r="M781" s="1">
        <v>106.36</v>
      </c>
      <c r="N781" s="1" t="s">
        <v>159</v>
      </c>
      <c r="O781" s="1">
        <v>750</v>
      </c>
      <c r="P781" s="1">
        <v>79770</v>
      </c>
      <c r="Q781" s="1">
        <v>4</v>
      </c>
      <c r="R781" s="7">
        <v>5.3E-3</v>
      </c>
      <c r="S781" s="1">
        <v>19</v>
      </c>
      <c r="T781" s="1">
        <v>11</v>
      </c>
      <c r="U781" s="1">
        <v>8</v>
      </c>
      <c r="V781" s="1" t="s">
        <v>3328</v>
      </c>
      <c r="W781" s="1" t="s">
        <v>40</v>
      </c>
      <c r="X781" s="1" t="s">
        <v>3324</v>
      </c>
      <c r="Y781" s="1" t="s">
        <v>106</v>
      </c>
      <c r="Z781" s="1" t="s">
        <v>107</v>
      </c>
      <c r="AA781" s="1" t="s">
        <v>3341</v>
      </c>
      <c r="AB781" s="1"/>
      <c r="AC781" s="1"/>
      <c r="AD781" s="1">
        <v>1.8</v>
      </c>
      <c r="AE781" s="1" t="s">
        <v>45</v>
      </c>
      <c r="AF781" s="1" t="s">
        <v>46</v>
      </c>
    </row>
    <row r="782" spans="1:32" ht="18" customHeight="1">
      <c r="A782" s="1" t="s">
        <v>2455</v>
      </c>
      <c r="B782" s="1" t="s">
        <v>2456</v>
      </c>
      <c r="C782" s="4" t="s">
        <v>3700</v>
      </c>
      <c r="D782" s="4">
        <v>46120</v>
      </c>
      <c r="E782" s="4">
        <v>46128</v>
      </c>
      <c r="F782" s="1" t="s">
        <v>215</v>
      </c>
      <c r="G782" s="1" t="s">
        <v>216</v>
      </c>
      <c r="H782" s="1" t="s">
        <v>3354</v>
      </c>
      <c r="I782" s="1" t="s">
        <v>178</v>
      </c>
      <c r="J782" s="1" t="s">
        <v>112</v>
      </c>
      <c r="K782" s="1" t="s">
        <v>1326</v>
      </c>
      <c r="L782" s="1" t="s">
        <v>114</v>
      </c>
      <c r="M782" s="1">
        <v>130.99</v>
      </c>
      <c r="N782" s="1" t="s">
        <v>38</v>
      </c>
      <c r="O782" s="1">
        <v>150</v>
      </c>
      <c r="P782" s="1">
        <v>19648.5</v>
      </c>
      <c r="Q782" s="1">
        <v>5</v>
      </c>
      <c r="R782" s="7">
        <v>3.3300000000000003E-2</v>
      </c>
      <c r="S782" s="1">
        <v>15</v>
      </c>
      <c r="T782" s="1">
        <v>7</v>
      </c>
      <c r="U782" s="1">
        <v>8</v>
      </c>
      <c r="V782" s="1" t="s">
        <v>3328</v>
      </c>
      <c r="W782" s="1" t="s">
        <v>40</v>
      </c>
      <c r="X782" s="1"/>
      <c r="Y782" s="1" t="s">
        <v>190</v>
      </c>
      <c r="Z782" s="1" t="s">
        <v>43</v>
      </c>
      <c r="AA782" s="1" t="s">
        <v>206</v>
      </c>
      <c r="AB782" s="1" t="s">
        <v>44</v>
      </c>
      <c r="AC782" s="1"/>
      <c r="AD782" s="1">
        <v>3</v>
      </c>
      <c r="AE782" s="1" t="s">
        <v>76</v>
      </c>
      <c r="AF782" s="1" t="s">
        <v>148</v>
      </c>
    </row>
    <row r="783" spans="1:32" ht="18" hidden="1" customHeight="1">
      <c r="A783" s="1" t="s">
        <v>2457</v>
      </c>
      <c r="B783" s="1" t="s">
        <v>2458</v>
      </c>
      <c r="C783" s="4">
        <v>46094</v>
      </c>
      <c r="D783" s="1">
        <v>46107</v>
      </c>
      <c r="E783" s="1" t="s">
        <v>3597</v>
      </c>
      <c r="F783" s="1" t="s">
        <v>90</v>
      </c>
      <c r="G783" s="1" t="s">
        <v>3346</v>
      </c>
      <c r="H783" s="1" t="s">
        <v>3425</v>
      </c>
      <c r="I783" s="1" t="s">
        <v>241</v>
      </c>
      <c r="J783" s="1" t="s">
        <v>71</v>
      </c>
      <c r="K783" s="1" t="s">
        <v>2459</v>
      </c>
      <c r="L783" s="1" t="s">
        <v>553</v>
      </c>
      <c r="M783" s="1">
        <v>581.42999999999995</v>
      </c>
      <c r="N783" s="1" t="s">
        <v>104</v>
      </c>
      <c r="O783" s="1">
        <v>150</v>
      </c>
      <c r="P783" s="1">
        <v>87214.5</v>
      </c>
      <c r="Q783" s="1">
        <v>7</v>
      </c>
      <c r="R783" s="7">
        <v>4.6699999999999998E-2</v>
      </c>
      <c r="S783" s="1">
        <v>20</v>
      </c>
      <c r="T783" s="1">
        <v>13</v>
      </c>
      <c r="U783" s="1">
        <v>7</v>
      </c>
      <c r="V783" s="1" t="s">
        <v>205</v>
      </c>
      <c r="W783" s="1" t="s">
        <v>3384</v>
      </c>
      <c r="X783" s="1" t="s">
        <v>3329</v>
      </c>
      <c r="Y783" s="1" t="s">
        <v>212</v>
      </c>
      <c r="Z783" s="1"/>
      <c r="AA783" s="1"/>
      <c r="AB783" s="1" t="s">
        <v>95</v>
      </c>
      <c r="AC783" s="1" t="s">
        <v>283</v>
      </c>
      <c r="AD783" s="1">
        <v>2.6</v>
      </c>
      <c r="AE783" s="1" t="s">
        <v>108</v>
      </c>
      <c r="AF783" s="1" t="s">
        <v>77</v>
      </c>
    </row>
    <row r="784" spans="1:32" ht="18" customHeight="1">
      <c r="A784" s="1" t="s">
        <v>2460</v>
      </c>
      <c r="B784" s="1" t="s">
        <v>2461</v>
      </c>
      <c r="C784" s="4">
        <v>46116</v>
      </c>
      <c r="D784" s="4"/>
      <c r="E784" s="4"/>
      <c r="F784" s="1" t="s">
        <v>118</v>
      </c>
      <c r="G784" s="1" t="s">
        <v>119</v>
      </c>
      <c r="H784" s="1" t="s">
        <v>3369</v>
      </c>
      <c r="I784" s="1" t="s">
        <v>49</v>
      </c>
      <c r="J784" s="1" t="s">
        <v>163</v>
      </c>
      <c r="K784" s="1" t="s">
        <v>2462</v>
      </c>
      <c r="L784" s="1" t="s">
        <v>253</v>
      </c>
      <c r="M784" s="1">
        <v>1208.95</v>
      </c>
      <c r="N784" s="1" t="s">
        <v>65</v>
      </c>
      <c r="O784" s="1">
        <v>100</v>
      </c>
      <c r="P784" s="1" t="s">
        <v>3739</v>
      </c>
      <c r="Q784" s="1">
        <v>0</v>
      </c>
      <c r="R784" s="7">
        <v>0</v>
      </c>
      <c r="S784" s="1"/>
      <c r="T784" s="1" t="s">
        <v>3740</v>
      </c>
      <c r="U784" s="1">
        <v>2</v>
      </c>
      <c r="V784" s="1" t="s">
        <v>135</v>
      </c>
      <c r="W784" s="1" t="s">
        <v>40</v>
      </c>
      <c r="X784" s="1" t="s">
        <v>105</v>
      </c>
      <c r="Y784" s="1" t="s">
        <v>212</v>
      </c>
      <c r="Z784" s="1" t="s">
        <v>3330</v>
      </c>
      <c r="AA784" s="1" t="s">
        <v>174</v>
      </c>
      <c r="AB784" s="1" t="s">
        <v>191</v>
      </c>
      <c r="AC784" s="1"/>
      <c r="AD784" s="1">
        <v>3.4</v>
      </c>
      <c r="AE784" s="1" t="s">
        <v>115</v>
      </c>
      <c r="AF784" s="1" t="s">
        <v>46</v>
      </c>
    </row>
    <row r="785" spans="1:32" ht="18" hidden="1" customHeight="1">
      <c r="A785" s="1" t="s">
        <v>2463</v>
      </c>
      <c r="B785" s="1" t="s">
        <v>2464</v>
      </c>
      <c r="C785" s="4">
        <v>46125</v>
      </c>
      <c r="D785" s="1" t="s">
        <v>3400</v>
      </c>
      <c r="E785" s="1">
        <v>46133</v>
      </c>
      <c r="F785" s="1" t="s">
        <v>215</v>
      </c>
      <c r="G785" s="1" t="s">
        <v>3502</v>
      </c>
      <c r="H785" s="1" t="s">
        <v>3354</v>
      </c>
      <c r="I785" s="1" t="s">
        <v>241</v>
      </c>
      <c r="J785" s="1" t="s">
        <v>112</v>
      </c>
      <c r="K785" s="1" t="s">
        <v>2465</v>
      </c>
      <c r="L785" s="1" t="s">
        <v>218</v>
      </c>
      <c r="M785" s="1">
        <v>340.21</v>
      </c>
      <c r="N785" s="1" t="s">
        <v>159</v>
      </c>
      <c r="O785" s="1">
        <v>100</v>
      </c>
      <c r="P785" s="1">
        <v>34021</v>
      </c>
      <c r="Q785" s="1">
        <v>5</v>
      </c>
      <c r="R785" s="7">
        <v>0.05</v>
      </c>
      <c r="S785" s="1">
        <v>8</v>
      </c>
      <c r="T785" s="1">
        <v>7</v>
      </c>
      <c r="U785" s="1">
        <v>1</v>
      </c>
      <c r="V785" s="1" t="s">
        <v>166</v>
      </c>
      <c r="W785" s="1" t="s">
        <v>420</v>
      </c>
      <c r="X785" s="1" t="s">
        <v>146</v>
      </c>
      <c r="Y785" s="1" t="s">
        <v>3334</v>
      </c>
      <c r="Z785" s="1" t="s">
        <v>3330</v>
      </c>
      <c r="AA785" s="1" t="s">
        <v>129</v>
      </c>
      <c r="AB785" s="1" t="s">
        <v>191</v>
      </c>
      <c r="AC785" s="1" t="s">
        <v>75</v>
      </c>
      <c r="AD785" s="1">
        <v>1.9</v>
      </c>
      <c r="AE785" s="1" t="s">
        <v>139</v>
      </c>
      <c r="AF785" s="1" t="s">
        <v>185</v>
      </c>
    </row>
    <row r="786" spans="1:32" ht="18" hidden="1" customHeight="1">
      <c r="A786" s="1" t="s">
        <v>2466</v>
      </c>
      <c r="B786" s="1" t="s">
        <v>2467</v>
      </c>
      <c r="C786" s="4">
        <v>46033</v>
      </c>
      <c r="D786" s="1">
        <v>46046</v>
      </c>
      <c r="E786" s="1" t="s">
        <v>3741</v>
      </c>
      <c r="F786" s="1" t="s">
        <v>235</v>
      </c>
      <c r="G786" s="1" t="s">
        <v>3474</v>
      </c>
      <c r="H786" s="1" t="s">
        <v>3374</v>
      </c>
      <c r="I786" s="1" t="s">
        <v>70</v>
      </c>
      <c r="J786" s="1" t="s">
        <v>50</v>
      </c>
      <c r="K786" s="1" t="s">
        <v>2468</v>
      </c>
      <c r="L786" s="1" t="s">
        <v>145</v>
      </c>
      <c r="M786" s="1">
        <v>406.73</v>
      </c>
      <c r="N786" s="1" t="s">
        <v>65</v>
      </c>
      <c r="O786" s="1">
        <v>300</v>
      </c>
      <c r="P786" s="1">
        <v>122019</v>
      </c>
      <c r="Q786" s="1">
        <v>16</v>
      </c>
      <c r="R786" s="7">
        <v>5.33E-2</v>
      </c>
      <c r="S786" s="1">
        <v>14</v>
      </c>
      <c r="T786" s="1">
        <v>13</v>
      </c>
      <c r="U786" s="1">
        <v>1</v>
      </c>
      <c r="V786" s="1" t="s">
        <v>135</v>
      </c>
      <c r="W786" s="1" t="s">
        <v>420</v>
      </c>
      <c r="X786" s="1"/>
      <c r="Y786" s="1" t="s">
        <v>42</v>
      </c>
      <c r="Z786" s="1" t="s">
        <v>173</v>
      </c>
      <c r="AA786" s="1" t="s">
        <v>88</v>
      </c>
      <c r="AB786" s="1" t="s">
        <v>95</v>
      </c>
      <c r="AC786" s="1" t="s">
        <v>283</v>
      </c>
      <c r="AD786" s="1">
        <v>3.2</v>
      </c>
      <c r="AE786" s="1" t="s">
        <v>57</v>
      </c>
      <c r="AF786" s="1" t="s">
        <v>185</v>
      </c>
    </row>
    <row r="787" spans="1:32" ht="18" customHeight="1">
      <c r="A787" s="1" t="s">
        <v>2469</v>
      </c>
      <c r="B787" s="1" t="s">
        <v>2470</v>
      </c>
      <c r="C787" s="4">
        <v>46176</v>
      </c>
      <c r="D787" s="4">
        <v>46188</v>
      </c>
      <c r="E787" s="4">
        <v>46191</v>
      </c>
      <c r="F787" s="1" t="s">
        <v>69</v>
      </c>
      <c r="G787" s="1" t="s">
        <v>111</v>
      </c>
      <c r="H787" s="1" t="s">
        <v>3332</v>
      </c>
      <c r="I787" s="1" t="s">
        <v>34</v>
      </c>
      <c r="J787" s="1" t="s">
        <v>62</v>
      </c>
      <c r="K787" s="1" t="s">
        <v>2471</v>
      </c>
      <c r="L787" s="1" t="s">
        <v>225</v>
      </c>
      <c r="M787" s="1">
        <v>630.98</v>
      </c>
      <c r="N787" s="1" t="s">
        <v>159</v>
      </c>
      <c r="O787" s="1">
        <v>750</v>
      </c>
      <c r="P787" s="1">
        <v>473235</v>
      </c>
      <c r="Q787" s="1">
        <v>22</v>
      </c>
      <c r="R787" s="7">
        <v>2.93E-2</v>
      </c>
      <c r="S787" s="1">
        <v>15</v>
      </c>
      <c r="T787" s="1">
        <v>12</v>
      </c>
      <c r="U787" s="1">
        <v>3</v>
      </c>
      <c r="V787" s="1" t="s">
        <v>3323</v>
      </c>
      <c r="W787" s="1" t="s">
        <v>40</v>
      </c>
      <c r="X787" s="1" t="s">
        <v>127</v>
      </c>
      <c r="Y787" s="1" t="s">
        <v>42</v>
      </c>
      <c r="Z787" s="1" t="s">
        <v>43</v>
      </c>
      <c r="AA787" s="1" t="s">
        <v>3341</v>
      </c>
      <c r="AB787" s="1" t="s">
        <v>147</v>
      </c>
      <c r="AC787" s="1"/>
      <c r="AD787" s="1">
        <v>2.6</v>
      </c>
      <c r="AE787" s="1" t="s">
        <v>57</v>
      </c>
      <c r="AF787" s="1" t="s">
        <v>148</v>
      </c>
    </row>
    <row r="788" spans="1:32" ht="18" customHeight="1">
      <c r="A788" s="1" t="s">
        <v>2472</v>
      </c>
      <c r="B788" s="1" t="s">
        <v>2473</v>
      </c>
      <c r="C788" s="4">
        <v>46146</v>
      </c>
      <c r="D788" s="4">
        <v>46160</v>
      </c>
      <c r="E788" s="4">
        <v>46164</v>
      </c>
      <c r="F788" s="1" t="s">
        <v>235</v>
      </c>
      <c r="G788" s="1" t="s">
        <v>3426</v>
      </c>
      <c r="H788" s="1" t="s">
        <v>479</v>
      </c>
      <c r="I788" s="1" t="s">
        <v>70</v>
      </c>
      <c r="J788" s="1" t="s">
        <v>71</v>
      </c>
      <c r="K788" s="1" t="s">
        <v>2474</v>
      </c>
      <c r="L788" s="1" t="s">
        <v>238</v>
      </c>
      <c r="M788" s="1">
        <v>176.23</v>
      </c>
      <c r="N788" s="1" t="s">
        <v>159</v>
      </c>
      <c r="O788" s="1">
        <v>1000</v>
      </c>
      <c r="P788" s="1">
        <v>176230</v>
      </c>
      <c r="Q788" s="1">
        <v>12</v>
      </c>
      <c r="R788" s="7">
        <v>1.2E-2</v>
      </c>
      <c r="S788" s="1">
        <v>18</v>
      </c>
      <c r="T788" s="1"/>
      <c r="U788" s="1">
        <v>4</v>
      </c>
      <c r="V788" s="1" t="s">
        <v>205</v>
      </c>
      <c r="W788" s="1" t="s">
        <v>40</v>
      </c>
      <c r="X788" s="1" t="s">
        <v>127</v>
      </c>
      <c r="Y788" s="1" t="s">
        <v>106</v>
      </c>
      <c r="Z788" s="1" t="s">
        <v>43</v>
      </c>
      <c r="AA788" s="1" t="s">
        <v>206</v>
      </c>
      <c r="AB788" s="1" t="s">
        <v>147</v>
      </c>
      <c r="AC788" s="1"/>
      <c r="AD788" s="1">
        <v>2.1</v>
      </c>
      <c r="AE788" s="1" t="s">
        <v>76</v>
      </c>
      <c r="AF788" s="1" t="s">
        <v>148</v>
      </c>
    </row>
    <row r="789" spans="1:32" ht="18" customHeight="1">
      <c r="A789" s="1" t="s">
        <v>2475</v>
      </c>
      <c r="B789" s="1" t="s">
        <v>2476</v>
      </c>
      <c r="C789" s="4">
        <v>46052</v>
      </c>
      <c r="D789" s="4">
        <v>46069</v>
      </c>
      <c r="E789" s="4" t="s">
        <v>3717</v>
      </c>
      <c r="F789" s="1" t="s">
        <v>142</v>
      </c>
      <c r="G789" s="1" t="s">
        <v>143</v>
      </c>
      <c r="H789" s="1" t="s">
        <v>3392</v>
      </c>
      <c r="I789" s="1" t="s">
        <v>34</v>
      </c>
      <c r="J789" s="1" t="s">
        <v>50</v>
      </c>
      <c r="K789" s="1" t="s">
        <v>2477</v>
      </c>
      <c r="L789" s="1" t="s">
        <v>52</v>
      </c>
      <c r="M789" s="1"/>
      <c r="N789" s="1" t="s">
        <v>104</v>
      </c>
      <c r="O789" s="1">
        <v>500</v>
      </c>
      <c r="P789" s="1">
        <v>362020</v>
      </c>
      <c r="Q789" s="1">
        <v>12</v>
      </c>
      <c r="R789" s="7">
        <v>2.4E-2</v>
      </c>
      <c r="S789" s="1">
        <v>18</v>
      </c>
      <c r="T789" s="1">
        <v>17</v>
      </c>
      <c r="U789" s="1">
        <v>1</v>
      </c>
      <c r="V789" s="1" t="s">
        <v>3323</v>
      </c>
      <c r="W789" s="1" t="s">
        <v>40</v>
      </c>
      <c r="X789" s="1" t="s">
        <v>3324</v>
      </c>
      <c r="Y789" s="1" t="s">
        <v>66</v>
      </c>
      <c r="Z789" s="1" t="s">
        <v>3330</v>
      </c>
      <c r="AA789" s="1" t="s">
        <v>206</v>
      </c>
      <c r="AB789" s="1" t="s">
        <v>137</v>
      </c>
      <c r="AC789" s="1"/>
      <c r="AD789" s="1">
        <v>2.6</v>
      </c>
      <c r="AE789" s="1" t="s">
        <v>115</v>
      </c>
      <c r="AF789" s="1" t="s">
        <v>46</v>
      </c>
    </row>
    <row r="790" spans="1:32" ht="18" customHeight="1">
      <c r="A790" s="1" t="s">
        <v>2478</v>
      </c>
      <c r="B790" s="1" t="s">
        <v>2479</v>
      </c>
      <c r="C790" s="4" t="s">
        <v>3406</v>
      </c>
      <c r="D790" s="4">
        <v>46154</v>
      </c>
      <c r="E790" s="4">
        <v>46159</v>
      </c>
      <c r="F790" s="1" t="s">
        <v>162</v>
      </c>
      <c r="G790" s="1" t="s">
        <v>3444</v>
      </c>
      <c r="H790" s="1" t="s">
        <v>152</v>
      </c>
      <c r="I790" s="1" t="s">
        <v>34</v>
      </c>
      <c r="J790" s="1" t="s">
        <v>163</v>
      </c>
      <c r="K790" s="1" t="s">
        <v>2334</v>
      </c>
      <c r="L790" s="1" t="s">
        <v>269</v>
      </c>
      <c r="M790" s="1" t="s">
        <v>3742</v>
      </c>
      <c r="N790" s="1" t="s">
        <v>86</v>
      </c>
      <c r="O790" s="1"/>
      <c r="P790" s="1">
        <v>176502.5</v>
      </c>
      <c r="Q790" s="1">
        <v>5</v>
      </c>
      <c r="R790" s="7">
        <v>0.02</v>
      </c>
      <c r="S790" s="1">
        <v>14</v>
      </c>
      <c r="T790" s="1">
        <v>9</v>
      </c>
      <c r="U790" s="1">
        <v>5</v>
      </c>
      <c r="V790" s="1" t="s">
        <v>205</v>
      </c>
      <c r="W790" s="1" t="s">
        <v>40</v>
      </c>
      <c r="X790" s="1"/>
      <c r="Y790" s="1" t="s">
        <v>42</v>
      </c>
      <c r="Z790" s="1" t="s">
        <v>173</v>
      </c>
      <c r="AA790" s="1" t="s">
        <v>129</v>
      </c>
      <c r="AB790" s="1" t="s">
        <v>191</v>
      </c>
      <c r="AC790" s="1"/>
      <c r="AD790" s="1">
        <v>3</v>
      </c>
      <c r="AE790" s="1" t="s">
        <v>57</v>
      </c>
      <c r="AF790" s="1" t="s">
        <v>148</v>
      </c>
    </row>
    <row r="791" spans="1:32" ht="18" customHeight="1">
      <c r="A791" s="1" t="s">
        <v>2480</v>
      </c>
      <c r="B791" s="1" t="s">
        <v>2481</v>
      </c>
      <c r="C791" s="4">
        <v>46153</v>
      </c>
      <c r="D791" s="4">
        <v>46161</v>
      </c>
      <c r="E791" s="4">
        <v>46158</v>
      </c>
      <c r="F791" s="1" t="s">
        <v>69</v>
      </c>
      <c r="G791" s="1" t="s">
        <v>111</v>
      </c>
      <c r="H791" s="1" t="s">
        <v>3332</v>
      </c>
      <c r="I791" s="1" t="s">
        <v>83</v>
      </c>
      <c r="J791" s="1" t="s">
        <v>112</v>
      </c>
      <c r="K791" s="1" t="s">
        <v>2482</v>
      </c>
      <c r="L791" s="1" t="s">
        <v>246</v>
      </c>
      <c r="M791" s="1">
        <v>336.85</v>
      </c>
      <c r="N791" s="1" t="s">
        <v>159</v>
      </c>
      <c r="O791" s="1">
        <v>150</v>
      </c>
      <c r="P791" s="1">
        <v>50527.5</v>
      </c>
      <c r="Q791" s="1">
        <v>5</v>
      </c>
      <c r="R791" s="7">
        <v>3.3300000000000003E-2</v>
      </c>
      <c r="S791" s="1">
        <v>5</v>
      </c>
      <c r="T791" s="1">
        <v>8</v>
      </c>
      <c r="U791" s="1">
        <v>-3</v>
      </c>
      <c r="V791" s="1" t="s">
        <v>3337</v>
      </c>
      <c r="W791" s="1" t="s">
        <v>40</v>
      </c>
      <c r="X791" s="1"/>
      <c r="Y791" s="1" t="s">
        <v>106</v>
      </c>
      <c r="Z791" s="1" t="s">
        <v>3330</v>
      </c>
      <c r="AA791" s="1" t="s">
        <v>88</v>
      </c>
      <c r="AB791" s="1" t="s">
        <v>95</v>
      </c>
      <c r="AC791" s="1"/>
      <c r="AD791" s="1" t="s">
        <v>3431</v>
      </c>
      <c r="AE791" s="1" t="s">
        <v>184</v>
      </c>
      <c r="AF791" s="1" t="s">
        <v>130</v>
      </c>
    </row>
    <row r="792" spans="1:32" ht="18" customHeight="1">
      <c r="A792" s="1" t="s">
        <v>2483</v>
      </c>
      <c r="B792" s="1" t="s">
        <v>2484</v>
      </c>
      <c r="C792" s="4" t="s">
        <v>3743</v>
      </c>
      <c r="D792" s="4">
        <v>46191</v>
      </c>
      <c r="E792" s="4" t="s">
        <v>3686</v>
      </c>
      <c r="F792" s="1" t="s">
        <v>235</v>
      </c>
      <c r="G792" s="1" t="s">
        <v>236</v>
      </c>
      <c r="H792" s="1" t="s">
        <v>3374</v>
      </c>
      <c r="I792" s="1" t="s">
        <v>92</v>
      </c>
      <c r="J792" s="1" t="s">
        <v>71</v>
      </c>
      <c r="K792" s="1" t="s">
        <v>2485</v>
      </c>
      <c r="L792" s="1" t="s">
        <v>553</v>
      </c>
      <c r="M792" s="1">
        <v>484.24</v>
      </c>
      <c r="N792" s="1" t="s">
        <v>104</v>
      </c>
      <c r="O792" s="1">
        <v>75</v>
      </c>
      <c r="P792" s="1" t="s">
        <v>3744</v>
      </c>
      <c r="Q792" s="1">
        <v>1</v>
      </c>
      <c r="R792" s="7">
        <v>1.3299999999999999E-2</v>
      </c>
      <c r="S792" s="1">
        <v>25</v>
      </c>
      <c r="T792" s="1">
        <v>19</v>
      </c>
      <c r="U792" s="1">
        <v>6</v>
      </c>
      <c r="V792" s="1" t="s">
        <v>39</v>
      </c>
      <c r="W792" s="1" t="s">
        <v>40</v>
      </c>
      <c r="X792" s="1" t="s">
        <v>3324</v>
      </c>
      <c r="Y792" s="1" t="s">
        <v>212</v>
      </c>
      <c r="Z792" s="1" t="s">
        <v>107</v>
      </c>
      <c r="AA792" s="1"/>
      <c r="AB792" s="1" t="s">
        <v>56</v>
      </c>
      <c r="AC792" s="1"/>
      <c r="AD792" s="1">
        <v>1.8</v>
      </c>
      <c r="AE792" s="1" t="s">
        <v>76</v>
      </c>
      <c r="AF792" s="1" t="s">
        <v>46</v>
      </c>
    </row>
    <row r="793" spans="1:32" ht="18" hidden="1" customHeight="1">
      <c r="A793" s="1" t="s">
        <v>2486</v>
      </c>
      <c r="B793" s="1" t="s">
        <v>2487</v>
      </c>
      <c r="C793" s="4">
        <v>46186</v>
      </c>
      <c r="D793" s="1">
        <v>46204</v>
      </c>
      <c r="E793" s="1">
        <v>46208</v>
      </c>
      <c r="F793" s="1" t="s">
        <v>32</v>
      </c>
      <c r="G793" s="1" t="s">
        <v>3359</v>
      </c>
      <c r="H793" s="1" t="s">
        <v>177</v>
      </c>
      <c r="I793" s="1" t="s">
        <v>83</v>
      </c>
      <c r="J793" s="1" t="s">
        <v>35</v>
      </c>
      <c r="K793" s="1" t="s">
        <v>2488</v>
      </c>
      <c r="L793" s="1" t="s">
        <v>200</v>
      </c>
      <c r="M793" s="1">
        <v>1162.55</v>
      </c>
      <c r="N793" s="1" t="s">
        <v>38</v>
      </c>
      <c r="O793" s="1">
        <v>500</v>
      </c>
      <c r="P793" s="1" t="s">
        <v>3745</v>
      </c>
      <c r="Q793" s="1">
        <v>46</v>
      </c>
      <c r="R793" s="7">
        <v>9.1999999999999998E-2</v>
      </c>
      <c r="S793" s="1">
        <v>22</v>
      </c>
      <c r="T793" s="1">
        <v>18</v>
      </c>
      <c r="U793" s="1">
        <v>4</v>
      </c>
      <c r="V793" s="1" t="s">
        <v>39</v>
      </c>
      <c r="W793" s="1" t="s">
        <v>74</v>
      </c>
      <c r="X793" s="1"/>
      <c r="Y793" s="1" t="s">
        <v>190</v>
      </c>
      <c r="Z793" s="1" t="s">
        <v>54</v>
      </c>
      <c r="AA793" s="1" t="s">
        <v>88</v>
      </c>
      <c r="AB793" s="1"/>
      <c r="AC793" s="1" t="s">
        <v>183</v>
      </c>
      <c r="AD793" s="1">
        <v>1.5</v>
      </c>
      <c r="AE793" s="1" t="s">
        <v>115</v>
      </c>
      <c r="AF793" s="1" t="s">
        <v>185</v>
      </c>
    </row>
    <row r="794" spans="1:32" ht="18" customHeight="1">
      <c r="A794" s="1" t="s">
        <v>2489</v>
      </c>
      <c r="B794" s="1" t="s">
        <v>2490</v>
      </c>
      <c r="C794" s="4">
        <v>46080</v>
      </c>
      <c r="D794" s="4">
        <v>46094</v>
      </c>
      <c r="E794" s="4" t="s">
        <v>3452</v>
      </c>
      <c r="F794" s="1" t="s">
        <v>215</v>
      </c>
      <c r="G794" s="1" t="s">
        <v>3415</v>
      </c>
      <c r="H794" s="1" t="s">
        <v>3354</v>
      </c>
      <c r="I794" s="1" t="s">
        <v>92</v>
      </c>
      <c r="J794" s="1" t="s">
        <v>112</v>
      </c>
      <c r="K794" s="1" t="s">
        <v>2491</v>
      </c>
      <c r="L794" s="1" t="s">
        <v>114</v>
      </c>
      <c r="M794" s="1">
        <v>366.87</v>
      </c>
      <c r="N794" s="1" t="s">
        <v>38</v>
      </c>
      <c r="O794" s="1">
        <v>200</v>
      </c>
      <c r="P794" s="1">
        <v>73374</v>
      </c>
      <c r="Q794" s="1">
        <v>0</v>
      </c>
      <c r="R794" s="7">
        <v>0</v>
      </c>
      <c r="S794" s="1">
        <v>11</v>
      </c>
      <c r="T794" s="1">
        <v>14</v>
      </c>
      <c r="U794" s="1">
        <v>-3</v>
      </c>
      <c r="V794" s="1" t="s">
        <v>270</v>
      </c>
      <c r="W794" s="1" t="s">
        <v>40</v>
      </c>
      <c r="X794" s="1" t="s">
        <v>105</v>
      </c>
      <c r="Y794" s="1" t="s">
        <v>190</v>
      </c>
      <c r="Z794" s="1" t="s">
        <v>107</v>
      </c>
      <c r="AA794" s="1" t="s">
        <v>3341</v>
      </c>
      <c r="AB794" s="1"/>
      <c r="AC794" s="1"/>
      <c r="AD794" s="1">
        <v>4.8</v>
      </c>
      <c r="AE794" s="1" t="s">
        <v>108</v>
      </c>
      <c r="AF794" s="1"/>
    </row>
    <row r="795" spans="1:32" ht="18" customHeight="1">
      <c r="A795" s="1" t="s">
        <v>2492</v>
      </c>
      <c r="B795" s="1" t="s">
        <v>2493</v>
      </c>
      <c r="C795" s="4">
        <v>46024</v>
      </c>
      <c r="D795" s="4">
        <v>46036</v>
      </c>
      <c r="E795" s="4">
        <v>46035</v>
      </c>
      <c r="F795" s="1" t="s">
        <v>100</v>
      </c>
      <c r="G795" s="1" t="s">
        <v>3485</v>
      </c>
      <c r="H795" s="1" t="s">
        <v>3322</v>
      </c>
      <c r="I795" s="1" t="s">
        <v>34</v>
      </c>
      <c r="J795" s="1" t="s">
        <v>112</v>
      </c>
      <c r="K795" s="1" t="s">
        <v>2494</v>
      </c>
      <c r="L795" s="1" t="s">
        <v>114</v>
      </c>
      <c r="M795" s="1">
        <v>589.38</v>
      </c>
      <c r="N795" s="1" t="s">
        <v>38</v>
      </c>
      <c r="O795" s="1">
        <v>1500</v>
      </c>
      <c r="P795" s="1">
        <v>884070</v>
      </c>
      <c r="Q795" s="1">
        <v>47</v>
      </c>
      <c r="R795" s="7">
        <v>3.1300000000000001E-2</v>
      </c>
      <c r="S795" s="1">
        <v>11</v>
      </c>
      <c r="T795" s="1">
        <v>12</v>
      </c>
      <c r="U795" s="1">
        <v>-1</v>
      </c>
      <c r="V795" s="1" t="s">
        <v>3337</v>
      </c>
      <c r="W795" s="1" t="s">
        <v>40</v>
      </c>
      <c r="X795" s="1" t="s">
        <v>105</v>
      </c>
      <c r="Y795" s="1"/>
      <c r="Z795" s="1" t="s">
        <v>107</v>
      </c>
      <c r="AA795" s="1" t="s">
        <v>129</v>
      </c>
      <c r="AB795" s="1" t="s">
        <v>44</v>
      </c>
      <c r="AC795" s="1"/>
      <c r="AD795" s="1" t="s">
        <v>138</v>
      </c>
      <c r="AE795" s="1" t="s">
        <v>76</v>
      </c>
      <c r="AF795" s="1"/>
    </row>
    <row r="796" spans="1:32" ht="18" hidden="1" customHeight="1">
      <c r="A796" s="1" t="s">
        <v>2495</v>
      </c>
      <c r="B796" s="1" t="s">
        <v>2496</v>
      </c>
      <c r="C796" s="4">
        <v>46073</v>
      </c>
      <c r="D796" s="1">
        <v>46086</v>
      </c>
      <c r="E796" s="1" t="s">
        <v>3746</v>
      </c>
      <c r="F796" s="1" t="s">
        <v>235</v>
      </c>
      <c r="G796" s="1" t="s">
        <v>3426</v>
      </c>
      <c r="H796" s="1" t="s">
        <v>3374</v>
      </c>
      <c r="I796" s="1" t="s">
        <v>70</v>
      </c>
      <c r="J796" s="1" t="s">
        <v>71</v>
      </c>
      <c r="K796" s="1" t="s">
        <v>2497</v>
      </c>
      <c r="L796" s="1" t="s">
        <v>553</v>
      </c>
      <c r="M796" s="1">
        <v>597.85</v>
      </c>
      <c r="N796" s="1" t="s">
        <v>38</v>
      </c>
      <c r="O796" s="1">
        <v>1000</v>
      </c>
      <c r="P796" s="1">
        <v>597850</v>
      </c>
      <c r="Q796" s="1">
        <v>44</v>
      </c>
      <c r="R796" s="7">
        <v>4.3999999999999997E-2</v>
      </c>
      <c r="S796" s="1">
        <v>14</v>
      </c>
      <c r="T796" s="1">
        <v>13</v>
      </c>
      <c r="U796" s="1">
        <v>1</v>
      </c>
      <c r="V796" s="1" t="s">
        <v>166</v>
      </c>
      <c r="W796" s="1" t="s">
        <v>74</v>
      </c>
      <c r="X796" s="1" t="s">
        <v>3324</v>
      </c>
      <c r="Y796" s="1" t="s">
        <v>106</v>
      </c>
      <c r="Z796" s="1" t="s">
        <v>43</v>
      </c>
      <c r="AA796" s="1"/>
      <c r="AB796" s="1" t="s">
        <v>191</v>
      </c>
      <c r="AC796" s="1" t="s">
        <v>96</v>
      </c>
      <c r="AD796" s="1">
        <v>3.1</v>
      </c>
      <c r="AE796" s="1" t="s">
        <v>45</v>
      </c>
      <c r="AF796" s="1" t="s">
        <v>77</v>
      </c>
    </row>
    <row r="797" spans="1:32" ht="18" customHeight="1">
      <c r="A797" s="1" t="s">
        <v>2498</v>
      </c>
      <c r="B797" s="1" t="s">
        <v>2499</v>
      </c>
      <c r="C797" s="4">
        <v>46106</v>
      </c>
      <c r="D797" s="4">
        <v>46115</v>
      </c>
      <c r="E797" s="4">
        <v>46121</v>
      </c>
      <c r="F797" s="1" t="s">
        <v>69</v>
      </c>
      <c r="G797" s="1" t="s">
        <v>3362</v>
      </c>
      <c r="H797" s="1" t="s">
        <v>3332</v>
      </c>
      <c r="I797" s="1" t="s">
        <v>83</v>
      </c>
      <c r="J797" s="1" t="s">
        <v>112</v>
      </c>
      <c r="K797" s="1" t="s">
        <v>2500</v>
      </c>
      <c r="L797" s="1" t="s">
        <v>246</v>
      </c>
      <c r="M797" s="1">
        <v>558.46</v>
      </c>
      <c r="N797" s="1" t="s">
        <v>38</v>
      </c>
      <c r="O797" s="1">
        <v>1500</v>
      </c>
      <c r="P797" s="1">
        <v>837690</v>
      </c>
      <c r="Q797" s="1">
        <v>0</v>
      </c>
      <c r="R797" s="7">
        <v>0</v>
      </c>
      <c r="S797" s="1">
        <v>15</v>
      </c>
      <c r="T797" s="1">
        <v>9</v>
      </c>
      <c r="U797" s="1">
        <v>6</v>
      </c>
      <c r="V797" s="1" t="s">
        <v>205</v>
      </c>
      <c r="W797" s="1" t="s">
        <v>40</v>
      </c>
      <c r="X797" s="1" t="s">
        <v>105</v>
      </c>
      <c r="Y797" s="1" t="s">
        <v>3334</v>
      </c>
      <c r="Z797" s="1" t="s">
        <v>128</v>
      </c>
      <c r="AA797" s="1" t="s">
        <v>3341</v>
      </c>
      <c r="AB797" s="1" t="s">
        <v>137</v>
      </c>
      <c r="AC797" s="1"/>
      <c r="AD797" s="1">
        <v>1.8</v>
      </c>
      <c r="AE797" s="1" t="s">
        <v>115</v>
      </c>
      <c r="AF797" s="1" t="s">
        <v>46</v>
      </c>
    </row>
    <row r="798" spans="1:32" ht="18" hidden="1" customHeight="1">
      <c r="A798" s="1" t="s">
        <v>2501</v>
      </c>
      <c r="B798" s="1" t="s">
        <v>2502</v>
      </c>
      <c r="C798" s="4">
        <v>46099</v>
      </c>
      <c r="D798" s="1">
        <v>46114</v>
      </c>
      <c r="E798" s="1">
        <v>46119</v>
      </c>
      <c r="F798" s="1" t="s">
        <v>256</v>
      </c>
      <c r="G798" s="1" t="s">
        <v>257</v>
      </c>
      <c r="H798" s="1" t="s">
        <v>3410</v>
      </c>
      <c r="I798" s="1" t="s">
        <v>83</v>
      </c>
      <c r="J798" s="1" t="s">
        <v>163</v>
      </c>
      <c r="K798" s="1" t="s">
        <v>2503</v>
      </c>
      <c r="L798" s="1" t="s">
        <v>269</v>
      </c>
      <c r="M798" s="1">
        <v>1701.23</v>
      </c>
      <c r="N798" s="1" t="s">
        <v>3534</v>
      </c>
      <c r="O798" s="1">
        <v>1500</v>
      </c>
      <c r="P798" s="1">
        <v>2551845</v>
      </c>
      <c r="Q798" s="1">
        <v>122</v>
      </c>
      <c r="R798" s="7">
        <v>8.1299999999999997E-2</v>
      </c>
      <c r="S798" s="1">
        <v>20</v>
      </c>
      <c r="T798" s="1">
        <v>15</v>
      </c>
      <c r="U798" s="1">
        <v>5</v>
      </c>
      <c r="V798" s="1" t="s">
        <v>205</v>
      </c>
      <c r="W798" s="1" t="s">
        <v>366</v>
      </c>
      <c r="X798" s="1"/>
      <c r="Y798" s="1"/>
      <c r="Z798" s="1" t="s">
        <v>107</v>
      </c>
      <c r="AA798" s="1" t="s">
        <v>136</v>
      </c>
      <c r="AB798" s="1" t="s">
        <v>44</v>
      </c>
      <c r="AC798" s="1" t="s">
        <v>373</v>
      </c>
      <c r="AD798" s="1">
        <v>1</v>
      </c>
      <c r="AE798" s="1" t="s">
        <v>184</v>
      </c>
      <c r="AF798" s="1" t="s">
        <v>185</v>
      </c>
    </row>
    <row r="799" spans="1:32" ht="18" customHeight="1">
      <c r="A799" s="1" t="s">
        <v>2504</v>
      </c>
      <c r="B799" s="1" t="s">
        <v>2505</v>
      </c>
      <c r="C799" s="4">
        <v>46133</v>
      </c>
      <c r="D799" s="4">
        <v>46155</v>
      </c>
      <c r="E799" s="4">
        <v>46157</v>
      </c>
      <c r="F799" s="1" t="s">
        <v>142</v>
      </c>
      <c r="G799" s="1" t="s">
        <v>3561</v>
      </c>
      <c r="H799" s="1" t="s">
        <v>169</v>
      </c>
      <c r="I799" s="1" t="s">
        <v>70</v>
      </c>
      <c r="J799" s="1" t="s">
        <v>50</v>
      </c>
      <c r="K799" s="1" t="s">
        <v>2506</v>
      </c>
      <c r="L799" s="1" t="s">
        <v>52</v>
      </c>
      <c r="M799" s="1">
        <v>3683.27</v>
      </c>
      <c r="N799" s="1" t="s">
        <v>65</v>
      </c>
      <c r="O799" s="1">
        <v>1500</v>
      </c>
      <c r="P799" s="1">
        <v>5524905</v>
      </c>
      <c r="Q799" s="1">
        <v>42</v>
      </c>
      <c r="R799" s="7">
        <v>2.8000000000000001E-2</v>
      </c>
      <c r="S799" s="1">
        <v>24</v>
      </c>
      <c r="T799" s="1">
        <v>22</v>
      </c>
      <c r="U799" s="1">
        <v>2</v>
      </c>
      <c r="V799" s="1" t="s">
        <v>166</v>
      </c>
      <c r="W799" s="1" t="s">
        <v>40</v>
      </c>
      <c r="X799" s="1" t="s">
        <v>127</v>
      </c>
      <c r="Y799" s="1" t="s">
        <v>42</v>
      </c>
      <c r="Z799" s="1" t="s">
        <v>3333</v>
      </c>
      <c r="AA799" s="1" t="s">
        <v>88</v>
      </c>
      <c r="AB799" s="1" t="s">
        <v>56</v>
      </c>
      <c r="AC799" s="1"/>
      <c r="AD799" s="1">
        <v>2.8</v>
      </c>
      <c r="AE799" s="1" t="s">
        <v>45</v>
      </c>
      <c r="AF799" s="1" t="s">
        <v>148</v>
      </c>
    </row>
    <row r="800" spans="1:32" ht="18" customHeight="1">
      <c r="A800" s="1" t="s">
        <v>359</v>
      </c>
      <c r="B800" s="1" t="s">
        <v>2507</v>
      </c>
      <c r="C800" s="4">
        <v>46201</v>
      </c>
      <c r="D800" s="4"/>
      <c r="E800" s="4">
        <v>46204</v>
      </c>
      <c r="F800" s="1" t="s">
        <v>60</v>
      </c>
      <c r="G800" s="1" t="s">
        <v>466</v>
      </c>
      <c r="H800" s="1" t="s">
        <v>152</v>
      </c>
      <c r="I800" s="1" t="s">
        <v>241</v>
      </c>
      <c r="J800" s="1" t="s">
        <v>153</v>
      </c>
      <c r="K800" s="1" t="s">
        <v>2508</v>
      </c>
      <c r="L800" s="1" t="s">
        <v>155</v>
      </c>
      <c r="M800" s="1">
        <v>778.93</v>
      </c>
      <c r="N800" s="1" t="s">
        <v>159</v>
      </c>
      <c r="O800" s="1">
        <v>750</v>
      </c>
      <c r="P800" s="1">
        <v>584197.5</v>
      </c>
      <c r="Q800" s="1">
        <v>29</v>
      </c>
      <c r="R800" s="7">
        <v>3.8699999999999998E-2</v>
      </c>
      <c r="S800" s="1">
        <v>3</v>
      </c>
      <c r="T800" s="1">
        <v>9</v>
      </c>
      <c r="U800" s="1">
        <v>-6</v>
      </c>
      <c r="V800" s="1" t="s">
        <v>3337</v>
      </c>
      <c r="W800" s="1" t="s">
        <v>40</v>
      </c>
      <c r="X800" s="1" t="s">
        <v>146</v>
      </c>
      <c r="Y800" s="1" t="s">
        <v>212</v>
      </c>
      <c r="Z800" s="1" t="s">
        <v>54</v>
      </c>
      <c r="AA800" s="1" t="s">
        <v>88</v>
      </c>
      <c r="AB800" s="1" t="s">
        <v>147</v>
      </c>
      <c r="AC800" s="1"/>
      <c r="AD800" s="1" t="s">
        <v>3431</v>
      </c>
      <c r="AE800" s="1" t="s">
        <v>184</v>
      </c>
      <c r="AF800" s="1" t="s">
        <v>130</v>
      </c>
    </row>
    <row r="801" spans="1:32" ht="18" hidden="1" customHeight="1">
      <c r="A801" s="1" t="s">
        <v>2509</v>
      </c>
      <c r="B801" s="1" t="s">
        <v>2510</v>
      </c>
      <c r="C801" s="4">
        <v>46191</v>
      </c>
      <c r="D801" s="1" t="s">
        <v>3436</v>
      </c>
      <c r="E801" s="1" t="s">
        <v>3747</v>
      </c>
      <c r="F801" s="1" t="s">
        <v>32</v>
      </c>
      <c r="G801" s="1" t="s">
        <v>33</v>
      </c>
      <c r="H801" s="1" t="s">
        <v>3319</v>
      </c>
      <c r="I801" s="1" t="s">
        <v>83</v>
      </c>
      <c r="J801" s="1" t="s">
        <v>35</v>
      </c>
      <c r="K801" s="1" t="s">
        <v>2511</v>
      </c>
      <c r="L801" s="1" t="s">
        <v>85</v>
      </c>
      <c r="M801" s="1">
        <v>-78.61</v>
      </c>
      <c r="N801" s="1" t="s">
        <v>53</v>
      </c>
      <c r="O801" s="1">
        <v>300</v>
      </c>
      <c r="P801" s="1">
        <v>23583</v>
      </c>
      <c r="Q801" s="1">
        <v>23</v>
      </c>
      <c r="R801" s="7">
        <v>7.6700000000000004E-2</v>
      </c>
      <c r="S801" s="1">
        <v>16</v>
      </c>
      <c r="T801" s="1">
        <v>26</v>
      </c>
      <c r="U801" s="1">
        <v>-10</v>
      </c>
      <c r="V801" s="1" t="s">
        <v>87</v>
      </c>
      <c r="W801" s="1" t="s">
        <v>420</v>
      </c>
      <c r="X801" s="1" t="s">
        <v>105</v>
      </c>
      <c r="Y801" s="1" t="s">
        <v>212</v>
      </c>
      <c r="Z801" s="1" t="s">
        <v>54</v>
      </c>
      <c r="AA801" s="1" t="s">
        <v>206</v>
      </c>
      <c r="AB801" s="1" t="s">
        <v>191</v>
      </c>
      <c r="AC801" s="1" t="s">
        <v>283</v>
      </c>
      <c r="AD801" s="1">
        <v>2.7</v>
      </c>
      <c r="AE801" s="1" t="s">
        <v>115</v>
      </c>
      <c r="AF801" s="1" t="s">
        <v>97</v>
      </c>
    </row>
    <row r="802" spans="1:32" ht="18" customHeight="1">
      <c r="A802" s="1" t="s">
        <v>2512</v>
      </c>
      <c r="B802" s="1" t="s">
        <v>2513</v>
      </c>
      <c r="C802" s="4">
        <v>46051</v>
      </c>
      <c r="D802" s="4">
        <v>46066</v>
      </c>
      <c r="E802" s="4">
        <v>46082</v>
      </c>
      <c r="F802" s="1" t="s">
        <v>90</v>
      </c>
      <c r="G802" s="1" t="s">
        <v>91</v>
      </c>
      <c r="H802" s="1" t="s">
        <v>3336</v>
      </c>
      <c r="I802" s="1" t="s">
        <v>92</v>
      </c>
      <c r="J802" s="1" t="s">
        <v>71</v>
      </c>
      <c r="K802" s="1" t="s">
        <v>2514</v>
      </c>
      <c r="L802" s="1" t="s">
        <v>73</v>
      </c>
      <c r="M802" s="1">
        <v>673.71</v>
      </c>
      <c r="N802" s="1" t="s">
        <v>86</v>
      </c>
      <c r="O802" s="1">
        <v>2000</v>
      </c>
      <c r="P802" s="1">
        <v>1347420</v>
      </c>
      <c r="Q802" s="1">
        <v>0</v>
      </c>
      <c r="R802" s="7">
        <v>0</v>
      </c>
      <c r="S802" s="1">
        <v>31</v>
      </c>
      <c r="T802" s="1">
        <v>15</v>
      </c>
      <c r="U802" s="1">
        <v>16</v>
      </c>
      <c r="V802" s="1" t="s">
        <v>3328</v>
      </c>
      <c r="W802" s="1" t="s">
        <v>40</v>
      </c>
      <c r="X802" s="1" t="s">
        <v>41</v>
      </c>
      <c r="Y802" s="1"/>
      <c r="Z802" s="1" t="s">
        <v>173</v>
      </c>
      <c r="AA802" s="1"/>
      <c r="AB802" s="1" t="s">
        <v>95</v>
      </c>
      <c r="AC802" s="1"/>
      <c r="AD802" s="1">
        <v>1.5</v>
      </c>
      <c r="AE802" s="1" t="s">
        <v>76</v>
      </c>
      <c r="AF802" s="1" t="s">
        <v>46</v>
      </c>
    </row>
    <row r="803" spans="1:32" ht="18" hidden="1" customHeight="1">
      <c r="A803" s="1" t="s">
        <v>2515</v>
      </c>
      <c r="B803" s="1" t="s">
        <v>2516</v>
      </c>
      <c r="C803" s="4">
        <v>46167</v>
      </c>
      <c r="D803" s="1">
        <v>46182</v>
      </c>
      <c r="E803" s="1">
        <v>46182</v>
      </c>
      <c r="F803" s="1" t="s">
        <v>90</v>
      </c>
      <c r="G803" s="1" t="s">
        <v>91</v>
      </c>
      <c r="H803" s="1" t="s">
        <v>3425</v>
      </c>
      <c r="I803" s="1" t="s">
        <v>178</v>
      </c>
      <c r="J803" s="1" t="s">
        <v>71</v>
      </c>
      <c r="K803" s="1" t="s">
        <v>2517</v>
      </c>
      <c r="L803" s="1" t="s">
        <v>553</v>
      </c>
      <c r="M803" s="1">
        <v>762.83</v>
      </c>
      <c r="N803" s="1" t="s">
        <v>159</v>
      </c>
      <c r="O803" s="1">
        <v>750</v>
      </c>
      <c r="P803" s="1">
        <v>572122.5</v>
      </c>
      <c r="Q803" s="1">
        <v>55</v>
      </c>
      <c r="R803" s="7">
        <v>7.3300000000000004E-2</v>
      </c>
      <c r="S803" s="1">
        <v>15</v>
      </c>
      <c r="T803" s="1">
        <v>15</v>
      </c>
      <c r="U803" s="1">
        <v>0</v>
      </c>
      <c r="V803" s="1" t="s">
        <v>3337</v>
      </c>
      <c r="W803" s="1" t="s">
        <v>3384</v>
      </c>
      <c r="X803" s="1"/>
      <c r="Y803" s="1" t="s">
        <v>212</v>
      </c>
      <c r="Z803" s="1" t="s">
        <v>3330</v>
      </c>
      <c r="AA803" s="1" t="s">
        <v>136</v>
      </c>
      <c r="AB803" s="1" t="s">
        <v>147</v>
      </c>
      <c r="AC803" s="1" t="s">
        <v>183</v>
      </c>
      <c r="AD803" s="1">
        <v>3.1</v>
      </c>
      <c r="AE803" s="1" t="s">
        <v>139</v>
      </c>
      <c r="AF803" s="1" t="s">
        <v>284</v>
      </c>
    </row>
    <row r="804" spans="1:32" ht="18" customHeight="1">
      <c r="A804" s="1" t="s">
        <v>2518</v>
      </c>
      <c r="B804" s="1" t="s">
        <v>2519</v>
      </c>
      <c r="C804" s="4">
        <v>46031</v>
      </c>
      <c r="D804" s="4">
        <v>46038</v>
      </c>
      <c r="E804" s="4" t="s">
        <v>3558</v>
      </c>
      <c r="F804" s="1" t="s">
        <v>60</v>
      </c>
      <c r="G804" s="1" t="s">
        <v>3488</v>
      </c>
      <c r="H804" s="1" t="s">
        <v>152</v>
      </c>
      <c r="I804" s="1" t="s">
        <v>70</v>
      </c>
      <c r="J804" s="1" t="s">
        <v>62</v>
      </c>
      <c r="K804" s="1" t="s">
        <v>2520</v>
      </c>
      <c r="L804" s="1" t="s">
        <v>94</v>
      </c>
      <c r="M804" s="1">
        <v>41.19</v>
      </c>
      <c r="N804" s="1" t="s">
        <v>159</v>
      </c>
      <c r="O804" s="1">
        <v>200</v>
      </c>
      <c r="P804" s="1">
        <v>8238</v>
      </c>
      <c r="Q804" s="1">
        <v>2</v>
      </c>
      <c r="R804" s="7">
        <v>0.01</v>
      </c>
      <c r="S804" s="1">
        <v>10</v>
      </c>
      <c r="T804" s="1">
        <v>7</v>
      </c>
      <c r="U804" s="1">
        <v>3</v>
      </c>
      <c r="V804" s="1" t="s">
        <v>3323</v>
      </c>
      <c r="W804" s="1" t="s">
        <v>40</v>
      </c>
      <c r="X804" s="1" t="s">
        <v>105</v>
      </c>
      <c r="Y804" s="1" t="s">
        <v>66</v>
      </c>
      <c r="Z804" s="1" t="s">
        <v>128</v>
      </c>
      <c r="AA804" s="1" t="s">
        <v>88</v>
      </c>
      <c r="AB804" s="1" t="s">
        <v>147</v>
      </c>
      <c r="AC804" s="1"/>
      <c r="AD804" s="1">
        <v>3.3</v>
      </c>
      <c r="AE804" s="1" t="s">
        <v>108</v>
      </c>
      <c r="AF804" s="1" t="s">
        <v>46</v>
      </c>
    </row>
    <row r="805" spans="1:32" ht="18" customHeight="1">
      <c r="A805" s="1" t="s">
        <v>2521</v>
      </c>
      <c r="B805" s="1" t="s">
        <v>2522</v>
      </c>
      <c r="C805" s="4">
        <v>46102</v>
      </c>
      <c r="D805" s="4">
        <v>46113</v>
      </c>
      <c r="E805" s="4">
        <v>46115</v>
      </c>
      <c r="F805" s="1" t="s">
        <v>151</v>
      </c>
      <c r="G805" s="1" t="s">
        <v>244</v>
      </c>
      <c r="H805" s="1" t="s">
        <v>3327</v>
      </c>
      <c r="I805" s="1" t="s">
        <v>49</v>
      </c>
      <c r="J805" s="1" t="s">
        <v>112</v>
      </c>
      <c r="K805" s="1" t="s">
        <v>2523</v>
      </c>
      <c r="L805" s="1" t="s">
        <v>246</v>
      </c>
      <c r="M805" s="1">
        <v>539.29999999999995</v>
      </c>
      <c r="N805" s="1" t="s">
        <v>53</v>
      </c>
      <c r="O805" s="1">
        <v>2000</v>
      </c>
      <c r="P805" s="1">
        <v>1078600</v>
      </c>
      <c r="Q805" s="1">
        <v>30</v>
      </c>
      <c r="R805" s="7">
        <v>1.4999999999999999E-2</v>
      </c>
      <c r="S805" s="1">
        <v>13</v>
      </c>
      <c r="T805" s="1" t="s">
        <v>3506</v>
      </c>
      <c r="U805" s="1">
        <v>2</v>
      </c>
      <c r="V805" s="1" t="s">
        <v>3323</v>
      </c>
      <c r="W805" s="1" t="s">
        <v>40</v>
      </c>
      <c r="X805" s="1" t="s">
        <v>127</v>
      </c>
      <c r="Y805" s="1" t="s">
        <v>212</v>
      </c>
      <c r="Z805" s="1" t="s">
        <v>54</v>
      </c>
      <c r="AA805" s="1" t="s">
        <v>136</v>
      </c>
      <c r="AB805" s="1" t="s">
        <v>147</v>
      </c>
      <c r="AC805" s="1"/>
      <c r="AD805" s="1">
        <v>2.7</v>
      </c>
      <c r="AE805" s="1" t="s">
        <v>57</v>
      </c>
      <c r="AF805" s="1" t="s">
        <v>148</v>
      </c>
    </row>
    <row r="806" spans="1:32" ht="18" customHeight="1">
      <c r="A806" s="1" t="s">
        <v>2524</v>
      </c>
      <c r="B806" s="1" t="s">
        <v>2525</v>
      </c>
      <c r="C806" s="4">
        <v>46162</v>
      </c>
      <c r="D806" s="4">
        <v>46168</v>
      </c>
      <c r="E806" s="4">
        <v>46167</v>
      </c>
      <c r="F806" s="1" t="s">
        <v>162</v>
      </c>
      <c r="G806" s="1" t="s">
        <v>3444</v>
      </c>
      <c r="H806" s="1" t="s">
        <v>3354</v>
      </c>
      <c r="I806" s="1" t="s">
        <v>34</v>
      </c>
      <c r="J806" s="1" t="s">
        <v>163</v>
      </c>
      <c r="K806" s="1" t="s">
        <v>2526</v>
      </c>
      <c r="L806" s="1" t="s">
        <v>253</v>
      </c>
      <c r="M806" s="1">
        <v>2721.18</v>
      </c>
      <c r="N806" s="1" t="s">
        <v>38</v>
      </c>
      <c r="O806" s="1">
        <v>1000</v>
      </c>
      <c r="P806" s="1">
        <v>2721180</v>
      </c>
      <c r="Q806" s="1">
        <v>28</v>
      </c>
      <c r="R806" s="7">
        <v>2.8000000000000001E-2</v>
      </c>
      <c r="S806" s="1">
        <v>5</v>
      </c>
      <c r="T806" s="1">
        <v>6</v>
      </c>
      <c r="U806" s="1">
        <v>-1</v>
      </c>
      <c r="V806" s="1" t="s">
        <v>270</v>
      </c>
      <c r="W806" s="1" t="s">
        <v>40</v>
      </c>
      <c r="X806" s="1" t="s">
        <v>41</v>
      </c>
      <c r="Y806" s="1" t="s">
        <v>3334</v>
      </c>
      <c r="Z806" s="1" t="s">
        <v>173</v>
      </c>
      <c r="AA806" s="1" t="s">
        <v>174</v>
      </c>
      <c r="AB806" s="1" t="s">
        <v>191</v>
      </c>
      <c r="AC806" s="1"/>
      <c r="AD806" s="1">
        <v>2.4</v>
      </c>
      <c r="AE806" s="1" t="s">
        <v>108</v>
      </c>
      <c r="AF806" s="1"/>
    </row>
    <row r="807" spans="1:32" ht="18" customHeight="1">
      <c r="A807" s="1" t="s">
        <v>2527</v>
      </c>
      <c r="B807" s="1" t="s">
        <v>2528</v>
      </c>
      <c r="C807" s="4" t="s">
        <v>3582</v>
      </c>
      <c r="D807" s="4">
        <v>46196</v>
      </c>
      <c r="E807" s="4">
        <v>46198</v>
      </c>
      <c r="F807" s="1" t="s">
        <v>151</v>
      </c>
      <c r="G807" s="1" t="s">
        <v>3353</v>
      </c>
      <c r="H807" s="1" t="s">
        <v>3408</v>
      </c>
      <c r="I807" s="1" t="s">
        <v>34</v>
      </c>
      <c r="J807" s="1" t="s">
        <v>112</v>
      </c>
      <c r="K807" s="1" t="s">
        <v>2529</v>
      </c>
      <c r="L807" s="1" t="s">
        <v>218</v>
      </c>
      <c r="M807" s="1">
        <v>752.47</v>
      </c>
      <c r="N807" s="1" t="s">
        <v>104</v>
      </c>
      <c r="O807" s="1">
        <v>500</v>
      </c>
      <c r="P807" s="1">
        <v>376235</v>
      </c>
      <c r="Q807" s="1">
        <v>0</v>
      </c>
      <c r="R807" s="7">
        <v>0</v>
      </c>
      <c r="S807" s="1">
        <v>8</v>
      </c>
      <c r="T807" s="1">
        <v>6</v>
      </c>
      <c r="U807" s="1">
        <v>2</v>
      </c>
      <c r="V807" s="1" t="s">
        <v>135</v>
      </c>
      <c r="W807" s="1" t="s">
        <v>40</v>
      </c>
      <c r="X807" s="1" t="s">
        <v>41</v>
      </c>
      <c r="Y807" s="1" t="s">
        <v>190</v>
      </c>
      <c r="Z807" s="1" t="s">
        <v>54</v>
      </c>
      <c r="AA807" s="1" t="s">
        <v>174</v>
      </c>
      <c r="AB807" s="1" t="s">
        <v>147</v>
      </c>
      <c r="AC807" s="1"/>
      <c r="AD807" s="1">
        <v>2.5</v>
      </c>
      <c r="AE807" s="1" t="s">
        <v>76</v>
      </c>
      <c r="AF807" s="1" t="s">
        <v>46</v>
      </c>
    </row>
    <row r="808" spans="1:32" ht="18" customHeight="1">
      <c r="A808" s="1" t="s">
        <v>2530</v>
      </c>
      <c r="B808" s="1" t="s">
        <v>2531</v>
      </c>
      <c r="C808" s="4">
        <v>46162</v>
      </c>
      <c r="D808" s="4">
        <v>46181</v>
      </c>
      <c r="E808" s="4">
        <v>46185</v>
      </c>
      <c r="F808" s="1" t="s">
        <v>235</v>
      </c>
      <c r="G808" s="1" t="s">
        <v>3474</v>
      </c>
      <c r="H808" s="1" t="s">
        <v>479</v>
      </c>
      <c r="I808" s="1" t="s">
        <v>49</v>
      </c>
      <c r="J808" s="1" t="s">
        <v>71</v>
      </c>
      <c r="K808" s="1" t="s">
        <v>2532</v>
      </c>
      <c r="L808" s="1" t="s">
        <v>73</v>
      </c>
      <c r="M808" s="1">
        <v>418.3</v>
      </c>
      <c r="N808" s="1" t="s">
        <v>38</v>
      </c>
      <c r="O808" s="1">
        <v>200</v>
      </c>
      <c r="P808" s="1">
        <v>83660</v>
      </c>
      <c r="Q808" s="1">
        <v>3</v>
      </c>
      <c r="R808" s="7">
        <v>1.4999999999999999E-2</v>
      </c>
      <c r="S808" s="1">
        <v>23</v>
      </c>
      <c r="T808" s="1">
        <v>19</v>
      </c>
      <c r="U808" s="1">
        <v>4</v>
      </c>
      <c r="V808" s="1" t="s">
        <v>39</v>
      </c>
      <c r="W808" s="1" t="s">
        <v>40</v>
      </c>
      <c r="X808" s="1"/>
      <c r="Y808" s="1"/>
      <c r="Z808" s="1" t="s">
        <v>3333</v>
      </c>
      <c r="AA808" s="1" t="s">
        <v>55</v>
      </c>
      <c r="AB808" s="1" t="s">
        <v>44</v>
      </c>
      <c r="AC808" s="1"/>
      <c r="AD808" s="1">
        <v>3.5</v>
      </c>
      <c r="AE808" s="1" t="s">
        <v>139</v>
      </c>
      <c r="AF808" s="1" t="s">
        <v>148</v>
      </c>
    </row>
    <row r="809" spans="1:32" ht="18" hidden="1" customHeight="1">
      <c r="A809" s="1" t="s">
        <v>2533</v>
      </c>
      <c r="B809" s="1" t="s">
        <v>2534</v>
      </c>
      <c r="C809" s="4">
        <v>46083</v>
      </c>
      <c r="D809" s="1">
        <v>46096</v>
      </c>
      <c r="E809" s="1" t="s">
        <v>3748</v>
      </c>
      <c r="F809" s="1" t="s">
        <v>215</v>
      </c>
      <c r="G809" s="1" t="s">
        <v>216</v>
      </c>
      <c r="H809" s="1" t="s">
        <v>3408</v>
      </c>
      <c r="I809" s="1" t="s">
        <v>34</v>
      </c>
      <c r="J809" s="1" t="s">
        <v>112</v>
      </c>
      <c r="K809" s="1" t="s">
        <v>1034</v>
      </c>
      <c r="L809" s="1" t="s">
        <v>114</v>
      </c>
      <c r="M809" s="1">
        <v>279.39999999999998</v>
      </c>
      <c r="N809" s="1" t="s">
        <v>38</v>
      </c>
      <c r="O809" s="1">
        <v>1000</v>
      </c>
      <c r="P809" s="1">
        <v>279400</v>
      </c>
      <c r="Q809" s="1">
        <v>45</v>
      </c>
      <c r="R809" s="7">
        <v>4.4999999999999998E-2</v>
      </c>
      <c r="S809" s="1">
        <v>9</v>
      </c>
      <c r="T809" s="1">
        <v>13</v>
      </c>
      <c r="U809" s="1">
        <v>-4</v>
      </c>
      <c r="V809" s="1" t="s">
        <v>270</v>
      </c>
      <c r="W809" s="1" t="s">
        <v>366</v>
      </c>
      <c r="X809" s="1"/>
      <c r="Y809" s="1" t="s">
        <v>212</v>
      </c>
      <c r="Z809" s="1" t="s">
        <v>128</v>
      </c>
      <c r="AA809" s="1" t="s">
        <v>88</v>
      </c>
      <c r="AB809" s="1" t="s">
        <v>95</v>
      </c>
      <c r="AC809" s="1" t="s">
        <v>96</v>
      </c>
      <c r="AD809" s="1">
        <v>1</v>
      </c>
      <c r="AE809" s="1" t="s">
        <v>76</v>
      </c>
      <c r="AF809" s="1" t="s">
        <v>284</v>
      </c>
    </row>
    <row r="810" spans="1:32" ht="18" customHeight="1">
      <c r="A810" s="1" t="s">
        <v>2535</v>
      </c>
      <c r="B810" s="1" t="s">
        <v>2536</v>
      </c>
      <c r="C810" s="4" t="s">
        <v>3645</v>
      </c>
      <c r="D810" s="4">
        <v>46048</v>
      </c>
      <c r="E810" s="4">
        <v>46053</v>
      </c>
      <c r="F810" s="1" t="s">
        <v>209</v>
      </c>
      <c r="G810" s="1" t="s">
        <v>3389</v>
      </c>
      <c r="H810" s="1" t="s">
        <v>316</v>
      </c>
      <c r="I810" s="1" t="s">
        <v>178</v>
      </c>
      <c r="J810" s="1" t="s">
        <v>153</v>
      </c>
      <c r="K810" s="1" t="s">
        <v>2537</v>
      </c>
      <c r="L810" s="1" t="s">
        <v>295</v>
      </c>
      <c r="M810" s="1">
        <v>50.65</v>
      </c>
      <c r="N810" s="1" t="s">
        <v>65</v>
      </c>
      <c r="O810" s="1">
        <v>150</v>
      </c>
      <c r="P810" s="1">
        <v>7597.5</v>
      </c>
      <c r="Q810" s="1">
        <v>1</v>
      </c>
      <c r="R810" s="7">
        <v>6.7000000000000002E-3</v>
      </c>
      <c r="S810" s="1">
        <v>14</v>
      </c>
      <c r="T810" s="1">
        <v>9</v>
      </c>
      <c r="U810" s="1">
        <v>5</v>
      </c>
      <c r="V810" s="1" t="s">
        <v>39</v>
      </c>
      <c r="W810" s="1" t="s">
        <v>40</v>
      </c>
      <c r="X810" s="1" t="s">
        <v>127</v>
      </c>
      <c r="Y810" s="1" t="s">
        <v>3334</v>
      </c>
      <c r="Z810" s="1" t="s">
        <v>54</v>
      </c>
      <c r="AA810" s="1" t="s">
        <v>88</v>
      </c>
      <c r="AB810" s="1" t="s">
        <v>191</v>
      </c>
      <c r="AC810" s="1"/>
      <c r="AD810" s="1">
        <v>3</v>
      </c>
      <c r="AE810" s="1" t="s">
        <v>139</v>
      </c>
      <c r="AF810" s="1" t="s">
        <v>148</v>
      </c>
    </row>
    <row r="811" spans="1:32" ht="18" hidden="1" customHeight="1">
      <c r="A811" s="1" t="s">
        <v>2538</v>
      </c>
      <c r="B811" s="1" t="s">
        <v>2539</v>
      </c>
      <c r="C811" s="4" t="s">
        <v>3610</v>
      </c>
      <c r="D811" s="1">
        <v>46043</v>
      </c>
      <c r="E811" s="1">
        <v>46046</v>
      </c>
      <c r="F811" s="1" t="s">
        <v>256</v>
      </c>
      <c r="G811" s="1" t="s">
        <v>257</v>
      </c>
      <c r="H811" s="1" t="s">
        <v>258</v>
      </c>
      <c r="I811" s="1" t="s">
        <v>241</v>
      </c>
      <c r="J811" s="1" t="s">
        <v>153</v>
      </c>
      <c r="K811" s="1" t="s">
        <v>2540</v>
      </c>
      <c r="L811" s="1" t="s">
        <v>204</v>
      </c>
      <c r="M811" s="1">
        <v>721.3</v>
      </c>
      <c r="N811" s="1" t="s">
        <v>65</v>
      </c>
      <c r="O811" s="1">
        <v>300</v>
      </c>
      <c r="P811" s="1">
        <v>216390</v>
      </c>
      <c r="Q811" s="1">
        <v>13</v>
      </c>
      <c r="R811" s="7">
        <v>4.3299999999999998E-2</v>
      </c>
      <c r="S811" s="1">
        <v>17</v>
      </c>
      <c r="T811" s="1">
        <v>14</v>
      </c>
      <c r="U811" s="1">
        <v>3</v>
      </c>
      <c r="V811" s="1" t="s">
        <v>166</v>
      </c>
      <c r="W811" s="1" t="s">
        <v>366</v>
      </c>
      <c r="X811" s="1" t="s">
        <v>105</v>
      </c>
      <c r="Y811" s="1" t="s">
        <v>3334</v>
      </c>
      <c r="Z811" s="1" t="s">
        <v>43</v>
      </c>
      <c r="AA811" s="1" t="s">
        <v>136</v>
      </c>
      <c r="AB811" s="1" t="s">
        <v>44</v>
      </c>
      <c r="AC811" s="1" t="s">
        <v>75</v>
      </c>
      <c r="AD811" s="1">
        <v>2.1</v>
      </c>
      <c r="AE811" s="1" t="s">
        <v>115</v>
      </c>
      <c r="AF811" s="1" t="s">
        <v>77</v>
      </c>
    </row>
    <row r="812" spans="1:32" ht="18" customHeight="1">
      <c r="A812" s="1" t="s">
        <v>2541</v>
      </c>
      <c r="B812" s="1" t="s">
        <v>2542</v>
      </c>
      <c r="C812" s="4">
        <v>46153</v>
      </c>
      <c r="D812" s="4" t="s">
        <v>3749</v>
      </c>
      <c r="E812" s="4" t="s">
        <v>3630</v>
      </c>
      <c r="F812" s="1" t="s">
        <v>151</v>
      </c>
      <c r="G812" s="1" t="s">
        <v>3351</v>
      </c>
      <c r="H812" s="1" t="s">
        <v>3327</v>
      </c>
      <c r="I812" s="1" t="s">
        <v>83</v>
      </c>
      <c r="J812" s="1" t="s">
        <v>112</v>
      </c>
      <c r="K812" s="1" t="s">
        <v>2543</v>
      </c>
      <c r="L812" s="1" t="s">
        <v>229</v>
      </c>
      <c r="M812" s="1">
        <v>588.61</v>
      </c>
      <c r="N812" s="1" t="s">
        <v>38</v>
      </c>
      <c r="O812" s="1">
        <v>500</v>
      </c>
      <c r="P812" s="1">
        <v>294305</v>
      </c>
      <c r="Q812" s="1">
        <v>10</v>
      </c>
      <c r="R812" s="7">
        <v>0.02</v>
      </c>
      <c r="S812" s="1">
        <v>4</v>
      </c>
      <c r="T812" s="1">
        <v>8</v>
      </c>
      <c r="U812" s="1">
        <v>-4</v>
      </c>
      <c r="V812" s="1" t="s">
        <v>87</v>
      </c>
      <c r="W812" s="1" t="s">
        <v>40</v>
      </c>
      <c r="X812" s="1" t="s">
        <v>146</v>
      </c>
      <c r="Y812" s="1" t="s">
        <v>42</v>
      </c>
      <c r="Z812" s="1"/>
      <c r="AA812" s="1" t="s">
        <v>55</v>
      </c>
      <c r="AB812" s="1" t="s">
        <v>191</v>
      </c>
      <c r="AC812" s="1"/>
      <c r="AD812" s="1">
        <v>4.0999999999999996</v>
      </c>
      <c r="AE812" s="1" t="s">
        <v>108</v>
      </c>
      <c r="AF812" s="1" t="s">
        <v>130</v>
      </c>
    </row>
    <row r="813" spans="1:32" ht="18" hidden="1" customHeight="1">
      <c r="A813" s="1" t="s">
        <v>2544</v>
      </c>
      <c r="B813" s="1" t="s">
        <v>2545</v>
      </c>
      <c r="C813" s="4">
        <v>46089</v>
      </c>
      <c r="D813" s="1">
        <v>46105</v>
      </c>
      <c r="E813" s="1" t="s">
        <v>3573</v>
      </c>
      <c r="F813" s="1" t="s">
        <v>256</v>
      </c>
      <c r="G813" s="1" t="s">
        <v>3432</v>
      </c>
      <c r="H813" s="1" t="s">
        <v>3420</v>
      </c>
      <c r="I813" s="1" t="s">
        <v>34</v>
      </c>
      <c r="J813" s="1" t="s">
        <v>153</v>
      </c>
      <c r="K813" s="1" t="s">
        <v>2546</v>
      </c>
      <c r="L813" s="1" t="s">
        <v>295</v>
      </c>
      <c r="M813" s="1">
        <v>317.68</v>
      </c>
      <c r="N813" s="1" t="s">
        <v>65</v>
      </c>
      <c r="O813" s="1">
        <v>2000</v>
      </c>
      <c r="P813" s="1">
        <v>635360</v>
      </c>
      <c r="Q813" s="1">
        <v>119</v>
      </c>
      <c r="R813" s="7">
        <v>5.9499999999999997E-2</v>
      </c>
      <c r="S813" s="1">
        <v>18</v>
      </c>
      <c r="T813" s="1">
        <v>16</v>
      </c>
      <c r="U813" s="1">
        <v>2</v>
      </c>
      <c r="V813" s="1" t="s">
        <v>166</v>
      </c>
      <c r="W813" s="1" t="s">
        <v>366</v>
      </c>
      <c r="X813" s="1" t="s">
        <v>41</v>
      </c>
      <c r="Y813" s="1" t="s">
        <v>3334</v>
      </c>
      <c r="Z813" s="1" t="s">
        <v>3330</v>
      </c>
      <c r="AA813" s="1" t="s">
        <v>88</v>
      </c>
      <c r="AB813" s="1" t="s">
        <v>95</v>
      </c>
      <c r="AC813" s="1" t="s">
        <v>183</v>
      </c>
      <c r="AD813" s="1">
        <v>2.8</v>
      </c>
      <c r="AE813" s="1" t="s">
        <v>184</v>
      </c>
      <c r="AF813" s="1" t="s">
        <v>77</v>
      </c>
    </row>
    <row r="814" spans="1:32" ht="18" customHeight="1">
      <c r="A814" s="1" t="s">
        <v>2547</v>
      </c>
      <c r="B814" s="1" t="s">
        <v>2548</v>
      </c>
      <c r="C814" s="4">
        <v>46053</v>
      </c>
      <c r="D814" s="4">
        <v>46072</v>
      </c>
      <c r="E814" s="4">
        <v>46065</v>
      </c>
      <c r="F814" s="1" t="s">
        <v>90</v>
      </c>
      <c r="G814" s="1" t="s">
        <v>3346</v>
      </c>
      <c r="H814" s="1" t="s">
        <v>133</v>
      </c>
      <c r="I814" s="1" t="s">
        <v>241</v>
      </c>
      <c r="J814" s="1" t="s">
        <v>71</v>
      </c>
      <c r="K814" s="1" t="s">
        <v>2094</v>
      </c>
      <c r="L814" s="1" t="s">
        <v>73</v>
      </c>
      <c r="M814" s="1">
        <v>488.72</v>
      </c>
      <c r="N814" s="1" t="s">
        <v>53</v>
      </c>
      <c r="O814" s="1">
        <v>50</v>
      </c>
      <c r="P814" s="1">
        <v>24436</v>
      </c>
      <c r="Q814" s="1">
        <v>2</v>
      </c>
      <c r="R814" s="7">
        <v>0.04</v>
      </c>
      <c r="S814" s="1">
        <v>12</v>
      </c>
      <c r="T814" s="1">
        <v>19</v>
      </c>
      <c r="U814" s="1">
        <v>-7</v>
      </c>
      <c r="V814" s="1" t="s">
        <v>3337</v>
      </c>
      <c r="W814" s="1" t="s">
        <v>40</v>
      </c>
      <c r="X814" s="1" t="s">
        <v>146</v>
      </c>
      <c r="Y814" s="1" t="s">
        <v>106</v>
      </c>
      <c r="Z814" s="1" t="s">
        <v>3330</v>
      </c>
      <c r="AA814" s="1" t="s">
        <v>136</v>
      </c>
      <c r="AB814" s="1" t="s">
        <v>137</v>
      </c>
      <c r="AC814" s="1"/>
      <c r="AD814" s="1">
        <v>2.4</v>
      </c>
      <c r="AE814" s="1" t="s">
        <v>76</v>
      </c>
      <c r="AF814" s="1" t="s">
        <v>130</v>
      </c>
    </row>
    <row r="815" spans="1:32" ht="18" customHeight="1">
      <c r="A815" s="1" t="s">
        <v>2549</v>
      </c>
      <c r="B815" s="1" t="s">
        <v>2550</v>
      </c>
      <c r="C815" s="4">
        <v>46049</v>
      </c>
      <c r="D815" s="4">
        <v>46051</v>
      </c>
      <c r="E815" s="4">
        <v>46061</v>
      </c>
      <c r="F815" s="1" t="s">
        <v>151</v>
      </c>
      <c r="G815" s="1" t="s">
        <v>3353</v>
      </c>
      <c r="H815" s="1" t="s">
        <v>152</v>
      </c>
      <c r="I815" s="1" t="s">
        <v>34</v>
      </c>
      <c r="J815" s="1" t="s">
        <v>112</v>
      </c>
      <c r="K815" s="1" t="s">
        <v>2551</v>
      </c>
      <c r="L815" s="1" t="s">
        <v>229</v>
      </c>
      <c r="M815" s="1">
        <v>720.56</v>
      </c>
      <c r="N815" s="1" t="s">
        <v>53</v>
      </c>
      <c r="O815" s="1">
        <v>150</v>
      </c>
      <c r="P815" s="1">
        <v>108084</v>
      </c>
      <c r="Q815" s="1">
        <v>1</v>
      </c>
      <c r="R815" s="7">
        <v>6.7000000000000002E-3</v>
      </c>
      <c r="S815" s="1">
        <v>12</v>
      </c>
      <c r="T815" s="1">
        <v>2</v>
      </c>
      <c r="U815" s="1">
        <v>10</v>
      </c>
      <c r="V815" s="1" t="s">
        <v>3328</v>
      </c>
      <c r="W815" s="1" t="s">
        <v>40</v>
      </c>
      <c r="X815" s="1" t="s">
        <v>105</v>
      </c>
      <c r="Y815" s="1" t="s">
        <v>212</v>
      </c>
      <c r="Z815" s="1" t="s">
        <v>3333</v>
      </c>
      <c r="AA815" s="1" t="s">
        <v>129</v>
      </c>
      <c r="AB815" s="1" t="s">
        <v>137</v>
      </c>
      <c r="AC815" s="1"/>
      <c r="AD815" s="1">
        <v>1.9</v>
      </c>
      <c r="AE815" s="1" t="s">
        <v>45</v>
      </c>
      <c r="AF815" s="1" t="s">
        <v>46</v>
      </c>
    </row>
    <row r="816" spans="1:32" ht="18" customHeight="1">
      <c r="A816" s="1" t="s">
        <v>2552</v>
      </c>
      <c r="B816" s="1" t="s">
        <v>2553</v>
      </c>
      <c r="C816" s="4" t="s">
        <v>3591</v>
      </c>
      <c r="D816" s="4">
        <v>46130</v>
      </c>
      <c r="E816" s="4">
        <v>46138</v>
      </c>
      <c r="F816" s="1" t="s">
        <v>162</v>
      </c>
      <c r="G816" s="1" t="s">
        <v>3356</v>
      </c>
      <c r="H816" s="1" t="s">
        <v>3354</v>
      </c>
      <c r="I816" s="1" t="s">
        <v>61</v>
      </c>
      <c r="J816" s="1" t="s">
        <v>163</v>
      </c>
      <c r="K816" s="1" t="s">
        <v>2554</v>
      </c>
      <c r="L816" s="1" t="s">
        <v>165</v>
      </c>
      <c r="M816" s="1">
        <v>1497.29</v>
      </c>
      <c r="N816" s="1" t="s">
        <v>86</v>
      </c>
      <c r="O816" s="1">
        <v>75</v>
      </c>
      <c r="P816" s="1">
        <v>112296.75</v>
      </c>
      <c r="Q816" s="1">
        <v>2</v>
      </c>
      <c r="R816" s="7">
        <v>2.6700000000000002E-2</v>
      </c>
      <c r="S816" s="1">
        <v>15</v>
      </c>
      <c r="T816" s="1">
        <v>7</v>
      </c>
      <c r="U816" s="1">
        <v>8</v>
      </c>
      <c r="V816" s="1" t="s">
        <v>39</v>
      </c>
      <c r="W816" s="1" t="s">
        <v>40</v>
      </c>
      <c r="X816" s="1"/>
      <c r="Y816" s="1"/>
      <c r="Z816" s="1"/>
      <c r="AA816" s="1" t="s">
        <v>136</v>
      </c>
      <c r="AB816" s="1" t="s">
        <v>56</v>
      </c>
      <c r="AC816" s="1"/>
      <c r="AD816" s="1">
        <v>1.5</v>
      </c>
      <c r="AE816" s="1" t="s">
        <v>139</v>
      </c>
      <c r="AF816" s="1" t="s">
        <v>148</v>
      </c>
    </row>
    <row r="817" spans="1:32" ht="18" customHeight="1">
      <c r="A817" s="1" t="s">
        <v>2555</v>
      </c>
      <c r="B817" s="1" t="s">
        <v>2556</v>
      </c>
      <c r="C817" s="4" t="s">
        <v>3623</v>
      </c>
      <c r="D817" s="4" t="s">
        <v>3750</v>
      </c>
      <c r="E817" s="4">
        <v>46160</v>
      </c>
      <c r="F817" s="1" t="s">
        <v>162</v>
      </c>
      <c r="G817" s="1" t="s">
        <v>3444</v>
      </c>
      <c r="H817" s="1" t="s">
        <v>3354</v>
      </c>
      <c r="I817" s="1" t="s">
        <v>178</v>
      </c>
      <c r="J817" s="1" t="s">
        <v>163</v>
      </c>
      <c r="K817" s="1" t="s">
        <v>2557</v>
      </c>
      <c r="L817" s="1" t="s">
        <v>171</v>
      </c>
      <c r="M817" s="1">
        <v>407.99</v>
      </c>
      <c r="N817" s="1" t="s">
        <v>104</v>
      </c>
      <c r="O817" s="1">
        <v>1500</v>
      </c>
      <c r="P817" s="1">
        <v>611985</v>
      </c>
      <c r="Q817" s="1">
        <v>32</v>
      </c>
      <c r="R817" s="7">
        <v>2.1299999999999999E-2</v>
      </c>
      <c r="S817" s="1">
        <v>13</v>
      </c>
      <c r="T817" s="1">
        <v>10</v>
      </c>
      <c r="U817" s="1">
        <v>3</v>
      </c>
      <c r="V817" s="1" t="s">
        <v>3323</v>
      </c>
      <c r="W817" s="1" t="s">
        <v>40</v>
      </c>
      <c r="X817" s="1" t="s">
        <v>3329</v>
      </c>
      <c r="Y817" s="1" t="s">
        <v>66</v>
      </c>
      <c r="Z817" s="1" t="s">
        <v>54</v>
      </c>
      <c r="AA817" s="1" t="s">
        <v>129</v>
      </c>
      <c r="AB817" s="1" t="s">
        <v>95</v>
      </c>
      <c r="AC817" s="1"/>
      <c r="AD817" s="1">
        <v>4</v>
      </c>
      <c r="AE817" s="1" t="s">
        <v>184</v>
      </c>
      <c r="AF817" s="1" t="s">
        <v>46</v>
      </c>
    </row>
    <row r="818" spans="1:32" ht="18" hidden="1" customHeight="1">
      <c r="A818" s="1" t="s">
        <v>748</v>
      </c>
      <c r="B818" s="1" t="s">
        <v>2558</v>
      </c>
      <c r="C818" s="4" t="s">
        <v>3751</v>
      </c>
      <c r="D818" s="1">
        <v>46109</v>
      </c>
      <c r="E818" s="1">
        <v>46115</v>
      </c>
      <c r="F818" s="1" t="s">
        <v>142</v>
      </c>
      <c r="G818" s="1" t="s">
        <v>3391</v>
      </c>
      <c r="H818" s="1" t="s">
        <v>169</v>
      </c>
      <c r="I818" s="1" t="s">
        <v>61</v>
      </c>
      <c r="J818" s="1" t="s">
        <v>50</v>
      </c>
      <c r="K818" s="1" t="s">
        <v>2559</v>
      </c>
      <c r="L818" s="1" t="s">
        <v>189</v>
      </c>
      <c r="M818" s="1">
        <v>3216.21</v>
      </c>
      <c r="N818" s="1" t="s">
        <v>104</v>
      </c>
      <c r="O818" s="1">
        <v>250</v>
      </c>
      <c r="P818" s="1">
        <v>804052.5</v>
      </c>
      <c r="Q818" s="1">
        <v>11</v>
      </c>
      <c r="R818" s="7">
        <v>4.3999999999999997E-2</v>
      </c>
      <c r="S818" s="1">
        <v>24</v>
      </c>
      <c r="T818" s="1">
        <v>18</v>
      </c>
      <c r="U818" s="1">
        <v>6</v>
      </c>
      <c r="V818" s="1" t="s">
        <v>3328</v>
      </c>
      <c r="W818" s="1" t="s">
        <v>74</v>
      </c>
      <c r="X818" s="1" t="s">
        <v>127</v>
      </c>
      <c r="Y818" s="1" t="s">
        <v>190</v>
      </c>
      <c r="Z818" s="1" t="s">
        <v>3333</v>
      </c>
      <c r="AA818" s="1"/>
      <c r="AB818" s="1" t="s">
        <v>147</v>
      </c>
      <c r="AC818" s="1" t="s">
        <v>183</v>
      </c>
      <c r="AD818" s="1">
        <v>2.6</v>
      </c>
      <c r="AE818" s="1" t="s">
        <v>115</v>
      </c>
      <c r="AF818" s="1" t="s">
        <v>185</v>
      </c>
    </row>
    <row r="819" spans="1:32" ht="18" customHeight="1">
      <c r="A819" s="1" t="s">
        <v>2560</v>
      </c>
      <c r="B819" s="1" t="s">
        <v>2561</v>
      </c>
      <c r="C819" s="4">
        <v>46180</v>
      </c>
      <c r="D819" s="4">
        <v>46185</v>
      </c>
      <c r="E819" s="4" t="s">
        <v>3524</v>
      </c>
      <c r="F819" s="1" t="s">
        <v>151</v>
      </c>
      <c r="G819" s="1" t="s">
        <v>3353</v>
      </c>
      <c r="H819" s="1" t="s">
        <v>152</v>
      </c>
      <c r="I819" s="1" t="s">
        <v>70</v>
      </c>
      <c r="J819" s="1" t="s">
        <v>112</v>
      </c>
      <c r="K819" s="1" t="s">
        <v>2562</v>
      </c>
      <c r="L819" s="1" t="s">
        <v>229</v>
      </c>
      <c r="M819" s="1">
        <v>684.1</v>
      </c>
      <c r="N819" s="1" t="s">
        <v>38</v>
      </c>
      <c r="O819" s="1"/>
      <c r="P819" s="1" t="s">
        <v>3752</v>
      </c>
      <c r="Q819" s="1">
        <v>8</v>
      </c>
      <c r="R819" s="7">
        <v>2.6700000000000002E-2</v>
      </c>
      <c r="S819" s="1">
        <v>1</v>
      </c>
      <c r="T819" s="1">
        <v>5</v>
      </c>
      <c r="U819" s="1"/>
      <c r="V819" s="1" t="s">
        <v>87</v>
      </c>
      <c r="W819" s="1" t="s">
        <v>40</v>
      </c>
      <c r="X819" s="1" t="s">
        <v>105</v>
      </c>
      <c r="Y819" s="1" t="s">
        <v>190</v>
      </c>
      <c r="Z819" s="1" t="s">
        <v>107</v>
      </c>
      <c r="AA819" s="1" t="s">
        <v>129</v>
      </c>
      <c r="AB819" s="1" t="s">
        <v>56</v>
      </c>
      <c r="AC819" s="1"/>
      <c r="AD819" s="1">
        <v>4.9000000000000004</v>
      </c>
      <c r="AE819" s="1" t="s">
        <v>115</v>
      </c>
      <c r="AF819" s="1"/>
    </row>
    <row r="820" spans="1:32" ht="18" customHeight="1">
      <c r="A820" s="1" t="s">
        <v>2563</v>
      </c>
      <c r="B820" s="1" t="s">
        <v>2564</v>
      </c>
      <c r="C820" s="4">
        <v>46158</v>
      </c>
      <c r="D820" s="4">
        <v>46167</v>
      </c>
      <c r="E820" s="4" t="s">
        <v>3554</v>
      </c>
      <c r="F820" s="1" t="s">
        <v>60</v>
      </c>
      <c r="G820" s="1" t="s">
        <v>466</v>
      </c>
      <c r="H820" s="1" t="s">
        <v>3354</v>
      </c>
      <c r="I820" s="1" t="s">
        <v>70</v>
      </c>
      <c r="J820" s="1" t="s">
        <v>62</v>
      </c>
      <c r="K820" s="1" t="s">
        <v>952</v>
      </c>
      <c r="L820" s="1" t="s">
        <v>64</v>
      </c>
      <c r="M820" s="1">
        <v>-340.67</v>
      </c>
      <c r="N820" s="1" t="s">
        <v>159</v>
      </c>
      <c r="O820" s="1"/>
      <c r="P820" s="1" t="s">
        <v>3753</v>
      </c>
      <c r="Q820" s="1">
        <v>6</v>
      </c>
      <c r="R820" s="7">
        <v>0.04</v>
      </c>
      <c r="S820" s="1" t="s">
        <v>3406</v>
      </c>
      <c r="T820" s="1"/>
      <c r="U820" s="1">
        <v>-9</v>
      </c>
      <c r="V820" s="1" t="s">
        <v>3337</v>
      </c>
      <c r="W820" s="1" t="s">
        <v>40</v>
      </c>
      <c r="X820" s="1" t="s">
        <v>105</v>
      </c>
      <c r="Y820" s="1" t="s">
        <v>190</v>
      </c>
      <c r="Z820" s="1" t="s">
        <v>128</v>
      </c>
      <c r="AA820" s="1" t="s">
        <v>136</v>
      </c>
      <c r="AB820" s="1" t="s">
        <v>137</v>
      </c>
      <c r="AC820" s="1"/>
      <c r="AD820" s="1">
        <v>3.5</v>
      </c>
      <c r="AE820" s="1" t="s">
        <v>76</v>
      </c>
      <c r="AF820" s="1"/>
    </row>
    <row r="821" spans="1:32" ht="18" customHeight="1">
      <c r="A821" s="1" t="s">
        <v>2565</v>
      </c>
      <c r="B821" s="1" t="s">
        <v>2566</v>
      </c>
      <c r="C821" s="4">
        <v>46042</v>
      </c>
      <c r="D821" s="4">
        <v>46060</v>
      </c>
      <c r="E821" s="4">
        <v>46056</v>
      </c>
      <c r="F821" s="1" t="s">
        <v>32</v>
      </c>
      <c r="G821" s="1" t="s">
        <v>3359</v>
      </c>
      <c r="H821" s="1" t="s">
        <v>177</v>
      </c>
      <c r="I821" s="1" t="s">
        <v>241</v>
      </c>
      <c r="J821" s="1" t="s">
        <v>35</v>
      </c>
      <c r="K821" s="1" t="s">
        <v>2567</v>
      </c>
      <c r="L821" s="1" t="s">
        <v>85</v>
      </c>
      <c r="M821" s="1">
        <v>1481.95</v>
      </c>
      <c r="N821" s="1" t="s">
        <v>86</v>
      </c>
      <c r="O821" s="1">
        <v>150</v>
      </c>
      <c r="P821" s="1">
        <v>222292.5</v>
      </c>
      <c r="Q821" s="1">
        <v>0</v>
      </c>
      <c r="R821" s="7">
        <v>0</v>
      </c>
      <c r="S821" s="1">
        <v>14</v>
      </c>
      <c r="T821" s="1">
        <v>18</v>
      </c>
      <c r="U821" s="1">
        <v>-4</v>
      </c>
      <c r="V821" s="1" t="s">
        <v>87</v>
      </c>
      <c r="W821" s="1" t="s">
        <v>40</v>
      </c>
      <c r="X821" s="1" t="s">
        <v>3324</v>
      </c>
      <c r="Y821" s="1" t="s">
        <v>106</v>
      </c>
      <c r="Z821" s="1" t="s">
        <v>3330</v>
      </c>
      <c r="AA821" s="1" t="s">
        <v>136</v>
      </c>
      <c r="AB821" s="1" t="s">
        <v>137</v>
      </c>
      <c r="AC821" s="1"/>
      <c r="AD821" s="1">
        <v>3.8</v>
      </c>
      <c r="AE821" s="1" t="s">
        <v>108</v>
      </c>
      <c r="AF821" s="1"/>
    </row>
    <row r="822" spans="1:32" ht="18" hidden="1" customHeight="1">
      <c r="A822" s="1" t="s">
        <v>2568</v>
      </c>
      <c r="B822" s="1" t="s">
        <v>2569</v>
      </c>
      <c r="C822" s="4">
        <v>46056</v>
      </c>
      <c r="D822" s="1"/>
      <c r="E822" s="1">
        <v>46077</v>
      </c>
      <c r="F822" s="1" t="s">
        <v>256</v>
      </c>
      <c r="G822" s="1" t="s">
        <v>3432</v>
      </c>
      <c r="H822" s="1" t="s">
        <v>3420</v>
      </c>
      <c r="I822" s="1" t="s">
        <v>178</v>
      </c>
      <c r="J822" s="1" t="s">
        <v>153</v>
      </c>
      <c r="K822" s="1" t="s">
        <v>2570</v>
      </c>
      <c r="L822" s="1" t="s">
        <v>204</v>
      </c>
      <c r="M822" s="1">
        <v>486.77</v>
      </c>
      <c r="N822" s="1"/>
      <c r="O822" s="1">
        <v>75</v>
      </c>
      <c r="P822" s="1">
        <v>36507.75</v>
      </c>
      <c r="Q822" s="1">
        <v>9</v>
      </c>
      <c r="R822" s="7">
        <v>0.12</v>
      </c>
      <c r="S822" s="1">
        <v>21</v>
      </c>
      <c r="T822" s="1">
        <v>14</v>
      </c>
      <c r="U822" s="1">
        <v>7</v>
      </c>
      <c r="V822" s="1" t="s">
        <v>39</v>
      </c>
      <c r="W822" s="1" t="s">
        <v>3384</v>
      </c>
      <c r="X822" s="1" t="s">
        <v>146</v>
      </c>
      <c r="Y822" s="1" t="s">
        <v>106</v>
      </c>
      <c r="Z822" s="1" t="s">
        <v>3330</v>
      </c>
      <c r="AA822" s="1"/>
      <c r="AB822" s="1" t="s">
        <v>191</v>
      </c>
      <c r="AC822" s="1" t="s">
        <v>373</v>
      </c>
      <c r="AD822" s="1">
        <v>1.8</v>
      </c>
      <c r="AE822" s="1" t="s">
        <v>184</v>
      </c>
      <c r="AF822" s="1" t="s">
        <v>185</v>
      </c>
    </row>
    <row r="823" spans="1:32" ht="18" hidden="1" customHeight="1">
      <c r="A823" s="1" t="s">
        <v>2571</v>
      </c>
      <c r="B823" s="1" t="s">
        <v>2572</v>
      </c>
      <c r="C823" s="4">
        <v>46190</v>
      </c>
      <c r="D823" s="1">
        <v>46207</v>
      </c>
      <c r="E823" s="1">
        <v>46208</v>
      </c>
      <c r="F823" s="1" t="s">
        <v>90</v>
      </c>
      <c r="G823" s="1" t="s">
        <v>91</v>
      </c>
      <c r="H823" s="1" t="s">
        <v>3336</v>
      </c>
      <c r="I823" s="1" t="s">
        <v>83</v>
      </c>
      <c r="J823" s="1" t="s">
        <v>71</v>
      </c>
      <c r="K823" s="1" t="s">
        <v>2573</v>
      </c>
      <c r="L823" s="1" t="s">
        <v>238</v>
      </c>
      <c r="M823" s="1">
        <v>572.97</v>
      </c>
      <c r="N823" s="1" t="s">
        <v>86</v>
      </c>
      <c r="O823" s="1">
        <v>500</v>
      </c>
      <c r="P823" s="1">
        <v>286485</v>
      </c>
      <c r="Q823" s="1">
        <v>26</v>
      </c>
      <c r="R823" s="7">
        <v>5.1999999999999998E-2</v>
      </c>
      <c r="S823" s="1">
        <v>18</v>
      </c>
      <c r="T823" s="1">
        <v>17</v>
      </c>
      <c r="U823" s="1">
        <v>1</v>
      </c>
      <c r="V823" s="1" t="s">
        <v>3323</v>
      </c>
      <c r="W823" s="1" t="s">
        <v>3384</v>
      </c>
      <c r="X823" s="1" t="s">
        <v>3324</v>
      </c>
      <c r="Y823" s="1" t="s">
        <v>190</v>
      </c>
      <c r="Z823" s="1"/>
      <c r="AA823" s="1" t="s">
        <v>88</v>
      </c>
      <c r="AB823" s="1" t="s">
        <v>137</v>
      </c>
      <c r="AC823" s="1" t="s">
        <v>373</v>
      </c>
      <c r="AD823" s="1">
        <v>2.7</v>
      </c>
      <c r="AE823" s="1" t="s">
        <v>108</v>
      </c>
      <c r="AF823" s="1" t="s">
        <v>77</v>
      </c>
    </row>
    <row r="824" spans="1:32" ht="18" hidden="1" customHeight="1">
      <c r="A824" s="1" t="s">
        <v>2574</v>
      </c>
      <c r="B824" s="1" t="s">
        <v>2575</v>
      </c>
      <c r="C824" s="4" t="s">
        <v>3754</v>
      </c>
      <c r="D824" s="1">
        <v>46166</v>
      </c>
      <c r="E824" s="1" t="s">
        <v>3755</v>
      </c>
      <c r="F824" s="1" t="s">
        <v>69</v>
      </c>
      <c r="G824" s="1" t="s">
        <v>111</v>
      </c>
      <c r="H824" s="1" t="s">
        <v>3332</v>
      </c>
      <c r="I824" s="1" t="s">
        <v>92</v>
      </c>
      <c r="J824" s="1" t="s">
        <v>62</v>
      </c>
      <c r="K824" s="1" t="s">
        <v>2576</v>
      </c>
      <c r="L824" s="1" t="s">
        <v>225</v>
      </c>
      <c r="M824" s="1">
        <v>309.91000000000003</v>
      </c>
      <c r="N824" s="1" t="s">
        <v>65</v>
      </c>
      <c r="O824" s="1">
        <v>200</v>
      </c>
      <c r="P824" s="1">
        <v>61982</v>
      </c>
      <c r="Q824" s="1">
        <v>10</v>
      </c>
      <c r="R824" s="7">
        <v>0.05</v>
      </c>
      <c r="S824" s="1">
        <v>14</v>
      </c>
      <c r="T824" s="1">
        <v>14</v>
      </c>
      <c r="U824" s="1">
        <v>0</v>
      </c>
      <c r="V824" s="1" t="s">
        <v>87</v>
      </c>
      <c r="W824" s="1" t="s">
        <v>3384</v>
      </c>
      <c r="X824" s="1" t="s">
        <v>105</v>
      </c>
      <c r="Y824" s="1" t="s">
        <v>106</v>
      </c>
      <c r="Z824" s="1" t="s">
        <v>3330</v>
      </c>
      <c r="AA824" s="1" t="s">
        <v>3341</v>
      </c>
      <c r="AB824" s="1" t="s">
        <v>147</v>
      </c>
      <c r="AC824" s="1" t="s">
        <v>96</v>
      </c>
      <c r="AD824" s="1">
        <v>1.8</v>
      </c>
      <c r="AE824" s="1" t="s">
        <v>45</v>
      </c>
      <c r="AF824" s="1" t="s">
        <v>97</v>
      </c>
    </row>
    <row r="825" spans="1:32" ht="18" hidden="1" customHeight="1">
      <c r="A825" s="1" t="s">
        <v>2577</v>
      </c>
      <c r="B825" s="1" t="s">
        <v>2578</v>
      </c>
      <c r="C825" s="4">
        <v>46143</v>
      </c>
      <c r="D825" s="1">
        <v>46164</v>
      </c>
      <c r="E825" s="1">
        <v>46173</v>
      </c>
      <c r="F825" s="1" t="s">
        <v>32</v>
      </c>
      <c r="G825" s="1" t="s">
        <v>33</v>
      </c>
      <c r="H825" s="1" t="s">
        <v>3319</v>
      </c>
      <c r="I825" s="1" t="s">
        <v>70</v>
      </c>
      <c r="J825" s="1" t="s">
        <v>35</v>
      </c>
      <c r="K825" s="1" t="s">
        <v>2579</v>
      </c>
      <c r="L825" s="1" t="s">
        <v>37</v>
      </c>
      <c r="M825" s="1">
        <v>553.61</v>
      </c>
      <c r="N825" s="1" t="s">
        <v>86</v>
      </c>
      <c r="O825" s="1">
        <v>1000</v>
      </c>
      <c r="P825" s="1">
        <v>553610</v>
      </c>
      <c r="Q825" s="1">
        <v>77</v>
      </c>
      <c r="R825" s="7">
        <v>7.6999999999999999E-2</v>
      </c>
      <c r="S825" s="1">
        <v>30</v>
      </c>
      <c r="T825" s="1">
        <v>21</v>
      </c>
      <c r="U825" s="1">
        <v>9</v>
      </c>
      <c r="V825" s="1" t="s">
        <v>205</v>
      </c>
      <c r="W825" s="1" t="s">
        <v>74</v>
      </c>
      <c r="X825" s="1" t="s">
        <v>105</v>
      </c>
      <c r="Y825" s="1" t="s">
        <v>190</v>
      </c>
      <c r="Z825" s="1" t="s">
        <v>107</v>
      </c>
      <c r="AA825" s="1" t="s">
        <v>129</v>
      </c>
      <c r="AB825" s="1" t="s">
        <v>95</v>
      </c>
      <c r="AC825" s="1" t="s">
        <v>96</v>
      </c>
      <c r="AD825" s="1">
        <v>1.1000000000000001</v>
      </c>
      <c r="AE825" s="1" t="s">
        <v>115</v>
      </c>
      <c r="AF825" s="1" t="s">
        <v>77</v>
      </c>
    </row>
    <row r="826" spans="1:32" ht="18" hidden="1" customHeight="1">
      <c r="A826" s="1" t="s">
        <v>2580</v>
      </c>
      <c r="B826" s="1" t="s">
        <v>2581</v>
      </c>
      <c r="C826" s="4">
        <v>46090</v>
      </c>
      <c r="D826" s="1">
        <v>46105</v>
      </c>
      <c r="E826" s="1" t="s">
        <v>3459</v>
      </c>
      <c r="F826" s="1" t="s">
        <v>90</v>
      </c>
      <c r="G826" s="1" t="s">
        <v>91</v>
      </c>
      <c r="H826" s="1" t="s">
        <v>3336</v>
      </c>
      <c r="I826" s="1" t="s">
        <v>178</v>
      </c>
      <c r="J826" s="1" t="s">
        <v>71</v>
      </c>
      <c r="K826" s="1" t="s">
        <v>2582</v>
      </c>
      <c r="L826" s="1" t="s">
        <v>553</v>
      </c>
      <c r="M826" s="1">
        <v>837.59</v>
      </c>
      <c r="N826" s="1" t="s">
        <v>65</v>
      </c>
      <c r="O826" s="1">
        <v>300</v>
      </c>
      <c r="P826" s="1">
        <v>251277</v>
      </c>
      <c r="Q826" s="1">
        <v>19</v>
      </c>
      <c r="R826" s="7">
        <v>6.3299999999999995E-2</v>
      </c>
      <c r="S826" s="1">
        <v>12</v>
      </c>
      <c r="T826" s="1">
        <v>15</v>
      </c>
      <c r="U826" s="1">
        <v>-3</v>
      </c>
      <c r="V826" s="1" t="s">
        <v>3337</v>
      </c>
      <c r="W826" s="1" t="s">
        <v>74</v>
      </c>
      <c r="X826" s="1" t="s">
        <v>146</v>
      </c>
      <c r="Y826" s="1" t="s">
        <v>66</v>
      </c>
      <c r="Z826" s="1" t="s">
        <v>107</v>
      </c>
      <c r="AA826" s="1" t="s">
        <v>88</v>
      </c>
      <c r="AB826" s="1" t="s">
        <v>191</v>
      </c>
      <c r="AC826" s="1" t="s">
        <v>183</v>
      </c>
      <c r="AD826" s="1">
        <v>2</v>
      </c>
      <c r="AE826" s="1" t="s">
        <v>108</v>
      </c>
      <c r="AF826" s="1" t="s">
        <v>284</v>
      </c>
    </row>
    <row r="827" spans="1:32" ht="18" customHeight="1">
      <c r="A827" s="1" t="s">
        <v>2583</v>
      </c>
      <c r="B827" s="1" t="s">
        <v>2584</v>
      </c>
      <c r="C827" s="4">
        <v>46191</v>
      </c>
      <c r="D827" s="4"/>
      <c r="E827" s="4" t="s">
        <v>3756</v>
      </c>
      <c r="F827" s="1" t="s">
        <v>90</v>
      </c>
      <c r="G827" s="1"/>
      <c r="H827" s="1" t="s">
        <v>3425</v>
      </c>
      <c r="I827" s="1" t="s">
        <v>49</v>
      </c>
      <c r="J827" s="1" t="s">
        <v>153</v>
      </c>
      <c r="K827" s="1" t="s">
        <v>2585</v>
      </c>
      <c r="L827" s="1" t="s">
        <v>318</v>
      </c>
      <c r="M827" s="1">
        <v>22.76</v>
      </c>
      <c r="N827" s="1" t="s">
        <v>53</v>
      </c>
      <c r="O827" s="1" t="s">
        <v>3360</v>
      </c>
      <c r="P827" s="1">
        <v>4552</v>
      </c>
      <c r="Q827" s="1">
        <v>0</v>
      </c>
      <c r="R827" s="7">
        <v>0</v>
      </c>
      <c r="S827" s="1"/>
      <c r="T827" s="1">
        <v>15</v>
      </c>
      <c r="U827" s="1">
        <v>8</v>
      </c>
      <c r="V827" s="1" t="s">
        <v>205</v>
      </c>
      <c r="W827" s="1" t="s">
        <v>40</v>
      </c>
      <c r="X827" s="1" t="s">
        <v>146</v>
      </c>
      <c r="Y827" s="1" t="s">
        <v>190</v>
      </c>
      <c r="Z827" s="1"/>
      <c r="AA827" s="1" t="s">
        <v>55</v>
      </c>
      <c r="AB827" s="1"/>
      <c r="AC827" s="1"/>
      <c r="AD827" s="1">
        <v>1.9</v>
      </c>
      <c r="AE827" s="1" t="s">
        <v>57</v>
      </c>
      <c r="AF827" s="1" t="s">
        <v>148</v>
      </c>
    </row>
    <row r="828" spans="1:32" ht="18" customHeight="1">
      <c r="A828" s="1" t="s">
        <v>2586</v>
      </c>
      <c r="B828" s="1" t="s">
        <v>2587</v>
      </c>
      <c r="C828" s="4">
        <v>46163</v>
      </c>
      <c r="D828" s="4">
        <v>46183</v>
      </c>
      <c r="E828" s="4">
        <v>46185</v>
      </c>
      <c r="F828" s="1" t="s">
        <v>118</v>
      </c>
      <c r="G828" s="1" t="s">
        <v>3393</v>
      </c>
      <c r="H828" s="1" t="s">
        <v>301</v>
      </c>
      <c r="I828" s="1" t="s">
        <v>241</v>
      </c>
      <c r="J828" s="1" t="s">
        <v>62</v>
      </c>
      <c r="K828" s="1" t="s">
        <v>2588</v>
      </c>
      <c r="L828" s="1" t="s">
        <v>225</v>
      </c>
      <c r="M828" s="1">
        <v>576.57000000000005</v>
      </c>
      <c r="N828" s="1" t="s">
        <v>53</v>
      </c>
      <c r="O828" s="1" t="s">
        <v>3757</v>
      </c>
      <c r="P828" s="1">
        <v>0</v>
      </c>
      <c r="Q828" s="1">
        <v>31</v>
      </c>
      <c r="R828" s="7">
        <v>2.07E-2</v>
      </c>
      <c r="S828" s="1">
        <v>22</v>
      </c>
      <c r="T828" s="1">
        <v>20</v>
      </c>
      <c r="U828" s="1">
        <v>2</v>
      </c>
      <c r="V828" s="1" t="s">
        <v>3323</v>
      </c>
      <c r="W828" s="1" t="s">
        <v>40</v>
      </c>
      <c r="X828" s="1" t="s">
        <v>105</v>
      </c>
      <c r="Y828" s="1" t="s">
        <v>3334</v>
      </c>
      <c r="Z828" s="1" t="s">
        <v>3330</v>
      </c>
      <c r="AA828" s="1" t="s">
        <v>206</v>
      </c>
      <c r="AB828" s="1" t="s">
        <v>137</v>
      </c>
      <c r="AC828" s="1"/>
      <c r="AD828" s="1">
        <v>4.2</v>
      </c>
      <c r="AE828" s="1" t="s">
        <v>115</v>
      </c>
      <c r="AF828" s="1" t="s">
        <v>46</v>
      </c>
    </row>
    <row r="829" spans="1:32" ht="18" customHeight="1">
      <c r="A829" s="1" t="s">
        <v>2589</v>
      </c>
      <c r="B829" s="1" t="s">
        <v>2590</v>
      </c>
      <c r="C829" s="4">
        <v>46161</v>
      </c>
      <c r="D829" s="4">
        <v>46181</v>
      </c>
      <c r="E829" s="4" t="s">
        <v>3758</v>
      </c>
      <c r="F829" s="1" t="s">
        <v>118</v>
      </c>
      <c r="G829" s="1" t="s">
        <v>3393</v>
      </c>
      <c r="H829" s="1" t="s">
        <v>301</v>
      </c>
      <c r="I829" s="1" t="s">
        <v>70</v>
      </c>
      <c r="J829" s="1" t="s">
        <v>62</v>
      </c>
      <c r="K829" s="1" t="s">
        <v>2591</v>
      </c>
      <c r="L829" s="1" t="s">
        <v>94</v>
      </c>
      <c r="M829" s="1">
        <v>512.17999999999995</v>
      </c>
      <c r="N829" s="1" t="s">
        <v>65</v>
      </c>
      <c r="O829" s="1">
        <v>200</v>
      </c>
      <c r="P829" s="1">
        <v>102436</v>
      </c>
      <c r="Q829" s="1">
        <v>0</v>
      </c>
      <c r="R829" s="7">
        <v>0</v>
      </c>
      <c r="S829" s="1">
        <v>25</v>
      </c>
      <c r="T829" s="1">
        <v>20</v>
      </c>
      <c r="U829" s="1">
        <v>5</v>
      </c>
      <c r="V829" s="1" t="s">
        <v>205</v>
      </c>
      <c r="W829" s="1" t="s">
        <v>40</v>
      </c>
      <c r="X829" s="1" t="s">
        <v>3324</v>
      </c>
      <c r="Y829" s="1" t="s">
        <v>66</v>
      </c>
      <c r="Z829" s="1" t="s">
        <v>173</v>
      </c>
      <c r="AA829" s="1" t="s">
        <v>129</v>
      </c>
      <c r="AB829" s="1" t="s">
        <v>137</v>
      </c>
      <c r="AC829" s="1"/>
      <c r="AD829" s="1">
        <v>4.3</v>
      </c>
      <c r="AE829" s="1" t="s">
        <v>139</v>
      </c>
      <c r="AF829" s="1" t="s">
        <v>46</v>
      </c>
    </row>
    <row r="830" spans="1:32" ht="18" customHeight="1">
      <c r="A830" s="1" t="s">
        <v>2592</v>
      </c>
      <c r="B830" s="1" t="s">
        <v>2593</v>
      </c>
      <c r="C830" s="4">
        <v>46159</v>
      </c>
      <c r="D830" s="4">
        <v>46177</v>
      </c>
      <c r="E830" s="4">
        <v>46171</v>
      </c>
      <c r="F830" s="1" t="s">
        <v>32</v>
      </c>
      <c r="G830" s="1" t="s">
        <v>3359</v>
      </c>
      <c r="H830" s="1" t="s">
        <v>177</v>
      </c>
      <c r="I830" s="1" t="s">
        <v>241</v>
      </c>
      <c r="J830" s="1" t="s">
        <v>62</v>
      </c>
      <c r="K830" s="1" t="s">
        <v>2594</v>
      </c>
      <c r="L830" s="1" t="s">
        <v>64</v>
      </c>
      <c r="M830" s="1"/>
      <c r="N830" s="1" t="s">
        <v>86</v>
      </c>
      <c r="O830" s="1">
        <v>300</v>
      </c>
      <c r="P830" s="1">
        <v>208389</v>
      </c>
      <c r="Q830" s="1">
        <v>7</v>
      </c>
      <c r="R830" s="7">
        <v>2.3300000000000001E-2</v>
      </c>
      <c r="S830" s="1">
        <v>12</v>
      </c>
      <c r="T830" s="1">
        <v>18</v>
      </c>
      <c r="U830" s="1">
        <v>-6</v>
      </c>
      <c r="V830" s="1" t="s">
        <v>87</v>
      </c>
      <c r="W830" s="1" t="s">
        <v>40</v>
      </c>
      <c r="X830" s="1" t="s">
        <v>3329</v>
      </c>
      <c r="Y830" s="1" t="s">
        <v>3334</v>
      </c>
      <c r="Z830" s="1"/>
      <c r="AA830" s="1" t="s">
        <v>3341</v>
      </c>
      <c r="AB830" s="1"/>
      <c r="AC830" s="1"/>
      <c r="AD830" s="1">
        <v>3.5</v>
      </c>
      <c r="AE830" s="1" t="s">
        <v>57</v>
      </c>
      <c r="AF830" s="1"/>
    </row>
    <row r="831" spans="1:32" ht="18" customHeight="1">
      <c r="A831" s="1" t="s">
        <v>2595</v>
      </c>
      <c r="B831" s="1" t="s">
        <v>2596</v>
      </c>
      <c r="C831" s="4">
        <v>46038</v>
      </c>
      <c r="D831" s="4">
        <v>46048</v>
      </c>
      <c r="E831" s="4">
        <v>46066</v>
      </c>
      <c r="F831" s="1" t="s">
        <v>256</v>
      </c>
      <c r="G831" s="1" t="s">
        <v>257</v>
      </c>
      <c r="H831" s="1" t="s">
        <v>258</v>
      </c>
      <c r="I831" s="1" t="s">
        <v>120</v>
      </c>
      <c r="J831" s="1" t="s">
        <v>153</v>
      </c>
      <c r="K831" s="1" t="s">
        <v>2597</v>
      </c>
      <c r="L831" s="1" t="s">
        <v>295</v>
      </c>
      <c r="M831" s="1">
        <v>233.12</v>
      </c>
      <c r="N831" s="1" t="s">
        <v>53</v>
      </c>
      <c r="O831" s="1">
        <v>1500</v>
      </c>
      <c r="P831" s="1">
        <v>349680</v>
      </c>
      <c r="Q831" s="1">
        <v>31</v>
      </c>
      <c r="R831" s="7">
        <v>2.07E-2</v>
      </c>
      <c r="S831" s="1">
        <v>28</v>
      </c>
      <c r="T831" s="1"/>
      <c r="U831" s="1">
        <v>18</v>
      </c>
      <c r="V831" s="1" t="s">
        <v>39</v>
      </c>
      <c r="W831" s="1" t="s">
        <v>40</v>
      </c>
      <c r="X831" s="1" t="s">
        <v>146</v>
      </c>
      <c r="Y831" s="1"/>
      <c r="Z831" s="1" t="s">
        <v>173</v>
      </c>
      <c r="AA831" s="1" t="s">
        <v>55</v>
      </c>
      <c r="AB831" s="1" t="s">
        <v>147</v>
      </c>
      <c r="AC831" s="1"/>
      <c r="AD831" s="1">
        <v>2.4</v>
      </c>
      <c r="AE831" s="1" t="s">
        <v>115</v>
      </c>
      <c r="AF831" s="1" t="s">
        <v>148</v>
      </c>
    </row>
    <row r="832" spans="1:32" ht="18" customHeight="1">
      <c r="A832" s="1" t="s">
        <v>2598</v>
      </c>
      <c r="B832" s="1" t="s">
        <v>2599</v>
      </c>
      <c r="C832" s="4">
        <v>46075</v>
      </c>
      <c r="D832" s="4" t="s">
        <v>3400</v>
      </c>
      <c r="E832" s="4" t="s">
        <v>3759</v>
      </c>
      <c r="F832" s="1" t="s">
        <v>162</v>
      </c>
      <c r="G832" s="1" t="s">
        <v>3382</v>
      </c>
      <c r="H832" s="1" t="s">
        <v>3354</v>
      </c>
      <c r="I832" s="1" t="s">
        <v>34</v>
      </c>
      <c r="J832" s="1" t="s">
        <v>35</v>
      </c>
      <c r="K832" s="1" t="s">
        <v>2600</v>
      </c>
      <c r="L832" s="1" t="s">
        <v>85</v>
      </c>
      <c r="M832" s="1">
        <v>879.92</v>
      </c>
      <c r="N832" s="1" t="s">
        <v>86</v>
      </c>
      <c r="O832" s="1">
        <v>250</v>
      </c>
      <c r="P832" s="1">
        <v>219980</v>
      </c>
      <c r="Q832" s="1">
        <v>4</v>
      </c>
      <c r="R832" s="7">
        <v>1.6E-2</v>
      </c>
      <c r="S832" s="1">
        <v>15</v>
      </c>
      <c r="T832" s="1">
        <v>5</v>
      </c>
      <c r="U832" s="1">
        <v>10</v>
      </c>
      <c r="V832" s="1" t="s">
        <v>39</v>
      </c>
      <c r="W832" s="1" t="s">
        <v>40</v>
      </c>
      <c r="X832" s="1" t="s">
        <v>3329</v>
      </c>
      <c r="Y832" s="1"/>
      <c r="Z832" s="1" t="s">
        <v>3333</v>
      </c>
      <c r="AA832" s="1" t="s">
        <v>174</v>
      </c>
      <c r="AB832" s="1" t="s">
        <v>95</v>
      </c>
      <c r="AC832" s="1"/>
      <c r="AD832" s="1">
        <v>2.4</v>
      </c>
      <c r="AE832" s="1" t="s">
        <v>57</v>
      </c>
      <c r="AF832" s="1" t="s">
        <v>46</v>
      </c>
    </row>
    <row r="833" spans="1:32" ht="18" customHeight="1">
      <c r="A833" s="1" t="s">
        <v>2601</v>
      </c>
      <c r="B833" s="1" t="s">
        <v>2602</v>
      </c>
      <c r="C833" s="4">
        <v>46116</v>
      </c>
      <c r="D833" s="4">
        <v>46132</v>
      </c>
      <c r="E833" s="4"/>
      <c r="F833" s="1" t="s">
        <v>142</v>
      </c>
      <c r="G833" s="1" t="s">
        <v>3561</v>
      </c>
      <c r="H833" s="1" t="s">
        <v>3392</v>
      </c>
      <c r="I833" s="1" t="s">
        <v>92</v>
      </c>
      <c r="J833" s="1" t="s">
        <v>50</v>
      </c>
      <c r="K833" s="1" t="s">
        <v>2603</v>
      </c>
      <c r="L833" s="1" t="s">
        <v>126</v>
      </c>
      <c r="M833" s="1">
        <v>1580.75</v>
      </c>
      <c r="N833" s="1" t="s">
        <v>86</v>
      </c>
      <c r="O833" s="1">
        <v>1500</v>
      </c>
      <c r="P833" s="1">
        <v>2371125</v>
      </c>
      <c r="Q833" s="1">
        <v>4</v>
      </c>
      <c r="R833" s="7">
        <v>2.7000000000000001E-3</v>
      </c>
      <c r="S833" s="1">
        <v>12</v>
      </c>
      <c r="T833" s="1">
        <v>16</v>
      </c>
      <c r="U833" s="1">
        <v>-4</v>
      </c>
      <c r="V833" s="1" t="s">
        <v>270</v>
      </c>
      <c r="W833" s="1" t="s">
        <v>40</v>
      </c>
      <c r="X833" s="1" t="s">
        <v>146</v>
      </c>
      <c r="Y833" s="1"/>
      <c r="Z833" s="1"/>
      <c r="AA833" s="1" t="s">
        <v>3341</v>
      </c>
      <c r="AB833" s="1" t="s">
        <v>56</v>
      </c>
      <c r="AC833" s="1"/>
      <c r="AD833" s="1">
        <v>4.5</v>
      </c>
      <c r="AE833" s="1" t="s">
        <v>76</v>
      </c>
      <c r="AF833" s="1" t="s">
        <v>130</v>
      </c>
    </row>
    <row r="834" spans="1:32" ht="18" customHeight="1">
      <c r="A834" s="1" t="s">
        <v>2604</v>
      </c>
      <c r="B834" s="1" t="s">
        <v>2605</v>
      </c>
      <c r="C834" s="4">
        <v>46184</v>
      </c>
      <c r="D834" s="4">
        <v>46194</v>
      </c>
      <c r="E834" s="4">
        <v>46190</v>
      </c>
      <c r="F834" s="1" t="s">
        <v>60</v>
      </c>
      <c r="G834" s="1" t="s">
        <v>466</v>
      </c>
      <c r="H834" s="1" t="s">
        <v>3408</v>
      </c>
      <c r="I834" s="1" t="s">
        <v>70</v>
      </c>
      <c r="J834" s="1" t="s">
        <v>62</v>
      </c>
      <c r="K834" s="1" t="s">
        <v>2606</v>
      </c>
      <c r="L834" s="1" t="s">
        <v>64</v>
      </c>
      <c r="M834" s="1">
        <v>638.88</v>
      </c>
      <c r="N834" s="1" t="s">
        <v>53</v>
      </c>
      <c r="O834" s="1">
        <v>150</v>
      </c>
      <c r="P834" s="1"/>
      <c r="Q834" s="1">
        <v>0</v>
      </c>
      <c r="R834" s="7">
        <v>0</v>
      </c>
      <c r="S834" s="1">
        <v>6</v>
      </c>
      <c r="T834" s="1"/>
      <c r="U834" s="1">
        <v>-4</v>
      </c>
      <c r="V834" s="1" t="s">
        <v>87</v>
      </c>
      <c r="W834" s="1" t="s">
        <v>40</v>
      </c>
      <c r="X834" s="1" t="s">
        <v>105</v>
      </c>
      <c r="Y834" s="1"/>
      <c r="Z834" s="1"/>
      <c r="AA834" s="1" t="s">
        <v>174</v>
      </c>
      <c r="AB834" s="1" t="s">
        <v>147</v>
      </c>
      <c r="AC834" s="1"/>
      <c r="AD834" s="1">
        <v>2.7</v>
      </c>
      <c r="AE834" s="1" t="s">
        <v>139</v>
      </c>
      <c r="AF834" s="1"/>
    </row>
    <row r="835" spans="1:32" ht="18" customHeight="1">
      <c r="A835" s="1" t="s">
        <v>2607</v>
      </c>
      <c r="B835" s="1" t="s">
        <v>2608</v>
      </c>
      <c r="C835" s="4">
        <v>46047</v>
      </c>
      <c r="D835" s="4">
        <v>46062</v>
      </c>
      <c r="E835" s="4">
        <v>46077</v>
      </c>
      <c r="F835" s="1" t="s">
        <v>235</v>
      </c>
      <c r="G835" s="1" t="s">
        <v>3426</v>
      </c>
      <c r="H835" s="1" t="s">
        <v>3374</v>
      </c>
      <c r="I835" s="1" t="s">
        <v>120</v>
      </c>
      <c r="J835" s="1" t="s">
        <v>71</v>
      </c>
      <c r="K835" s="1" t="s">
        <v>2609</v>
      </c>
      <c r="L835" s="1" t="s">
        <v>73</v>
      </c>
      <c r="M835" s="1">
        <v>240.42</v>
      </c>
      <c r="N835" s="1" t="s">
        <v>159</v>
      </c>
      <c r="O835" s="1">
        <v>250</v>
      </c>
      <c r="P835" s="1">
        <v>60105</v>
      </c>
      <c r="Q835" s="1">
        <v>7</v>
      </c>
      <c r="R835" s="7">
        <v>2.8000000000000001E-2</v>
      </c>
      <c r="S835" s="1">
        <v>30</v>
      </c>
      <c r="T835" s="1" t="s">
        <v>3400</v>
      </c>
      <c r="U835" s="1">
        <v>15</v>
      </c>
      <c r="V835" s="1" t="s">
        <v>205</v>
      </c>
      <c r="W835" s="1" t="s">
        <v>40</v>
      </c>
      <c r="X835" s="1" t="s">
        <v>41</v>
      </c>
      <c r="Y835" s="1" t="s">
        <v>212</v>
      </c>
      <c r="Z835" s="1" t="s">
        <v>128</v>
      </c>
      <c r="AA835" s="1"/>
      <c r="AB835" s="1" t="s">
        <v>147</v>
      </c>
      <c r="AC835" s="1"/>
      <c r="AD835" s="1">
        <v>2</v>
      </c>
      <c r="AE835" s="1" t="s">
        <v>57</v>
      </c>
      <c r="AF835" s="1" t="s">
        <v>46</v>
      </c>
    </row>
    <row r="836" spans="1:32" ht="18" customHeight="1">
      <c r="A836" s="1" t="s">
        <v>2610</v>
      </c>
      <c r="B836" s="1" t="s">
        <v>2611</v>
      </c>
      <c r="C836" s="4" t="s">
        <v>3721</v>
      </c>
      <c r="D836" s="4">
        <v>46207</v>
      </c>
      <c r="E836" s="4">
        <v>46213</v>
      </c>
      <c r="F836" s="1" t="s">
        <v>48</v>
      </c>
      <c r="G836" s="1" t="s">
        <v>232</v>
      </c>
      <c r="H836" s="1" t="s">
        <v>3361</v>
      </c>
      <c r="I836" s="1" t="s">
        <v>83</v>
      </c>
      <c r="J836" s="1" t="s">
        <v>50</v>
      </c>
      <c r="K836" s="1" t="s">
        <v>2612</v>
      </c>
      <c r="L836" s="1" t="s">
        <v>189</v>
      </c>
      <c r="M836" s="1">
        <v>798.68</v>
      </c>
      <c r="N836" s="1" t="s">
        <v>65</v>
      </c>
      <c r="O836" s="1">
        <v>1000</v>
      </c>
      <c r="P836" s="1">
        <v>798680</v>
      </c>
      <c r="Q836" s="1">
        <v>26</v>
      </c>
      <c r="R836" s="7">
        <v>2.5999999999999999E-2</v>
      </c>
      <c r="S836" s="1">
        <v>18</v>
      </c>
      <c r="T836" s="1">
        <v>12</v>
      </c>
      <c r="U836" s="1">
        <v>6</v>
      </c>
      <c r="V836" s="1" t="s">
        <v>205</v>
      </c>
      <c r="W836" s="1" t="s">
        <v>40</v>
      </c>
      <c r="X836" s="1" t="s">
        <v>127</v>
      </c>
      <c r="Y836" s="1"/>
      <c r="Z836" s="1" t="s">
        <v>54</v>
      </c>
      <c r="AA836" s="1" t="s">
        <v>55</v>
      </c>
      <c r="AB836" s="1" t="s">
        <v>137</v>
      </c>
      <c r="AC836" s="1"/>
      <c r="AD836" s="1">
        <v>2.1</v>
      </c>
      <c r="AE836" s="1" t="s">
        <v>76</v>
      </c>
      <c r="AF836" s="1" t="s">
        <v>148</v>
      </c>
    </row>
    <row r="837" spans="1:32" ht="18" customHeight="1">
      <c r="A837" s="1" t="s">
        <v>2613</v>
      </c>
      <c r="B837" s="1" t="s">
        <v>2614</v>
      </c>
      <c r="C837" s="4">
        <v>46158</v>
      </c>
      <c r="D837" s="4">
        <v>46167</v>
      </c>
      <c r="E837" s="4">
        <v>46173</v>
      </c>
      <c r="F837" s="1" t="s">
        <v>69</v>
      </c>
      <c r="G837" s="1" t="s">
        <v>3331</v>
      </c>
      <c r="H837" s="1" t="s">
        <v>3338</v>
      </c>
      <c r="I837" s="1" t="s">
        <v>241</v>
      </c>
      <c r="J837" s="1" t="s">
        <v>112</v>
      </c>
      <c r="K837" s="1" t="s">
        <v>2615</v>
      </c>
      <c r="L837" s="1" t="s">
        <v>229</v>
      </c>
      <c r="M837" s="1">
        <v>74.28</v>
      </c>
      <c r="N837" s="1" t="s">
        <v>159</v>
      </c>
      <c r="O837" s="1">
        <v>1000</v>
      </c>
      <c r="P837" s="1">
        <v>74280</v>
      </c>
      <c r="Q837" s="1">
        <v>37</v>
      </c>
      <c r="R837" s="7">
        <v>3.6999999999999998E-2</v>
      </c>
      <c r="S837" s="1" t="s">
        <v>3376</v>
      </c>
      <c r="T837" s="1">
        <v>9</v>
      </c>
      <c r="U837" s="1">
        <v>6</v>
      </c>
      <c r="V837" s="1" t="s">
        <v>3328</v>
      </c>
      <c r="W837" s="1" t="s">
        <v>40</v>
      </c>
      <c r="X837" s="1" t="s">
        <v>105</v>
      </c>
      <c r="Y837" s="1" t="s">
        <v>66</v>
      </c>
      <c r="Z837" s="1" t="s">
        <v>128</v>
      </c>
      <c r="AA837" s="1" t="s">
        <v>129</v>
      </c>
      <c r="AB837" s="1" t="s">
        <v>147</v>
      </c>
      <c r="AC837" s="1"/>
      <c r="AD837" s="1">
        <v>1.8</v>
      </c>
      <c r="AE837" s="1" t="s">
        <v>76</v>
      </c>
      <c r="AF837" s="1" t="s">
        <v>46</v>
      </c>
    </row>
    <row r="838" spans="1:32" ht="18" customHeight="1">
      <c r="A838" s="1" t="s">
        <v>2616</v>
      </c>
      <c r="B838" s="1" t="s">
        <v>2617</v>
      </c>
      <c r="C838" s="4" t="s">
        <v>3760</v>
      </c>
      <c r="D838" s="4">
        <v>46123</v>
      </c>
      <c r="E838" s="4" t="s">
        <v>3370</v>
      </c>
      <c r="F838" s="1" t="s">
        <v>235</v>
      </c>
      <c r="G838" s="1" t="s">
        <v>3474</v>
      </c>
      <c r="H838" s="1" t="s">
        <v>479</v>
      </c>
      <c r="I838" s="1" t="s">
        <v>34</v>
      </c>
      <c r="J838" s="1" t="s">
        <v>71</v>
      </c>
      <c r="K838" s="1" t="s">
        <v>2618</v>
      </c>
      <c r="L838" s="1" t="s">
        <v>73</v>
      </c>
      <c r="M838" s="1">
        <v>765.16</v>
      </c>
      <c r="N838" s="1" t="s">
        <v>86</v>
      </c>
      <c r="O838" s="1">
        <v>1000</v>
      </c>
      <c r="P838" s="1">
        <v>765160</v>
      </c>
      <c r="Q838" s="1">
        <v>20</v>
      </c>
      <c r="R838" s="7">
        <v>0.02</v>
      </c>
      <c r="S838" s="1">
        <v>13</v>
      </c>
      <c r="T838" s="1">
        <v>19</v>
      </c>
      <c r="U838" s="1">
        <v>-6</v>
      </c>
      <c r="V838" s="1" t="s">
        <v>3337</v>
      </c>
      <c r="W838" s="1" t="s">
        <v>40</v>
      </c>
      <c r="X838" s="1" t="s">
        <v>146</v>
      </c>
      <c r="Y838" s="1" t="s">
        <v>190</v>
      </c>
      <c r="Z838" s="1" t="s">
        <v>3330</v>
      </c>
      <c r="AA838" s="1" t="s">
        <v>3341</v>
      </c>
      <c r="AB838" s="1" t="s">
        <v>44</v>
      </c>
      <c r="AC838" s="1"/>
      <c r="AD838" s="1">
        <v>4.4000000000000004</v>
      </c>
      <c r="AE838" s="1" t="s">
        <v>57</v>
      </c>
      <c r="AF838" s="1" t="s">
        <v>130</v>
      </c>
    </row>
    <row r="839" spans="1:32" ht="18" hidden="1" customHeight="1">
      <c r="A839" s="1" t="s">
        <v>2619</v>
      </c>
      <c r="B839" s="1" t="s">
        <v>2620</v>
      </c>
      <c r="C839" s="4">
        <v>46199</v>
      </c>
      <c r="D839" s="1">
        <v>46211</v>
      </c>
      <c r="E839" s="1">
        <v>46224</v>
      </c>
      <c r="F839" s="1" t="s">
        <v>48</v>
      </c>
      <c r="G839" s="1" t="s">
        <v>232</v>
      </c>
      <c r="H839" s="1"/>
      <c r="I839" s="1" t="s">
        <v>61</v>
      </c>
      <c r="J839" s="1" t="s">
        <v>50</v>
      </c>
      <c r="K839" s="1" t="s">
        <v>2621</v>
      </c>
      <c r="L839" s="1" t="s">
        <v>52</v>
      </c>
      <c r="M839" s="1">
        <v>3281.62</v>
      </c>
      <c r="N839" s="1" t="s">
        <v>53</v>
      </c>
      <c r="O839" s="1">
        <v>250</v>
      </c>
      <c r="P839" s="1">
        <v>820405</v>
      </c>
      <c r="Q839" s="1">
        <v>13</v>
      </c>
      <c r="R839" s="7">
        <v>5.1999999999999998E-2</v>
      </c>
      <c r="S839" s="1">
        <v>25</v>
      </c>
      <c r="T839" s="1">
        <v>12</v>
      </c>
      <c r="U839" s="1">
        <v>13</v>
      </c>
      <c r="V839" s="1" t="s">
        <v>39</v>
      </c>
      <c r="W839" s="1" t="s">
        <v>420</v>
      </c>
      <c r="X839" s="1" t="s">
        <v>105</v>
      </c>
      <c r="Y839" s="1" t="s">
        <v>3334</v>
      </c>
      <c r="Z839" s="1" t="s">
        <v>54</v>
      </c>
      <c r="AA839" s="1" t="s">
        <v>129</v>
      </c>
      <c r="AB839" s="1"/>
      <c r="AC839" s="1" t="s">
        <v>183</v>
      </c>
      <c r="AD839" s="1">
        <v>1.7</v>
      </c>
      <c r="AE839" s="1" t="s">
        <v>139</v>
      </c>
      <c r="AF839" s="1" t="s">
        <v>77</v>
      </c>
    </row>
    <row r="840" spans="1:32" ht="18" customHeight="1">
      <c r="A840" s="1" t="s">
        <v>2622</v>
      </c>
      <c r="B840" s="1" t="s">
        <v>2623</v>
      </c>
      <c r="C840" s="4">
        <v>46129</v>
      </c>
      <c r="D840" s="4"/>
      <c r="E840" s="4">
        <v>46145</v>
      </c>
      <c r="F840" s="1" t="s">
        <v>235</v>
      </c>
      <c r="G840" s="1" t="s">
        <v>236</v>
      </c>
      <c r="H840" s="1" t="s">
        <v>3374</v>
      </c>
      <c r="I840" s="1" t="s">
        <v>70</v>
      </c>
      <c r="J840" s="1" t="s">
        <v>153</v>
      </c>
      <c r="K840" s="1" t="s">
        <v>2624</v>
      </c>
      <c r="L840" s="1" t="s">
        <v>204</v>
      </c>
      <c r="M840" s="1">
        <v>236.19</v>
      </c>
      <c r="N840" s="1" t="s">
        <v>86</v>
      </c>
      <c r="O840" s="1">
        <v>1000</v>
      </c>
      <c r="P840" s="1">
        <v>236190</v>
      </c>
      <c r="Q840" s="1">
        <v>0</v>
      </c>
      <c r="R840" s="7">
        <v>0</v>
      </c>
      <c r="S840" s="1">
        <v>16</v>
      </c>
      <c r="T840" s="1">
        <v>18</v>
      </c>
      <c r="U840" s="1">
        <v>-2</v>
      </c>
      <c r="V840" s="1" t="s">
        <v>3337</v>
      </c>
      <c r="W840" s="1" t="s">
        <v>40</v>
      </c>
      <c r="X840" s="1" t="s">
        <v>146</v>
      </c>
      <c r="Y840" s="1" t="s">
        <v>42</v>
      </c>
      <c r="Z840" s="1" t="s">
        <v>173</v>
      </c>
      <c r="AA840" s="1"/>
      <c r="AB840" s="1" t="s">
        <v>191</v>
      </c>
      <c r="AC840" s="1"/>
      <c r="AD840" s="1">
        <v>4.9000000000000004</v>
      </c>
      <c r="AE840" s="1" t="s">
        <v>115</v>
      </c>
      <c r="AF840" s="1" t="s">
        <v>130</v>
      </c>
    </row>
    <row r="841" spans="1:32" ht="18" customHeight="1">
      <c r="A841" s="1" t="s">
        <v>2625</v>
      </c>
      <c r="B841" s="1" t="s">
        <v>2626</v>
      </c>
      <c r="C841" s="4">
        <v>46054</v>
      </c>
      <c r="D841" s="4">
        <v>46064</v>
      </c>
      <c r="E841" s="4">
        <v>46065</v>
      </c>
      <c r="F841" s="1" t="s">
        <v>162</v>
      </c>
      <c r="G841" s="1" t="s">
        <v>3383</v>
      </c>
      <c r="H841" s="1" t="s">
        <v>3354</v>
      </c>
      <c r="I841" s="1" t="s">
        <v>70</v>
      </c>
      <c r="J841" s="1" t="s">
        <v>71</v>
      </c>
      <c r="K841" s="1" t="s">
        <v>2627</v>
      </c>
      <c r="L841" s="1" t="s">
        <v>238</v>
      </c>
      <c r="M841" s="1">
        <v>424.22</v>
      </c>
      <c r="N841" s="1" t="s">
        <v>38</v>
      </c>
      <c r="O841" s="1" t="s">
        <v>3757</v>
      </c>
      <c r="P841" s="1">
        <v>636330</v>
      </c>
      <c r="Q841" s="1"/>
      <c r="R841" s="7">
        <v>2.6700000000000002E-2</v>
      </c>
      <c r="S841" s="1">
        <v>11</v>
      </c>
      <c r="T841" s="1">
        <v>10</v>
      </c>
      <c r="U841" s="1">
        <v>1</v>
      </c>
      <c r="V841" s="1" t="s">
        <v>166</v>
      </c>
      <c r="W841" s="1" t="s">
        <v>40</v>
      </c>
      <c r="X841" s="1" t="s">
        <v>105</v>
      </c>
      <c r="Y841" s="1" t="s">
        <v>106</v>
      </c>
      <c r="Z841" s="1" t="s">
        <v>173</v>
      </c>
      <c r="AA841" s="1" t="s">
        <v>174</v>
      </c>
      <c r="AB841" s="1" t="s">
        <v>147</v>
      </c>
      <c r="AC841" s="1"/>
      <c r="AD841" s="1">
        <v>3.2</v>
      </c>
      <c r="AE841" s="1" t="s">
        <v>115</v>
      </c>
      <c r="AF841" s="1" t="s">
        <v>46</v>
      </c>
    </row>
    <row r="842" spans="1:32" ht="18" customHeight="1">
      <c r="A842" s="1" t="s">
        <v>2628</v>
      </c>
      <c r="B842" s="1" t="s">
        <v>2629</v>
      </c>
      <c r="C842" s="4">
        <v>46165</v>
      </c>
      <c r="D842" s="4">
        <v>46171</v>
      </c>
      <c r="E842" s="4">
        <v>46172</v>
      </c>
      <c r="F842" s="1" t="s">
        <v>151</v>
      </c>
      <c r="G842" s="1" t="s">
        <v>244</v>
      </c>
      <c r="H842" s="1" t="s">
        <v>3327</v>
      </c>
      <c r="I842" s="1" t="s">
        <v>49</v>
      </c>
      <c r="J842" s="1" t="s">
        <v>112</v>
      </c>
      <c r="K842" s="1" t="s">
        <v>2630</v>
      </c>
      <c r="L842" s="1" t="s">
        <v>114</v>
      </c>
      <c r="M842" s="1">
        <v>-19.34</v>
      </c>
      <c r="N842" s="1" t="s">
        <v>159</v>
      </c>
      <c r="O842" s="1">
        <v>2000</v>
      </c>
      <c r="P842" s="1"/>
      <c r="Q842" s="1">
        <v>3</v>
      </c>
      <c r="R842" s="7">
        <v>1.5E-3</v>
      </c>
      <c r="S842" s="1">
        <v>7</v>
      </c>
      <c r="T842" s="1">
        <v>6</v>
      </c>
      <c r="U842" s="1">
        <v>1</v>
      </c>
      <c r="V842" s="1" t="s">
        <v>135</v>
      </c>
      <c r="W842" s="1" t="s">
        <v>40</v>
      </c>
      <c r="X842" s="1" t="s">
        <v>105</v>
      </c>
      <c r="Y842" s="1"/>
      <c r="Z842" s="1" t="s">
        <v>128</v>
      </c>
      <c r="AA842" s="1"/>
      <c r="AB842" s="1"/>
      <c r="AC842" s="1"/>
      <c r="AD842" s="1">
        <v>3.3</v>
      </c>
      <c r="AE842" s="1" t="s">
        <v>139</v>
      </c>
      <c r="AF842" s="1" t="s">
        <v>46</v>
      </c>
    </row>
    <row r="843" spans="1:32" ht="18" hidden="1" customHeight="1">
      <c r="A843" s="1" t="s">
        <v>2631</v>
      </c>
      <c r="B843" s="1" t="s">
        <v>2632</v>
      </c>
      <c r="C843" s="4">
        <v>46184</v>
      </c>
      <c r="D843" s="1">
        <v>46203</v>
      </c>
      <c r="E843" s="1">
        <v>46213</v>
      </c>
      <c r="F843" s="1"/>
      <c r="G843" s="1" t="s">
        <v>33</v>
      </c>
      <c r="H843" s="1" t="s">
        <v>177</v>
      </c>
      <c r="I843" s="1" t="s">
        <v>241</v>
      </c>
      <c r="J843" s="1" t="s">
        <v>35</v>
      </c>
      <c r="K843" s="1" t="s">
        <v>2633</v>
      </c>
      <c r="L843" s="1" t="s">
        <v>200</v>
      </c>
      <c r="M843" s="1">
        <v>1198.44</v>
      </c>
      <c r="N843" s="1" t="s">
        <v>159</v>
      </c>
      <c r="O843" s="1">
        <v>100</v>
      </c>
      <c r="P843" s="1" t="s">
        <v>3761</v>
      </c>
      <c r="Q843" s="1">
        <v>5</v>
      </c>
      <c r="R843" s="7">
        <v>0.05</v>
      </c>
      <c r="S843" s="1">
        <v>29</v>
      </c>
      <c r="T843" s="1">
        <v>19</v>
      </c>
      <c r="U843" s="1">
        <v>10</v>
      </c>
      <c r="V843" s="1" t="s">
        <v>3328</v>
      </c>
      <c r="W843" s="1" t="s">
        <v>420</v>
      </c>
      <c r="X843" s="1" t="s">
        <v>127</v>
      </c>
      <c r="Y843" s="1" t="s">
        <v>190</v>
      </c>
      <c r="Z843" s="1" t="s">
        <v>173</v>
      </c>
      <c r="AA843" s="1" t="s">
        <v>129</v>
      </c>
      <c r="AB843" s="1" t="s">
        <v>191</v>
      </c>
      <c r="AC843" s="1" t="s">
        <v>75</v>
      </c>
      <c r="AD843" s="1">
        <v>2.2999999999999998</v>
      </c>
      <c r="AE843" s="1" t="s">
        <v>57</v>
      </c>
      <c r="AF843" s="1" t="s">
        <v>1416</v>
      </c>
    </row>
    <row r="844" spans="1:32" ht="18" customHeight="1">
      <c r="A844" s="1" t="s">
        <v>2634</v>
      </c>
      <c r="B844" s="1" t="s">
        <v>2635</v>
      </c>
      <c r="C844" s="4" t="s">
        <v>3363</v>
      </c>
      <c r="D844" s="4">
        <v>46104</v>
      </c>
      <c r="E844" s="4" t="s">
        <v>3762</v>
      </c>
      <c r="F844" s="1" t="s">
        <v>209</v>
      </c>
      <c r="G844" s="1" t="s">
        <v>210</v>
      </c>
      <c r="H844" s="1" t="s">
        <v>3390</v>
      </c>
      <c r="I844" s="1" t="s">
        <v>120</v>
      </c>
      <c r="J844" s="1" t="s">
        <v>153</v>
      </c>
      <c r="K844" s="1" t="s">
        <v>2636</v>
      </c>
      <c r="L844" s="1" t="s">
        <v>155</v>
      </c>
      <c r="M844" s="1">
        <v>60.48</v>
      </c>
      <c r="N844" s="1" t="s">
        <v>159</v>
      </c>
      <c r="O844" s="1">
        <v>1000</v>
      </c>
      <c r="P844" s="1">
        <v>60480</v>
      </c>
      <c r="Q844" s="1">
        <v>30</v>
      </c>
      <c r="R844" s="7">
        <v>0.03</v>
      </c>
      <c r="S844" s="1">
        <v>15</v>
      </c>
      <c r="T844" s="1">
        <v>10</v>
      </c>
      <c r="U844" s="1">
        <v>5</v>
      </c>
      <c r="V844" s="1" t="s">
        <v>39</v>
      </c>
      <c r="W844" s="1" t="s">
        <v>40</v>
      </c>
      <c r="X844" s="1" t="s">
        <v>3324</v>
      </c>
      <c r="Y844" s="1" t="s">
        <v>212</v>
      </c>
      <c r="Z844" s="1" t="s">
        <v>3330</v>
      </c>
      <c r="AA844" s="1" t="s">
        <v>88</v>
      </c>
      <c r="AB844" s="1"/>
      <c r="AC844" s="1"/>
      <c r="AD844" s="1">
        <v>2.6</v>
      </c>
      <c r="AE844" s="1" t="s">
        <v>57</v>
      </c>
      <c r="AF844" s="1" t="s">
        <v>46</v>
      </c>
    </row>
    <row r="845" spans="1:32" ht="18" customHeight="1">
      <c r="A845" s="1" t="s">
        <v>2637</v>
      </c>
      <c r="B845" s="1" t="s">
        <v>2638</v>
      </c>
      <c r="C845" s="4">
        <v>46177</v>
      </c>
      <c r="D845" s="4"/>
      <c r="E845" s="4">
        <v>46192</v>
      </c>
      <c r="F845" s="1" t="s">
        <v>90</v>
      </c>
      <c r="G845" s="1" t="s">
        <v>91</v>
      </c>
      <c r="H845" s="1" t="s">
        <v>133</v>
      </c>
      <c r="I845" s="1" t="s">
        <v>178</v>
      </c>
      <c r="J845" s="1" t="s">
        <v>71</v>
      </c>
      <c r="K845" s="1" t="s">
        <v>2639</v>
      </c>
      <c r="L845" s="1" t="s">
        <v>238</v>
      </c>
      <c r="M845" s="1">
        <v>349.21</v>
      </c>
      <c r="N845" s="1" t="s">
        <v>159</v>
      </c>
      <c r="O845" s="1">
        <v>750</v>
      </c>
      <c r="P845" s="1">
        <v>261907.5</v>
      </c>
      <c r="Q845" s="1">
        <v>29</v>
      </c>
      <c r="R845" s="7">
        <v>3.8699999999999998E-2</v>
      </c>
      <c r="S845" s="1">
        <v>15</v>
      </c>
      <c r="T845" s="1">
        <v>16</v>
      </c>
      <c r="U845" s="1">
        <v>-1</v>
      </c>
      <c r="V845" s="1" t="s">
        <v>3352</v>
      </c>
      <c r="W845" s="1" t="s">
        <v>40</v>
      </c>
      <c r="X845" s="1" t="s">
        <v>105</v>
      </c>
      <c r="Y845" s="1" t="s">
        <v>66</v>
      </c>
      <c r="Z845" s="1" t="s">
        <v>54</v>
      </c>
      <c r="AA845" s="1" t="s">
        <v>206</v>
      </c>
      <c r="AB845" s="1"/>
      <c r="AC845" s="1"/>
      <c r="AD845" s="1">
        <v>4.7</v>
      </c>
      <c r="AE845" s="1" t="s">
        <v>57</v>
      </c>
      <c r="AF845" s="1"/>
    </row>
    <row r="846" spans="1:32" ht="18" hidden="1" customHeight="1">
      <c r="A846" s="1" t="s">
        <v>2640</v>
      </c>
      <c r="B846" s="1" t="s">
        <v>2641</v>
      </c>
      <c r="C846" s="4" t="s">
        <v>3763</v>
      </c>
      <c r="D846" s="1">
        <v>46212</v>
      </c>
      <c r="E846" s="1" t="s">
        <v>3764</v>
      </c>
      <c r="F846" s="1" t="s">
        <v>100</v>
      </c>
      <c r="G846" s="1" t="s">
        <v>101</v>
      </c>
      <c r="H846" s="1" t="s">
        <v>3322</v>
      </c>
      <c r="I846" s="1" t="s">
        <v>34</v>
      </c>
      <c r="J846" s="1" t="s">
        <v>50</v>
      </c>
      <c r="K846" s="1" t="s">
        <v>510</v>
      </c>
      <c r="L846" s="1" t="s">
        <v>145</v>
      </c>
      <c r="M846" s="1">
        <v>665</v>
      </c>
      <c r="N846" s="1" t="s">
        <v>104</v>
      </c>
      <c r="O846" s="1">
        <v>300</v>
      </c>
      <c r="P846" s="1">
        <v>199500</v>
      </c>
      <c r="Q846" s="1">
        <v>14</v>
      </c>
      <c r="R846" s="7">
        <v>4.6699999999999998E-2</v>
      </c>
      <c r="S846" s="1">
        <v>12</v>
      </c>
      <c r="T846" s="1" t="s">
        <v>3441</v>
      </c>
      <c r="U846" s="1">
        <v>-5</v>
      </c>
      <c r="V846" s="1" t="s">
        <v>270</v>
      </c>
      <c r="W846" s="1" t="s">
        <v>420</v>
      </c>
      <c r="X846" s="1" t="s">
        <v>105</v>
      </c>
      <c r="Y846" s="1" t="s">
        <v>190</v>
      </c>
      <c r="Z846" s="1" t="s">
        <v>3333</v>
      </c>
      <c r="AA846" s="1" t="s">
        <v>206</v>
      </c>
      <c r="AB846" s="1" t="s">
        <v>56</v>
      </c>
      <c r="AC846" s="1" t="s">
        <v>183</v>
      </c>
      <c r="AD846" s="1">
        <v>1.5</v>
      </c>
      <c r="AE846" s="1" t="s">
        <v>184</v>
      </c>
      <c r="AF846" s="1" t="s">
        <v>97</v>
      </c>
    </row>
    <row r="847" spans="1:32" ht="18" customHeight="1">
      <c r="A847" s="1" t="s">
        <v>2642</v>
      </c>
      <c r="B847" s="1" t="s">
        <v>2643</v>
      </c>
      <c r="C847" s="4">
        <v>46176</v>
      </c>
      <c r="D847" s="4">
        <v>46183</v>
      </c>
      <c r="E847" s="4">
        <v>46184</v>
      </c>
      <c r="F847" s="1" t="s">
        <v>162</v>
      </c>
      <c r="G847" s="1" t="s">
        <v>3444</v>
      </c>
      <c r="H847" s="1" t="s">
        <v>3408</v>
      </c>
      <c r="I847" s="1" t="s">
        <v>34</v>
      </c>
      <c r="J847" s="1" t="s">
        <v>163</v>
      </c>
      <c r="K847" s="1" t="s">
        <v>2644</v>
      </c>
      <c r="L847" s="1" t="s">
        <v>171</v>
      </c>
      <c r="M847" s="1">
        <v>524.82000000000005</v>
      </c>
      <c r="N847" s="1" t="s">
        <v>65</v>
      </c>
      <c r="O847" s="1" t="s">
        <v>3673</v>
      </c>
      <c r="P847" s="1">
        <v>393615</v>
      </c>
      <c r="Q847" s="1">
        <v>761</v>
      </c>
      <c r="R847" s="7">
        <v>9.2999999999999992E-3</v>
      </c>
      <c r="S847" s="1">
        <v>8</v>
      </c>
      <c r="T847" s="1">
        <v>7</v>
      </c>
      <c r="U847" s="1">
        <v>1</v>
      </c>
      <c r="V847" s="1" t="s">
        <v>135</v>
      </c>
      <c r="W847" s="1" t="s">
        <v>40</v>
      </c>
      <c r="X847" s="1"/>
      <c r="Y847" s="1" t="s">
        <v>3334</v>
      </c>
      <c r="Z847" s="1" t="s">
        <v>54</v>
      </c>
      <c r="AA847" s="1" t="s">
        <v>129</v>
      </c>
      <c r="AB847" s="1" t="s">
        <v>191</v>
      </c>
      <c r="AC847" s="1"/>
      <c r="AD847" s="1">
        <v>2.5</v>
      </c>
      <c r="AE847" s="1" t="s">
        <v>45</v>
      </c>
      <c r="AF847" s="1" t="s">
        <v>148</v>
      </c>
    </row>
    <row r="848" spans="1:32" ht="18" customHeight="1">
      <c r="A848" s="1" t="s">
        <v>2645</v>
      </c>
      <c r="B848" s="1" t="s">
        <v>2646</v>
      </c>
      <c r="C848" s="4">
        <v>46073</v>
      </c>
      <c r="D848" s="4" t="s">
        <v>3436</v>
      </c>
      <c r="E848" s="4">
        <v>46086</v>
      </c>
      <c r="F848" s="1" t="s">
        <v>48</v>
      </c>
      <c r="G848" s="1" t="s">
        <v>3321</v>
      </c>
      <c r="H848" s="1" t="s">
        <v>3361</v>
      </c>
      <c r="I848" s="1" t="s">
        <v>92</v>
      </c>
      <c r="J848" s="1" t="s">
        <v>50</v>
      </c>
      <c r="K848" s="1" t="s">
        <v>2647</v>
      </c>
      <c r="L848" s="1" t="s">
        <v>126</v>
      </c>
      <c r="M848" s="1">
        <v>1188.55</v>
      </c>
      <c r="N848" s="1" t="s">
        <v>104</v>
      </c>
      <c r="O848" s="1">
        <v>1500</v>
      </c>
      <c r="P848" s="1">
        <v>1782825</v>
      </c>
      <c r="Q848" s="1">
        <v>29</v>
      </c>
      <c r="R848" s="7">
        <v>1.9300000000000001E-2</v>
      </c>
      <c r="S848" s="1">
        <v>13</v>
      </c>
      <c r="T848" s="1">
        <v>13</v>
      </c>
      <c r="U848" s="1">
        <v>0</v>
      </c>
      <c r="V848" s="1" t="s">
        <v>87</v>
      </c>
      <c r="W848" s="1" t="s">
        <v>40</v>
      </c>
      <c r="X848" s="1"/>
      <c r="Y848" s="1"/>
      <c r="Z848" s="1" t="s">
        <v>173</v>
      </c>
      <c r="AA848" s="1" t="s">
        <v>129</v>
      </c>
      <c r="AB848" s="1" t="s">
        <v>95</v>
      </c>
      <c r="AC848" s="1"/>
      <c r="AD848" s="1">
        <v>4</v>
      </c>
      <c r="AE848" s="1" t="s">
        <v>108</v>
      </c>
      <c r="AF848" s="1" t="s">
        <v>130</v>
      </c>
    </row>
    <row r="849" spans="1:32" ht="18" customHeight="1">
      <c r="A849" s="1" t="s">
        <v>2648</v>
      </c>
      <c r="B849" s="1" t="s">
        <v>2649</v>
      </c>
      <c r="C849" s="4" t="s">
        <v>3765</v>
      </c>
      <c r="D849" s="4">
        <v>46087</v>
      </c>
      <c r="E849" s="4">
        <v>46106</v>
      </c>
      <c r="F849" s="1" t="s">
        <v>235</v>
      </c>
      <c r="G849" s="1" t="s">
        <v>236</v>
      </c>
      <c r="H849" s="1" t="s">
        <v>3371</v>
      </c>
      <c r="I849" s="1" t="s">
        <v>92</v>
      </c>
      <c r="J849" s="1" t="s">
        <v>71</v>
      </c>
      <c r="K849" s="1" t="s">
        <v>2650</v>
      </c>
      <c r="L849" s="1" t="s">
        <v>238</v>
      </c>
      <c r="M849" s="1">
        <v>838.36</v>
      </c>
      <c r="N849" s="1" t="s">
        <v>104</v>
      </c>
      <c r="O849" s="1">
        <v>1500</v>
      </c>
      <c r="P849" s="1">
        <v>1257540</v>
      </c>
      <c r="Q849" s="1">
        <v>55</v>
      </c>
      <c r="R849" s="7">
        <v>3.6700000000000003E-2</v>
      </c>
      <c r="S849" s="1">
        <v>-5</v>
      </c>
      <c r="T849" s="1"/>
      <c r="U849" s="1">
        <v>19</v>
      </c>
      <c r="V849" s="1" t="s">
        <v>205</v>
      </c>
      <c r="W849" s="1" t="s">
        <v>40</v>
      </c>
      <c r="X849" s="1" t="s">
        <v>127</v>
      </c>
      <c r="Y849" s="1" t="s">
        <v>42</v>
      </c>
      <c r="Z849" s="1"/>
      <c r="AA849" s="1" t="s">
        <v>206</v>
      </c>
      <c r="AB849" s="1" t="s">
        <v>44</v>
      </c>
      <c r="AC849" s="1"/>
      <c r="AD849" s="1">
        <v>2.7</v>
      </c>
      <c r="AE849" s="1" t="s">
        <v>76</v>
      </c>
      <c r="AF849" s="1" t="s">
        <v>148</v>
      </c>
    </row>
    <row r="850" spans="1:32" ht="18" customHeight="1">
      <c r="A850" s="1" t="s">
        <v>2651</v>
      </c>
      <c r="B850" s="1" t="s">
        <v>2652</v>
      </c>
      <c r="C850" s="4">
        <v>46063</v>
      </c>
      <c r="D850" s="4">
        <v>46065</v>
      </c>
      <c r="E850" s="4">
        <v>46074</v>
      </c>
      <c r="F850" s="1" t="s">
        <v>151</v>
      </c>
      <c r="G850" s="1" t="s">
        <v>244</v>
      </c>
      <c r="H850" s="1" t="s">
        <v>3354</v>
      </c>
      <c r="I850" s="1" t="s">
        <v>120</v>
      </c>
      <c r="J850" s="1" t="s">
        <v>112</v>
      </c>
      <c r="K850" s="1" t="s">
        <v>1953</v>
      </c>
      <c r="L850" s="1" t="s">
        <v>246</v>
      </c>
      <c r="M850" s="1">
        <v>600.89</v>
      </c>
      <c r="N850" s="1" t="s">
        <v>159</v>
      </c>
      <c r="O850" s="1">
        <v>750</v>
      </c>
      <c r="P850" s="1">
        <v>450667.5</v>
      </c>
      <c r="Q850" s="1">
        <v>16</v>
      </c>
      <c r="R850" s="7">
        <v>2.1299999999999999E-2</v>
      </c>
      <c r="S850" s="1">
        <v>11</v>
      </c>
      <c r="T850" s="1">
        <v>2</v>
      </c>
      <c r="U850" s="1">
        <v>9</v>
      </c>
      <c r="V850" s="1" t="s">
        <v>39</v>
      </c>
      <c r="W850" s="1" t="s">
        <v>40</v>
      </c>
      <c r="X850" s="1" t="s">
        <v>127</v>
      </c>
      <c r="Y850" s="1" t="s">
        <v>66</v>
      </c>
      <c r="Z850" s="1" t="s">
        <v>3333</v>
      </c>
      <c r="AA850" s="1" t="s">
        <v>136</v>
      </c>
      <c r="AB850" s="1" t="s">
        <v>44</v>
      </c>
      <c r="AC850" s="1"/>
      <c r="AD850" s="1">
        <v>3.2</v>
      </c>
      <c r="AE850" s="1" t="s">
        <v>45</v>
      </c>
      <c r="AF850" s="1" t="s">
        <v>148</v>
      </c>
    </row>
    <row r="851" spans="1:32" ht="18" customHeight="1">
      <c r="A851" s="1" t="s">
        <v>2653</v>
      </c>
      <c r="B851" s="1" t="s">
        <v>2654</v>
      </c>
      <c r="C851" s="4">
        <v>46041</v>
      </c>
      <c r="D851" s="4">
        <v>46050</v>
      </c>
      <c r="E851" s="4"/>
      <c r="F851" s="1" t="s">
        <v>69</v>
      </c>
      <c r="G851" s="1" t="s">
        <v>111</v>
      </c>
      <c r="H851" s="1" t="s">
        <v>194</v>
      </c>
      <c r="I851" s="1" t="s">
        <v>120</v>
      </c>
      <c r="J851" s="1" t="s">
        <v>112</v>
      </c>
      <c r="K851" s="1" t="s">
        <v>1470</v>
      </c>
      <c r="L851" s="1" t="s">
        <v>246</v>
      </c>
      <c r="M851" s="1">
        <v>228.66</v>
      </c>
      <c r="N851" s="1" t="s">
        <v>3534</v>
      </c>
      <c r="O851" s="1">
        <v>300</v>
      </c>
      <c r="P851" s="1">
        <v>68598</v>
      </c>
      <c r="Q851" s="1">
        <v>1</v>
      </c>
      <c r="R851" s="7">
        <v>3.3E-3</v>
      </c>
      <c r="S851" s="1">
        <v>9</v>
      </c>
      <c r="T851" s="1">
        <v>9</v>
      </c>
      <c r="U851" s="1">
        <v>0</v>
      </c>
      <c r="V851" s="1" t="s">
        <v>3337</v>
      </c>
      <c r="W851" s="1" t="s">
        <v>40</v>
      </c>
      <c r="X851" s="1"/>
      <c r="Y851" s="1" t="s">
        <v>212</v>
      </c>
      <c r="Z851" s="1" t="s">
        <v>173</v>
      </c>
      <c r="AA851" s="1" t="s">
        <v>88</v>
      </c>
      <c r="AB851" s="1" t="s">
        <v>137</v>
      </c>
      <c r="AC851" s="1"/>
      <c r="AD851" s="1">
        <v>3.6</v>
      </c>
      <c r="AE851" s="1" t="s">
        <v>45</v>
      </c>
      <c r="AF851" s="1" t="s">
        <v>130</v>
      </c>
    </row>
    <row r="852" spans="1:32" ht="18" customHeight="1">
      <c r="A852" s="1" t="s">
        <v>2655</v>
      </c>
      <c r="B852" s="1" t="s">
        <v>2656</v>
      </c>
      <c r="C852" s="4">
        <v>46094</v>
      </c>
      <c r="D852" s="4">
        <v>46109</v>
      </c>
      <c r="E852" s="4"/>
      <c r="F852" s="1" t="s">
        <v>100</v>
      </c>
      <c r="G852" s="1" t="s">
        <v>3343</v>
      </c>
      <c r="H852" s="1" t="s">
        <v>102</v>
      </c>
      <c r="I852" s="1" t="s">
        <v>70</v>
      </c>
      <c r="J852" s="1" t="s">
        <v>50</v>
      </c>
      <c r="K852" s="1" t="s">
        <v>2657</v>
      </c>
      <c r="L852" s="1" t="s">
        <v>145</v>
      </c>
      <c r="M852" s="1">
        <v>-564.78</v>
      </c>
      <c r="N852" s="1" t="s">
        <v>86</v>
      </c>
      <c r="O852" s="1">
        <v>500</v>
      </c>
      <c r="P852" s="1">
        <v>282390</v>
      </c>
      <c r="Q852" s="1">
        <v>6</v>
      </c>
      <c r="R852" s="7">
        <v>1.2E-2</v>
      </c>
      <c r="S852" s="1">
        <v>6</v>
      </c>
      <c r="T852" s="1">
        <v>15</v>
      </c>
      <c r="U852" s="1">
        <v>-9</v>
      </c>
      <c r="V852" s="1" t="s">
        <v>3352</v>
      </c>
      <c r="W852" s="1" t="s">
        <v>404</v>
      </c>
      <c r="X852" s="1" t="s">
        <v>127</v>
      </c>
      <c r="Y852" s="1"/>
      <c r="Z852" s="1" t="s">
        <v>43</v>
      </c>
      <c r="AA852" s="1" t="s">
        <v>206</v>
      </c>
      <c r="AB852" s="1"/>
      <c r="AC852" s="1"/>
      <c r="AD852" s="1">
        <v>4.0999999999999996</v>
      </c>
      <c r="AE852" s="1" t="s">
        <v>76</v>
      </c>
      <c r="AF852" s="1" t="s">
        <v>130</v>
      </c>
    </row>
    <row r="853" spans="1:32" ht="18" customHeight="1">
      <c r="A853" s="1" t="s">
        <v>2658</v>
      </c>
      <c r="B853" s="1" t="s">
        <v>2659</v>
      </c>
      <c r="C853" s="4" t="s">
        <v>3766</v>
      </c>
      <c r="D853" s="4">
        <v>46082</v>
      </c>
      <c r="E853" s="4" t="s">
        <v>3452</v>
      </c>
      <c r="F853" s="1" t="s">
        <v>48</v>
      </c>
      <c r="G853" s="1" t="s">
        <v>232</v>
      </c>
      <c r="H853" s="1" t="s">
        <v>3361</v>
      </c>
      <c r="I853" s="1" t="s">
        <v>61</v>
      </c>
      <c r="J853" s="1" t="s">
        <v>163</v>
      </c>
      <c r="K853" s="1" t="s">
        <v>2660</v>
      </c>
      <c r="L853" s="1" t="s">
        <v>253</v>
      </c>
      <c r="M853" s="1">
        <v>2056.5300000000002</v>
      </c>
      <c r="N853" s="1" t="s">
        <v>104</v>
      </c>
      <c r="O853" s="1">
        <v>100</v>
      </c>
      <c r="P853" s="1">
        <v>205653</v>
      </c>
      <c r="Q853" s="1">
        <v>1</v>
      </c>
      <c r="R853" s="7">
        <v>0.01</v>
      </c>
      <c r="S853" s="1">
        <v>22</v>
      </c>
      <c r="T853" s="1"/>
      <c r="U853" s="1">
        <v>10</v>
      </c>
      <c r="V853" s="1" t="s">
        <v>39</v>
      </c>
      <c r="W853" s="1" t="s">
        <v>40</v>
      </c>
      <c r="X853" s="1" t="s">
        <v>105</v>
      </c>
      <c r="Y853" s="1" t="s">
        <v>66</v>
      </c>
      <c r="Z853" s="1" t="s">
        <v>107</v>
      </c>
      <c r="AA853" s="1" t="s">
        <v>136</v>
      </c>
      <c r="AB853" s="1" t="s">
        <v>191</v>
      </c>
      <c r="AC853" s="1"/>
      <c r="AD853" s="1">
        <v>1.8</v>
      </c>
      <c r="AE853" s="1" t="s">
        <v>115</v>
      </c>
      <c r="AF853" s="1" t="s">
        <v>46</v>
      </c>
    </row>
    <row r="854" spans="1:32" ht="18" customHeight="1">
      <c r="A854" s="1" t="s">
        <v>2661</v>
      </c>
      <c r="B854" s="1" t="s">
        <v>2662</v>
      </c>
      <c r="C854" s="4" t="s">
        <v>3767</v>
      </c>
      <c r="D854" s="4">
        <v>46151</v>
      </c>
      <c r="E854" s="4">
        <v>46156</v>
      </c>
      <c r="F854" s="1" t="s">
        <v>80</v>
      </c>
      <c r="G854" s="1" t="s">
        <v>3470</v>
      </c>
      <c r="H854" s="1" t="s">
        <v>82</v>
      </c>
      <c r="I854" s="1" t="s">
        <v>120</v>
      </c>
      <c r="J854" s="1" t="s">
        <v>35</v>
      </c>
      <c r="K854" s="1" t="s">
        <v>2663</v>
      </c>
      <c r="L854" s="1" t="s">
        <v>180</v>
      </c>
      <c r="M854" s="1">
        <v>929.36</v>
      </c>
      <c r="N854" s="1" t="s">
        <v>53</v>
      </c>
      <c r="O854" s="1">
        <v>250</v>
      </c>
      <c r="P854" s="1">
        <v>232340</v>
      </c>
      <c r="Q854" s="1">
        <v>3</v>
      </c>
      <c r="R854" s="7">
        <v>1.2E-2</v>
      </c>
      <c r="S854" s="1">
        <v>16</v>
      </c>
      <c r="T854" s="1">
        <v>11</v>
      </c>
      <c r="U854" s="1"/>
      <c r="V854" s="1" t="s">
        <v>205</v>
      </c>
      <c r="W854" s="1" t="s">
        <v>40</v>
      </c>
      <c r="X854" s="1" t="s">
        <v>3324</v>
      </c>
      <c r="Y854" s="1" t="s">
        <v>212</v>
      </c>
      <c r="Z854" s="1" t="s">
        <v>43</v>
      </c>
      <c r="AA854" s="1" t="s">
        <v>136</v>
      </c>
      <c r="AB854" s="1" t="s">
        <v>56</v>
      </c>
      <c r="AC854" s="1"/>
      <c r="AD854" s="1">
        <v>4.0999999999999996</v>
      </c>
      <c r="AE854" s="1" t="s">
        <v>139</v>
      </c>
      <c r="AF854" s="1" t="s">
        <v>46</v>
      </c>
    </row>
    <row r="855" spans="1:32" ht="18" customHeight="1">
      <c r="A855" s="1" t="s">
        <v>2664</v>
      </c>
      <c r="B855" s="1" t="s">
        <v>2665</v>
      </c>
      <c r="C855" s="4">
        <v>46066</v>
      </c>
      <c r="D855" s="4">
        <v>46077</v>
      </c>
      <c r="E855" s="4">
        <v>46085</v>
      </c>
      <c r="F855" s="1" t="s">
        <v>209</v>
      </c>
      <c r="G855" s="1" t="s">
        <v>3389</v>
      </c>
      <c r="H855" s="1" t="s">
        <v>316</v>
      </c>
      <c r="I855" s="1" t="s">
        <v>61</v>
      </c>
      <c r="J855" s="1" t="s">
        <v>153</v>
      </c>
      <c r="K855" s="1" t="s">
        <v>2666</v>
      </c>
      <c r="L855" s="1" t="s">
        <v>295</v>
      </c>
      <c r="M855" s="1" t="s">
        <v>3768</v>
      </c>
      <c r="N855" s="1" t="s">
        <v>53</v>
      </c>
      <c r="O855" s="1">
        <v>1500</v>
      </c>
      <c r="P855" s="1">
        <v>336510</v>
      </c>
      <c r="Q855" s="1">
        <v>32</v>
      </c>
      <c r="R855" s="7">
        <v>2.1299999999999999E-2</v>
      </c>
      <c r="S855" s="1">
        <v>19</v>
      </c>
      <c r="T855" s="1">
        <v>11</v>
      </c>
      <c r="U855" s="1">
        <v>8</v>
      </c>
      <c r="V855" s="1" t="s">
        <v>205</v>
      </c>
      <c r="W855" s="1" t="s">
        <v>40</v>
      </c>
      <c r="X855" s="1"/>
      <c r="Y855" s="1" t="s">
        <v>190</v>
      </c>
      <c r="Z855" s="1" t="s">
        <v>173</v>
      </c>
      <c r="AA855" s="1" t="s">
        <v>174</v>
      </c>
      <c r="AB855" s="1" t="s">
        <v>147</v>
      </c>
      <c r="AC855" s="1"/>
      <c r="AD855" s="1">
        <v>3.2</v>
      </c>
      <c r="AE855" s="1" t="s">
        <v>184</v>
      </c>
      <c r="AF855" s="1" t="s">
        <v>148</v>
      </c>
    </row>
    <row r="856" spans="1:32" ht="18" hidden="1" customHeight="1">
      <c r="A856" s="1" t="s">
        <v>2667</v>
      </c>
      <c r="B856" s="1" t="s">
        <v>2668</v>
      </c>
      <c r="C856" s="4">
        <v>46202</v>
      </c>
      <c r="D856" s="1">
        <v>46213</v>
      </c>
      <c r="E856" s="1">
        <v>46214</v>
      </c>
      <c r="F856" s="1" t="s">
        <v>209</v>
      </c>
      <c r="G856" s="1" t="s">
        <v>210</v>
      </c>
      <c r="H856" s="1" t="s">
        <v>3390</v>
      </c>
      <c r="I856" s="1" t="s">
        <v>92</v>
      </c>
      <c r="J856" s="1" t="s">
        <v>153</v>
      </c>
      <c r="K856" s="1" t="s">
        <v>2669</v>
      </c>
      <c r="L856" s="1" t="s">
        <v>318</v>
      </c>
      <c r="M856" s="1">
        <v>-346.62</v>
      </c>
      <c r="N856" s="1" t="s">
        <v>3534</v>
      </c>
      <c r="O856" s="1">
        <v>500</v>
      </c>
      <c r="P856" s="1">
        <v>173310</v>
      </c>
      <c r="Q856" s="1">
        <v>21</v>
      </c>
      <c r="R856" s="7">
        <v>4.2000000000000003E-2</v>
      </c>
      <c r="S856" s="1">
        <v>12</v>
      </c>
      <c r="T856" s="1">
        <v>11</v>
      </c>
      <c r="U856" s="1">
        <v>1</v>
      </c>
      <c r="V856" s="1" t="s">
        <v>3323</v>
      </c>
      <c r="W856" s="1" t="s">
        <v>366</v>
      </c>
      <c r="X856" s="1" t="s">
        <v>41</v>
      </c>
      <c r="Y856" s="1" t="s">
        <v>106</v>
      </c>
      <c r="Z856" s="1" t="s">
        <v>54</v>
      </c>
      <c r="AA856" s="1" t="s">
        <v>174</v>
      </c>
      <c r="AB856" s="1" t="s">
        <v>95</v>
      </c>
      <c r="AC856" s="1" t="s">
        <v>283</v>
      </c>
      <c r="AD856" s="1">
        <v>2.2000000000000002</v>
      </c>
      <c r="AE856" s="1" t="s">
        <v>45</v>
      </c>
      <c r="AF856" s="1" t="s">
        <v>77</v>
      </c>
    </row>
    <row r="857" spans="1:32" ht="18" customHeight="1">
      <c r="A857" s="1" t="s">
        <v>2670</v>
      </c>
      <c r="B857" s="1" t="s">
        <v>2671</v>
      </c>
      <c r="C857" s="4">
        <v>46152</v>
      </c>
      <c r="D857" s="4">
        <v>46158</v>
      </c>
      <c r="E857" s="4">
        <v>46164</v>
      </c>
      <c r="F857" s="1" t="s">
        <v>151</v>
      </c>
      <c r="G857" s="1" t="s">
        <v>244</v>
      </c>
      <c r="H857" s="1" t="s">
        <v>3354</v>
      </c>
      <c r="I857" s="1" t="s">
        <v>70</v>
      </c>
      <c r="J857" s="1" t="s">
        <v>112</v>
      </c>
      <c r="K857" s="1" t="s">
        <v>579</v>
      </c>
      <c r="L857" s="1" t="s">
        <v>218</v>
      </c>
      <c r="M857" s="1">
        <v>715.65</v>
      </c>
      <c r="N857" s="1" t="s">
        <v>38</v>
      </c>
      <c r="O857" s="1">
        <v>2000</v>
      </c>
      <c r="P857" s="1">
        <v>1431300</v>
      </c>
      <c r="Q857" s="1">
        <v>41</v>
      </c>
      <c r="R857" s="7">
        <v>2.0500000000000001E-2</v>
      </c>
      <c r="S857" s="1">
        <v>12</v>
      </c>
      <c r="T857" s="1">
        <v>6</v>
      </c>
      <c r="U857" s="1">
        <v>6</v>
      </c>
      <c r="V857" s="1" t="s">
        <v>39</v>
      </c>
      <c r="W857" s="1" t="s">
        <v>40</v>
      </c>
      <c r="X857" s="1" t="s">
        <v>105</v>
      </c>
      <c r="Y857" s="1" t="s">
        <v>42</v>
      </c>
      <c r="Z857" s="1" t="s">
        <v>54</v>
      </c>
      <c r="AA857" s="1" t="s">
        <v>55</v>
      </c>
      <c r="AB857" s="1" t="s">
        <v>137</v>
      </c>
      <c r="AC857" s="1"/>
      <c r="AD857" s="1">
        <v>1.6</v>
      </c>
      <c r="AE857" s="1" t="s">
        <v>45</v>
      </c>
      <c r="AF857" s="1" t="s">
        <v>46</v>
      </c>
    </row>
    <row r="858" spans="1:32" ht="18" customHeight="1">
      <c r="A858" s="1" t="s">
        <v>2672</v>
      </c>
      <c r="B858" s="1" t="s">
        <v>2673</v>
      </c>
      <c r="C858" s="4">
        <v>46036</v>
      </c>
      <c r="D858" s="4">
        <v>46042</v>
      </c>
      <c r="E858" s="4">
        <v>46049</v>
      </c>
      <c r="F858" s="1" t="s">
        <v>209</v>
      </c>
      <c r="G858" s="1" t="s">
        <v>210</v>
      </c>
      <c r="H858" s="1" t="s">
        <v>3390</v>
      </c>
      <c r="I858" s="1" t="s">
        <v>178</v>
      </c>
      <c r="J858" s="1" t="s">
        <v>153</v>
      </c>
      <c r="K858" s="1" t="s">
        <v>2674</v>
      </c>
      <c r="L858" s="1" t="s">
        <v>318</v>
      </c>
      <c r="M858" s="1">
        <v>804.62</v>
      </c>
      <c r="N858" s="1" t="s">
        <v>38</v>
      </c>
      <c r="O858" s="1">
        <v>750</v>
      </c>
      <c r="P858" s="1">
        <v>603465</v>
      </c>
      <c r="Q858" s="1">
        <v>15</v>
      </c>
      <c r="R858" s="7">
        <v>0.02</v>
      </c>
      <c r="S858" s="1">
        <v>13</v>
      </c>
      <c r="T858" s="1">
        <v>6</v>
      </c>
      <c r="U858" s="1">
        <v>7</v>
      </c>
      <c r="V858" s="1" t="s">
        <v>39</v>
      </c>
      <c r="W858" s="1" t="s">
        <v>40</v>
      </c>
      <c r="X858" s="1" t="s">
        <v>3324</v>
      </c>
      <c r="Y858" s="1" t="s">
        <v>190</v>
      </c>
      <c r="Z858" s="1"/>
      <c r="AA858" s="1" t="s">
        <v>88</v>
      </c>
      <c r="AB858" s="1"/>
      <c r="AC858" s="1"/>
      <c r="AD858" s="1">
        <v>2.4</v>
      </c>
      <c r="AE858" s="1" t="s">
        <v>115</v>
      </c>
      <c r="AF858" s="1" t="s">
        <v>46</v>
      </c>
    </row>
    <row r="859" spans="1:32" ht="18" customHeight="1">
      <c r="A859" s="1" t="s">
        <v>2675</v>
      </c>
      <c r="B859" s="1" t="s">
        <v>2676</v>
      </c>
      <c r="C859" s="4">
        <v>46055</v>
      </c>
      <c r="D859" s="4" t="s">
        <v>3436</v>
      </c>
      <c r="E859" s="4">
        <v>46072</v>
      </c>
      <c r="F859" s="1" t="s">
        <v>100</v>
      </c>
      <c r="G859" s="1" t="s">
        <v>3343</v>
      </c>
      <c r="H859" s="1" t="s">
        <v>102</v>
      </c>
      <c r="I859" s="1" t="s">
        <v>34</v>
      </c>
      <c r="J859" s="1" t="s">
        <v>50</v>
      </c>
      <c r="K859" s="1" t="s">
        <v>2677</v>
      </c>
      <c r="L859" s="1" t="s">
        <v>189</v>
      </c>
      <c r="M859" s="1">
        <v>2204.71</v>
      </c>
      <c r="N859" s="1" t="s">
        <v>159</v>
      </c>
      <c r="O859" s="1">
        <v>1000</v>
      </c>
      <c r="P859" s="1">
        <v>2204710</v>
      </c>
      <c r="Q859" s="1">
        <v>22</v>
      </c>
      <c r="R859" s="7">
        <v>2.1999999999999999E-2</v>
      </c>
      <c r="S859" s="1">
        <v>17</v>
      </c>
      <c r="T859" s="1">
        <v>15</v>
      </c>
      <c r="U859" s="1">
        <v>2</v>
      </c>
      <c r="V859" s="1" t="s">
        <v>3323</v>
      </c>
      <c r="W859" s="1" t="s">
        <v>40</v>
      </c>
      <c r="X859" s="1" t="s">
        <v>105</v>
      </c>
      <c r="Y859" s="1" t="s">
        <v>66</v>
      </c>
      <c r="Z859" s="1"/>
      <c r="AA859" s="1" t="s">
        <v>88</v>
      </c>
      <c r="AB859" s="1" t="s">
        <v>95</v>
      </c>
      <c r="AC859" s="1"/>
      <c r="AD859" s="1">
        <v>2.9</v>
      </c>
      <c r="AE859" s="1" t="s">
        <v>139</v>
      </c>
      <c r="AF859" s="1" t="s">
        <v>46</v>
      </c>
    </row>
    <row r="860" spans="1:32" ht="18" customHeight="1">
      <c r="A860" s="1" t="s">
        <v>2678</v>
      </c>
      <c r="B860" s="1" t="s">
        <v>2679</v>
      </c>
      <c r="C860" s="4" t="s">
        <v>3769</v>
      </c>
      <c r="D860" s="4">
        <v>46105</v>
      </c>
      <c r="E860" s="4">
        <v>46107</v>
      </c>
      <c r="F860" s="1" t="s">
        <v>69</v>
      </c>
      <c r="G860" s="1" t="s">
        <v>3362</v>
      </c>
      <c r="H860" s="1" t="s">
        <v>3332</v>
      </c>
      <c r="I860" s="1" t="s">
        <v>92</v>
      </c>
      <c r="J860" s="1" t="s">
        <v>112</v>
      </c>
      <c r="K860" s="1" t="s">
        <v>2680</v>
      </c>
      <c r="L860" s="1" t="s">
        <v>114</v>
      </c>
      <c r="M860" s="1">
        <v>255.74</v>
      </c>
      <c r="N860" s="1" t="s">
        <v>86</v>
      </c>
      <c r="O860" s="1">
        <v>150</v>
      </c>
      <c r="P860" s="1">
        <v>38361</v>
      </c>
      <c r="Q860" s="1">
        <v>6</v>
      </c>
      <c r="R860" s="7">
        <v>0.04</v>
      </c>
      <c r="S860" s="1">
        <v>13</v>
      </c>
      <c r="T860" s="1">
        <v>11</v>
      </c>
      <c r="U860" s="1">
        <v>2</v>
      </c>
      <c r="V860" s="1" t="s">
        <v>135</v>
      </c>
      <c r="W860" s="1" t="s">
        <v>40</v>
      </c>
      <c r="X860" s="1"/>
      <c r="Y860" s="1" t="s">
        <v>3334</v>
      </c>
      <c r="Z860" s="1" t="s">
        <v>3333</v>
      </c>
      <c r="AA860" s="1" t="s">
        <v>174</v>
      </c>
      <c r="AB860" s="1" t="s">
        <v>56</v>
      </c>
      <c r="AC860" s="1"/>
      <c r="AD860" s="1">
        <v>2.1</v>
      </c>
      <c r="AE860" s="1" t="s">
        <v>115</v>
      </c>
      <c r="AF860" s="1" t="s">
        <v>148</v>
      </c>
    </row>
    <row r="861" spans="1:32" ht="18" hidden="1" customHeight="1">
      <c r="A861" s="1" t="s">
        <v>2681</v>
      </c>
      <c r="B861" s="1" t="s">
        <v>2682</v>
      </c>
      <c r="C861" s="4" t="s">
        <v>3463</v>
      </c>
      <c r="D861" s="1">
        <v>46050</v>
      </c>
      <c r="E861" s="1">
        <v>46059</v>
      </c>
      <c r="F861" s="1" t="s">
        <v>60</v>
      </c>
      <c r="G861" s="1" t="s">
        <v>466</v>
      </c>
      <c r="H861" s="1" t="s">
        <v>152</v>
      </c>
      <c r="I861" s="1" t="s">
        <v>92</v>
      </c>
      <c r="J861" s="1" t="s">
        <v>62</v>
      </c>
      <c r="K861" s="1" t="s">
        <v>93</v>
      </c>
      <c r="L861" s="1" t="s">
        <v>225</v>
      </c>
      <c r="M861" s="1">
        <v>38.909999999999997</v>
      </c>
      <c r="N861" s="1" t="s">
        <v>159</v>
      </c>
      <c r="O861" s="1">
        <v>200</v>
      </c>
      <c r="P861" s="1">
        <v>7782</v>
      </c>
      <c r="Q861" s="1">
        <v>9</v>
      </c>
      <c r="R861" s="7">
        <v>4.4999999999999998E-2</v>
      </c>
      <c r="S861" s="1"/>
      <c r="T861" s="1">
        <v>7</v>
      </c>
      <c r="U861" s="1">
        <v>9</v>
      </c>
      <c r="V861" s="1" t="s">
        <v>39</v>
      </c>
      <c r="W861" s="1" t="s">
        <v>366</v>
      </c>
      <c r="X861" s="1" t="s">
        <v>41</v>
      </c>
      <c r="Y861" s="1"/>
      <c r="Z861" s="1" t="s">
        <v>128</v>
      </c>
      <c r="AA861" s="1" t="s">
        <v>206</v>
      </c>
      <c r="AB861" s="1" t="s">
        <v>137</v>
      </c>
      <c r="AC861" s="1" t="s">
        <v>283</v>
      </c>
      <c r="AD861" s="1">
        <v>3.1</v>
      </c>
      <c r="AE861" s="1" t="s">
        <v>115</v>
      </c>
      <c r="AF861" s="1" t="s">
        <v>77</v>
      </c>
    </row>
    <row r="862" spans="1:32" ht="18" customHeight="1">
      <c r="A862" s="1" t="s">
        <v>2683</v>
      </c>
      <c r="B862" s="1" t="s">
        <v>2684</v>
      </c>
      <c r="C862" s="4">
        <v>46051</v>
      </c>
      <c r="D862" s="4">
        <v>46066</v>
      </c>
      <c r="E862" s="4">
        <v>46064</v>
      </c>
      <c r="F862" s="1" t="s">
        <v>256</v>
      </c>
      <c r="G862" s="1" t="s">
        <v>257</v>
      </c>
      <c r="H862" s="1" t="s">
        <v>3420</v>
      </c>
      <c r="I862" s="1" t="s">
        <v>83</v>
      </c>
      <c r="J862" s="1" t="s">
        <v>153</v>
      </c>
      <c r="K862" s="1" t="s">
        <v>2685</v>
      </c>
      <c r="L862" s="1" t="s">
        <v>295</v>
      </c>
      <c r="M862" s="1">
        <v>309.77</v>
      </c>
      <c r="N862" s="1" t="s">
        <v>65</v>
      </c>
      <c r="O862" s="1">
        <v>300</v>
      </c>
      <c r="P862" s="1">
        <v>92931</v>
      </c>
      <c r="Q862" s="1">
        <v>-1</v>
      </c>
      <c r="R862" s="7">
        <v>1.67E-2</v>
      </c>
      <c r="S862" s="1"/>
      <c r="T862" s="1">
        <v>15</v>
      </c>
      <c r="U862" s="1">
        <v>-2</v>
      </c>
      <c r="V862" s="1" t="s">
        <v>270</v>
      </c>
      <c r="W862" s="1" t="s">
        <v>40</v>
      </c>
      <c r="X862" s="1" t="s">
        <v>146</v>
      </c>
      <c r="Y862" s="1" t="s">
        <v>106</v>
      </c>
      <c r="Z862" s="1" t="s">
        <v>54</v>
      </c>
      <c r="AA862" s="1" t="s">
        <v>174</v>
      </c>
      <c r="AB862" s="1" t="s">
        <v>56</v>
      </c>
      <c r="AC862" s="1"/>
      <c r="AD862" s="1">
        <v>4.8</v>
      </c>
      <c r="AE862" s="1" t="s">
        <v>115</v>
      </c>
      <c r="AF862" s="1" t="s">
        <v>130</v>
      </c>
    </row>
    <row r="863" spans="1:32" ht="18" customHeight="1">
      <c r="A863" s="1" t="s">
        <v>2686</v>
      </c>
      <c r="B863" s="1" t="s">
        <v>2687</v>
      </c>
      <c r="C863" s="4">
        <v>46070</v>
      </c>
      <c r="D863" s="4"/>
      <c r="E863" s="4">
        <v>46087</v>
      </c>
      <c r="F863" s="1" t="s">
        <v>100</v>
      </c>
      <c r="G863" s="1" t="s">
        <v>101</v>
      </c>
      <c r="H863" s="1" t="s">
        <v>102</v>
      </c>
      <c r="I863" s="1" t="s">
        <v>49</v>
      </c>
      <c r="J863" s="1" t="s">
        <v>50</v>
      </c>
      <c r="K863" s="1" t="s">
        <v>2688</v>
      </c>
      <c r="L863" s="1" t="s">
        <v>145</v>
      </c>
      <c r="M863" s="1">
        <v>2027.74</v>
      </c>
      <c r="N863" s="1" t="s">
        <v>159</v>
      </c>
      <c r="O863" s="1"/>
      <c r="P863" s="1">
        <v>1520805</v>
      </c>
      <c r="Q863" s="1">
        <v>19</v>
      </c>
      <c r="R863" s="7">
        <v>2.53E-2</v>
      </c>
      <c r="S863" s="1">
        <v>17</v>
      </c>
      <c r="T863" s="1">
        <v>12</v>
      </c>
      <c r="U863" s="1">
        <v>5</v>
      </c>
      <c r="V863" s="1" t="s">
        <v>39</v>
      </c>
      <c r="W863" s="1" t="s">
        <v>40</v>
      </c>
      <c r="X863" s="1" t="s">
        <v>105</v>
      </c>
      <c r="Y863" s="1"/>
      <c r="Z863" s="1" t="s">
        <v>107</v>
      </c>
      <c r="AA863" s="1" t="s">
        <v>55</v>
      </c>
      <c r="AB863" s="1" t="s">
        <v>191</v>
      </c>
      <c r="AC863" s="1"/>
      <c r="AD863" s="1">
        <v>2.2000000000000002</v>
      </c>
      <c r="AE863" s="1" t="s">
        <v>45</v>
      </c>
      <c r="AF863" s="1" t="s">
        <v>46</v>
      </c>
    </row>
    <row r="864" spans="1:32" ht="18" customHeight="1">
      <c r="A864" s="1" t="s">
        <v>2689</v>
      </c>
      <c r="B864" s="1" t="s">
        <v>2690</v>
      </c>
      <c r="C864" s="4">
        <v>46183</v>
      </c>
      <c r="D864" s="4">
        <v>46207</v>
      </c>
      <c r="E864" s="4" t="s">
        <v>3770</v>
      </c>
      <c r="F864" s="1" t="s">
        <v>142</v>
      </c>
      <c r="G864" s="1" t="s">
        <v>3391</v>
      </c>
      <c r="H864" s="1" t="s">
        <v>3392</v>
      </c>
      <c r="I864" s="1" t="s">
        <v>83</v>
      </c>
      <c r="J864" s="1" t="s">
        <v>50</v>
      </c>
      <c r="K864" s="1" t="s">
        <v>2691</v>
      </c>
      <c r="L864" s="1" t="s">
        <v>189</v>
      </c>
      <c r="M864" s="1">
        <v>1116.9000000000001</v>
      </c>
      <c r="N864" s="1" t="s">
        <v>159</v>
      </c>
      <c r="O864" s="1">
        <v>-50</v>
      </c>
      <c r="P864" s="1">
        <v>55845</v>
      </c>
      <c r="Q864" s="1">
        <v>2</v>
      </c>
      <c r="R864" s="7">
        <v>0.04</v>
      </c>
      <c r="S864" s="1">
        <v>16</v>
      </c>
      <c r="T864" s="1">
        <v>24</v>
      </c>
      <c r="U864" s="1">
        <v>-8</v>
      </c>
      <c r="V864" s="1" t="s">
        <v>270</v>
      </c>
      <c r="W864" s="1" t="s">
        <v>40</v>
      </c>
      <c r="X864" s="1" t="s">
        <v>3329</v>
      </c>
      <c r="Y864" s="1" t="s">
        <v>42</v>
      </c>
      <c r="Z864" s="1" t="s">
        <v>128</v>
      </c>
      <c r="AA864" s="1" t="s">
        <v>174</v>
      </c>
      <c r="AB864" s="1"/>
      <c r="AC864" s="1"/>
      <c r="AD864" s="1">
        <v>4.5999999999999996</v>
      </c>
      <c r="AE864" s="1" t="s">
        <v>45</v>
      </c>
      <c r="AF864" s="1"/>
    </row>
    <row r="865" spans="1:32" ht="18" customHeight="1">
      <c r="A865" s="1" t="s">
        <v>2692</v>
      </c>
      <c r="B865" s="1" t="s">
        <v>2693</v>
      </c>
      <c r="C865" s="4">
        <v>46075</v>
      </c>
      <c r="D865" s="4"/>
      <c r="E865" s="4" t="s">
        <v>3771</v>
      </c>
      <c r="F865" s="1" t="s">
        <v>60</v>
      </c>
      <c r="G865" s="1" t="s">
        <v>466</v>
      </c>
      <c r="H865" s="1" t="s">
        <v>152</v>
      </c>
      <c r="I865" s="1" t="s">
        <v>61</v>
      </c>
      <c r="J865" s="1" t="s">
        <v>62</v>
      </c>
      <c r="K865" s="1" t="s">
        <v>2694</v>
      </c>
      <c r="L865" s="1" t="s">
        <v>64</v>
      </c>
      <c r="M865" s="1">
        <v>423.94</v>
      </c>
      <c r="N865" s="1" t="s">
        <v>159</v>
      </c>
      <c r="O865" s="1">
        <v>200</v>
      </c>
      <c r="P865" s="1">
        <v>84788</v>
      </c>
      <c r="Q865" s="1">
        <v>0</v>
      </c>
      <c r="R865" s="7">
        <v>0</v>
      </c>
      <c r="S865" s="1">
        <v>18</v>
      </c>
      <c r="T865" s="1">
        <v>12</v>
      </c>
      <c r="U865" s="1">
        <v>6</v>
      </c>
      <c r="V865" s="1" t="s">
        <v>39</v>
      </c>
      <c r="W865" s="1" t="s">
        <v>40</v>
      </c>
      <c r="X865" s="1" t="s">
        <v>3324</v>
      </c>
      <c r="Y865" s="1" t="s">
        <v>3334</v>
      </c>
      <c r="Z865" s="1" t="s">
        <v>3333</v>
      </c>
      <c r="AA865" s="1"/>
      <c r="AB865" s="1" t="s">
        <v>56</v>
      </c>
      <c r="AC865" s="1"/>
      <c r="AD865" s="1">
        <v>1.5</v>
      </c>
      <c r="AE865" s="1" t="s">
        <v>115</v>
      </c>
      <c r="AF865" s="1" t="s">
        <v>46</v>
      </c>
    </row>
    <row r="866" spans="1:32" ht="18" customHeight="1">
      <c r="A866" s="1" t="s">
        <v>2695</v>
      </c>
      <c r="B866" s="1" t="s">
        <v>2696</v>
      </c>
      <c r="C866" s="4">
        <v>46065</v>
      </c>
      <c r="D866" s="4">
        <v>46083</v>
      </c>
      <c r="E866" s="4">
        <v>46081</v>
      </c>
      <c r="F866" s="1" t="s">
        <v>142</v>
      </c>
      <c r="G866" s="1" t="s">
        <v>143</v>
      </c>
      <c r="H866" s="1" t="s">
        <v>3405</v>
      </c>
      <c r="I866" s="1" t="s">
        <v>49</v>
      </c>
      <c r="J866" s="1" t="s">
        <v>50</v>
      </c>
      <c r="K866" s="1" t="s">
        <v>2697</v>
      </c>
      <c r="L866" s="1" t="s">
        <v>189</v>
      </c>
      <c r="M866" s="1">
        <v>2687.06</v>
      </c>
      <c r="N866" s="1" t="s">
        <v>159</v>
      </c>
      <c r="O866" s="1">
        <v>200</v>
      </c>
      <c r="P866" s="1">
        <v>537412</v>
      </c>
      <c r="Q866" s="1">
        <v>7</v>
      </c>
      <c r="R866" s="7">
        <v>3.5000000000000003E-2</v>
      </c>
      <c r="S866" s="1">
        <v>16</v>
      </c>
      <c r="T866" s="1">
        <v>18</v>
      </c>
      <c r="U866" s="1">
        <v>-2</v>
      </c>
      <c r="V866" s="1" t="s">
        <v>3337</v>
      </c>
      <c r="W866" s="1" t="s">
        <v>40</v>
      </c>
      <c r="X866" s="1" t="s">
        <v>105</v>
      </c>
      <c r="Y866" s="1" t="s">
        <v>106</v>
      </c>
      <c r="Z866" s="1" t="s">
        <v>3330</v>
      </c>
      <c r="AA866" s="1" t="s">
        <v>206</v>
      </c>
      <c r="AB866" s="1" t="s">
        <v>147</v>
      </c>
      <c r="AC866" s="1"/>
      <c r="AD866" s="1">
        <v>3</v>
      </c>
      <c r="AE866" s="1" t="s">
        <v>139</v>
      </c>
      <c r="AF866" s="1"/>
    </row>
    <row r="867" spans="1:32" ht="18" hidden="1" customHeight="1">
      <c r="A867" s="1" t="s">
        <v>2698</v>
      </c>
      <c r="B867" s="1" t="s">
        <v>2699</v>
      </c>
      <c r="C867" s="4">
        <v>46091</v>
      </c>
      <c r="D867" s="1">
        <v>46102</v>
      </c>
      <c r="E867" s="1"/>
      <c r="F867" s="1" t="s">
        <v>69</v>
      </c>
      <c r="G867" s="1" t="s">
        <v>111</v>
      </c>
      <c r="H867" s="1" t="s">
        <v>194</v>
      </c>
      <c r="I867" s="1" t="s">
        <v>49</v>
      </c>
      <c r="J867" s="1" t="s">
        <v>35</v>
      </c>
      <c r="K867" s="1" t="s">
        <v>2700</v>
      </c>
      <c r="L867" s="1" t="s">
        <v>180</v>
      </c>
      <c r="M867" s="1"/>
      <c r="N867" s="1" t="s">
        <v>65</v>
      </c>
      <c r="O867" s="1">
        <v>200</v>
      </c>
      <c r="P867" s="1">
        <v>103470</v>
      </c>
      <c r="Q867" s="1">
        <v>11</v>
      </c>
      <c r="R867" s="7">
        <v>5.5E-2</v>
      </c>
      <c r="S867" s="1">
        <v>9</v>
      </c>
      <c r="T867" s="1">
        <v>11</v>
      </c>
      <c r="U867" s="1">
        <v>-2</v>
      </c>
      <c r="V867" s="1" t="s">
        <v>3352</v>
      </c>
      <c r="W867" s="1" t="s">
        <v>3384</v>
      </c>
      <c r="X867" s="1" t="s">
        <v>105</v>
      </c>
      <c r="Y867" s="1" t="s">
        <v>66</v>
      </c>
      <c r="Z867" s="1" t="s">
        <v>43</v>
      </c>
      <c r="AA867" s="1" t="s">
        <v>206</v>
      </c>
      <c r="AB867" s="1" t="s">
        <v>95</v>
      </c>
      <c r="AC867" s="1" t="s">
        <v>183</v>
      </c>
      <c r="AD867" s="1">
        <v>1.3</v>
      </c>
      <c r="AE867" s="1" t="s">
        <v>76</v>
      </c>
      <c r="AF867" s="1" t="s">
        <v>97</v>
      </c>
    </row>
    <row r="868" spans="1:32" ht="18" customHeight="1">
      <c r="A868" s="1" t="s">
        <v>2701</v>
      </c>
      <c r="B868" s="1" t="s">
        <v>2702</v>
      </c>
      <c r="C868" s="4">
        <v>46037</v>
      </c>
      <c r="D868" s="4">
        <v>46053</v>
      </c>
      <c r="E868" s="4">
        <v>46047</v>
      </c>
      <c r="F868" s="1" t="s">
        <v>80</v>
      </c>
      <c r="G868" s="1" t="s">
        <v>81</v>
      </c>
      <c r="H868" s="1" t="s">
        <v>3442</v>
      </c>
      <c r="I868" s="1" t="s">
        <v>178</v>
      </c>
      <c r="J868" s="1" t="s">
        <v>62</v>
      </c>
      <c r="K868" s="1" t="s">
        <v>2703</v>
      </c>
      <c r="L868" s="1" t="s">
        <v>122</v>
      </c>
      <c r="M868" s="1">
        <v>229.75</v>
      </c>
      <c r="N868" s="1" t="s">
        <v>65</v>
      </c>
      <c r="O868" s="1">
        <v>200</v>
      </c>
      <c r="P868" s="1">
        <v>45950</v>
      </c>
      <c r="Q868" s="1">
        <v>2</v>
      </c>
      <c r="R868" s="7">
        <v>0.01</v>
      </c>
      <c r="S868" s="1">
        <v>10</v>
      </c>
      <c r="T868" s="1">
        <v>16</v>
      </c>
      <c r="U868" s="1">
        <v>-6</v>
      </c>
      <c r="V868" s="1" t="s">
        <v>270</v>
      </c>
      <c r="W868" s="1" t="s">
        <v>40</v>
      </c>
      <c r="X868" s="1" t="s">
        <v>105</v>
      </c>
      <c r="Y868" s="1" t="s">
        <v>66</v>
      </c>
      <c r="Z868" s="1" t="s">
        <v>173</v>
      </c>
      <c r="AA868" s="1" t="s">
        <v>55</v>
      </c>
      <c r="AB868" s="1" t="s">
        <v>44</v>
      </c>
      <c r="AC868" s="1"/>
      <c r="AD868" s="1">
        <v>2.2999999999999998</v>
      </c>
      <c r="AE868" s="1" t="s">
        <v>76</v>
      </c>
      <c r="AF868" s="1"/>
    </row>
    <row r="869" spans="1:32" ht="18" customHeight="1">
      <c r="A869" s="1" t="s">
        <v>2704</v>
      </c>
      <c r="B869" s="1" t="s">
        <v>2705</v>
      </c>
      <c r="C869" s="4">
        <v>46145</v>
      </c>
      <c r="D869" s="4">
        <v>46161</v>
      </c>
      <c r="E869" s="4">
        <v>46162</v>
      </c>
      <c r="F869" s="1" t="s">
        <v>100</v>
      </c>
      <c r="G869" s="1" t="s">
        <v>3485</v>
      </c>
      <c r="H869" s="1" t="s">
        <v>3322</v>
      </c>
      <c r="I869" s="1" t="s">
        <v>120</v>
      </c>
      <c r="J869" s="1" t="s">
        <v>112</v>
      </c>
      <c r="K869" s="1" t="s">
        <v>2706</v>
      </c>
      <c r="L869" s="1" t="s">
        <v>229</v>
      </c>
      <c r="M869" s="1">
        <v>-62.97</v>
      </c>
      <c r="N869" s="1" t="s">
        <v>53</v>
      </c>
      <c r="O869" s="1">
        <v>500</v>
      </c>
      <c r="P869" s="1">
        <v>31485</v>
      </c>
      <c r="Q869" s="1">
        <v>10</v>
      </c>
      <c r="R869" s="7">
        <v>0.02</v>
      </c>
      <c r="S869" s="1">
        <v>17</v>
      </c>
      <c r="T869" s="1">
        <v>16</v>
      </c>
      <c r="U869" s="1">
        <v>1</v>
      </c>
      <c r="V869" s="1" t="s">
        <v>166</v>
      </c>
      <c r="W869" s="1" t="s">
        <v>40</v>
      </c>
      <c r="X869" s="1"/>
      <c r="Y869" s="1" t="s">
        <v>66</v>
      </c>
      <c r="Z869" s="1" t="s">
        <v>3333</v>
      </c>
      <c r="AA869" s="1" t="s">
        <v>55</v>
      </c>
      <c r="AB869" s="1" t="s">
        <v>44</v>
      </c>
      <c r="AC869" s="1"/>
      <c r="AD869" s="1">
        <v>4.5999999999999996</v>
      </c>
      <c r="AE869" s="1" t="s">
        <v>76</v>
      </c>
      <c r="AF869" s="1" t="s">
        <v>148</v>
      </c>
    </row>
    <row r="870" spans="1:32" ht="18" customHeight="1">
      <c r="A870" s="1" t="s">
        <v>2707</v>
      </c>
      <c r="B870" s="1" t="s">
        <v>2708</v>
      </c>
      <c r="C870" s="4">
        <v>46181</v>
      </c>
      <c r="D870" s="4">
        <v>46187</v>
      </c>
      <c r="E870" s="4" t="s">
        <v>3686</v>
      </c>
      <c r="F870" s="1" t="s">
        <v>60</v>
      </c>
      <c r="G870" s="1" t="s">
        <v>3326</v>
      </c>
      <c r="H870" s="1" t="s">
        <v>3408</v>
      </c>
      <c r="I870" s="1" t="s">
        <v>49</v>
      </c>
      <c r="J870" s="1" t="s">
        <v>62</v>
      </c>
      <c r="K870" s="1" t="s">
        <v>2709</v>
      </c>
      <c r="L870" s="1" t="s">
        <v>225</v>
      </c>
      <c r="M870" s="1">
        <v>308.62</v>
      </c>
      <c r="N870" s="1" t="s">
        <v>65</v>
      </c>
      <c r="O870" s="1">
        <v>-100</v>
      </c>
      <c r="P870" s="1"/>
      <c r="Q870" s="1">
        <v>0</v>
      </c>
      <c r="R870" s="7">
        <v>0</v>
      </c>
      <c r="S870" s="1">
        <v>16</v>
      </c>
      <c r="T870" s="1">
        <v>6</v>
      </c>
      <c r="U870" s="1">
        <v>10</v>
      </c>
      <c r="V870" s="1" t="s">
        <v>3328</v>
      </c>
      <c r="W870" s="1" t="s">
        <v>40</v>
      </c>
      <c r="X870" s="1" t="s">
        <v>127</v>
      </c>
      <c r="Y870" s="1" t="s">
        <v>190</v>
      </c>
      <c r="Z870" s="1" t="s">
        <v>107</v>
      </c>
      <c r="AA870" s="1" t="s">
        <v>88</v>
      </c>
      <c r="AB870" s="1" t="s">
        <v>44</v>
      </c>
      <c r="AC870" s="1"/>
      <c r="AD870" s="1">
        <v>1.8</v>
      </c>
      <c r="AE870" s="1" t="s">
        <v>108</v>
      </c>
      <c r="AF870" s="1" t="s">
        <v>148</v>
      </c>
    </row>
    <row r="871" spans="1:32" ht="18" customHeight="1">
      <c r="A871" s="1" t="s">
        <v>2710</v>
      </c>
      <c r="B871" s="1" t="s">
        <v>2711</v>
      </c>
      <c r="C871" s="4">
        <v>46198</v>
      </c>
      <c r="D871" s="4">
        <v>46215</v>
      </c>
      <c r="E871" s="4">
        <v>46214</v>
      </c>
      <c r="F871" s="1" t="s">
        <v>48</v>
      </c>
      <c r="G871" s="1" t="s">
        <v>232</v>
      </c>
      <c r="H871" s="1" t="s">
        <v>3361</v>
      </c>
      <c r="I871" s="1" t="s">
        <v>70</v>
      </c>
      <c r="J871" s="1" t="s">
        <v>50</v>
      </c>
      <c r="K871" s="1" t="s">
        <v>2712</v>
      </c>
      <c r="L871" s="1" t="s">
        <v>52</v>
      </c>
      <c r="M871" s="1">
        <v>31.05</v>
      </c>
      <c r="N871" s="1" t="s">
        <v>86</v>
      </c>
      <c r="O871" s="1">
        <v>50</v>
      </c>
      <c r="P871" s="1">
        <v>1552.5</v>
      </c>
      <c r="Q871" s="1">
        <v>2</v>
      </c>
      <c r="R871" s="7">
        <v>0.04</v>
      </c>
      <c r="S871" s="1">
        <v>16</v>
      </c>
      <c r="T871" s="1">
        <v>17</v>
      </c>
      <c r="U871" s="1">
        <v>-1</v>
      </c>
      <c r="V871" s="1" t="s">
        <v>3337</v>
      </c>
      <c r="W871" s="1" t="s">
        <v>40</v>
      </c>
      <c r="X871" s="1" t="s">
        <v>3324</v>
      </c>
      <c r="Y871" s="1" t="s">
        <v>190</v>
      </c>
      <c r="Z871" s="1"/>
      <c r="AA871" s="1" t="s">
        <v>55</v>
      </c>
      <c r="AB871" s="1" t="s">
        <v>44</v>
      </c>
      <c r="AC871" s="1"/>
      <c r="AD871" s="1">
        <v>4.5</v>
      </c>
      <c r="AE871" s="1" t="s">
        <v>139</v>
      </c>
      <c r="AF871" s="1"/>
    </row>
    <row r="872" spans="1:32" ht="18" customHeight="1">
      <c r="A872" s="1" t="s">
        <v>2713</v>
      </c>
      <c r="B872" s="1" t="s">
        <v>2714</v>
      </c>
      <c r="C872" s="4">
        <v>46202</v>
      </c>
      <c r="D872" s="4">
        <v>46214</v>
      </c>
      <c r="E872" s="4">
        <v>46222</v>
      </c>
      <c r="F872" s="1" t="s">
        <v>209</v>
      </c>
      <c r="G872" s="1" t="s">
        <v>3389</v>
      </c>
      <c r="H872" s="1" t="s">
        <v>3390</v>
      </c>
      <c r="I872" s="1" t="s">
        <v>49</v>
      </c>
      <c r="J872" s="1" t="s">
        <v>153</v>
      </c>
      <c r="K872" s="1" t="s">
        <v>2715</v>
      </c>
      <c r="L872" s="1" t="s">
        <v>204</v>
      </c>
      <c r="M872" s="1">
        <v>233.37</v>
      </c>
      <c r="N872" s="1" t="s">
        <v>65</v>
      </c>
      <c r="O872" s="1">
        <v>1500</v>
      </c>
      <c r="P872" s="1">
        <v>350055</v>
      </c>
      <c r="Q872" s="1">
        <v>43</v>
      </c>
      <c r="R872" s="7">
        <v>2.87E-2</v>
      </c>
      <c r="S872" s="1">
        <v>20</v>
      </c>
      <c r="T872" s="1">
        <v>12</v>
      </c>
      <c r="U872" s="1">
        <v>8</v>
      </c>
      <c r="V872" s="1" t="s">
        <v>3328</v>
      </c>
      <c r="W872" s="1" t="s">
        <v>40</v>
      </c>
      <c r="X872" s="1" t="s">
        <v>41</v>
      </c>
      <c r="Y872" s="1" t="s">
        <v>190</v>
      </c>
      <c r="Z872" s="1"/>
      <c r="AA872" s="1" t="s">
        <v>55</v>
      </c>
      <c r="AB872" s="1" t="s">
        <v>44</v>
      </c>
      <c r="AC872" s="1"/>
      <c r="AD872" s="1">
        <v>2.7</v>
      </c>
      <c r="AE872" s="1" t="s">
        <v>45</v>
      </c>
      <c r="AF872" s="1" t="s">
        <v>46</v>
      </c>
    </row>
    <row r="873" spans="1:32" ht="18" hidden="1" customHeight="1">
      <c r="A873" s="1" t="s">
        <v>2716</v>
      </c>
      <c r="B873" s="1" t="s">
        <v>2717</v>
      </c>
      <c r="C873" s="4"/>
      <c r="D873" s="1">
        <v>46104</v>
      </c>
      <c r="E873" s="1">
        <v>46106</v>
      </c>
      <c r="F873" s="1" t="s">
        <v>100</v>
      </c>
      <c r="G873" s="1" t="s">
        <v>101</v>
      </c>
      <c r="H873" s="1" t="s">
        <v>102</v>
      </c>
      <c r="I873" s="1" t="s">
        <v>49</v>
      </c>
      <c r="J873" s="1" t="s">
        <v>50</v>
      </c>
      <c r="K873" s="1" t="s">
        <v>2718</v>
      </c>
      <c r="L873" s="1" t="s">
        <v>52</v>
      </c>
      <c r="M873" s="1">
        <v>670.6</v>
      </c>
      <c r="N873" s="1" t="s">
        <v>86</v>
      </c>
      <c r="O873" s="1">
        <v>500</v>
      </c>
      <c r="P873" s="1">
        <v>335300</v>
      </c>
      <c r="Q873" s="1">
        <v>23</v>
      </c>
      <c r="R873" s="7">
        <v>4.5999999999999999E-2</v>
      </c>
      <c r="S873" s="1">
        <v>17</v>
      </c>
      <c r="T873" s="1">
        <v>15</v>
      </c>
      <c r="U873" s="1">
        <v>2</v>
      </c>
      <c r="V873" s="1" t="s">
        <v>3323</v>
      </c>
      <c r="W873" s="1" t="s">
        <v>74</v>
      </c>
      <c r="X873" s="1" t="s">
        <v>105</v>
      </c>
      <c r="Y873" s="1" t="s">
        <v>42</v>
      </c>
      <c r="Z873" s="1" t="s">
        <v>54</v>
      </c>
      <c r="AA873" s="1" t="s">
        <v>55</v>
      </c>
      <c r="AB873" s="1"/>
      <c r="AC873" s="1" t="s">
        <v>373</v>
      </c>
      <c r="AD873" s="1">
        <v>3.2</v>
      </c>
      <c r="AE873" s="1" t="s">
        <v>76</v>
      </c>
      <c r="AF873" s="1" t="s">
        <v>77</v>
      </c>
    </row>
    <row r="874" spans="1:32" ht="18" customHeight="1">
      <c r="A874" s="1" t="s">
        <v>2719</v>
      </c>
      <c r="B874" s="1" t="s">
        <v>2720</v>
      </c>
      <c r="C874" s="4">
        <v>46066</v>
      </c>
      <c r="D874" s="4">
        <v>46088</v>
      </c>
      <c r="E874" s="4">
        <v>46081</v>
      </c>
      <c r="F874" s="1" t="s">
        <v>118</v>
      </c>
      <c r="G874" s="1" t="s">
        <v>119</v>
      </c>
      <c r="H874" s="1" t="s">
        <v>301</v>
      </c>
      <c r="I874" s="1" t="s">
        <v>92</v>
      </c>
      <c r="J874" s="1" t="s">
        <v>112</v>
      </c>
      <c r="K874" s="1" t="s">
        <v>2721</v>
      </c>
      <c r="L874" s="1" t="s">
        <v>229</v>
      </c>
      <c r="M874" s="1">
        <v>222.15</v>
      </c>
      <c r="N874" s="1" t="s">
        <v>159</v>
      </c>
      <c r="O874" s="1">
        <v>200</v>
      </c>
      <c r="P874" s="1">
        <v>44430</v>
      </c>
      <c r="Q874" s="1">
        <v>202</v>
      </c>
      <c r="R874" s="7">
        <v>0.02</v>
      </c>
      <c r="S874" s="1">
        <v>15</v>
      </c>
      <c r="T874" s="1" t="s">
        <v>3400</v>
      </c>
      <c r="U874" s="1">
        <v>-7</v>
      </c>
      <c r="V874" s="1" t="s">
        <v>270</v>
      </c>
      <c r="W874" s="1" t="s">
        <v>40</v>
      </c>
      <c r="X874" s="1" t="s">
        <v>146</v>
      </c>
      <c r="Y874" s="1" t="s">
        <v>212</v>
      </c>
      <c r="Z874" s="1" t="s">
        <v>128</v>
      </c>
      <c r="AA874" s="1" t="s">
        <v>3341</v>
      </c>
      <c r="AB874" s="1" t="s">
        <v>137</v>
      </c>
      <c r="AC874" s="1"/>
      <c r="AD874" s="1">
        <v>2.7</v>
      </c>
      <c r="AE874" s="1" t="s">
        <v>139</v>
      </c>
      <c r="AF874" s="1" t="s">
        <v>130</v>
      </c>
    </row>
    <row r="875" spans="1:32" ht="18" customHeight="1">
      <c r="A875" s="1" t="s">
        <v>2722</v>
      </c>
      <c r="B875" s="1" t="s">
        <v>2723</v>
      </c>
      <c r="C875" s="4">
        <v>46051</v>
      </c>
      <c r="D875" s="4">
        <v>46059</v>
      </c>
      <c r="E875" s="4">
        <v>46063</v>
      </c>
      <c r="F875" s="1" t="s">
        <v>162</v>
      </c>
      <c r="G875" s="1" t="s">
        <v>3444</v>
      </c>
      <c r="H875" s="1"/>
      <c r="I875" s="1" t="s">
        <v>83</v>
      </c>
      <c r="J875" s="1" t="s">
        <v>50</v>
      </c>
      <c r="K875" s="1" t="s">
        <v>2724</v>
      </c>
      <c r="L875" s="1" t="s">
        <v>189</v>
      </c>
      <c r="M875" s="1">
        <v>1707.13</v>
      </c>
      <c r="N875" s="1" t="s">
        <v>159</v>
      </c>
      <c r="O875" s="1">
        <v>1500</v>
      </c>
      <c r="P875" s="1">
        <v>2560695</v>
      </c>
      <c r="Q875" s="1">
        <v>43</v>
      </c>
      <c r="R875" s="7">
        <v>2.87E-2</v>
      </c>
      <c r="S875" s="1">
        <v>12</v>
      </c>
      <c r="T875" s="1" t="s">
        <v>3400</v>
      </c>
      <c r="U875" s="1">
        <v>4</v>
      </c>
      <c r="V875" s="1" t="s">
        <v>39</v>
      </c>
      <c r="W875" s="1" t="s">
        <v>40</v>
      </c>
      <c r="X875" s="1" t="s">
        <v>105</v>
      </c>
      <c r="Y875" s="1" t="s">
        <v>212</v>
      </c>
      <c r="Z875" s="1" t="s">
        <v>107</v>
      </c>
      <c r="AA875" s="1" t="s">
        <v>206</v>
      </c>
      <c r="AB875" s="1" t="s">
        <v>191</v>
      </c>
      <c r="AC875" s="1"/>
      <c r="AD875" s="1">
        <v>3.3</v>
      </c>
      <c r="AE875" s="1" t="s">
        <v>184</v>
      </c>
      <c r="AF875" s="1" t="s">
        <v>46</v>
      </c>
    </row>
    <row r="876" spans="1:32" ht="18" customHeight="1">
      <c r="A876" s="1" t="s">
        <v>2725</v>
      </c>
      <c r="B876" s="1" t="s">
        <v>2726</v>
      </c>
      <c r="C876" s="4">
        <v>46128</v>
      </c>
      <c r="D876" s="4">
        <v>46149</v>
      </c>
      <c r="E876" s="4">
        <v>46156</v>
      </c>
      <c r="F876" s="1" t="s">
        <v>32</v>
      </c>
      <c r="G876" s="1" t="s">
        <v>3422</v>
      </c>
      <c r="H876" s="1" t="s">
        <v>3319</v>
      </c>
      <c r="I876" s="1" t="s">
        <v>49</v>
      </c>
      <c r="J876" s="1" t="s">
        <v>35</v>
      </c>
      <c r="K876" s="1" t="s">
        <v>2727</v>
      </c>
      <c r="L876" s="1" t="s">
        <v>37</v>
      </c>
      <c r="M876" s="1">
        <v>1786.2</v>
      </c>
      <c r="N876" s="1" t="s">
        <v>86</v>
      </c>
      <c r="O876" s="1">
        <v>1000</v>
      </c>
      <c r="P876" s="1">
        <v>1786200</v>
      </c>
      <c r="Q876" s="1">
        <v>39</v>
      </c>
      <c r="R876" s="7">
        <v>3.9E-2</v>
      </c>
      <c r="S876" s="1">
        <v>28</v>
      </c>
      <c r="T876" s="1"/>
      <c r="U876" s="1">
        <v>7</v>
      </c>
      <c r="V876" s="1" t="s">
        <v>205</v>
      </c>
      <c r="W876" s="1" t="s">
        <v>40</v>
      </c>
      <c r="X876" s="1" t="s">
        <v>105</v>
      </c>
      <c r="Y876" s="1" t="s">
        <v>3334</v>
      </c>
      <c r="Z876" s="1" t="s">
        <v>173</v>
      </c>
      <c r="AA876" s="1" t="s">
        <v>206</v>
      </c>
      <c r="AB876" s="1" t="s">
        <v>95</v>
      </c>
      <c r="AC876" s="1"/>
      <c r="AD876" s="1">
        <v>2.4</v>
      </c>
      <c r="AE876" s="1" t="s">
        <v>45</v>
      </c>
      <c r="AF876" s="1" t="s">
        <v>46</v>
      </c>
    </row>
    <row r="877" spans="1:32" ht="18" customHeight="1">
      <c r="A877" s="1" t="s">
        <v>2728</v>
      </c>
      <c r="B877" s="1" t="s">
        <v>2729</v>
      </c>
      <c r="C877" s="4">
        <v>46049</v>
      </c>
      <c r="D877" s="4">
        <v>46062</v>
      </c>
      <c r="E877" s="4">
        <v>46068</v>
      </c>
      <c r="F877" s="1" t="s">
        <v>48</v>
      </c>
      <c r="G877" s="1" t="s">
        <v>3321</v>
      </c>
      <c r="H877" s="1" t="s">
        <v>3322</v>
      </c>
      <c r="I877" s="1" t="s">
        <v>70</v>
      </c>
      <c r="J877" s="1" t="s">
        <v>50</v>
      </c>
      <c r="K877" s="1" t="s">
        <v>2730</v>
      </c>
      <c r="L877" s="1" t="s">
        <v>145</v>
      </c>
      <c r="M877" s="1">
        <v>1445.24</v>
      </c>
      <c r="N877" s="1" t="s">
        <v>53</v>
      </c>
      <c r="O877" s="1">
        <v>300</v>
      </c>
      <c r="P877" s="1">
        <v>433572</v>
      </c>
      <c r="Q877" s="1">
        <v>5</v>
      </c>
      <c r="R877" s="7">
        <v>1.67E-2</v>
      </c>
      <c r="S877" s="1">
        <v>19</v>
      </c>
      <c r="T877" s="1">
        <v>13</v>
      </c>
      <c r="U877" s="1">
        <v>6</v>
      </c>
      <c r="V877" s="1" t="s">
        <v>39</v>
      </c>
      <c r="W877" s="1" t="s">
        <v>40</v>
      </c>
      <c r="X877" s="1" t="s">
        <v>3324</v>
      </c>
      <c r="Y877" s="1" t="s">
        <v>3334</v>
      </c>
      <c r="Z877" s="1"/>
      <c r="AA877" s="1" t="s">
        <v>88</v>
      </c>
      <c r="AB877" s="1" t="s">
        <v>44</v>
      </c>
      <c r="AC877" s="1"/>
      <c r="AD877" s="1"/>
      <c r="AE877" s="1" t="s">
        <v>139</v>
      </c>
      <c r="AF877" s="1" t="s">
        <v>46</v>
      </c>
    </row>
    <row r="878" spans="1:32" ht="18" hidden="1" customHeight="1">
      <c r="A878" s="1" t="s">
        <v>2731</v>
      </c>
      <c r="B878" s="1" t="s">
        <v>2732</v>
      </c>
      <c r="C878" s="4" t="s">
        <v>3772</v>
      </c>
      <c r="D878" s="1">
        <v>46175</v>
      </c>
      <c r="E878" s="1">
        <v>46182</v>
      </c>
      <c r="F878" s="1" t="s">
        <v>48</v>
      </c>
      <c r="G878" s="1" t="s">
        <v>232</v>
      </c>
      <c r="H878" s="1" t="s">
        <v>102</v>
      </c>
      <c r="I878" s="1" t="s">
        <v>241</v>
      </c>
      <c r="J878" s="1" t="s">
        <v>50</v>
      </c>
      <c r="K878" s="1" t="s">
        <v>2733</v>
      </c>
      <c r="L878" s="1" t="s">
        <v>126</v>
      </c>
      <c r="M878" s="1">
        <v>2043.88</v>
      </c>
      <c r="N878" s="1" t="s">
        <v>104</v>
      </c>
      <c r="O878" s="1">
        <v>1500</v>
      </c>
      <c r="P878" s="1">
        <v>3065820</v>
      </c>
      <c r="Q878" s="1">
        <v>64</v>
      </c>
      <c r="R878" s="7">
        <v>4.2700000000000002E-2</v>
      </c>
      <c r="S878" s="1">
        <v>22</v>
      </c>
      <c r="T878" s="1">
        <v>15</v>
      </c>
      <c r="U878" s="1">
        <v>7</v>
      </c>
      <c r="V878" s="1" t="s">
        <v>39</v>
      </c>
      <c r="W878" s="1" t="s">
        <v>74</v>
      </c>
      <c r="X878" s="1" t="s">
        <v>105</v>
      </c>
      <c r="Y878" s="1" t="s">
        <v>42</v>
      </c>
      <c r="Z878" s="1" t="s">
        <v>128</v>
      </c>
      <c r="AA878" s="1" t="s">
        <v>129</v>
      </c>
      <c r="AB878" s="1" t="s">
        <v>147</v>
      </c>
      <c r="AC878" s="1" t="s">
        <v>183</v>
      </c>
      <c r="AD878" s="1">
        <v>2</v>
      </c>
      <c r="AE878" s="1" t="s">
        <v>139</v>
      </c>
      <c r="AF878" s="1" t="s">
        <v>77</v>
      </c>
    </row>
    <row r="879" spans="1:32" ht="18" customHeight="1">
      <c r="A879" s="1" t="s">
        <v>2734</v>
      </c>
      <c r="B879" s="1" t="s">
        <v>2735</v>
      </c>
      <c r="C879" s="4">
        <v>46162</v>
      </c>
      <c r="D879" s="4"/>
      <c r="E879" s="4">
        <v>46180</v>
      </c>
      <c r="F879" s="1" t="s">
        <v>60</v>
      </c>
      <c r="G879" s="1" t="s">
        <v>3326</v>
      </c>
      <c r="H879" s="1" t="s">
        <v>3327</v>
      </c>
      <c r="I879" s="1" t="s">
        <v>34</v>
      </c>
      <c r="J879" s="1" t="s">
        <v>62</v>
      </c>
      <c r="K879" s="1" t="s">
        <v>1592</v>
      </c>
      <c r="L879" s="1" t="s">
        <v>122</v>
      </c>
      <c r="M879" s="1">
        <v>399.76</v>
      </c>
      <c r="N879" s="1" t="s">
        <v>104</v>
      </c>
      <c r="O879" s="1">
        <v>200</v>
      </c>
      <c r="P879" s="1">
        <v>79952</v>
      </c>
      <c r="Q879" s="1">
        <v>5</v>
      </c>
      <c r="R879" s="7">
        <v>2.5000000000000001E-2</v>
      </c>
      <c r="S879" s="1">
        <v>18</v>
      </c>
      <c r="T879" s="1">
        <v>10</v>
      </c>
      <c r="U879" s="1">
        <v>8</v>
      </c>
      <c r="V879" s="1" t="s">
        <v>3328</v>
      </c>
      <c r="W879" s="1" t="s">
        <v>40</v>
      </c>
      <c r="X879" s="1" t="s">
        <v>105</v>
      </c>
      <c r="Y879" s="1" t="s">
        <v>66</v>
      </c>
      <c r="Z879" s="1"/>
      <c r="AA879" s="1" t="s">
        <v>3341</v>
      </c>
      <c r="AB879" s="1" t="s">
        <v>56</v>
      </c>
      <c r="AC879" s="1"/>
      <c r="AD879" s="1">
        <v>1.6</v>
      </c>
      <c r="AE879" s="1" t="s">
        <v>45</v>
      </c>
      <c r="AF879" s="1" t="s">
        <v>46</v>
      </c>
    </row>
    <row r="880" spans="1:32" ht="18" customHeight="1">
      <c r="A880" s="1" t="s">
        <v>2736</v>
      </c>
      <c r="B880" s="1" t="s">
        <v>2737</v>
      </c>
      <c r="C880" s="4">
        <v>46189</v>
      </c>
      <c r="D880" s="4" t="s">
        <v>3436</v>
      </c>
      <c r="E880" s="4">
        <v>46201</v>
      </c>
      <c r="F880" s="1" t="s">
        <v>118</v>
      </c>
      <c r="G880" s="1" t="s">
        <v>119</v>
      </c>
      <c r="H880" s="1" t="s">
        <v>3340</v>
      </c>
      <c r="I880" s="1" t="s">
        <v>70</v>
      </c>
      <c r="J880" s="1" t="s">
        <v>62</v>
      </c>
      <c r="K880" s="1" t="s">
        <v>1640</v>
      </c>
      <c r="L880" s="1" t="s">
        <v>94</v>
      </c>
      <c r="M880" s="1">
        <v>23.4</v>
      </c>
      <c r="N880" s="1" t="s">
        <v>38</v>
      </c>
      <c r="O880" s="1">
        <v>250</v>
      </c>
      <c r="P880" s="1">
        <v>5850</v>
      </c>
      <c r="Q880" s="1">
        <v>6</v>
      </c>
      <c r="R880" s="7">
        <v>2.4E-2</v>
      </c>
      <c r="S880" s="1">
        <v>12</v>
      </c>
      <c r="T880" s="1">
        <v>14</v>
      </c>
      <c r="U880" s="1">
        <v>-2</v>
      </c>
      <c r="V880" s="1" t="s">
        <v>3337</v>
      </c>
      <c r="W880" s="1" t="s">
        <v>40</v>
      </c>
      <c r="X880" s="1"/>
      <c r="Y880" s="1" t="s">
        <v>190</v>
      </c>
      <c r="Z880" s="1" t="s">
        <v>173</v>
      </c>
      <c r="AA880" s="1" t="s">
        <v>136</v>
      </c>
      <c r="AB880" s="1" t="s">
        <v>56</v>
      </c>
      <c r="AC880" s="1"/>
      <c r="AD880" s="1">
        <v>3.7</v>
      </c>
      <c r="AE880" s="1" t="s">
        <v>115</v>
      </c>
      <c r="AF880" s="1" t="s">
        <v>130</v>
      </c>
    </row>
    <row r="881" spans="1:32" ht="18" customHeight="1">
      <c r="A881" s="1" t="s">
        <v>2738</v>
      </c>
      <c r="B881" s="1" t="s">
        <v>2739</v>
      </c>
      <c r="C881" s="4">
        <v>46183</v>
      </c>
      <c r="D881" s="4">
        <v>46209</v>
      </c>
      <c r="E881" s="4" t="s">
        <v>3773</v>
      </c>
      <c r="F881" s="1" t="s">
        <v>118</v>
      </c>
      <c r="G881" s="1"/>
      <c r="H881" s="1" t="s">
        <v>3369</v>
      </c>
      <c r="I881" s="1" t="s">
        <v>34</v>
      </c>
      <c r="J881" s="1" t="s">
        <v>62</v>
      </c>
      <c r="K881" s="1" t="s">
        <v>2740</v>
      </c>
      <c r="L881" s="1" t="s">
        <v>225</v>
      </c>
      <c r="M881" s="1">
        <v>-190.85</v>
      </c>
      <c r="N881" s="1" t="s">
        <v>65</v>
      </c>
      <c r="O881" s="1">
        <v>75</v>
      </c>
      <c r="P881" s="1">
        <v>14313.75</v>
      </c>
      <c r="Q881" s="1">
        <v>3</v>
      </c>
      <c r="R881" s="7">
        <v>0.04</v>
      </c>
      <c r="S881" s="1">
        <v>28</v>
      </c>
      <c r="T881" s="1">
        <v>26</v>
      </c>
      <c r="U881" s="1">
        <v>2</v>
      </c>
      <c r="V881" s="1" t="s">
        <v>3323</v>
      </c>
      <c r="W881" s="1" t="s">
        <v>40</v>
      </c>
      <c r="X881" s="1" t="s">
        <v>146</v>
      </c>
      <c r="Y881" s="1" t="s">
        <v>106</v>
      </c>
      <c r="Z881" s="1"/>
      <c r="AA881" s="1" t="s">
        <v>174</v>
      </c>
      <c r="AB881" s="1" t="s">
        <v>44</v>
      </c>
      <c r="AC881" s="1"/>
      <c r="AD881" s="1">
        <v>4.8</v>
      </c>
      <c r="AE881" s="1" t="s">
        <v>139</v>
      </c>
      <c r="AF881" s="1" t="s">
        <v>148</v>
      </c>
    </row>
    <row r="882" spans="1:32" ht="18" customHeight="1">
      <c r="A882" s="1" t="s">
        <v>2741</v>
      </c>
      <c r="B882" s="1" t="s">
        <v>2742</v>
      </c>
      <c r="C882" s="4">
        <v>46111</v>
      </c>
      <c r="D882" s="4">
        <v>46119</v>
      </c>
      <c r="E882" s="4" t="s">
        <v>3404</v>
      </c>
      <c r="F882" s="1" t="s">
        <v>60</v>
      </c>
      <c r="G882" s="1" t="s">
        <v>466</v>
      </c>
      <c r="H882" s="1" t="s">
        <v>3327</v>
      </c>
      <c r="I882" s="1" t="s">
        <v>49</v>
      </c>
      <c r="J882" s="1" t="s">
        <v>62</v>
      </c>
      <c r="K882" s="1" t="s">
        <v>2743</v>
      </c>
      <c r="L882" s="1" t="s">
        <v>64</v>
      </c>
      <c r="M882" s="1">
        <v>675.56</v>
      </c>
      <c r="N882" s="1" t="s">
        <v>86</v>
      </c>
      <c r="O882" s="1">
        <v>2000</v>
      </c>
      <c r="P882" s="1">
        <v>1351120</v>
      </c>
      <c r="Q882" s="1">
        <v>40</v>
      </c>
      <c r="R882" s="7">
        <v>0.02</v>
      </c>
      <c r="S882" s="1">
        <v>7</v>
      </c>
      <c r="T882" s="1">
        <v>8</v>
      </c>
      <c r="U882" s="1">
        <v>-1</v>
      </c>
      <c r="V882" s="1" t="s">
        <v>3352</v>
      </c>
      <c r="W882" s="1" t="s">
        <v>40</v>
      </c>
      <c r="X882" s="1" t="s">
        <v>146</v>
      </c>
      <c r="Y882" s="1" t="s">
        <v>3334</v>
      </c>
      <c r="Z882" s="1" t="s">
        <v>54</v>
      </c>
      <c r="AA882" s="1" t="s">
        <v>174</v>
      </c>
      <c r="AB882" s="1"/>
      <c r="AC882" s="1"/>
      <c r="AD882" s="1">
        <v>2.2000000000000002</v>
      </c>
      <c r="AE882" s="1" t="s">
        <v>76</v>
      </c>
      <c r="AF882" s="1" t="s">
        <v>130</v>
      </c>
    </row>
    <row r="883" spans="1:32" ht="18" customHeight="1">
      <c r="A883" s="1" t="s">
        <v>2744</v>
      </c>
      <c r="B883" s="1" t="s">
        <v>2745</v>
      </c>
      <c r="C883" s="4"/>
      <c r="D883" s="4" t="s">
        <v>3436</v>
      </c>
      <c r="E883" s="4">
        <v>46108</v>
      </c>
      <c r="F883" s="1" t="s">
        <v>392</v>
      </c>
      <c r="G883" s="1" t="s">
        <v>143</v>
      </c>
      <c r="H883" s="1" t="s">
        <v>3405</v>
      </c>
      <c r="I883" s="1" t="s">
        <v>34</v>
      </c>
      <c r="J883" s="1" t="s">
        <v>50</v>
      </c>
      <c r="K883" s="1" t="s">
        <v>2746</v>
      </c>
      <c r="L883" s="1" t="s">
        <v>189</v>
      </c>
      <c r="M883" s="1">
        <v>50.31</v>
      </c>
      <c r="N883" s="1" t="s">
        <v>53</v>
      </c>
      <c r="O883" s="1">
        <v>100</v>
      </c>
      <c r="P883" s="1">
        <v>5031</v>
      </c>
      <c r="Q883" s="1">
        <v>0</v>
      </c>
      <c r="R883" s="7">
        <v>0</v>
      </c>
      <c r="S883" s="1">
        <v>17</v>
      </c>
      <c r="T883" s="1">
        <v>20</v>
      </c>
      <c r="U883" s="1">
        <v>-3</v>
      </c>
      <c r="V883" s="1" t="s">
        <v>87</v>
      </c>
      <c r="W883" s="1" t="s">
        <v>40</v>
      </c>
      <c r="X883" s="1" t="s">
        <v>146</v>
      </c>
      <c r="Y883" s="1" t="s">
        <v>3334</v>
      </c>
      <c r="Z883" s="1" t="s">
        <v>173</v>
      </c>
      <c r="AA883" s="1" t="s">
        <v>3341</v>
      </c>
      <c r="AB883" s="1" t="s">
        <v>137</v>
      </c>
      <c r="AC883" s="1"/>
      <c r="AD883" s="1">
        <v>3.7</v>
      </c>
      <c r="AE883" s="1" t="s">
        <v>76</v>
      </c>
      <c r="AF883" s="1" t="s">
        <v>1308</v>
      </c>
    </row>
    <row r="884" spans="1:32" ht="18" customHeight="1">
      <c r="A884" s="1" t="s">
        <v>2747</v>
      </c>
      <c r="B884" s="1" t="s">
        <v>2748</v>
      </c>
      <c r="C884" s="4">
        <v>46126</v>
      </c>
      <c r="D884" s="4">
        <v>46135</v>
      </c>
      <c r="E884" s="4">
        <v>46132</v>
      </c>
      <c r="F884" s="1" t="s">
        <v>209</v>
      </c>
      <c r="G884" s="1" t="s">
        <v>210</v>
      </c>
      <c r="H884" s="1" t="s">
        <v>3390</v>
      </c>
      <c r="I884" s="1" t="s">
        <v>241</v>
      </c>
      <c r="J884" s="1" t="s">
        <v>153</v>
      </c>
      <c r="K884" s="1" t="s">
        <v>2749</v>
      </c>
      <c r="L884" s="1" t="s">
        <v>295</v>
      </c>
      <c r="M884" s="1">
        <v>45.87</v>
      </c>
      <c r="N884" s="1" t="s">
        <v>53</v>
      </c>
      <c r="O884" s="1">
        <v>200</v>
      </c>
      <c r="P884" s="1">
        <v>9174</v>
      </c>
      <c r="Q884" s="1">
        <v>1</v>
      </c>
      <c r="R884" s="7">
        <v>5.0000000000000001E-3</v>
      </c>
      <c r="S884" s="1">
        <v>6</v>
      </c>
      <c r="T884" s="1">
        <v>9</v>
      </c>
      <c r="U884" s="1">
        <v>-3</v>
      </c>
      <c r="V884" s="1" t="s">
        <v>3337</v>
      </c>
      <c r="W884" s="1" t="s">
        <v>40</v>
      </c>
      <c r="X884" s="1" t="s">
        <v>105</v>
      </c>
      <c r="Y884" s="1" t="s">
        <v>212</v>
      </c>
      <c r="Z884" s="1" t="s">
        <v>3330</v>
      </c>
      <c r="AA884" s="1" t="s">
        <v>136</v>
      </c>
      <c r="AB884" s="1" t="s">
        <v>44</v>
      </c>
      <c r="AC884" s="1"/>
      <c r="AD884" s="1">
        <v>4.4000000000000004</v>
      </c>
      <c r="AE884" s="1" t="s">
        <v>184</v>
      </c>
      <c r="AF884" s="1"/>
    </row>
    <row r="885" spans="1:32" ht="18" hidden="1" customHeight="1">
      <c r="A885" s="1" t="s">
        <v>2750</v>
      </c>
      <c r="B885" s="1" t="s">
        <v>2751</v>
      </c>
      <c r="C885" s="4">
        <v>46040</v>
      </c>
      <c r="D885" s="1" t="s">
        <v>3774</v>
      </c>
      <c r="E885" s="1">
        <v>46040</v>
      </c>
      <c r="F885" s="1" t="s">
        <v>151</v>
      </c>
      <c r="G885" s="1" t="s">
        <v>3353</v>
      </c>
      <c r="H885" s="1" t="s">
        <v>3354</v>
      </c>
      <c r="I885" s="1" t="s">
        <v>49</v>
      </c>
      <c r="J885" s="1" t="s">
        <v>112</v>
      </c>
      <c r="K885" s="1" t="s">
        <v>2752</v>
      </c>
      <c r="L885" s="1" t="s">
        <v>218</v>
      </c>
      <c r="M885" s="1">
        <v>496.79</v>
      </c>
      <c r="N885" s="1" t="s">
        <v>159</v>
      </c>
      <c r="O885" s="1">
        <v>75</v>
      </c>
      <c r="P885" s="1">
        <v>37259.25</v>
      </c>
      <c r="Q885" s="1">
        <v>4</v>
      </c>
      <c r="R885" s="7">
        <v>5.33E-2</v>
      </c>
      <c r="S885" s="1">
        <v>0</v>
      </c>
      <c r="T885" s="1">
        <v>3</v>
      </c>
      <c r="U885" s="1">
        <v>-3</v>
      </c>
      <c r="V885" s="1" t="s">
        <v>87</v>
      </c>
      <c r="W885" s="1" t="s">
        <v>3384</v>
      </c>
      <c r="X885" s="1" t="s">
        <v>3324</v>
      </c>
      <c r="Y885" s="1" t="s">
        <v>42</v>
      </c>
      <c r="Z885" s="1" t="s">
        <v>107</v>
      </c>
      <c r="AA885" s="1" t="s">
        <v>129</v>
      </c>
      <c r="AB885" s="1" t="s">
        <v>44</v>
      </c>
      <c r="AC885" s="1" t="s">
        <v>96</v>
      </c>
      <c r="AD885" s="1">
        <v>2.2999999999999998</v>
      </c>
      <c r="AE885" s="1" t="s">
        <v>139</v>
      </c>
      <c r="AF885" s="1" t="s">
        <v>97</v>
      </c>
    </row>
    <row r="886" spans="1:32" ht="18" customHeight="1">
      <c r="A886" s="1" t="s">
        <v>2753</v>
      </c>
      <c r="B886" s="1" t="s">
        <v>2754</v>
      </c>
      <c r="C886" s="4">
        <v>46116</v>
      </c>
      <c r="D886" s="4">
        <v>46128</v>
      </c>
      <c r="E886" s="4">
        <v>46134</v>
      </c>
      <c r="F886" s="1" t="s">
        <v>209</v>
      </c>
      <c r="G886" s="1" t="s">
        <v>3389</v>
      </c>
      <c r="H886" s="1" t="s">
        <v>316</v>
      </c>
      <c r="I886" s="1" t="s">
        <v>61</v>
      </c>
      <c r="J886" s="1" t="s">
        <v>153</v>
      </c>
      <c r="K886" s="1" t="s">
        <v>2755</v>
      </c>
      <c r="L886" s="1" t="s">
        <v>318</v>
      </c>
      <c r="M886" s="1">
        <v>259.52</v>
      </c>
      <c r="N886" s="1" t="s">
        <v>53</v>
      </c>
      <c r="O886" s="1">
        <v>50</v>
      </c>
      <c r="P886" s="1">
        <v>12976</v>
      </c>
      <c r="Q886" s="1">
        <v>-1</v>
      </c>
      <c r="R886" s="7">
        <v>0.02</v>
      </c>
      <c r="S886" s="1">
        <v>18</v>
      </c>
      <c r="T886" s="1">
        <v>12</v>
      </c>
      <c r="U886" s="1">
        <v>6</v>
      </c>
      <c r="V886" s="1" t="s">
        <v>205</v>
      </c>
      <c r="W886" s="1" t="s">
        <v>40</v>
      </c>
      <c r="X886" s="1" t="s">
        <v>3329</v>
      </c>
      <c r="Y886" s="1" t="s">
        <v>42</v>
      </c>
      <c r="Z886" s="1" t="s">
        <v>173</v>
      </c>
      <c r="AA886" s="1" t="s">
        <v>129</v>
      </c>
      <c r="AB886" s="1" t="s">
        <v>137</v>
      </c>
      <c r="AC886" s="1"/>
      <c r="AD886" s="1">
        <v>1.2</v>
      </c>
      <c r="AE886" s="1" t="s">
        <v>76</v>
      </c>
      <c r="AF886" s="1" t="s">
        <v>46</v>
      </c>
    </row>
    <row r="887" spans="1:32" ht="18" customHeight="1">
      <c r="A887" s="1" t="s">
        <v>2756</v>
      </c>
      <c r="B887" s="1" t="s">
        <v>2757</v>
      </c>
      <c r="C887" s="4">
        <v>46101</v>
      </c>
      <c r="D887" s="4">
        <v>46109</v>
      </c>
      <c r="E887" s="4">
        <v>46118</v>
      </c>
      <c r="F887" s="1" t="s">
        <v>80</v>
      </c>
      <c r="G887" s="1" t="s">
        <v>81</v>
      </c>
      <c r="H887" s="1" t="s">
        <v>82</v>
      </c>
      <c r="I887" s="1" t="s">
        <v>49</v>
      </c>
      <c r="J887" s="1" t="s">
        <v>35</v>
      </c>
      <c r="K887" s="1" t="s">
        <v>2758</v>
      </c>
      <c r="L887" s="1" t="s">
        <v>85</v>
      </c>
      <c r="M887" s="1">
        <v>3711.32</v>
      </c>
      <c r="N887" s="1" t="s">
        <v>38</v>
      </c>
      <c r="O887" s="1">
        <v>50</v>
      </c>
      <c r="P887" s="1">
        <v>185566</v>
      </c>
      <c r="Q887" s="1">
        <v>2</v>
      </c>
      <c r="R887" s="7">
        <v>0.04</v>
      </c>
      <c r="S887" s="1">
        <v>17</v>
      </c>
      <c r="T887" s="1">
        <v>8</v>
      </c>
      <c r="U887" s="1">
        <v>9</v>
      </c>
      <c r="V887" s="1" t="s">
        <v>205</v>
      </c>
      <c r="W887" s="1" t="s">
        <v>40</v>
      </c>
      <c r="X887" s="1" t="s">
        <v>105</v>
      </c>
      <c r="Y887" s="1" t="s">
        <v>190</v>
      </c>
      <c r="Z887" s="1" t="s">
        <v>43</v>
      </c>
      <c r="AA887" s="1" t="s">
        <v>136</v>
      </c>
      <c r="AB887" s="1"/>
      <c r="AC887" s="1"/>
      <c r="AD887" s="1">
        <v>1.4</v>
      </c>
      <c r="AE887" s="1" t="s">
        <v>45</v>
      </c>
      <c r="AF887" s="1" t="s">
        <v>46</v>
      </c>
    </row>
    <row r="888" spans="1:32" ht="18" customHeight="1">
      <c r="A888" s="1" t="s">
        <v>2759</v>
      </c>
      <c r="B888" s="1" t="s">
        <v>2760</v>
      </c>
      <c r="C888" s="4">
        <v>46033</v>
      </c>
      <c r="D888" s="4">
        <v>46042</v>
      </c>
      <c r="E888" s="4" t="s">
        <v>3775</v>
      </c>
      <c r="F888" s="1" t="s">
        <v>209</v>
      </c>
      <c r="G888" s="1" t="s">
        <v>210</v>
      </c>
      <c r="H888" s="1" t="s">
        <v>3365</v>
      </c>
      <c r="I888" s="1" t="s">
        <v>49</v>
      </c>
      <c r="J888" s="1" t="s">
        <v>153</v>
      </c>
      <c r="K888" s="1" t="s">
        <v>2761</v>
      </c>
      <c r="L888" s="1" t="s">
        <v>155</v>
      </c>
      <c r="M888" s="1">
        <v>678.42</v>
      </c>
      <c r="N888" s="1" t="s">
        <v>53</v>
      </c>
      <c r="O888" s="1"/>
      <c r="P888" s="1">
        <v>169605</v>
      </c>
      <c r="Q888" s="1">
        <v>0</v>
      </c>
      <c r="R888" s="7">
        <v>0</v>
      </c>
      <c r="S888" s="1">
        <v>22</v>
      </c>
      <c r="T888" s="1">
        <v>9</v>
      </c>
      <c r="U888" s="1">
        <v>13</v>
      </c>
      <c r="V888" s="1" t="s">
        <v>39</v>
      </c>
      <c r="W888" s="1" t="s">
        <v>40</v>
      </c>
      <c r="X888" s="1" t="s">
        <v>127</v>
      </c>
      <c r="Y888" s="1" t="s">
        <v>3334</v>
      </c>
      <c r="Z888" s="1" t="s">
        <v>128</v>
      </c>
      <c r="AA888" s="1" t="s">
        <v>88</v>
      </c>
      <c r="AB888" s="1" t="s">
        <v>147</v>
      </c>
      <c r="AC888" s="1"/>
      <c r="AD888" s="1">
        <v>2.6</v>
      </c>
      <c r="AE888" s="1" t="s">
        <v>184</v>
      </c>
      <c r="AF888" s="1" t="s">
        <v>148</v>
      </c>
    </row>
    <row r="889" spans="1:32" ht="18" customHeight="1">
      <c r="A889" s="1" t="s">
        <v>2762</v>
      </c>
      <c r="B889" s="1" t="s">
        <v>2763</v>
      </c>
      <c r="C889" s="4">
        <v>46127</v>
      </c>
      <c r="D889" s="4">
        <v>46140</v>
      </c>
      <c r="E889" s="4">
        <v>46148</v>
      </c>
      <c r="F889" s="1" t="s">
        <v>60</v>
      </c>
      <c r="G889" s="1" t="s">
        <v>466</v>
      </c>
      <c r="H889" s="1" t="s">
        <v>152</v>
      </c>
      <c r="I889" s="1" t="s">
        <v>34</v>
      </c>
      <c r="J889" s="1" t="s">
        <v>62</v>
      </c>
      <c r="K889" s="1" t="s">
        <v>2764</v>
      </c>
      <c r="L889" s="1" t="s">
        <v>225</v>
      </c>
      <c r="M889" s="1">
        <v>511.09</v>
      </c>
      <c r="N889" s="1" t="s">
        <v>104</v>
      </c>
      <c r="O889" s="1">
        <v>300</v>
      </c>
      <c r="P889" s="1">
        <v>153327</v>
      </c>
      <c r="Q889" s="1">
        <v>0</v>
      </c>
      <c r="R889" s="7">
        <v>0</v>
      </c>
      <c r="S889" s="1">
        <v>21</v>
      </c>
      <c r="T889" s="1">
        <v>13</v>
      </c>
      <c r="U889" s="1">
        <v>8</v>
      </c>
      <c r="V889" s="1" t="s">
        <v>3328</v>
      </c>
      <c r="W889" s="1" t="s">
        <v>40</v>
      </c>
      <c r="X889" s="1" t="s">
        <v>41</v>
      </c>
      <c r="Y889" s="1" t="s">
        <v>106</v>
      </c>
      <c r="Z889" s="1" t="s">
        <v>54</v>
      </c>
      <c r="AA889" s="1" t="s">
        <v>129</v>
      </c>
      <c r="AB889" s="1" t="s">
        <v>191</v>
      </c>
      <c r="AC889" s="1"/>
      <c r="AD889" s="1">
        <v>1.5</v>
      </c>
      <c r="AE889" s="1" t="s">
        <v>76</v>
      </c>
      <c r="AF889" s="1" t="s">
        <v>46</v>
      </c>
    </row>
    <row r="890" spans="1:32" ht="18" customHeight="1">
      <c r="A890" s="1" t="s">
        <v>2765</v>
      </c>
      <c r="B890" s="1" t="s">
        <v>2766</v>
      </c>
      <c r="C890" s="4">
        <v>46094</v>
      </c>
      <c r="D890" s="4">
        <v>46099</v>
      </c>
      <c r="E890" s="4">
        <v>46096</v>
      </c>
      <c r="F890" s="1" t="s">
        <v>151</v>
      </c>
      <c r="G890" s="1" t="s">
        <v>3353</v>
      </c>
      <c r="H890" s="1" t="s">
        <v>3354</v>
      </c>
      <c r="I890" s="1" t="s">
        <v>178</v>
      </c>
      <c r="J890" s="1" t="s">
        <v>112</v>
      </c>
      <c r="K890" s="1" t="s">
        <v>2767</v>
      </c>
      <c r="L890" s="1" t="s">
        <v>114</v>
      </c>
      <c r="M890" s="1"/>
      <c r="N890" s="1" t="s">
        <v>38</v>
      </c>
      <c r="O890" s="1">
        <v>750</v>
      </c>
      <c r="P890" s="1">
        <v>420877.5</v>
      </c>
      <c r="Q890" s="1">
        <v>6</v>
      </c>
      <c r="R890" s="7">
        <v>8.0000000000000002E-3</v>
      </c>
      <c r="S890" s="1">
        <v>2</v>
      </c>
      <c r="T890" s="1">
        <v>5</v>
      </c>
      <c r="U890" s="1">
        <v>-3</v>
      </c>
      <c r="V890" s="1" t="s">
        <v>87</v>
      </c>
      <c r="W890" s="1" t="s">
        <v>40</v>
      </c>
      <c r="X890" s="1" t="s">
        <v>105</v>
      </c>
      <c r="Y890" s="1" t="s">
        <v>106</v>
      </c>
      <c r="Z890" s="1" t="s">
        <v>3330</v>
      </c>
      <c r="AA890" s="1" t="s">
        <v>55</v>
      </c>
      <c r="AB890" s="1"/>
      <c r="AC890" s="1"/>
      <c r="AD890" s="1">
        <v>4.2</v>
      </c>
      <c r="AE890" s="1" t="s">
        <v>45</v>
      </c>
      <c r="AF890" s="1"/>
    </row>
    <row r="891" spans="1:32" ht="18" customHeight="1">
      <c r="A891" s="1" t="s">
        <v>2768</v>
      </c>
      <c r="B891" s="1" t="s">
        <v>2769</v>
      </c>
      <c r="C891" s="4" t="s">
        <v>3110</v>
      </c>
      <c r="D891" s="4">
        <v>46181</v>
      </c>
      <c r="E891" s="4">
        <v>46204</v>
      </c>
      <c r="F891" s="1" t="s">
        <v>151</v>
      </c>
      <c r="G891" s="1" t="s">
        <v>3351</v>
      </c>
      <c r="H891" s="1" t="s">
        <v>3408</v>
      </c>
      <c r="I891" s="1" t="s">
        <v>61</v>
      </c>
      <c r="J891" s="1" t="s">
        <v>112</v>
      </c>
      <c r="K891" s="1" t="s">
        <v>2770</v>
      </c>
      <c r="L891" s="1" t="s">
        <v>229</v>
      </c>
      <c r="M891" s="1">
        <v>734.62</v>
      </c>
      <c r="N891" s="1" t="s">
        <v>104</v>
      </c>
      <c r="O891" s="1">
        <v>100</v>
      </c>
      <c r="P891" s="1">
        <v>73462</v>
      </c>
      <c r="Q891" s="1">
        <v>1</v>
      </c>
      <c r="R891" s="7">
        <v>0.01</v>
      </c>
      <c r="S891" s="1"/>
      <c r="T891" s="1">
        <v>4</v>
      </c>
      <c r="U891" s="1">
        <v>23</v>
      </c>
      <c r="V891" s="1" t="s">
        <v>3328</v>
      </c>
      <c r="W891" s="1" t="s">
        <v>404</v>
      </c>
      <c r="X891" s="1" t="s">
        <v>105</v>
      </c>
      <c r="Y891" s="1" t="s">
        <v>212</v>
      </c>
      <c r="Z891" s="1" t="s">
        <v>3330</v>
      </c>
      <c r="AA891" s="1" t="s">
        <v>55</v>
      </c>
      <c r="AB891" s="1" t="s">
        <v>191</v>
      </c>
      <c r="AC891" s="1"/>
      <c r="AD891" s="1">
        <v>2.9</v>
      </c>
      <c r="AE891" s="1" t="s">
        <v>108</v>
      </c>
      <c r="AF891" s="1" t="s">
        <v>46</v>
      </c>
    </row>
    <row r="892" spans="1:32" ht="18" customHeight="1">
      <c r="A892" s="1" t="s">
        <v>2771</v>
      </c>
      <c r="B892" s="1" t="s">
        <v>2772</v>
      </c>
      <c r="C892" s="4">
        <v>46035</v>
      </c>
      <c r="D892" s="4">
        <v>46048</v>
      </c>
      <c r="E892" s="4">
        <v>46051</v>
      </c>
      <c r="F892" s="1" t="s">
        <v>100</v>
      </c>
      <c r="G892" s="1" t="s">
        <v>3343</v>
      </c>
      <c r="H892" s="1" t="s">
        <v>3361</v>
      </c>
      <c r="I892" s="1" t="s">
        <v>241</v>
      </c>
      <c r="J892" s="1" t="s">
        <v>35</v>
      </c>
      <c r="K892" s="1" t="s">
        <v>1205</v>
      </c>
      <c r="L892" s="1" t="s">
        <v>200</v>
      </c>
      <c r="M892" s="1">
        <v>3488.88</v>
      </c>
      <c r="N892" s="1" t="s">
        <v>53</v>
      </c>
      <c r="O892" s="1">
        <v>-150</v>
      </c>
      <c r="P892" s="1">
        <v>523332</v>
      </c>
      <c r="Q892" s="1">
        <v>0</v>
      </c>
      <c r="R892" s="7">
        <v>0</v>
      </c>
      <c r="S892" s="1">
        <v>16</v>
      </c>
      <c r="T892" s="1">
        <v>13</v>
      </c>
      <c r="U892" s="1">
        <v>3</v>
      </c>
      <c r="V892" s="1" t="s">
        <v>3323</v>
      </c>
      <c r="W892" s="1" t="s">
        <v>40</v>
      </c>
      <c r="X892" s="1" t="s">
        <v>105</v>
      </c>
      <c r="Y892" s="1" t="s">
        <v>42</v>
      </c>
      <c r="Z892" s="1" t="s">
        <v>3333</v>
      </c>
      <c r="AA892" s="1" t="s">
        <v>88</v>
      </c>
      <c r="AB892" s="1" t="s">
        <v>147</v>
      </c>
      <c r="AC892" s="1"/>
      <c r="AD892" s="1">
        <v>2.7</v>
      </c>
      <c r="AE892" s="1" t="s">
        <v>139</v>
      </c>
      <c r="AF892" s="1" t="s">
        <v>46</v>
      </c>
    </row>
    <row r="893" spans="1:32" ht="18" hidden="1" customHeight="1">
      <c r="A893" s="1" t="s">
        <v>2773</v>
      </c>
      <c r="B893" s="1" t="s">
        <v>2774</v>
      </c>
      <c r="C893" s="4">
        <v>46192</v>
      </c>
      <c r="D893" s="1">
        <v>46199</v>
      </c>
      <c r="E893" s="1">
        <v>46202</v>
      </c>
      <c r="F893" s="1" t="s">
        <v>209</v>
      </c>
      <c r="G893" s="1" t="s">
        <v>3482</v>
      </c>
      <c r="H893" s="1" t="s">
        <v>3390</v>
      </c>
      <c r="I893" s="1" t="s">
        <v>61</v>
      </c>
      <c r="J893" s="1" t="s">
        <v>153</v>
      </c>
      <c r="K893" s="1" t="s">
        <v>2636</v>
      </c>
      <c r="L893" s="1" t="s">
        <v>318</v>
      </c>
      <c r="M893" s="1">
        <v>20.43</v>
      </c>
      <c r="N893" s="1" t="s">
        <v>3534</v>
      </c>
      <c r="O893" s="1">
        <v>2000</v>
      </c>
      <c r="P893" s="1">
        <v>40860</v>
      </c>
      <c r="Q893" s="1">
        <v>88</v>
      </c>
      <c r="R893" s="7">
        <v>4.3999999999999997E-2</v>
      </c>
      <c r="S893" s="1">
        <v>10</v>
      </c>
      <c r="T893" s="1">
        <v>7</v>
      </c>
      <c r="U893" s="1">
        <v>3</v>
      </c>
      <c r="V893" s="1" t="s">
        <v>166</v>
      </c>
      <c r="W893" s="1" t="s">
        <v>74</v>
      </c>
      <c r="X893" s="1" t="s">
        <v>41</v>
      </c>
      <c r="Y893" s="1" t="s">
        <v>3334</v>
      </c>
      <c r="Z893" s="1" t="s">
        <v>128</v>
      </c>
      <c r="AA893" s="1" t="s">
        <v>174</v>
      </c>
      <c r="AB893" s="1" t="s">
        <v>147</v>
      </c>
      <c r="AC893" s="1" t="s">
        <v>96</v>
      </c>
      <c r="AD893" s="1">
        <v>1.7</v>
      </c>
      <c r="AE893" s="1" t="s">
        <v>115</v>
      </c>
      <c r="AF893" s="1" t="s">
        <v>77</v>
      </c>
    </row>
    <row r="894" spans="1:32" ht="18" hidden="1" customHeight="1">
      <c r="A894" s="1" t="s">
        <v>2775</v>
      </c>
      <c r="B894" s="1" t="s">
        <v>2776</v>
      </c>
      <c r="C894" s="4">
        <v>46059</v>
      </c>
      <c r="D894" s="1">
        <v>46073</v>
      </c>
      <c r="E894" s="1" t="s">
        <v>3511</v>
      </c>
      <c r="F894" s="1" t="s">
        <v>90</v>
      </c>
      <c r="G894" s="1" t="s">
        <v>3440</v>
      </c>
      <c r="H894" s="1" t="s">
        <v>133</v>
      </c>
      <c r="I894" s="1" t="s">
        <v>241</v>
      </c>
      <c r="J894" s="1" t="s">
        <v>71</v>
      </c>
      <c r="K894" s="1" t="s">
        <v>2777</v>
      </c>
      <c r="L894" s="1" t="s">
        <v>553</v>
      </c>
      <c r="M894" s="1">
        <v>760.75</v>
      </c>
      <c r="N894" s="1" t="s">
        <v>104</v>
      </c>
      <c r="O894" s="1">
        <v>750</v>
      </c>
      <c r="P894" s="1">
        <v>570562.5</v>
      </c>
      <c r="Q894" s="1">
        <v>47</v>
      </c>
      <c r="R894" s="7">
        <v>6.2700000000000006E-2</v>
      </c>
      <c r="S894" s="1">
        <v>24</v>
      </c>
      <c r="T894" s="1">
        <v>14</v>
      </c>
      <c r="U894" s="1">
        <v>10</v>
      </c>
      <c r="V894" s="1" t="s">
        <v>39</v>
      </c>
      <c r="W894" s="1" t="s">
        <v>3384</v>
      </c>
      <c r="X894" s="1" t="s">
        <v>146</v>
      </c>
      <c r="Y894" s="1" t="s">
        <v>3334</v>
      </c>
      <c r="Z894" s="1" t="s">
        <v>3333</v>
      </c>
      <c r="AA894" s="1" t="s">
        <v>136</v>
      </c>
      <c r="AB894" s="1" t="s">
        <v>44</v>
      </c>
      <c r="AC894" s="1" t="s">
        <v>183</v>
      </c>
      <c r="AD894" s="1">
        <v>2.2999999999999998</v>
      </c>
      <c r="AE894" s="1" t="s">
        <v>108</v>
      </c>
      <c r="AF894" s="1" t="s">
        <v>185</v>
      </c>
    </row>
    <row r="895" spans="1:32" ht="18" customHeight="1">
      <c r="A895" s="1" t="s">
        <v>2778</v>
      </c>
      <c r="B895" s="1" t="s">
        <v>2779</v>
      </c>
      <c r="C895" s="4">
        <v>46113</v>
      </c>
      <c r="D895" s="4">
        <v>46119</v>
      </c>
      <c r="E895" s="4">
        <v>46123</v>
      </c>
      <c r="F895" s="1" t="s">
        <v>151</v>
      </c>
      <c r="G895" s="1" t="s">
        <v>244</v>
      </c>
      <c r="H895" s="1" t="s">
        <v>3354</v>
      </c>
      <c r="I895" s="1" t="s">
        <v>61</v>
      </c>
      <c r="J895" s="1" t="s">
        <v>35</v>
      </c>
      <c r="K895" s="1" t="s">
        <v>2780</v>
      </c>
      <c r="L895" s="1" t="s">
        <v>37</v>
      </c>
      <c r="M895" s="1">
        <v>1569.39</v>
      </c>
      <c r="N895" s="1" t="s">
        <v>104</v>
      </c>
      <c r="O895" s="1">
        <v>1500</v>
      </c>
      <c r="P895" s="1">
        <v>2354085</v>
      </c>
      <c r="Q895" s="1"/>
      <c r="R895" s="7">
        <v>0.01</v>
      </c>
      <c r="S895" s="1">
        <v>10</v>
      </c>
      <c r="T895" s="1">
        <v>6</v>
      </c>
      <c r="U895" s="1">
        <v>4</v>
      </c>
      <c r="V895" s="1" t="s">
        <v>39</v>
      </c>
      <c r="W895" s="1" t="s">
        <v>40</v>
      </c>
      <c r="X895" s="1" t="s">
        <v>105</v>
      </c>
      <c r="Y895" s="1" t="s">
        <v>3334</v>
      </c>
      <c r="Z895" s="1" t="s">
        <v>43</v>
      </c>
      <c r="AA895" s="1" t="s">
        <v>136</v>
      </c>
      <c r="AB895" s="1"/>
      <c r="AC895" s="1"/>
      <c r="AD895" s="1">
        <v>4.4000000000000004</v>
      </c>
      <c r="AE895" s="1" t="s">
        <v>139</v>
      </c>
      <c r="AF895" s="1" t="s">
        <v>46</v>
      </c>
    </row>
    <row r="896" spans="1:32" ht="18" customHeight="1">
      <c r="A896" s="1" t="s">
        <v>881</v>
      </c>
      <c r="B896" s="1" t="s">
        <v>2781</v>
      </c>
      <c r="C896" s="4">
        <v>46029</v>
      </c>
      <c r="D896" s="4">
        <v>46047</v>
      </c>
      <c r="E896" s="4">
        <v>46037</v>
      </c>
      <c r="F896" s="1" t="s">
        <v>235</v>
      </c>
      <c r="G896" s="1" t="s">
        <v>3426</v>
      </c>
      <c r="H896" s="1" t="s">
        <v>3374</v>
      </c>
      <c r="I896" s="1" t="s">
        <v>120</v>
      </c>
      <c r="J896" s="1" t="s">
        <v>71</v>
      </c>
      <c r="K896" s="1" t="s">
        <v>2497</v>
      </c>
      <c r="L896" s="1" t="s">
        <v>73</v>
      </c>
      <c r="M896" s="1">
        <v>352.21</v>
      </c>
      <c r="N896" s="1" t="s">
        <v>38</v>
      </c>
      <c r="O896" s="1">
        <v>500</v>
      </c>
      <c r="P896" s="1">
        <v>176105</v>
      </c>
      <c r="Q896" s="1">
        <v>8</v>
      </c>
      <c r="R896" s="7">
        <v>1.6E-2</v>
      </c>
      <c r="S896" s="1">
        <v>8</v>
      </c>
      <c r="T896" s="1">
        <v>18</v>
      </c>
      <c r="U896" s="1">
        <v>-10</v>
      </c>
      <c r="V896" s="1" t="s">
        <v>3337</v>
      </c>
      <c r="W896" s="1" t="s">
        <v>40</v>
      </c>
      <c r="X896" s="1" t="s">
        <v>105</v>
      </c>
      <c r="Y896" s="1" t="s">
        <v>212</v>
      </c>
      <c r="Z896" s="1" t="s">
        <v>128</v>
      </c>
      <c r="AA896" s="1" t="s">
        <v>174</v>
      </c>
      <c r="AB896" s="1" t="s">
        <v>147</v>
      </c>
      <c r="AC896" s="1"/>
      <c r="AD896" s="1">
        <v>3.7</v>
      </c>
      <c r="AE896" s="1" t="s">
        <v>108</v>
      </c>
      <c r="AF896" s="1"/>
    </row>
    <row r="897" spans="1:32" ht="18" customHeight="1">
      <c r="A897" s="1" t="s">
        <v>2782</v>
      </c>
      <c r="B897" s="1" t="s">
        <v>2783</v>
      </c>
      <c r="C897" s="4">
        <v>46176</v>
      </c>
      <c r="D897" s="4">
        <v>46187</v>
      </c>
      <c r="E897" s="4">
        <v>46188</v>
      </c>
      <c r="F897" s="1" t="s">
        <v>80</v>
      </c>
      <c r="G897" s="1" t="s">
        <v>3470</v>
      </c>
      <c r="H897" s="1" t="s">
        <v>82</v>
      </c>
      <c r="I897" s="1" t="s">
        <v>61</v>
      </c>
      <c r="J897" s="1" t="s">
        <v>35</v>
      </c>
      <c r="K897" s="1" t="s">
        <v>2784</v>
      </c>
      <c r="L897" s="1" t="s">
        <v>200</v>
      </c>
      <c r="M897" s="1">
        <v>389.56</v>
      </c>
      <c r="N897" s="1" t="s">
        <v>38</v>
      </c>
      <c r="O897" s="1">
        <v>1000</v>
      </c>
      <c r="P897" s="1">
        <v>389560</v>
      </c>
      <c r="Q897" s="1">
        <v>21</v>
      </c>
      <c r="R897" s="7">
        <v>2.1000000000000001E-2</v>
      </c>
      <c r="S897" s="1">
        <v>12</v>
      </c>
      <c r="T897" s="1">
        <v>11</v>
      </c>
      <c r="U897" s="1">
        <v>1</v>
      </c>
      <c r="V897" s="1" t="s">
        <v>166</v>
      </c>
      <c r="W897" s="1" t="s">
        <v>40</v>
      </c>
      <c r="X897" s="1" t="s">
        <v>105</v>
      </c>
      <c r="Y897" s="1" t="s">
        <v>190</v>
      </c>
      <c r="Z897" s="1" t="s">
        <v>3330</v>
      </c>
      <c r="AA897" s="1" t="s">
        <v>206</v>
      </c>
      <c r="AB897" s="1" t="s">
        <v>56</v>
      </c>
      <c r="AC897" s="1"/>
      <c r="AD897" s="1">
        <v>3.4</v>
      </c>
      <c r="AE897" s="1" t="s">
        <v>57</v>
      </c>
      <c r="AF897" s="1" t="s">
        <v>46</v>
      </c>
    </row>
    <row r="898" spans="1:32" ht="18" hidden="1" customHeight="1">
      <c r="A898" s="1" t="s">
        <v>2785</v>
      </c>
      <c r="B898" s="1" t="s">
        <v>2786</v>
      </c>
      <c r="C898" s="4">
        <v>46157</v>
      </c>
      <c r="D898" s="1">
        <v>46169</v>
      </c>
      <c r="E898" s="1">
        <v>46172</v>
      </c>
      <c r="F898" s="1" t="s">
        <v>48</v>
      </c>
      <c r="G898" s="1" t="s">
        <v>3321</v>
      </c>
      <c r="H898" s="1" t="s">
        <v>3361</v>
      </c>
      <c r="I898" s="1" t="s">
        <v>83</v>
      </c>
      <c r="J898" s="1" t="s">
        <v>50</v>
      </c>
      <c r="K898" s="1" t="s">
        <v>2787</v>
      </c>
      <c r="L898" s="1" t="s">
        <v>126</v>
      </c>
      <c r="M898" s="1">
        <v>1830.84</v>
      </c>
      <c r="N898" s="1" t="s">
        <v>38</v>
      </c>
      <c r="O898" s="1">
        <v>250</v>
      </c>
      <c r="P898" s="1">
        <v>457710</v>
      </c>
      <c r="Q898" s="1">
        <v>14</v>
      </c>
      <c r="R898" s="7">
        <v>5.6000000000000001E-2</v>
      </c>
      <c r="S898" s="1">
        <v>15</v>
      </c>
      <c r="T898" s="1">
        <v>12</v>
      </c>
      <c r="U898" s="1">
        <v>3</v>
      </c>
      <c r="V898" s="1" t="s">
        <v>166</v>
      </c>
      <c r="W898" s="1" t="s">
        <v>3384</v>
      </c>
      <c r="X898" s="1" t="s">
        <v>146</v>
      </c>
      <c r="Y898" s="1" t="s">
        <v>3334</v>
      </c>
      <c r="Z898" s="1" t="s">
        <v>3330</v>
      </c>
      <c r="AA898" s="1" t="s">
        <v>206</v>
      </c>
      <c r="AB898" s="1" t="s">
        <v>95</v>
      </c>
      <c r="AC898" s="1" t="s">
        <v>283</v>
      </c>
      <c r="AD898" s="1">
        <v>2</v>
      </c>
      <c r="AE898" s="1" t="s">
        <v>139</v>
      </c>
      <c r="AF898" s="1" t="s">
        <v>185</v>
      </c>
    </row>
    <row r="899" spans="1:32" ht="18" customHeight="1">
      <c r="A899" s="1" t="s">
        <v>2788</v>
      </c>
      <c r="B899" s="1" t="s">
        <v>2789</v>
      </c>
      <c r="C899" s="4" t="s">
        <v>3776</v>
      </c>
      <c r="D899" s="4">
        <v>46057</v>
      </c>
      <c r="E899" s="4" t="s">
        <v>3777</v>
      </c>
      <c r="F899" s="1" t="s">
        <v>69</v>
      </c>
      <c r="G899" s="1" t="s">
        <v>111</v>
      </c>
      <c r="H899" s="1" t="s">
        <v>3332</v>
      </c>
      <c r="I899" s="1" t="s">
        <v>34</v>
      </c>
      <c r="J899" s="1" t="s">
        <v>112</v>
      </c>
      <c r="K899" s="1" t="s">
        <v>2790</v>
      </c>
      <c r="L899" s="1" t="s">
        <v>246</v>
      </c>
      <c r="M899" s="1">
        <v>752.28</v>
      </c>
      <c r="N899" s="1" t="s">
        <v>53</v>
      </c>
      <c r="O899" s="1">
        <v>2000</v>
      </c>
      <c r="P899" s="1">
        <v>1504560</v>
      </c>
      <c r="Q899" s="1">
        <v>42</v>
      </c>
      <c r="R899" s="7">
        <v>2.1000000000000001E-2</v>
      </c>
      <c r="S899" s="1">
        <v>14</v>
      </c>
      <c r="T899" s="1">
        <v>9</v>
      </c>
      <c r="U899" s="1">
        <v>5</v>
      </c>
      <c r="V899" s="1" t="s">
        <v>39</v>
      </c>
      <c r="W899" s="1" t="s">
        <v>40</v>
      </c>
      <c r="X899" s="1" t="s">
        <v>105</v>
      </c>
      <c r="Y899" s="1" t="s">
        <v>3334</v>
      </c>
      <c r="Z899" s="1" t="s">
        <v>107</v>
      </c>
      <c r="AA899" s="1" t="s">
        <v>174</v>
      </c>
      <c r="AB899" s="1" t="s">
        <v>147</v>
      </c>
      <c r="AC899" s="1"/>
      <c r="AD899" s="1">
        <v>4</v>
      </c>
      <c r="AE899" s="1" t="s">
        <v>184</v>
      </c>
      <c r="AF899" s="1" t="s">
        <v>46</v>
      </c>
    </row>
    <row r="900" spans="1:32" ht="18" customHeight="1">
      <c r="A900" s="1" t="s">
        <v>2791</v>
      </c>
      <c r="B900" s="1" t="s">
        <v>2792</v>
      </c>
      <c r="C900" s="4">
        <v>46174</v>
      </c>
      <c r="D900" s="4">
        <v>46183</v>
      </c>
      <c r="E900" s="4" t="s">
        <v>3452</v>
      </c>
      <c r="F900" s="1" t="s">
        <v>60</v>
      </c>
      <c r="G900" s="1" t="s">
        <v>466</v>
      </c>
      <c r="H900" s="1" t="s">
        <v>152</v>
      </c>
      <c r="I900" s="1" t="s">
        <v>92</v>
      </c>
      <c r="J900" s="1" t="s">
        <v>62</v>
      </c>
      <c r="K900" s="1" t="s">
        <v>2793</v>
      </c>
      <c r="L900" s="1" t="s">
        <v>225</v>
      </c>
      <c r="M900" s="1">
        <v>603</v>
      </c>
      <c r="N900" s="1" t="s">
        <v>65</v>
      </c>
      <c r="O900" s="1">
        <v>750</v>
      </c>
      <c r="P900" s="1">
        <v>452250</v>
      </c>
      <c r="Q900" s="1">
        <v>4</v>
      </c>
      <c r="R900" s="7">
        <v>5.3E-3</v>
      </c>
      <c r="S900" s="1">
        <v>13</v>
      </c>
      <c r="T900" s="1">
        <v>9</v>
      </c>
      <c r="U900" s="1">
        <v>4</v>
      </c>
      <c r="V900" s="1" t="s">
        <v>39</v>
      </c>
      <c r="W900" s="1" t="s">
        <v>40</v>
      </c>
      <c r="X900" s="1" t="s">
        <v>127</v>
      </c>
      <c r="Y900" s="1" t="s">
        <v>212</v>
      </c>
      <c r="Z900" s="1" t="s">
        <v>173</v>
      </c>
      <c r="AA900" s="1" t="s">
        <v>206</v>
      </c>
      <c r="AB900" s="1"/>
      <c r="AC900" s="1"/>
      <c r="AD900" s="1">
        <v>3.9</v>
      </c>
      <c r="AE900" s="1" t="s">
        <v>76</v>
      </c>
      <c r="AF900" s="1" t="s">
        <v>148</v>
      </c>
    </row>
    <row r="901" spans="1:32" ht="18" customHeight="1">
      <c r="A901" s="1" t="s">
        <v>2794</v>
      </c>
      <c r="B901" s="1" t="s">
        <v>2795</v>
      </c>
      <c r="C901" s="4" t="s">
        <v>3769</v>
      </c>
      <c r="D901" s="4">
        <v>46105</v>
      </c>
      <c r="E901" s="4">
        <v>46108</v>
      </c>
      <c r="F901" s="1" t="s">
        <v>235</v>
      </c>
      <c r="G901" s="1"/>
      <c r="H901" s="1" t="s">
        <v>3374</v>
      </c>
      <c r="I901" s="1" t="s">
        <v>70</v>
      </c>
      <c r="J901" s="1" t="s">
        <v>62</v>
      </c>
      <c r="K901" s="1" t="s">
        <v>2796</v>
      </c>
      <c r="L901" s="1" t="s">
        <v>122</v>
      </c>
      <c r="M901" s="1" t="s">
        <v>3778</v>
      </c>
      <c r="N901" s="1" t="s">
        <v>291</v>
      </c>
      <c r="O901" s="1">
        <v>-150</v>
      </c>
      <c r="P901" s="1">
        <v>31678.5</v>
      </c>
      <c r="Q901" s="1">
        <v>4</v>
      </c>
      <c r="R901" s="7">
        <v>2.6700000000000002E-2</v>
      </c>
      <c r="S901" s="1">
        <v>14</v>
      </c>
      <c r="T901" s="1">
        <v>11</v>
      </c>
      <c r="U901" s="1">
        <v>3</v>
      </c>
      <c r="V901" s="1" t="s">
        <v>3323</v>
      </c>
      <c r="W901" s="1" t="s">
        <v>40</v>
      </c>
      <c r="X901" s="1" t="s">
        <v>105</v>
      </c>
      <c r="Y901" s="1" t="s">
        <v>190</v>
      </c>
      <c r="Z901" s="1" t="s">
        <v>3333</v>
      </c>
      <c r="AA901" s="1" t="s">
        <v>136</v>
      </c>
      <c r="AB901" s="1" t="s">
        <v>44</v>
      </c>
      <c r="AC901" s="1"/>
      <c r="AD901" s="1">
        <v>2.5</v>
      </c>
      <c r="AE901" s="1" t="s">
        <v>45</v>
      </c>
      <c r="AF901" s="1" t="s">
        <v>46</v>
      </c>
    </row>
    <row r="902" spans="1:32" ht="18" hidden="1" customHeight="1">
      <c r="A902" s="1" t="s">
        <v>2797</v>
      </c>
      <c r="B902" s="1" t="s">
        <v>2798</v>
      </c>
      <c r="C902" s="4">
        <v>46103</v>
      </c>
      <c r="D902" s="1"/>
      <c r="E902" s="1"/>
      <c r="F902" s="1" t="s">
        <v>48</v>
      </c>
      <c r="G902" s="1" t="s">
        <v>232</v>
      </c>
      <c r="H902" s="1" t="s">
        <v>3361</v>
      </c>
      <c r="I902" s="1" t="s">
        <v>34</v>
      </c>
      <c r="J902" s="1" t="s">
        <v>50</v>
      </c>
      <c r="K902" s="1" t="s">
        <v>1223</v>
      </c>
      <c r="L902" s="1" t="s">
        <v>189</v>
      </c>
      <c r="M902" s="1">
        <v>2057.66</v>
      </c>
      <c r="N902" s="1" t="s">
        <v>104</v>
      </c>
      <c r="O902" s="1">
        <v>150</v>
      </c>
      <c r="P902" s="1">
        <v>308649</v>
      </c>
      <c r="Q902" s="1">
        <v>9</v>
      </c>
      <c r="R902" s="7">
        <v>0.06</v>
      </c>
      <c r="S902" s="1">
        <v>11</v>
      </c>
      <c r="T902" s="1">
        <v>10</v>
      </c>
      <c r="U902" s="1">
        <v>1</v>
      </c>
      <c r="V902" s="1" t="s">
        <v>135</v>
      </c>
      <c r="W902" s="1" t="s">
        <v>366</v>
      </c>
      <c r="X902" s="1" t="s">
        <v>105</v>
      </c>
      <c r="Y902" s="1" t="s">
        <v>42</v>
      </c>
      <c r="Z902" s="1" t="s">
        <v>107</v>
      </c>
      <c r="AA902" s="1" t="s">
        <v>55</v>
      </c>
      <c r="AB902" s="1" t="s">
        <v>95</v>
      </c>
      <c r="AC902" s="1" t="s">
        <v>75</v>
      </c>
      <c r="AD902" s="1">
        <v>1</v>
      </c>
      <c r="AE902" s="1" t="s">
        <v>45</v>
      </c>
      <c r="AF902" s="1" t="s">
        <v>77</v>
      </c>
    </row>
    <row r="903" spans="1:32" ht="18" customHeight="1">
      <c r="A903" s="1" t="s">
        <v>2719</v>
      </c>
      <c r="B903" s="1" t="s">
        <v>2799</v>
      </c>
      <c r="C903" s="4">
        <v>46094</v>
      </c>
      <c r="D903" s="4">
        <v>46117</v>
      </c>
      <c r="E903" s="4">
        <v>46118</v>
      </c>
      <c r="F903" s="1" t="s">
        <v>32</v>
      </c>
      <c r="G903" s="1" t="s">
        <v>33</v>
      </c>
      <c r="H903" s="1" t="s">
        <v>3319</v>
      </c>
      <c r="I903" s="1" t="s">
        <v>61</v>
      </c>
      <c r="J903" s="1" t="s">
        <v>35</v>
      </c>
      <c r="K903" s="1" t="s">
        <v>2800</v>
      </c>
      <c r="L903" s="1" t="s">
        <v>37</v>
      </c>
      <c r="M903" s="1" t="s">
        <v>3779</v>
      </c>
      <c r="N903" s="1" t="s">
        <v>104</v>
      </c>
      <c r="O903" s="1">
        <v>300</v>
      </c>
      <c r="P903" s="1">
        <v>1319874</v>
      </c>
      <c r="Q903" s="1">
        <v>0</v>
      </c>
      <c r="R903" s="7">
        <v>0</v>
      </c>
      <c r="S903" s="1">
        <v>24</v>
      </c>
      <c r="T903" s="1">
        <v>23</v>
      </c>
      <c r="U903" s="1">
        <v>1</v>
      </c>
      <c r="V903" s="1" t="s">
        <v>3323</v>
      </c>
      <c r="W903" s="1" t="s">
        <v>649</v>
      </c>
      <c r="X903" s="1" t="s">
        <v>105</v>
      </c>
      <c r="Y903" s="1" t="s">
        <v>3334</v>
      </c>
      <c r="Z903" s="1" t="s">
        <v>43</v>
      </c>
      <c r="AA903" s="1"/>
      <c r="AB903" s="1" t="s">
        <v>44</v>
      </c>
      <c r="AC903" s="1"/>
      <c r="AD903" s="1">
        <v>4.5999999999999996</v>
      </c>
      <c r="AE903" s="1" t="s">
        <v>184</v>
      </c>
      <c r="AF903" s="1" t="s">
        <v>46</v>
      </c>
    </row>
    <row r="904" spans="1:32" ht="18" customHeight="1">
      <c r="A904" s="1" t="s">
        <v>2801</v>
      </c>
      <c r="B904" s="1" t="s">
        <v>2802</v>
      </c>
      <c r="C904" s="4">
        <v>46126</v>
      </c>
      <c r="D904" s="4">
        <v>46142</v>
      </c>
      <c r="E904" s="4">
        <v>46146</v>
      </c>
      <c r="F904" s="1" t="s">
        <v>118</v>
      </c>
      <c r="G904" s="1" t="s">
        <v>119</v>
      </c>
      <c r="H904" s="1"/>
      <c r="I904" s="1" t="s">
        <v>92</v>
      </c>
      <c r="J904" s="1" t="s">
        <v>62</v>
      </c>
      <c r="K904" s="1" t="s">
        <v>1566</v>
      </c>
      <c r="L904" s="1" t="s">
        <v>64</v>
      </c>
      <c r="M904" s="1">
        <v>779.97</v>
      </c>
      <c r="N904" s="1" t="s">
        <v>86</v>
      </c>
      <c r="O904" s="1">
        <v>200</v>
      </c>
      <c r="P904" s="1" t="s">
        <v>3780</v>
      </c>
      <c r="Q904" s="1">
        <v>1</v>
      </c>
      <c r="R904" s="7">
        <v>5.0000000000000001E-3</v>
      </c>
      <c r="S904" s="1">
        <v>20</v>
      </c>
      <c r="T904" s="1">
        <v>16</v>
      </c>
      <c r="U904" s="1">
        <v>4</v>
      </c>
      <c r="V904" s="1" t="s">
        <v>3328</v>
      </c>
      <c r="W904" s="1" t="s">
        <v>40</v>
      </c>
      <c r="X904" s="1" t="s">
        <v>3324</v>
      </c>
      <c r="Y904" s="1" t="s">
        <v>3334</v>
      </c>
      <c r="Z904" s="1" t="s">
        <v>107</v>
      </c>
      <c r="AA904" s="1" t="s">
        <v>206</v>
      </c>
      <c r="AB904" s="1" t="s">
        <v>137</v>
      </c>
      <c r="AC904" s="1"/>
      <c r="AD904" s="1">
        <v>4.5</v>
      </c>
      <c r="AE904" s="1" t="s">
        <v>184</v>
      </c>
      <c r="AF904" s="1" t="s">
        <v>46</v>
      </c>
    </row>
    <row r="905" spans="1:32" ht="18" customHeight="1">
      <c r="A905" s="1" t="s">
        <v>2803</v>
      </c>
      <c r="B905" s="1" t="s">
        <v>2804</v>
      </c>
      <c r="C905" s="4">
        <v>46198</v>
      </c>
      <c r="D905" s="4">
        <v>46216</v>
      </c>
      <c r="E905" s="4">
        <v>46216</v>
      </c>
      <c r="F905" s="1" t="s">
        <v>235</v>
      </c>
      <c r="G905" s="1" t="s">
        <v>3426</v>
      </c>
      <c r="H905" s="1" t="s">
        <v>479</v>
      </c>
      <c r="I905" s="1" t="s">
        <v>49</v>
      </c>
      <c r="J905" s="1" t="s">
        <v>71</v>
      </c>
      <c r="K905" s="1" t="s">
        <v>2805</v>
      </c>
      <c r="L905" s="1" t="s">
        <v>238</v>
      </c>
      <c r="M905" s="1">
        <v>457.88</v>
      </c>
      <c r="N905" s="1" t="s">
        <v>159</v>
      </c>
      <c r="O905" s="1">
        <v>150</v>
      </c>
      <c r="P905" s="1">
        <v>68682</v>
      </c>
      <c r="Q905" s="1">
        <v>5</v>
      </c>
      <c r="R905" s="7">
        <v>3.3300000000000003E-2</v>
      </c>
      <c r="S905" s="1">
        <v>18</v>
      </c>
      <c r="T905" s="1">
        <v>18</v>
      </c>
      <c r="U905" s="1">
        <v>0</v>
      </c>
      <c r="V905" s="1" t="s">
        <v>3337</v>
      </c>
      <c r="W905" s="1" t="s">
        <v>40</v>
      </c>
      <c r="X905" s="1" t="s">
        <v>41</v>
      </c>
      <c r="Y905" s="1"/>
      <c r="Z905" s="1" t="s">
        <v>43</v>
      </c>
      <c r="AA905" s="1" t="s">
        <v>136</v>
      </c>
      <c r="AB905" s="1" t="s">
        <v>137</v>
      </c>
      <c r="AC905" s="1"/>
      <c r="AD905" s="1">
        <v>4.5999999999999996</v>
      </c>
      <c r="AE905" s="1" t="s">
        <v>139</v>
      </c>
      <c r="AF905" s="1"/>
    </row>
    <row r="906" spans="1:32" ht="18" customHeight="1">
      <c r="A906" s="1" t="s">
        <v>2806</v>
      </c>
      <c r="B906" s="1" t="s">
        <v>2807</v>
      </c>
      <c r="C906" s="4">
        <v>46037</v>
      </c>
      <c r="D906" s="4" t="s">
        <v>3528</v>
      </c>
      <c r="E906" s="4">
        <v>46065</v>
      </c>
      <c r="F906" s="1" t="s">
        <v>118</v>
      </c>
      <c r="G906" s="1" t="s">
        <v>119</v>
      </c>
      <c r="H906" s="1" t="s">
        <v>3369</v>
      </c>
      <c r="I906" s="1" t="s">
        <v>92</v>
      </c>
      <c r="J906" s="1" t="s">
        <v>62</v>
      </c>
      <c r="K906" s="1" t="s">
        <v>1487</v>
      </c>
      <c r="L906" s="1" t="s">
        <v>64</v>
      </c>
      <c r="M906" s="1">
        <v>644.30999999999995</v>
      </c>
      <c r="N906" s="1" t="s">
        <v>65</v>
      </c>
      <c r="O906" s="1">
        <v>50</v>
      </c>
      <c r="P906" s="1">
        <v>32215.5</v>
      </c>
      <c r="Q906" s="1">
        <v>0</v>
      </c>
      <c r="R906" s="7">
        <v>0</v>
      </c>
      <c r="S906" s="1">
        <v>28</v>
      </c>
      <c r="T906" s="1">
        <v>24</v>
      </c>
      <c r="U906" s="1">
        <v>4</v>
      </c>
      <c r="V906" s="1" t="s">
        <v>39</v>
      </c>
      <c r="W906" s="1" t="s">
        <v>40</v>
      </c>
      <c r="X906" s="1" t="s">
        <v>3329</v>
      </c>
      <c r="Y906" s="1" t="s">
        <v>3334</v>
      </c>
      <c r="Z906" s="1" t="s">
        <v>43</v>
      </c>
      <c r="AA906" s="1" t="s">
        <v>174</v>
      </c>
      <c r="AB906" s="1" t="s">
        <v>137</v>
      </c>
      <c r="AC906" s="1"/>
      <c r="AD906" s="1">
        <v>3.3</v>
      </c>
      <c r="AE906" s="1" t="s">
        <v>76</v>
      </c>
      <c r="AF906" s="1" t="s">
        <v>46</v>
      </c>
    </row>
    <row r="907" spans="1:32" ht="18" customHeight="1">
      <c r="A907" s="1" t="s">
        <v>2808</v>
      </c>
      <c r="B907" s="1" t="s">
        <v>2809</v>
      </c>
      <c r="C907" s="4">
        <v>46165</v>
      </c>
      <c r="D907" s="4"/>
      <c r="E907" s="4">
        <v>46184</v>
      </c>
      <c r="F907" s="1" t="s">
        <v>118</v>
      </c>
      <c r="G907" s="1" t="s">
        <v>3393</v>
      </c>
      <c r="H907" s="1" t="s">
        <v>301</v>
      </c>
      <c r="I907" s="1" t="s">
        <v>241</v>
      </c>
      <c r="J907" s="1" t="s">
        <v>62</v>
      </c>
      <c r="K907" s="1" t="s">
        <v>2810</v>
      </c>
      <c r="L907" s="1" t="s">
        <v>122</v>
      </c>
      <c r="M907" s="1" t="s">
        <v>3781</v>
      </c>
      <c r="N907" s="1" t="s">
        <v>104</v>
      </c>
      <c r="O907" s="1">
        <v>1500</v>
      </c>
      <c r="P907" s="1">
        <v>744330</v>
      </c>
      <c r="Q907" s="1">
        <v>28</v>
      </c>
      <c r="R907" s="7">
        <v>1.8700000000000001E-2</v>
      </c>
      <c r="S907" s="1" t="s">
        <v>3406</v>
      </c>
      <c r="T907" s="1">
        <v>23</v>
      </c>
      <c r="U907" s="1">
        <v>-4</v>
      </c>
      <c r="V907" s="1" t="s">
        <v>270</v>
      </c>
      <c r="W907" s="1" t="s">
        <v>40</v>
      </c>
      <c r="X907" s="1" t="s">
        <v>105</v>
      </c>
      <c r="Y907" s="1" t="s">
        <v>42</v>
      </c>
      <c r="Z907" s="1" t="s">
        <v>3333</v>
      </c>
      <c r="AA907" s="1" t="s">
        <v>55</v>
      </c>
      <c r="AB907" s="1" t="s">
        <v>191</v>
      </c>
      <c r="AC907" s="1"/>
      <c r="AD907" s="1">
        <v>4.3</v>
      </c>
      <c r="AE907" s="1" t="s">
        <v>115</v>
      </c>
      <c r="AF907" s="1"/>
    </row>
    <row r="908" spans="1:32" ht="18" hidden="1" customHeight="1">
      <c r="A908" s="1" t="s">
        <v>2811</v>
      </c>
      <c r="B908" s="1" t="s">
        <v>2812</v>
      </c>
      <c r="C908" s="4" t="s">
        <v>3495</v>
      </c>
      <c r="D908" s="1">
        <v>46148</v>
      </c>
      <c r="E908" s="1">
        <v>46145</v>
      </c>
      <c r="F908" s="1" t="s">
        <v>69</v>
      </c>
      <c r="G908" s="1" t="s">
        <v>3331</v>
      </c>
      <c r="H908" s="1" t="s">
        <v>3338</v>
      </c>
      <c r="I908" s="1" t="s">
        <v>70</v>
      </c>
      <c r="J908" s="1" t="s">
        <v>112</v>
      </c>
      <c r="K908" s="1" t="s">
        <v>2813</v>
      </c>
      <c r="L908" s="1" t="s">
        <v>114</v>
      </c>
      <c r="M908" s="1">
        <v>841.14</v>
      </c>
      <c r="N908" s="1" t="s">
        <v>104</v>
      </c>
      <c r="O908" s="1">
        <v>300</v>
      </c>
      <c r="P908" s="1">
        <v>252342</v>
      </c>
      <c r="Q908" s="1">
        <v>17</v>
      </c>
      <c r="R908" s="7">
        <v>5.67E-2</v>
      </c>
      <c r="S908" s="1">
        <v>9</v>
      </c>
      <c r="T908" s="1">
        <v>12</v>
      </c>
      <c r="U908" s="1">
        <v>-3</v>
      </c>
      <c r="V908" s="1" t="s">
        <v>3352</v>
      </c>
      <c r="W908" s="1" t="s">
        <v>366</v>
      </c>
      <c r="X908" s="1" t="s">
        <v>105</v>
      </c>
      <c r="Y908" s="1"/>
      <c r="Z908" s="1" t="s">
        <v>43</v>
      </c>
      <c r="AA908" s="1" t="s">
        <v>136</v>
      </c>
      <c r="AB908" s="1" t="s">
        <v>191</v>
      </c>
      <c r="AC908" s="1" t="s">
        <v>96</v>
      </c>
      <c r="AD908" s="1">
        <v>1.9</v>
      </c>
      <c r="AE908" s="1" t="s">
        <v>184</v>
      </c>
      <c r="AF908" s="1" t="s">
        <v>97</v>
      </c>
    </row>
    <row r="909" spans="1:32" ht="18" hidden="1" customHeight="1">
      <c r="A909" s="1" t="s">
        <v>2814</v>
      </c>
      <c r="B909" s="1" t="s">
        <v>2815</v>
      </c>
      <c r="C909" s="4" t="s">
        <v>3782</v>
      </c>
      <c r="D909" s="1">
        <v>46204</v>
      </c>
      <c r="E909" s="1">
        <v>46210</v>
      </c>
      <c r="F909" s="1" t="s">
        <v>32</v>
      </c>
      <c r="G909" s="1" t="s">
        <v>33</v>
      </c>
      <c r="H909" s="1" t="s">
        <v>177</v>
      </c>
      <c r="I909" s="1" t="s">
        <v>34</v>
      </c>
      <c r="J909" s="1" t="s">
        <v>153</v>
      </c>
      <c r="K909" s="1" t="s">
        <v>2816</v>
      </c>
      <c r="L909" s="1" t="s">
        <v>155</v>
      </c>
      <c r="M909" s="1">
        <v>675.02</v>
      </c>
      <c r="N909" s="1" t="s">
        <v>104</v>
      </c>
      <c r="O909" s="1">
        <v>250</v>
      </c>
      <c r="P909" s="1">
        <v>168755</v>
      </c>
      <c r="Q909" s="1">
        <v>39</v>
      </c>
      <c r="R909" s="7">
        <v>0.156</v>
      </c>
      <c r="S909" s="1">
        <v>26</v>
      </c>
      <c r="T909" s="1">
        <v>20</v>
      </c>
      <c r="U909" s="1">
        <v>6</v>
      </c>
      <c r="V909" s="1" t="s">
        <v>205</v>
      </c>
      <c r="W909" s="1" t="s">
        <v>74</v>
      </c>
      <c r="X909" s="1" t="s">
        <v>146</v>
      </c>
      <c r="Y909" s="1" t="s">
        <v>190</v>
      </c>
      <c r="Z909" s="1" t="s">
        <v>107</v>
      </c>
      <c r="AA909" s="1" t="s">
        <v>206</v>
      </c>
      <c r="AB909" s="1"/>
      <c r="AC909" s="1" t="s">
        <v>75</v>
      </c>
      <c r="AD909" s="1">
        <v>3.3</v>
      </c>
      <c r="AE909" s="1" t="s">
        <v>76</v>
      </c>
      <c r="AF909" s="1" t="s">
        <v>185</v>
      </c>
    </row>
    <row r="910" spans="1:32" ht="18" customHeight="1">
      <c r="A910" s="1" t="s">
        <v>2817</v>
      </c>
      <c r="B910" s="1" t="s">
        <v>2818</v>
      </c>
      <c r="C910" s="4">
        <v>46025</v>
      </c>
      <c r="D910" s="4">
        <v>46044</v>
      </c>
      <c r="E910" s="4">
        <v>46049</v>
      </c>
      <c r="F910" s="1"/>
      <c r="G910" s="1" t="s">
        <v>143</v>
      </c>
      <c r="H910" s="1" t="s">
        <v>3405</v>
      </c>
      <c r="I910" s="1" t="s">
        <v>83</v>
      </c>
      <c r="J910" s="1" t="s">
        <v>50</v>
      </c>
      <c r="K910" s="1" t="s">
        <v>2819</v>
      </c>
      <c r="L910" s="1" t="s">
        <v>189</v>
      </c>
      <c r="M910" s="1">
        <v>1344.92</v>
      </c>
      <c r="N910" s="1" t="s">
        <v>159</v>
      </c>
      <c r="O910" s="1">
        <v>500</v>
      </c>
      <c r="P910" s="1">
        <v>672460</v>
      </c>
      <c r="Q910" s="1">
        <v>8</v>
      </c>
      <c r="R910" s="7">
        <v>1.6E-2</v>
      </c>
      <c r="S910" s="1">
        <v>24</v>
      </c>
      <c r="T910" s="1">
        <v>19</v>
      </c>
      <c r="U910" s="1">
        <v>5</v>
      </c>
      <c r="V910" s="1" t="s">
        <v>3328</v>
      </c>
      <c r="W910" s="1" t="s">
        <v>40</v>
      </c>
      <c r="X910" s="1" t="s">
        <v>3329</v>
      </c>
      <c r="Y910" s="1" t="s">
        <v>42</v>
      </c>
      <c r="Z910" s="1" t="s">
        <v>173</v>
      </c>
      <c r="AA910" s="1" t="s">
        <v>3341</v>
      </c>
      <c r="AB910" s="1" t="s">
        <v>95</v>
      </c>
      <c r="AC910" s="1"/>
      <c r="AD910" s="1">
        <v>4.3</v>
      </c>
      <c r="AE910" s="1" t="s">
        <v>184</v>
      </c>
      <c r="AF910" s="1" t="s">
        <v>386</v>
      </c>
    </row>
    <row r="911" spans="1:32" ht="18" customHeight="1">
      <c r="A911" s="1" t="s">
        <v>2820</v>
      </c>
      <c r="B911" s="1" t="s">
        <v>2821</v>
      </c>
      <c r="C911" s="4">
        <v>46151</v>
      </c>
      <c r="D911" s="4">
        <v>46176</v>
      </c>
      <c r="E911" s="4">
        <v>46179</v>
      </c>
      <c r="F911" s="1" t="s">
        <v>118</v>
      </c>
      <c r="G911" s="1" t="s">
        <v>119</v>
      </c>
      <c r="H911" s="1" t="s">
        <v>3369</v>
      </c>
      <c r="I911" s="1" t="s">
        <v>178</v>
      </c>
      <c r="J911" s="1" t="s">
        <v>62</v>
      </c>
      <c r="K911" s="1" t="s">
        <v>1314</v>
      </c>
      <c r="L911" s="1" t="s">
        <v>122</v>
      </c>
      <c r="M911" s="1">
        <v>347.98</v>
      </c>
      <c r="N911" s="1" t="s">
        <v>65</v>
      </c>
      <c r="O911" s="1" t="s">
        <v>3679</v>
      </c>
      <c r="P911" s="1">
        <v>347980</v>
      </c>
      <c r="Q911" s="1">
        <v>20</v>
      </c>
      <c r="R911" s="7">
        <v>0.02</v>
      </c>
      <c r="S911" s="1">
        <v>28</v>
      </c>
      <c r="T911" s="1">
        <v>25</v>
      </c>
      <c r="U911" s="1">
        <v>3</v>
      </c>
      <c r="V911" s="1" t="s">
        <v>135</v>
      </c>
      <c r="W911" s="1" t="s">
        <v>40</v>
      </c>
      <c r="X911" s="1" t="s">
        <v>127</v>
      </c>
      <c r="Y911" s="1" t="s">
        <v>42</v>
      </c>
      <c r="Z911" s="1"/>
      <c r="AA911" s="1"/>
      <c r="AB911" s="1"/>
      <c r="AC911" s="1"/>
      <c r="AD911" s="1">
        <v>4.0999999999999996</v>
      </c>
      <c r="AE911" s="1" t="s">
        <v>108</v>
      </c>
      <c r="AF911" s="1" t="s">
        <v>148</v>
      </c>
    </row>
    <row r="912" spans="1:32" ht="18" customHeight="1">
      <c r="A912" s="1" t="s">
        <v>2822</v>
      </c>
      <c r="B912" s="1" t="s">
        <v>2823</v>
      </c>
      <c r="C912" s="4">
        <v>46053</v>
      </c>
      <c r="D912" s="4">
        <v>46059</v>
      </c>
      <c r="E912" s="4" t="s">
        <v>3452</v>
      </c>
      <c r="F912" s="1" t="s">
        <v>162</v>
      </c>
      <c r="G912" s="1" t="s">
        <v>3444</v>
      </c>
      <c r="H912" s="1" t="s">
        <v>152</v>
      </c>
      <c r="I912" s="1" t="s">
        <v>241</v>
      </c>
      <c r="J912" s="1" t="s">
        <v>153</v>
      </c>
      <c r="K912" s="1" t="s">
        <v>2824</v>
      </c>
      <c r="L912" s="1" t="s">
        <v>155</v>
      </c>
      <c r="M912" s="1">
        <v>299.86</v>
      </c>
      <c r="N912" s="1" t="s">
        <v>53</v>
      </c>
      <c r="O912" s="1">
        <v>75</v>
      </c>
      <c r="P912" s="1">
        <v>22489.5</v>
      </c>
      <c r="Q912" s="1">
        <v>1</v>
      </c>
      <c r="R912" s="7">
        <v>1.3299999999999999E-2</v>
      </c>
      <c r="S912" s="1">
        <v>-5</v>
      </c>
      <c r="T912" s="1">
        <v>6</v>
      </c>
      <c r="U912" s="1">
        <v>1</v>
      </c>
      <c r="V912" s="1" t="s">
        <v>3323</v>
      </c>
      <c r="W912" s="1"/>
      <c r="X912" s="1" t="s">
        <v>127</v>
      </c>
      <c r="Y912" s="1" t="s">
        <v>42</v>
      </c>
      <c r="Z912" s="1" t="s">
        <v>173</v>
      </c>
      <c r="AA912" s="1" t="s">
        <v>206</v>
      </c>
      <c r="AB912" s="1" t="s">
        <v>191</v>
      </c>
      <c r="AC912" s="1"/>
      <c r="AD912" s="1">
        <v>2.4</v>
      </c>
      <c r="AE912" s="1" t="s">
        <v>76</v>
      </c>
      <c r="AF912" s="1" t="s">
        <v>148</v>
      </c>
    </row>
    <row r="913" spans="1:32" ht="18" customHeight="1">
      <c r="A913" s="1" t="s">
        <v>2825</v>
      </c>
      <c r="B913" s="1" t="s">
        <v>2826</v>
      </c>
      <c r="C913" s="4">
        <v>46072</v>
      </c>
      <c r="D913" s="4" t="s">
        <v>3436</v>
      </c>
      <c r="E913" s="4">
        <v>46087</v>
      </c>
      <c r="F913" s="1" t="s">
        <v>215</v>
      </c>
      <c r="G913" s="1" t="s">
        <v>3415</v>
      </c>
      <c r="H913" s="1" t="s">
        <v>3327</v>
      </c>
      <c r="I913" s="1" t="s">
        <v>70</v>
      </c>
      <c r="J913" s="1" t="s">
        <v>112</v>
      </c>
      <c r="K913" s="1" t="s">
        <v>2827</v>
      </c>
      <c r="L913" s="1" t="s">
        <v>246</v>
      </c>
      <c r="M913" s="1">
        <v>570.54999999999995</v>
      </c>
      <c r="N913" s="1" t="s">
        <v>159</v>
      </c>
      <c r="O913" s="1">
        <v>50</v>
      </c>
      <c r="P913" s="1">
        <v>28527.5</v>
      </c>
      <c r="Q913" s="1">
        <v>0</v>
      </c>
      <c r="R913" s="7">
        <v>0</v>
      </c>
      <c r="S913" s="1">
        <v>15</v>
      </c>
      <c r="T913" s="1">
        <v>6</v>
      </c>
      <c r="U913" s="1">
        <v>9</v>
      </c>
      <c r="V913" s="1" t="s">
        <v>205</v>
      </c>
      <c r="W913" s="1" t="s">
        <v>40</v>
      </c>
      <c r="X913" s="1" t="s">
        <v>105</v>
      </c>
      <c r="Y913" s="1" t="s">
        <v>190</v>
      </c>
      <c r="Z913" s="1"/>
      <c r="AA913" s="1" t="s">
        <v>3341</v>
      </c>
      <c r="AB913" s="1" t="s">
        <v>147</v>
      </c>
      <c r="AC913" s="1"/>
      <c r="AD913" s="1">
        <v>1</v>
      </c>
      <c r="AE913" s="1" t="s">
        <v>115</v>
      </c>
      <c r="AF913" s="1" t="s">
        <v>46</v>
      </c>
    </row>
    <row r="914" spans="1:32" ht="18" hidden="1" customHeight="1">
      <c r="A914" s="1" t="s">
        <v>2828</v>
      </c>
      <c r="B914" s="1" t="s">
        <v>2829</v>
      </c>
      <c r="C914" s="4">
        <v>46191</v>
      </c>
      <c r="D914" s="1" t="s">
        <v>3783</v>
      </c>
      <c r="E914" s="1">
        <v>46206</v>
      </c>
      <c r="F914" s="1" t="s">
        <v>48</v>
      </c>
      <c r="G914" s="1" t="s">
        <v>232</v>
      </c>
      <c r="H914" s="1" t="s">
        <v>102</v>
      </c>
      <c r="I914" s="1" t="s">
        <v>49</v>
      </c>
      <c r="J914" s="1" t="s">
        <v>50</v>
      </c>
      <c r="K914" s="1" t="s">
        <v>2830</v>
      </c>
      <c r="L914" s="1" t="s">
        <v>52</v>
      </c>
      <c r="M914" s="1">
        <v>2171.58</v>
      </c>
      <c r="N914" s="1" t="s">
        <v>159</v>
      </c>
      <c r="O914" s="1">
        <v>250</v>
      </c>
      <c r="P914" s="1">
        <v>542895</v>
      </c>
      <c r="Q914" s="1">
        <v>22</v>
      </c>
      <c r="R914" s="7">
        <v>8.7999999999999995E-2</v>
      </c>
      <c r="S914" s="1">
        <v>15</v>
      </c>
      <c r="T914" s="1">
        <v>5</v>
      </c>
      <c r="U914" s="1">
        <v>10</v>
      </c>
      <c r="V914" s="1" t="s">
        <v>205</v>
      </c>
      <c r="W914" s="1" t="s">
        <v>74</v>
      </c>
      <c r="X914" s="1" t="s">
        <v>146</v>
      </c>
      <c r="Y914" s="1" t="s">
        <v>190</v>
      </c>
      <c r="Z914" s="1" t="s">
        <v>3333</v>
      </c>
      <c r="AA914" s="1" t="s">
        <v>136</v>
      </c>
      <c r="AB914" s="1" t="s">
        <v>56</v>
      </c>
      <c r="AC914" s="1" t="s">
        <v>96</v>
      </c>
      <c r="AD914" s="1">
        <v>3.3</v>
      </c>
      <c r="AE914" s="1" t="s">
        <v>57</v>
      </c>
      <c r="AF914" s="1" t="s">
        <v>185</v>
      </c>
    </row>
    <row r="915" spans="1:32" ht="18" customHeight="1">
      <c r="A915" s="1" t="s">
        <v>2006</v>
      </c>
      <c r="B915" s="1" t="s">
        <v>2831</v>
      </c>
      <c r="C915" s="4">
        <v>46115</v>
      </c>
      <c r="D915" s="4">
        <v>46123</v>
      </c>
      <c r="E915" s="4">
        <v>46132</v>
      </c>
      <c r="F915" s="1" t="s">
        <v>60</v>
      </c>
      <c r="G915" s="1" t="s">
        <v>466</v>
      </c>
      <c r="H915" s="1" t="s">
        <v>3327</v>
      </c>
      <c r="I915" s="1" t="s">
        <v>49</v>
      </c>
      <c r="J915" s="1" t="s">
        <v>62</v>
      </c>
      <c r="K915" s="1" t="s">
        <v>2832</v>
      </c>
      <c r="L915" s="1" t="s">
        <v>94</v>
      </c>
      <c r="M915" s="1">
        <v>150.02000000000001</v>
      </c>
      <c r="N915" s="1" t="s">
        <v>86</v>
      </c>
      <c r="O915" s="1"/>
      <c r="P915" s="1">
        <v>15002</v>
      </c>
      <c r="Q915" s="1">
        <v>4</v>
      </c>
      <c r="R915" s="7">
        <v>0.04</v>
      </c>
      <c r="S915" s="1">
        <v>17</v>
      </c>
      <c r="T915" s="1" t="s">
        <v>3479</v>
      </c>
      <c r="U915" s="1"/>
      <c r="V915" s="1" t="s">
        <v>39</v>
      </c>
      <c r="W915" s="1" t="s">
        <v>40</v>
      </c>
      <c r="X915" s="1" t="s">
        <v>3329</v>
      </c>
      <c r="Y915" s="1"/>
      <c r="Z915" s="1" t="s">
        <v>43</v>
      </c>
      <c r="AA915" s="1" t="s">
        <v>136</v>
      </c>
      <c r="AB915" s="1" t="s">
        <v>44</v>
      </c>
      <c r="AC915" s="1"/>
      <c r="AD915" s="1">
        <v>2.5</v>
      </c>
      <c r="AE915" s="1" t="s">
        <v>45</v>
      </c>
      <c r="AF915" s="1" t="s">
        <v>46</v>
      </c>
    </row>
    <row r="916" spans="1:32" ht="18" customHeight="1">
      <c r="A916" s="1" t="s">
        <v>2833</v>
      </c>
      <c r="B916" s="1" t="s">
        <v>2834</v>
      </c>
      <c r="C916" s="4">
        <v>46104</v>
      </c>
      <c r="D916" s="4">
        <v>46116</v>
      </c>
      <c r="E916" s="4">
        <v>46120</v>
      </c>
      <c r="F916" s="1" t="s">
        <v>80</v>
      </c>
      <c r="G916" s="1" t="s">
        <v>3470</v>
      </c>
      <c r="H916" s="1" t="s">
        <v>3442</v>
      </c>
      <c r="I916" s="1" t="s">
        <v>34</v>
      </c>
      <c r="J916" s="1" t="s">
        <v>153</v>
      </c>
      <c r="K916" s="1" t="s">
        <v>2835</v>
      </c>
      <c r="L916" s="1" t="s">
        <v>295</v>
      </c>
      <c r="M916" s="1">
        <v>826.06</v>
      </c>
      <c r="N916" s="1" t="s">
        <v>38</v>
      </c>
      <c r="O916" s="1">
        <v>300</v>
      </c>
      <c r="P916" s="1">
        <v>247818</v>
      </c>
      <c r="Q916" s="1">
        <v>4</v>
      </c>
      <c r="R916" s="7">
        <v>1.3299999999999999E-2</v>
      </c>
      <c r="S916" s="1">
        <v>16</v>
      </c>
      <c r="T916" s="1"/>
      <c r="U916" s="1">
        <v>4</v>
      </c>
      <c r="V916" s="1" t="s">
        <v>3328</v>
      </c>
      <c r="W916" s="1" t="s">
        <v>40</v>
      </c>
      <c r="X916" s="1"/>
      <c r="Y916" s="1" t="s">
        <v>212</v>
      </c>
      <c r="Z916" s="1" t="s">
        <v>107</v>
      </c>
      <c r="AA916" s="1" t="s">
        <v>88</v>
      </c>
      <c r="AB916" s="1" t="s">
        <v>137</v>
      </c>
      <c r="AC916" s="1"/>
      <c r="AD916" s="1">
        <v>2.8</v>
      </c>
      <c r="AE916" s="1" t="s">
        <v>45</v>
      </c>
      <c r="AF916" s="1" t="s">
        <v>148</v>
      </c>
    </row>
    <row r="917" spans="1:32" ht="18" customHeight="1">
      <c r="A917" s="1" t="s">
        <v>2836</v>
      </c>
      <c r="B917" s="1" t="s">
        <v>2837</v>
      </c>
      <c r="C917" s="4">
        <v>46038</v>
      </c>
      <c r="D917" s="4">
        <v>46051</v>
      </c>
      <c r="E917" s="4">
        <v>46053</v>
      </c>
      <c r="F917" s="1" t="s">
        <v>60</v>
      </c>
      <c r="G917" s="1" t="s">
        <v>466</v>
      </c>
      <c r="H917" s="1" t="s">
        <v>3354</v>
      </c>
      <c r="I917" s="1" t="s">
        <v>241</v>
      </c>
      <c r="J917" s="1" t="s">
        <v>153</v>
      </c>
      <c r="K917" s="1" t="s">
        <v>2838</v>
      </c>
      <c r="L917" s="1" t="s">
        <v>155</v>
      </c>
      <c r="M917" s="1" t="s">
        <v>3784</v>
      </c>
      <c r="N917" s="1" t="s">
        <v>53</v>
      </c>
      <c r="O917" s="1">
        <v>100</v>
      </c>
      <c r="P917" s="1">
        <v>68402</v>
      </c>
      <c r="Q917" s="1">
        <v>2</v>
      </c>
      <c r="R917" s="7">
        <v>0.02</v>
      </c>
      <c r="S917" s="1">
        <v>15</v>
      </c>
      <c r="T917" s="1">
        <v>13</v>
      </c>
      <c r="U917" s="1">
        <v>2</v>
      </c>
      <c r="V917" s="1" t="s">
        <v>3323</v>
      </c>
      <c r="W917" s="1" t="s">
        <v>40</v>
      </c>
      <c r="X917" s="1" t="s">
        <v>105</v>
      </c>
      <c r="Y917" s="1" t="s">
        <v>66</v>
      </c>
      <c r="Z917" s="1"/>
      <c r="AA917" s="1" t="s">
        <v>174</v>
      </c>
      <c r="AB917" s="1" t="s">
        <v>147</v>
      </c>
      <c r="AC917" s="1"/>
      <c r="AD917" s="1">
        <v>3.5</v>
      </c>
      <c r="AE917" s="1" t="s">
        <v>108</v>
      </c>
      <c r="AF917" s="1" t="s">
        <v>46</v>
      </c>
    </row>
    <row r="918" spans="1:32" ht="18" customHeight="1">
      <c r="A918" s="1" t="s">
        <v>2839</v>
      </c>
      <c r="B918" s="1" t="s">
        <v>2840</v>
      </c>
      <c r="C918" s="4" t="s">
        <v>3363</v>
      </c>
      <c r="D918" s="4">
        <v>46165</v>
      </c>
      <c r="E918" s="4">
        <v>46165</v>
      </c>
      <c r="F918" s="1" t="s">
        <v>215</v>
      </c>
      <c r="G918" s="1" t="s">
        <v>216</v>
      </c>
      <c r="H918" s="1" t="s">
        <v>3327</v>
      </c>
      <c r="I918" s="1" t="s">
        <v>92</v>
      </c>
      <c r="J918" s="1" t="s">
        <v>112</v>
      </c>
      <c r="K918" s="1" t="s">
        <v>2841</v>
      </c>
      <c r="L918" s="1" t="s">
        <v>114</v>
      </c>
      <c r="M918" s="1">
        <v>607</v>
      </c>
      <c r="N918" s="1" t="s">
        <v>65</v>
      </c>
      <c r="O918" s="1">
        <v>100</v>
      </c>
      <c r="P918" s="1">
        <v>60700</v>
      </c>
      <c r="Q918" s="1">
        <v>1</v>
      </c>
      <c r="R918" s="7">
        <v>0.01</v>
      </c>
      <c r="S918" s="1">
        <v>7</v>
      </c>
      <c r="T918" s="1">
        <v>7</v>
      </c>
      <c r="U918" s="1">
        <v>0</v>
      </c>
      <c r="V918" s="1" t="s">
        <v>3352</v>
      </c>
      <c r="W918" s="1" t="s">
        <v>40</v>
      </c>
      <c r="X918" s="1" t="s">
        <v>3329</v>
      </c>
      <c r="Y918" s="1" t="s">
        <v>3334</v>
      </c>
      <c r="Z918" s="1" t="s">
        <v>173</v>
      </c>
      <c r="AA918" s="1" t="s">
        <v>174</v>
      </c>
      <c r="AB918" s="1" t="s">
        <v>137</v>
      </c>
      <c r="AC918" s="1"/>
      <c r="AD918" s="1">
        <v>2.9</v>
      </c>
      <c r="AE918" s="1" t="s">
        <v>184</v>
      </c>
      <c r="AF918" s="1"/>
    </row>
    <row r="919" spans="1:32" ht="18" customHeight="1">
      <c r="A919" s="1" t="s">
        <v>2842</v>
      </c>
      <c r="B919" s="1" t="s">
        <v>2843</v>
      </c>
      <c r="C919" s="4" t="s">
        <v>3406</v>
      </c>
      <c r="D919" s="4">
        <v>46194</v>
      </c>
      <c r="E919" s="4">
        <v>46189</v>
      </c>
      <c r="F919" s="1" t="s">
        <v>118</v>
      </c>
      <c r="G919" s="1" t="s">
        <v>119</v>
      </c>
      <c r="H919" s="1" t="s">
        <v>3369</v>
      </c>
      <c r="I919" s="1" t="s">
        <v>241</v>
      </c>
      <c r="J919" s="1" t="s">
        <v>112</v>
      </c>
      <c r="K919" s="1" t="s">
        <v>2844</v>
      </c>
      <c r="L919" s="1" t="s">
        <v>218</v>
      </c>
      <c r="M919" s="1">
        <v>763.52</v>
      </c>
      <c r="N919" s="1" t="s">
        <v>159</v>
      </c>
      <c r="O919" s="1">
        <v>150</v>
      </c>
      <c r="P919" s="1">
        <v>114528</v>
      </c>
      <c r="Q919" s="1">
        <v>0</v>
      </c>
      <c r="R919" s="7">
        <v>0</v>
      </c>
      <c r="S919" s="1">
        <v>14</v>
      </c>
      <c r="T919" s="1">
        <v>19</v>
      </c>
      <c r="U919" s="1">
        <v>-5</v>
      </c>
      <c r="V919" s="1" t="s">
        <v>87</v>
      </c>
      <c r="W919" s="1" t="s">
        <v>40</v>
      </c>
      <c r="X919" s="1" t="s">
        <v>127</v>
      </c>
      <c r="Y919" s="1" t="s">
        <v>66</v>
      </c>
      <c r="Z919" s="1" t="s">
        <v>43</v>
      </c>
      <c r="AA919" s="1" t="s">
        <v>136</v>
      </c>
      <c r="AB919" s="1" t="s">
        <v>191</v>
      </c>
      <c r="AC919" s="1"/>
      <c r="AD919" s="1">
        <v>4.5999999999999996</v>
      </c>
      <c r="AE919" s="1" t="s">
        <v>139</v>
      </c>
      <c r="AF919" s="1" t="s">
        <v>130</v>
      </c>
    </row>
    <row r="920" spans="1:32" ht="18" customHeight="1">
      <c r="A920" s="1" t="s">
        <v>2845</v>
      </c>
      <c r="B920" s="1" t="s">
        <v>2846</v>
      </c>
      <c r="C920" s="4">
        <v>46112</v>
      </c>
      <c r="D920" s="4">
        <v>46122</v>
      </c>
      <c r="E920" s="4" t="s">
        <v>3785</v>
      </c>
      <c r="F920" s="1" t="s">
        <v>215</v>
      </c>
      <c r="G920" s="1" t="s">
        <v>216</v>
      </c>
      <c r="H920" s="1" t="s">
        <v>152</v>
      </c>
      <c r="I920" s="1" t="s">
        <v>83</v>
      </c>
      <c r="J920" s="1" t="s">
        <v>112</v>
      </c>
      <c r="K920" s="1" t="s">
        <v>588</v>
      </c>
      <c r="L920" s="1" t="s">
        <v>229</v>
      </c>
      <c r="M920" s="1" t="s">
        <v>3786</v>
      </c>
      <c r="N920" s="1" t="s">
        <v>53</v>
      </c>
      <c r="O920" s="1">
        <v>50</v>
      </c>
      <c r="P920" s="1">
        <v>6911</v>
      </c>
      <c r="Q920" s="1">
        <v>2</v>
      </c>
      <c r="R920" s="7">
        <v>0.04</v>
      </c>
      <c r="S920" s="1">
        <v>21</v>
      </c>
      <c r="T920" s="1">
        <v>10</v>
      </c>
      <c r="U920" s="1">
        <v>11</v>
      </c>
      <c r="V920" s="1" t="s">
        <v>205</v>
      </c>
      <c r="W920" s="1" t="s">
        <v>40</v>
      </c>
      <c r="X920" s="1" t="s">
        <v>3324</v>
      </c>
      <c r="Y920" s="1" t="s">
        <v>66</v>
      </c>
      <c r="Z920" s="1" t="s">
        <v>107</v>
      </c>
      <c r="AA920" s="1" t="s">
        <v>55</v>
      </c>
      <c r="AB920" s="1" t="s">
        <v>56</v>
      </c>
      <c r="AC920" s="1"/>
      <c r="AD920" s="1">
        <v>1.5</v>
      </c>
      <c r="AE920" s="1" t="s">
        <v>115</v>
      </c>
      <c r="AF920" s="1" t="s">
        <v>46</v>
      </c>
    </row>
    <row r="921" spans="1:32" ht="18" customHeight="1">
      <c r="A921" s="1" t="s">
        <v>2847</v>
      </c>
      <c r="B921" s="1" t="s">
        <v>2848</v>
      </c>
      <c r="C921" s="4">
        <v>46190</v>
      </c>
      <c r="D921" s="4">
        <v>46195</v>
      </c>
      <c r="E921" s="4" t="s">
        <v>3686</v>
      </c>
      <c r="F921" s="1" t="s">
        <v>209</v>
      </c>
      <c r="G921" s="1" t="s">
        <v>210</v>
      </c>
      <c r="H921" s="1" t="s">
        <v>3365</v>
      </c>
      <c r="I921" s="1" t="s">
        <v>70</v>
      </c>
      <c r="J921" s="1" t="s">
        <v>50</v>
      </c>
      <c r="K921" s="1" t="s">
        <v>1803</v>
      </c>
      <c r="L921" s="1" t="s">
        <v>126</v>
      </c>
      <c r="M921" s="1">
        <v>1308.74</v>
      </c>
      <c r="N921" s="1" t="s">
        <v>104</v>
      </c>
      <c r="O921" s="1">
        <v>250</v>
      </c>
      <c r="P921" s="1">
        <v>327185</v>
      </c>
      <c r="Q921" s="1">
        <v>3</v>
      </c>
      <c r="R921" s="7">
        <v>1.2E-2</v>
      </c>
      <c r="S921" s="1"/>
      <c r="T921" s="1">
        <v>5</v>
      </c>
      <c r="U921" s="1">
        <v>2</v>
      </c>
      <c r="V921" s="1" t="s">
        <v>3323</v>
      </c>
      <c r="W921" s="1" t="s">
        <v>40</v>
      </c>
      <c r="X921" s="1" t="s">
        <v>41</v>
      </c>
      <c r="Y921" s="1" t="s">
        <v>3334</v>
      </c>
      <c r="Z921" s="1" t="s">
        <v>3333</v>
      </c>
      <c r="AA921" s="1" t="s">
        <v>129</v>
      </c>
      <c r="AB921" s="1" t="s">
        <v>191</v>
      </c>
      <c r="AC921" s="1"/>
      <c r="AD921" s="1">
        <v>2.5</v>
      </c>
      <c r="AE921" s="1" t="s">
        <v>57</v>
      </c>
      <c r="AF921" s="1" t="s">
        <v>46</v>
      </c>
    </row>
    <row r="922" spans="1:32" ht="18" customHeight="1">
      <c r="A922" s="1" t="s">
        <v>2849</v>
      </c>
      <c r="B922" s="1" t="s">
        <v>2850</v>
      </c>
      <c r="C922" s="4" t="s">
        <v>3637</v>
      </c>
      <c r="D922" s="4">
        <v>46141</v>
      </c>
      <c r="E922" s="4">
        <v>46149</v>
      </c>
      <c r="F922" s="1" t="s">
        <v>215</v>
      </c>
      <c r="G922" s="1" t="s">
        <v>3415</v>
      </c>
      <c r="H922" s="1" t="s">
        <v>3408</v>
      </c>
      <c r="I922" s="1" t="s">
        <v>83</v>
      </c>
      <c r="J922" s="1" t="s">
        <v>112</v>
      </c>
      <c r="K922" s="1" t="s">
        <v>2851</v>
      </c>
      <c r="L922" s="1" t="s">
        <v>114</v>
      </c>
      <c r="M922" s="1">
        <v>465.95</v>
      </c>
      <c r="N922" s="1" t="s">
        <v>53</v>
      </c>
      <c r="O922" s="1">
        <v>500</v>
      </c>
      <c r="P922" s="1">
        <v>232975</v>
      </c>
      <c r="Q922" s="1">
        <v>4</v>
      </c>
      <c r="R922" s="7">
        <v>8.0000000000000002E-3</v>
      </c>
      <c r="S922" s="1">
        <v>15</v>
      </c>
      <c r="T922" s="1">
        <v>7</v>
      </c>
      <c r="U922" s="1">
        <v>8</v>
      </c>
      <c r="V922" s="1" t="s">
        <v>39</v>
      </c>
      <c r="W922" s="1" t="s">
        <v>40</v>
      </c>
      <c r="X922" s="1" t="s">
        <v>3324</v>
      </c>
      <c r="Y922" s="1" t="s">
        <v>212</v>
      </c>
      <c r="Z922" s="1" t="s">
        <v>54</v>
      </c>
      <c r="AA922" s="1"/>
      <c r="AB922" s="1" t="s">
        <v>137</v>
      </c>
      <c r="AC922" s="1"/>
      <c r="AD922" s="1">
        <v>1.5</v>
      </c>
      <c r="AE922" s="1" t="s">
        <v>45</v>
      </c>
      <c r="AF922" s="1" t="s">
        <v>46</v>
      </c>
    </row>
    <row r="923" spans="1:32" ht="18" customHeight="1">
      <c r="A923" s="1" t="s">
        <v>2820</v>
      </c>
      <c r="B923" s="1" t="s">
        <v>2852</v>
      </c>
      <c r="C923" s="4" t="s">
        <v>3787</v>
      </c>
      <c r="D923" s="4" t="s">
        <v>3788</v>
      </c>
      <c r="E923" s="4">
        <v>46144</v>
      </c>
      <c r="F923" s="1" t="s">
        <v>235</v>
      </c>
      <c r="G923" s="1" t="s">
        <v>236</v>
      </c>
      <c r="H923" s="1" t="s">
        <v>3374</v>
      </c>
      <c r="I923" s="1" t="s">
        <v>92</v>
      </c>
      <c r="J923" s="1" t="s">
        <v>71</v>
      </c>
      <c r="K923" s="1" t="s">
        <v>2853</v>
      </c>
      <c r="L923" s="1" t="s">
        <v>73</v>
      </c>
      <c r="M923" s="1">
        <v>840.04</v>
      </c>
      <c r="N923" s="1" t="s">
        <v>53</v>
      </c>
      <c r="O923" s="1">
        <v>500</v>
      </c>
      <c r="P923" s="1">
        <v>420020</v>
      </c>
      <c r="Q923" s="1">
        <v>1</v>
      </c>
      <c r="R923" s="7">
        <v>2E-3</v>
      </c>
      <c r="S923" s="1">
        <v>14</v>
      </c>
      <c r="T923" s="1">
        <v>19</v>
      </c>
      <c r="U923" s="1">
        <v>-5</v>
      </c>
      <c r="V923" s="1" t="s">
        <v>3337</v>
      </c>
      <c r="W923" s="1" t="s">
        <v>40</v>
      </c>
      <c r="X923" s="1" t="s">
        <v>105</v>
      </c>
      <c r="Y923" s="1" t="s">
        <v>212</v>
      </c>
      <c r="Z923" s="1"/>
      <c r="AA923" s="1" t="s">
        <v>136</v>
      </c>
      <c r="AB923" s="1"/>
      <c r="AC923" s="1"/>
      <c r="AD923" s="1">
        <v>3.7</v>
      </c>
      <c r="AE923" s="1" t="s">
        <v>45</v>
      </c>
      <c r="AF923" s="1"/>
    </row>
    <row r="924" spans="1:32" ht="18" hidden="1" customHeight="1">
      <c r="A924" s="1" t="s">
        <v>2854</v>
      </c>
      <c r="B924" s="1" t="s">
        <v>2855</v>
      </c>
      <c r="C924" s="4">
        <v>46057</v>
      </c>
      <c r="D924" s="1">
        <v>46070</v>
      </c>
      <c r="E924" s="1">
        <v>46074</v>
      </c>
      <c r="F924" s="1" t="s">
        <v>69</v>
      </c>
      <c r="G924" s="1" t="s">
        <v>111</v>
      </c>
      <c r="H924" s="1" t="s">
        <v>3332</v>
      </c>
      <c r="I924" s="1" t="s">
        <v>70</v>
      </c>
      <c r="J924" s="1" t="s">
        <v>112</v>
      </c>
      <c r="K924" s="1" t="s">
        <v>2856</v>
      </c>
      <c r="L924" s="1" t="s">
        <v>229</v>
      </c>
      <c r="M924" s="1">
        <v>754.6</v>
      </c>
      <c r="N924" s="1" t="s">
        <v>65</v>
      </c>
      <c r="O924" s="1">
        <v>500</v>
      </c>
      <c r="P924" s="1">
        <v>377300</v>
      </c>
      <c r="Q924" s="1">
        <v>23</v>
      </c>
      <c r="R924" s="7">
        <v>4.5999999999999999E-2</v>
      </c>
      <c r="S924" s="1">
        <v>17</v>
      </c>
      <c r="T924" s="1">
        <v>13</v>
      </c>
      <c r="U924" s="1">
        <v>4</v>
      </c>
      <c r="V924" s="1" t="s">
        <v>39</v>
      </c>
      <c r="W924" s="1" t="s">
        <v>3384</v>
      </c>
      <c r="X924" s="1" t="s">
        <v>3324</v>
      </c>
      <c r="Y924" s="1" t="s">
        <v>3334</v>
      </c>
      <c r="Z924" s="1" t="s">
        <v>3333</v>
      </c>
      <c r="AA924" s="1" t="s">
        <v>174</v>
      </c>
      <c r="AB924" s="1" t="s">
        <v>191</v>
      </c>
      <c r="AC924" s="1" t="s">
        <v>75</v>
      </c>
      <c r="AD924" s="1">
        <v>1.3</v>
      </c>
      <c r="AE924" s="1" t="s">
        <v>45</v>
      </c>
      <c r="AF924" s="1" t="s">
        <v>77</v>
      </c>
    </row>
    <row r="925" spans="1:32" ht="18" customHeight="1">
      <c r="A925" s="1" t="s">
        <v>2857</v>
      </c>
      <c r="B925" s="1" t="s">
        <v>2858</v>
      </c>
      <c r="C925" s="4" t="s">
        <v>3789</v>
      </c>
      <c r="D925" s="4"/>
      <c r="E925" s="4">
        <v>46108</v>
      </c>
      <c r="F925" s="1" t="s">
        <v>209</v>
      </c>
      <c r="G925" s="1" t="s">
        <v>210</v>
      </c>
      <c r="H925" s="1" t="s">
        <v>3390</v>
      </c>
      <c r="I925" s="1" t="s">
        <v>70</v>
      </c>
      <c r="J925" s="1" t="s">
        <v>153</v>
      </c>
      <c r="K925" s="1" t="s">
        <v>2859</v>
      </c>
      <c r="L925" s="1" t="s">
        <v>295</v>
      </c>
      <c r="M925" s="1">
        <v>330.24</v>
      </c>
      <c r="N925" s="1" t="s">
        <v>86</v>
      </c>
      <c r="O925" s="1">
        <v>50</v>
      </c>
      <c r="P925" s="1">
        <v>16512</v>
      </c>
      <c r="Q925" s="1">
        <v>2</v>
      </c>
      <c r="R925" s="7">
        <v>0.04</v>
      </c>
      <c r="S925" s="1">
        <v>18</v>
      </c>
      <c r="T925" s="1">
        <v>13</v>
      </c>
      <c r="U925" s="1" t="s">
        <v>3380</v>
      </c>
      <c r="V925" s="1" t="s">
        <v>3328</v>
      </c>
      <c r="W925" s="1" t="s">
        <v>40</v>
      </c>
      <c r="X925" s="1" t="s">
        <v>105</v>
      </c>
      <c r="Y925" s="1" t="s">
        <v>106</v>
      </c>
      <c r="Z925" s="1" t="s">
        <v>3333</v>
      </c>
      <c r="AA925" s="1" t="s">
        <v>136</v>
      </c>
      <c r="AB925" s="1" t="s">
        <v>95</v>
      </c>
      <c r="AC925" s="1"/>
      <c r="AD925" s="1">
        <v>4.8</v>
      </c>
      <c r="AE925" s="1" t="s">
        <v>76</v>
      </c>
      <c r="AF925" s="1" t="s">
        <v>46</v>
      </c>
    </row>
    <row r="926" spans="1:32" ht="18" hidden="1" customHeight="1">
      <c r="A926" s="1" t="s">
        <v>2860</v>
      </c>
      <c r="B926" s="1" t="s">
        <v>2861</v>
      </c>
      <c r="C926" s="4">
        <v>46098</v>
      </c>
      <c r="D926" s="1">
        <v>46108</v>
      </c>
      <c r="E926" s="1">
        <v>46115</v>
      </c>
      <c r="F926" s="1" t="s">
        <v>100</v>
      </c>
      <c r="G926" s="1" t="s">
        <v>3485</v>
      </c>
      <c r="H926" s="1" t="s">
        <v>3361</v>
      </c>
      <c r="I926" s="1" t="s">
        <v>178</v>
      </c>
      <c r="J926" s="1" t="s">
        <v>50</v>
      </c>
      <c r="K926" s="1" t="s">
        <v>2862</v>
      </c>
      <c r="L926" s="1" t="s">
        <v>145</v>
      </c>
      <c r="M926" s="1">
        <v>1559.61</v>
      </c>
      <c r="N926" s="1" t="s">
        <v>65</v>
      </c>
      <c r="O926" s="1">
        <v>250</v>
      </c>
      <c r="P926" s="1">
        <v>389902.5</v>
      </c>
      <c r="Q926" s="1">
        <v>11</v>
      </c>
      <c r="R926" s="7">
        <v>4.3999999999999997E-2</v>
      </c>
      <c r="S926" s="1">
        <v>17</v>
      </c>
      <c r="T926" s="1">
        <v>10</v>
      </c>
      <c r="U926" s="1">
        <v>7</v>
      </c>
      <c r="V926" s="1" t="s">
        <v>39</v>
      </c>
      <c r="W926" s="1" t="s">
        <v>420</v>
      </c>
      <c r="X926" s="1" t="s">
        <v>3324</v>
      </c>
      <c r="Y926" s="1" t="s">
        <v>212</v>
      </c>
      <c r="Z926" s="1" t="s">
        <v>54</v>
      </c>
      <c r="AA926" s="1" t="s">
        <v>174</v>
      </c>
      <c r="AB926" s="1" t="s">
        <v>44</v>
      </c>
      <c r="AC926" s="1" t="s">
        <v>373</v>
      </c>
      <c r="AD926" s="1">
        <v>2.2999999999999998</v>
      </c>
      <c r="AE926" s="1" t="s">
        <v>57</v>
      </c>
      <c r="AF926" s="1" t="s">
        <v>77</v>
      </c>
    </row>
    <row r="927" spans="1:32" ht="18" customHeight="1">
      <c r="A927" s="1" t="s">
        <v>2863</v>
      </c>
      <c r="B927" s="1" t="s">
        <v>2864</v>
      </c>
      <c r="C927" s="4">
        <v>46130</v>
      </c>
      <c r="D927" s="4">
        <v>46149</v>
      </c>
      <c r="E927" s="4">
        <v>46151</v>
      </c>
      <c r="F927" s="1" t="s">
        <v>100</v>
      </c>
      <c r="G927" s="1" t="s">
        <v>3343</v>
      </c>
      <c r="H927" s="1" t="s">
        <v>102</v>
      </c>
      <c r="I927" s="1" t="s">
        <v>49</v>
      </c>
      <c r="J927" s="1" t="s">
        <v>50</v>
      </c>
      <c r="K927" s="1" t="s">
        <v>2865</v>
      </c>
      <c r="L927" s="1" t="s">
        <v>189</v>
      </c>
      <c r="M927" s="1">
        <v>2662.25</v>
      </c>
      <c r="N927" s="1" t="s">
        <v>159</v>
      </c>
      <c r="O927" s="1">
        <v>150</v>
      </c>
      <c r="P927" s="1">
        <v>399337.5</v>
      </c>
      <c r="Q927" s="1">
        <v>6</v>
      </c>
      <c r="R927" s="7">
        <v>0.04</v>
      </c>
      <c r="S927" s="1">
        <v>21</v>
      </c>
      <c r="T927" s="1">
        <v>19</v>
      </c>
      <c r="U927" s="1">
        <v>2</v>
      </c>
      <c r="V927" s="1" t="s">
        <v>3323</v>
      </c>
      <c r="W927" s="1" t="s">
        <v>40</v>
      </c>
      <c r="X927" s="1" t="s">
        <v>105</v>
      </c>
      <c r="Y927" s="1" t="s">
        <v>66</v>
      </c>
      <c r="Z927" s="1" t="s">
        <v>128</v>
      </c>
      <c r="AA927" s="1" t="s">
        <v>136</v>
      </c>
      <c r="AB927" s="1" t="s">
        <v>147</v>
      </c>
      <c r="AC927" s="1"/>
      <c r="AD927" s="1">
        <v>4.3</v>
      </c>
      <c r="AE927" s="1" t="s">
        <v>108</v>
      </c>
      <c r="AF927" s="1" t="s">
        <v>46</v>
      </c>
    </row>
    <row r="928" spans="1:32" ht="18" customHeight="1">
      <c r="A928" s="1" t="s">
        <v>2866</v>
      </c>
      <c r="B928" s="1" t="s">
        <v>2867</v>
      </c>
      <c r="C928" s="4">
        <v>46111</v>
      </c>
      <c r="D928" s="4">
        <v>46122</v>
      </c>
      <c r="E928" s="4">
        <v>46112</v>
      </c>
      <c r="F928" s="1" t="s">
        <v>151</v>
      </c>
      <c r="G928" s="1" t="s">
        <v>3353</v>
      </c>
      <c r="H928" s="1" t="s">
        <v>3327</v>
      </c>
      <c r="I928" s="1" t="s">
        <v>120</v>
      </c>
      <c r="J928" s="1" t="s">
        <v>112</v>
      </c>
      <c r="K928" s="1" t="s">
        <v>2851</v>
      </c>
      <c r="L928" s="1" t="s">
        <v>218</v>
      </c>
      <c r="M928" s="1">
        <v>261.44</v>
      </c>
      <c r="N928" s="1" t="s">
        <v>3534</v>
      </c>
      <c r="O928" s="1">
        <v>750</v>
      </c>
      <c r="P928" s="1" t="s">
        <v>3790</v>
      </c>
      <c r="Q928" s="1">
        <v>15</v>
      </c>
      <c r="R928" s="7">
        <v>0.02</v>
      </c>
      <c r="S928" s="1">
        <v>1</v>
      </c>
      <c r="T928" s="1">
        <v>11</v>
      </c>
      <c r="U928" s="1">
        <v>-10</v>
      </c>
      <c r="V928" s="1" t="s">
        <v>270</v>
      </c>
      <c r="W928" s="1" t="s">
        <v>40</v>
      </c>
      <c r="X928" s="1" t="s">
        <v>146</v>
      </c>
      <c r="Y928" s="1" t="s">
        <v>190</v>
      </c>
      <c r="Z928" s="1" t="s">
        <v>128</v>
      </c>
      <c r="AA928" s="1" t="s">
        <v>206</v>
      </c>
      <c r="AB928" s="1"/>
      <c r="AC928" s="1"/>
      <c r="AD928" s="1">
        <v>4.5999999999999996</v>
      </c>
      <c r="AE928" s="1" t="s">
        <v>115</v>
      </c>
      <c r="AF928" s="1" t="s">
        <v>130</v>
      </c>
    </row>
    <row r="929" spans="1:32" ht="18" customHeight="1">
      <c r="A929" s="1" t="s">
        <v>2868</v>
      </c>
      <c r="B929" s="1" t="s">
        <v>2869</v>
      </c>
      <c r="C929" s="4">
        <v>46184</v>
      </c>
      <c r="D929" s="4">
        <v>46201</v>
      </c>
      <c r="E929" s="4"/>
      <c r="F929" s="1" t="s">
        <v>48</v>
      </c>
      <c r="G929" s="1" t="s">
        <v>3321</v>
      </c>
      <c r="H929" s="1" t="s">
        <v>3361</v>
      </c>
      <c r="I929" s="1" t="s">
        <v>70</v>
      </c>
      <c r="J929" s="1" t="s">
        <v>50</v>
      </c>
      <c r="K929" s="1" t="s">
        <v>2870</v>
      </c>
      <c r="L929" s="1" t="s">
        <v>145</v>
      </c>
      <c r="M929" s="1">
        <v>1310.24</v>
      </c>
      <c r="N929" s="1" t="s">
        <v>86</v>
      </c>
      <c r="O929" s="1">
        <v>2000</v>
      </c>
      <c r="P929" s="1">
        <v>2620480</v>
      </c>
      <c r="Q929" s="1">
        <v>74</v>
      </c>
      <c r="R929" s="7">
        <v>3.6999999999999998E-2</v>
      </c>
      <c r="S929" s="1">
        <v>10</v>
      </c>
      <c r="T929" s="1" t="s">
        <v>3400</v>
      </c>
      <c r="U929" s="1">
        <v>-7</v>
      </c>
      <c r="V929" s="1" t="s">
        <v>270</v>
      </c>
      <c r="W929" s="1" t="s">
        <v>40</v>
      </c>
      <c r="X929" s="1" t="s">
        <v>105</v>
      </c>
      <c r="Y929" s="1" t="s">
        <v>212</v>
      </c>
      <c r="Z929" s="1" t="s">
        <v>173</v>
      </c>
      <c r="AA929" s="1" t="s">
        <v>55</v>
      </c>
      <c r="AB929" s="1" t="s">
        <v>95</v>
      </c>
      <c r="AC929" s="1"/>
      <c r="AD929" s="1">
        <v>3.7</v>
      </c>
      <c r="AE929" s="1" t="s">
        <v>76</v>
      </c>
      <c r="AF929" s="1"/>
    </row>
    <row r="930" spans="1:32" ht="18" customHeight="1">
      <c r="A930" s="1" t="s">
        <v>2871</v>
      </c>
      <c r="B930" s="1" t="s">
        <v>2872</v>
      </c>
      <c r="C930" s="4">
        <v>46161</v>
      </c>
      <c r="D930" s="4">
        <v>46176</v>
      </c>
      <c r="E930" s="4">
        <v>46168</v>
      </c>
      <c r="F930" s="1" t="s">
        <v>90</v>
      </c>
      <c r="G930" s="1" t="s">
        <v>91</v>
      </c>
      <c r="H930" s="1" t="s">
        <v>133</v>
      </c>
      <c r="I930" s="1" t="s">
        <v>92</v>
      </c>
      <c r="J930" s="1" t="s">
        <v>71</v>
      </c>
      <c r="K930" s="1" t="s">
        <v>631</v>
      </c>
      <c r="L930" s="1" t="s">
        <v>337</v>
      </c>
      <c r="M930" s="1">
        <v>218.72</v>
      </c>
      <c r="N930" s="1" t="s">
        <v>104</v>
      </c>
      <c r="O930" s="1">
        <v>75</v>
      </c>
      <c r="P930" s="1">
        <v>16404</v>
      </c>
      <c r="Q930" s="1">
        <v>0</v>
      </c>
      <c r="R930" s="7">
        <v>0</v>
      </c>
      <c r="S930" s="1">
        <v>7</v>
      </c>
      <c r="T930" s="1">
        <v>15</v>
      </c>
      <c r="U930" s="1">
        <v>-8</v>
      </c>
      <c r="V930" s="1" t="s">
        <v>87</v>
      </c>
      <c r="W930" s="1" t="s">
        <v>40</v>
      </c>
      <c r="X930" s="1" t="s">
        <v>41</v>
      </c>
      <c r="Y930" s="1" t="s">
        <v>190</v>
      </c>
      <c r="Z930" s="1" t="s">
        <v>3330</v>
      </c>
      <c r="AA930" s="1" t="s">
        <v>129</v>
      </c>
      <c r="AB930" s="1" t="s">
        <v>147</v>
      </c>
      <c r="AC930" s="1"/>
      <c r="AD930" s="1">
        <v>3.2</v>
      </c>
      <c r="AE930" s="1" t="s">
        <v>184</v>
      </c>
      <c r="AF930" s="1"/>
    </row>
    <row r="931" spans="1:32" ht="18" customHeight="1">
      <c r="A931" s="1" t="s">
        <v>2873</v>
      </c>
      <c r="B931" s="1" t="s">
        <v>2874</v>
      </c>
      <c r="C931" s="4">
        <v>46039</v>
      </c>
      <c r="D931" s="4">
        <v>46040</v>
      </c>
      <c r="E931" s="4">
        <v>46051</v>
      </c>
      <c r="F931" s="1"/>
      <c r="G931" s="1" t="s">
        <v>244</v>
      </c>
      <c r="H931" s="1" t="s">
        <v>3408</v>
      </c>
      <c r="I931" s="1" t="s">
        <v>241</v>
      </c>
      <c r="J931" s="1" t="s">
        <v>112</v>
      </c>
      <c r="K931" s="1" t="s">
        <v>2875</v>
      </c>
      <c r="L931" s="1" t="s">
        <v>246</v>
      </c>
      <c r="M931" s="1">
        <v>449.33</v>
      </c>
      <c r="N931" s="1" t="s">
        <v>159</v>
      </c>
      <c r="O931" s="1">
        <v>50</v>
      </c>
      <c r="P931" s="1">
        <v>22466.5</v>
      </c>
      <c r="Q931" s="1">
        <v>0</v>
      </c>
      <c r="R931" s="7">
        <v>0</v>
      </c>
      <c r="S931" s="1">
        <v>12</v>
      </c>
      <c r="T931" s="1">
        <v>1</v>
      </c>
      <c r="U931" s="1">
        <v>11</v>
      </c>
      <c r="V931" s="1" t="s">
        <v>3328</v>
      </c>
      <c r="W931" s="1" t="s">
        <v>40</v>
      </c>
      <c r="X931" s="1" t="s">
        <v>3324</v>
      </c>
      <c r="Y931" s="1"/>
      <c r="Z931" s="1" t="s">
        <v>128</v>
      </c>
      <c r="AA931" s="1" t="s">
        <v>88</v>
      </c>
      <c r="AB931" s="1"/>
      <c r="AC931" s="1"/>
      <c r="AD931" s="1">
        <v>2.7</v>
      </c>
      <c r="AE931" s="1" t="s">
        <v>108</v>
      </c>
      <c r="AF931" s="1" t="s">
        <v>386</v>
      </c>
    </row>
    <row r="932" spans="1:32" ht="18" customHeight="1">
      <c r="A932" s="1" t="s">
        <v>2876</v>
      </c>
      <c r="B932" s="1" t="s">
        <v>2877</v>
      </c>
      <c r="C932" s="4">
        <v>46136</v>
      </c>
      <c r="D932" s="4">
        <v>46154</v>
      </c>
      <c r="E932" s="4">
        <v>46144</v>
      </c>
      <c r="F932" s="1" t="s">
        <v>100</v>
      </c>
      <c r="G932" s="1" t="s">
        <v>101</v>
      </c>
      <c r="H932" s="1" t="s">
        <v>3361</v>
      </c>
      <c r="I932" s="1" t="s">
        <v>70</v>
      </c>
      <c r="J932" s="1" t="s">
        <v>50</v>
      </c>
      <c r="K932" s="1" t="s">
        <v>298</v>
      </c>
      <c r="L932" s="1" t="s">
        <v>52</v>
      </c>
      <c r="M932" s="1"/>
      <c r="N932" s="1" t="s">
        <v>65</v>
      </c>
      <c r="O932" s="1">
        <v>1000</v>
      </c>
      <c r="P932" s="1">
        <v>4184090</v>
      </c>
      <c r="Q932" s="1">
        <v>24</v>
      </c>
      <c r="R932" s="7">
        <v>2.4E-2</v>
      </c>
      <c r="S932" s="1">
        <v>8</v>
      </c>
      <c r="T932" s="1">
        <v>18</v>
      </c>
      <c r="U932" s="1">
        <v>-10</v>
      </c>
      <c r="V932" s="1" t="s">
        <v>3352</v>
      </c>
      <c r="W932" s="1" t="s">
        <v>40</v>
      </c>
      <c r="X932" s="1" t="s">
        <v>105</v>
      </c>
      <c r="Y932" s="1" t="s">
        <v>42</v>
      </c>
      <c r="Z932" s="1" t="s">
        <v>43</v>
      </c>
      <c r="AA932" s="1" t="s">
        <v>88</v>
      </c>
      <c r="AB932" s="1" t="s">
        <v>147</v>
      </c>
      <c r="AC932" s="1"/>
      <c r="AD932" s="1">
        <v>4.2</v>
      </c>
      <c r="AE932" s="1" t="s">
        <v>115</v>
      </c>
      <c r="AF932" s="1"/>
    </row>
    <row r="933" spans="1:32" ht="18" customHeight="1">
      <c r="A933" s="1" t="s">
        <v>2878</v>
      </c>
      <c r="B933" s="1" t="s">
        <v>2879</v>
      </c>
      <c r="C933" s="4">
        <v>46094</v>
      </c>
      <c r="D933" s="4">
        <v>46109</v>
      </c>
      <c r="E933" s="4" t="s">
        <v>3400</v>
      </c>
      <c r="F933" s="1" t="s">
        <v>256</v>
      </c>
      <c r="G933" s="1" t="s">
        <v>257</v>
      </c>
      <c r="H933" s="1" t="s">
        <v>3433</v>
      </c>
      <c r="I933" s="1" t="s">
        <v>49</v>
      </c>
      <c r="J933" s="1" t="s">
        <v>62</v>
      </c>
      <c r="K933" s="1" t="s">
        <v>2880</v>
      </c>
      <c r="L933" s="1" t="s">
        <v>64</v>
      </c>
      <c r="M933" s="1">
        <v>580.20000000000005</v>
      </c>
      <c r="N933" s="1" t="s">
        <v>53</v>
      </c>
      <c r="O933" s="1">
        <v>150</v>
      </c>
      <c r="P933" s="1">
        <v>87030</v>
      </c>
      <c r="Q933" s="1">
        <v>0</v>
      </c>
      <c r="R933" s="7">
        <v>0</v>
      </c>
      <c r="S933" s="1"/>
      <c r="T933" s="1">
        <v>15</v>
      </c>
      <c r="U933" s="1">
        <v>-4</v>
      </c>
      <c r="V933" s="1" t="s">
        <v>3352</v>
      </c>
      <c r="W933" s="1" t="s">
        <v>40</v>
      </c>
      <c r="X933" s="1" t="s">
        <v>127</v>
      </c>
      <c r="Y933" s="1" t="s">
        <v>66</v>
      </c>
      <c r="Z933" s="1" t="s">
        <v>43</v>
      </c>
      <c r="AA933" s="1"/>
      <c r="AB933" s="1" t="s">
        <v>191</v>
      </c>
      <c r="AC933" s="1"/>
      <c r="AD933" s="1">
        <v>4.9000000000000004</v>
      </c>
      <c r="AE933" s="1" t="s">
        <v>108</v>
      </c>
      <c r="AF933" s="1" t="s">
        <v>130</v>
      </c>
    </row>
    <row r="934" spans="1:32" ht="18" customHeight="1">
      <c r="A934" s="1" t="s">
        <v>2881</v>
      </c>
      <c r="B934" s="1" t="s">
        <v>2882</v>
      </c>
      <c r="C934" s="4">
        <v>46194</v>
      </c>
      <c r="D934" s="4">
        <v>46202</v>
      </c>
      <c r="E934" s="4">
        <v>46206</v>
      </c>
      <c r="F934" s="1" t="s">
        <v>162</v>
      </c>
      <c r="G934" s="1" t="s">
        <v>3382</v>
      </c>
      <c r="H934" s="1" t="s">
        <v>3354</v>
      </c>
      <c r="I934" s="1" t="s">
        <v>241</v>
      </c>
      <c r="J934" s="1" t="s">
        <v>50</v>
      </c>
      <c r="K934" s="1" t="s">
        <v>2883</v>
      </c>
      <c r="L934" s="1" t="s">
        <v>52</v>
      </c>
      <c r="M934" s="1">
        <v>-2713.04</v>
      </c>
      <c r="N934" s="1" t="s">
        <v>159</v>
      </c>
      <c r="O934" s="1">
        <v>300</v>
      </c>
      <c r="P934" s="1">
        <v>813912</v>
      </c>
      <c r="Q934" s="1">
        <v>4</v>
      </c>
      <c r="R934" s="7">
        <v>1.3299999999999999E-2</v>
      </c>
      <c r="S934" s="1">
        <v>12</v>
      </c>
      <c r="T934" s="1">
        <v>8</v>
      </c>
      <c r="U934" s="1">
        <v>4</v>
      </c>
      <c r="V934" s="1" t="s">
        <v>39</v>
      </c>
      <c r="W934" s="1" t="s">
        <v>40</v>
      </c>
      <c r="X934" s="1" t="s">
        <v>41</v>
      </c>
      <c r="Y934" s="1" t="s">
        <v>42</v>
      </c>
      <c r="Z934" s="1" t="s">
        <v>43</v>
      </c>
      <c r="AA934" s="1" t="s">
        <v>129</v>
      </c>
      <c r="AB934" s="1" t="s">
        <v>137</v>
      </c>
      <c r="AC934" s="1"/>
      <c r="AD934" s="1">
        <v>3.8</v>
      </c>
      <c r="AE934" s="1" t="s">
        <v>139</v>
      </c>
      <c r="AF934" s="1" t="s">
        <v>46</v>
      </c>
    </row>
    <row r="935" spans="1:32" ht="18" hidden="1" customHeight="1">
      <c r="A935" s="1" t="s">
        <v>2884</v>
      </c>
      <c r="B935" s="1" t="s">
        <v>2885</v>
      </c>
      <c r="C935" s="4">
        <v>46168</v>
      </c>
      <c r="D935" s="1" t="s">
        <v>3791</v>
      </c>
      <c r="E935" s="1">
        <v>46173</v>
      </c>
      <c r="F935" s="1"/>
      <c r="G935" s="1" t="s">
        <v>232</v>
      </c>
      <c r="H935" s="1" t="s">
        <v>3361</v>
      </c>
      <c r="I935" s="1" t="s">
        <v>92</v>
      </c>
      <c r="J935" s="1" t="s">
        <v>50</v>
      </c>
      <c r="K935" s="1" t="s">
        <v>2886</v>
      </c>
      <c r="L935" s="1" t="s">
        <v>52</v>
      </c>
      <c r="M935" s="1">
        <v>659.21</v>
      </c>
      <c r="N935" s="1" t="s">
        <v>65</v>
      </c>
      <c r="O935" s="1">
        <v>75</v>
      </c>
      <c r="P935" s="1">
        <v>49440.75</v>
      </c>
      <c r="Q935" s="1">
        <v>9</v>
      </c>
      <c r="R935" s="7">
        <v>0.12</v>
      </c>
      <c r="S935" s="1">
        <v>5</v>
      </c>
      <c r="T935" s="1">
        <v>10</v>
      </c>
      <c r="U935" s="1">
        <v>-5</v>
      </c>
      <c r="V935" s="1" t="s">
        <v>270</v>
      </c>
      <c r="W935" s="1" t="s">
        <v>74</v>
      </c>
      <c r="X935" s="1" t="s">
        <v>3324</v>
      </c>
      <c r="Y935" s="1" t="s">
        <v>190</v>
      </c>
      <c r="Z935" s="1" t="s">
        <v>54</v>
      </c>
      <c r="AA935" s="1" t="s">
        <v>129</v>
      </c>
      <c r="AB935" s="1" t="s">
        <v>95</v>
      </c>
      <c r="AC935" s="1" t="s">
        <v>373</v>
      </c>
      <c r="AD935" s="1">
        <v>6</v>
      </c>
      <c r="AE935" s="1" t="s">
        <v>139</v>
      </c>
      <c r="AF935" s="1" t="s">
        <v>1758</v>
      </c>
    </row>
    <row r="936" spans="1:32" ht="18" hidden="1" customHeight="1">
      <c r="A936" s="1" t="s">
        <v>2887</v>
      </c>
      <c r="B936" s="1" t="s">
        <v>2888</v>
      </c>
      <c r="C936" s="4"/>
      <c r="D936" s="1">
        <v>46116</v>
      </c>
      <c r="E936" s="1">
        <v>46114</v>
      </c>
      <c r="F936" s="1" t="s">
        <v>69</v>
      </c>
      <c r="G936" s="1"/>
      <c r="H936" s="1" t="s">
        <v>194</v>
      </c>
      <c r="I936" s="1" t="s">
        <v>49</v>
      </c>
      <c r="J936" s="1" t="s">
        <v>112</v>
      </c>
      <c r="K936" s="1" t="s">
        <v>2889</v>
      </c>
      <c r="L936" s="1" t="s">
        <v>218</v>
      </c>
      <c r="M936" s="1">
        <v>646.12</v>
      </c>
      <c r="N936" s="1" t="s">
        <v>38</v>
      </c>
      <c r="O936" s="1">
        <v>150</v>
      </c>
      <c r="P936" s="1">
        <v>96918</v>
      </c>
      <c r="Q936" s="1">
        <v>9</v>
      </c>
      <c r="R936" s="7">
        <v>0.06</v>
      </c>
      <c r="S936" s="1">
        <v>9</v>
      </c>
      <c r="T936" s="1">
        <v>11</v>
      </c>
      <c r="U936" s="1">
        <v>-2</v>
      </c>
      <c r="V936" s="1" t="s">
        <v>3352</v>
      </c>
      <c r="W936" s="1" t="s">
        <v>420</v>
      </c>
      <c r="X936" s="1" t="s">
        <v>127</v>
      </c>
      <c r="Y936" s="1" t="s">
        <v>106</v>
      </c>
      <c r="Z936" s="1" t="s">
        <v>128</v>
      </c>
      <c r="AA936" s="1" t="s">
        <v>88</v>
      </c>
      <c r="AB936" s="1" t="s">
        <v>44</v>
      </c>
      <c r="AC936" s="1" t="s">
        <v>96</v>
      </c>
      <c r="AD936" s="1">
        <v>1.3</v>
      </c>
      <c r="AE936" s="1" t="s">
        <v>45</v>
      </c>
      <c r="AF936" s="1" t="s">
        <v>284</v>
      </c>
    </row>
    <row r="937" spans="1:32" ht="18" customHeight="1">
      <c r="A937" s="1" t="s">
        <v>2890</v>
      </c>
      <c r="B937" s="1" t="s">
        <v>2891</v>
      </c>
      <c r="C937" s="4">
        <v>46151</v>
      </c>
      <c r="D937" s="4">
        <v>46166</v>
      </c>
      <c r="E937" s="4"/>
      <c r="F937" s="1" t="s">
        <v>256</v>
      </c>
      <c r="G937" s="1" t="s">
        <v>3419</v>
      </c>
      <c r="H937" s="1" t="s">
        <v>258</v>
      </c>
      <c r="I937" s="1" t="s">
        <v>70</v>
      </c>
      <c r="J937" s="1" t="s">
        <v>35</v>
      </c>
      <c r="K937" s="1" t="s">
        <v>2892</v>
      </c>
      <c r="L937" s="1" t="s">
        <v>200</v>
      </c>
      <c r="M937" s="1">
        <v>2361.5700000000002</v>
      </c>
      <c r="N937" s="1" t="s">
        <v>53</v>
      </c>
      <c r="O937" s="1">
        <v>500</v>
      </c>
      <c r="P937" s="1">
        <v>1180785</v>
      </c>
      <c r="Q937" s="1">
        <v>8</v>
      </c>
      <c r="R937" s="7">
        <v>1.6E-2</v>
      </c>
      <c r="S937" s="1">
        <v>19</v>
      </c>
      <c r="T937" s="1">
        <v>15</v>
      </c>
      <c r="U937" s="1">
        <v>4</v>
      </c>
      <c r="V937" s="1" t="s">
        <v>205</v>
      </c>
      <c r="W937" s="1" t="s">
        <v>40</v>
      </c>
      <c r="X937" s="1"/>
      <c r="Y937" s="1" t="s">
        <v>190</v>
      </c>
      <c r="Z937" s="1" t="s">
        <v>54</v>
      </c>
      <c r="AA937" s="1" t="s">
        <v>206</v>
      </c>
      <c r="AB937" s="1" t="s">
        <v>44</v>
      </c>
      <c r="AC937" s="1"/>
      <c r="AD937" s="1">
        <v>4.7</v>
      </c>
      <c r="AE937" s="1" t="s">
        <v>76</v>
      </c>
      <c r="AF937" s="1" t="s">
        <v>148</v>
      </c>
    </row>
    <row r="938" spans="1:32" ht="18" customHeight="1">
      <c r="A938" s="1" t="s">
        <v>2876</v>
      </c>
      <c r="B938" s="1" t="s">
        <v>2893</v>
      </c>
      <c r="C938" s="4">
        <v>46125</v>
      </c>
      <c r="D938" s="4"/>
      <c r="E938" s="4">
        <v>46132</v>
      </c>
      <c r="F938" s="1" t="s">
        <v>69</v>
      </c>
      <c r="G938" s="1" t="s">
        <v>111</v>
      </c>
      <c r="H938" s="1" t="s">
        <v>3332</v>
      </c>
      <c r="I938" s="1" t="s">
        <v>34</v>
      </c>
      <c r="J938" s="1" t="s">
        <v>112</v>
      </c>
      <c r="K938" s="1" t="s">
        <v>2894</v>
      </c>
      <c r="L938" s="1" t="s">
        <v>114</v>
      </c>
      <c r="M938" s="1">
        <v>223.59</v>
      </c>
      <c r="N938" s="1" t="s">
        <v>38</v>
      </c>
      <c r="O938" s="1">
        <v>50</v>
      </c>
      <c r="P938" s="1">
        <v>11179.5</v>
      </c>
      <c r="Q938" s="1">
        <v>0</v>
      </c>
      <c r="R938" s="7">
        <v>0</v>
      </c>
      <c r="S938" s="1">
        <v>7</v>
      </c>
      <c r="T938" s="1">
        <v>4</v>
      </c>
      <c r="U938" s="1">
        <v>3</v>
      </c>
      <c r="V938" s="1" t="s">
        <v>3323</v>
      </c>
      <c r="W938" s="1" t="s">
        <v>40</v>
      </c>
      <c r="X938" s="1" t="s">
        <v>105</v>
      </c>
      <c r="Y938" s="1" t="s">
        <v>3334</v>
      </c>
      <c r="Z938" s="1" t="s">
        <v>128</v>
      </c>
      <c r="AA938" s="1" t="s">
        <v>88</v>
      </c>
      <c r="AB938" s="1" t="s">
        <v>95</v>
      </c>
      <c r="AC938" s="1"/>
      <c r="AD938" s="1">
        <v>3.8</v>
      </c>
      <c r="AE938" s="1" t="s">
        <v>108</v>
      </c>
      <c r="AF938" s="1" t="s">
        <v>46</v>
      </c>
    </row>
    <row r="939" spans="1:32" ht="18" customHeight="1">
      <c r="A939" s="1" t="s">
        <v>2895</v>
      </c>
      <c r="B939" s="1" t="s">
        <v>2896</v>
      </c>
      <c r="C939" s="4">
        <v>46165</v>
      </c>
      <c r="D939" s="4">
        <v>46179</v>
      </c>
      <c r="E939" s="4">
        <v>46186</v>
      </c>
      <c r="F939" s="1" t="s">
        <v>142</v>
      </c>
      <c r="G939" s="1" t="s">
        <v>143</v>
      </c>
      <c r="H939" s="1" t="s">
        <v>3392</v>
      </c>
      <c r="I939" s="1" t="s">
        <v>83</v>
      </c>
      <c r="J939" s="1" t="s">
        <v>50</v>
      </c>
      <c r="K939" s="1" t="s">
        <v>2897</v>
      </c>
      <c r="L939" s="1" t="s">
        <v>189</v>
      </c>
      <c r="M939" s="1">
        <v>525.83000000000004</v>
      </c>
      <c r="N939" s="1" t="s">
        <v>159</v>
      </c>
      <c r="O939" s="1">
        <v>1000</v>
      </c>
      <c r="P939" s="1">
        <v>525830</v>
      </c>
      <c r="Q939" s="1">
        <v>8</v>
      </c>
      <c r="R939" s="7">
        <v>8.0000000000000002E-3</v>
      </c>
      <c r="S939" s="1">
        <v>21</v>
      </c>
      <c r="T939" s="1">
        <v>14</v>
      </c>
      <c r="U939" s="1">
        <v>7</v>
      </c>
      <c r="V939" s="1" t="s">
        <v>205</v>
      </c>
      <c r="W939" s="1" t="s">
        <v>40</v>
      </c>
      <c r="X939" s="1" t="s">
        <v>3324</v>
      </c>
      <c r="Y939" s="1" t="s">
        <v>66</v>
      </c>
      <c r="Z939" s="1"/>
      <c r="AA939" s="1" t="s">
        <v>206</v>
      </c>
      <c r="AB939" s="1" t="s">
        <v>137</v>
      </c>
      <c r="AC939" s="1"/>
      <c r="AD939" s="1">
        <v>2.5</v>
      </c>
      <c r="AE939" s="1" t="s">
        <v>108</v>
      </c>
      <c r="AF939" s="1" t="s">
        <v>46</v>
      </c>
    </row>
    <row r="940" spans="1:32" ht="18" customHeight="1">
      <c r="A940" s="1" t="s">
        <v>2898</v>
      </c>
      <c r="B940" s="1" t="s">
        <v>2899</v>
      </c>
      <c r="C940" s="4">
        <v>46047</v>
      </c>
      <c r="D940" s="4">
        <v>46068</v>
      </c>
      <c r="E940" s="4">
        <v>46079</v>
      </c>
      <c r="F940" s="1" t="s">
        <v>118</v>
      </c>
      <c r="G940" s="1" t="s">
        <v>119</v>
      </c>
      <c r="H940" s="1" t="s">
        <v>3407</v>
      </c>
      <c r="I940" s="1" t="s">
        <v>61</v>
      </c>
      <c r="J940" s="1" t="s">
        <v>62</v>
      </c>
      <c r="K940" s="1" t="s">
        <v>2900</v>
      </c>
      <c r="L940" s="1" t="s">
        <v>225</v>
      </c>
      <c r="M940" s="1">
        <v>304.73</v>
      </c>
      <c r="N940" s="1" t="s">
        <v>65</v>
      </c>
      <c r="O940" s="1">
        <v>1500</v>
      </c>
      <c r="P940" s="1">
        <v>457095</v>
      </c>
      <c r="Q940" s="1">
        <v>31</v>
      </c>
      <c r="R940" s="7">
        <v>2.07E-2</v>
      </c>
      <c r="S940" s="1">
        <v>32</v>
      </c>
      <c r="T940" s="1">
        <v>21</v>
      </c>
      <c r="U940" s="1">
        <v>11</v>
      </c>
      <c r="V940" s="1" t="s">
        <v>205</v>
      </c>
      <c r="W940" s="1" t="s">
        <v>40</v>
      </c>
      <c r="X940" s="1" t="s">
        <v>146</v>
      </c>
      <c r="Y940" s="1" t="s">
        <v>42</v>
      </c>
      <c r="Z940" s="1" t="s">
        <v>54</v>
      </c>
      <c r="AA940" s="1" t="s">
        <v>136</v>
      </c>
      <c r="AB940" s="1"/>
      <c r="AC940" s="1"/>
      <c r="AD940" s="1">
        <v>3.2</v>
      </c>
      <c r="AE940" s="1" t="s">
        <v>139</v>
      </c>
      <c r="AF940" s="1" t="s">
        <v>148</v>
      </c>
    </row>
    <row r="941" spans="1:32" ht="18" customHeight="1">
      <c r="A941" s="1" t="s">
        <v>2901</v>
      </c>
      <c r="B941" s="1" t="s">
        <v>2902</v>
      </c>
      <c r="C941" s="4">
        <v>46170</v>
      </c>
      <c r="D941" s="4">
        <v>46177</v>
      </c>
      <c r="E941" s="4">
        <v>46183</v>
      </c>
      <c r="F941" s="1" t="s">
        <v>209</v>
      </c>
      <c r="G941" s="1" t="s">
        <v>3482</v>
      </c>
      <c r="H941" s="1" t="s">
        <v>3390</v>
      </c>
      <c r="I941" s="1" t="s">
        <v>61</v>
      </c>
      <c r="J941" s="1" t="s">
        <v>112</v>
      </c>
      <c r="K941" s="1" t="s">
        <v>1124</v>
      </c>
      <c r="L941" s="1" t="s">
        <v>114</v>
      </c>
      <c r="M941" s="1">
        <v>592.28</v>
      </c>
      <c r="N941" s="1" t="s">
        <v>65</v>
      </c>
      <c r="O941" s="1">
        <v>100</v>
      </c>
      <c r="P941" s="1">
        <v>59228</v>
      </c>
      <c r="Q941" s="1">
        <v>2</v>
      </c>
      <c r="R941" s="7">
        <v>0.02</v>
      </c>
      <c r="S941" s="1">
        <v>13</v>
      </c>
      <c r="T941" s="1">
        <v>7</v>
      </c>
      <c r="U941" s="1">
        <v>6</v>
      </c>
      <c r="V941" s="1" t="s">
        <v>205</v>
      </c>
      <c r="W941" s="1" t="s">
        <v>40</v>
      </c>
      <c r="X941" s="1"/>
      <c r="Y941" s="1" t="s">
        <v>66</v>
      </c>
      <c r="Z941" s="1" t="s">
        <v>107</v>
      </c>
      <c r="AA941" s="1" t="s">
        <v>129</v>
      </c>
      <c r="AB941" s="1" t="s">
        <v>137</v>
      </c>
      <c r="AC941" s="1"/>
      <c r="AD941" s="1">
        <v>2.9</v>
      </c>
      <c r="AE941" s="1" t="s">
        <v>115</v>
      </c>
      <c r="AF941" s="1" t="s">
        <v>148</v>
      </c>
    </row>
    <row r="942" spans="1:32" ht="18" hidden="1" customHeight="1">
      <c r="A942" s="1" t="s">
        <v>2903</v>
      </c>
      <c r="B942" s="1" t="s">
        <v>2904</v>
      </c>
      <c r="C942" s="4">
        <v>46053</v>
      </c>
      <c r="D942" s="1">
        <v>46060</v>
      </c>
      <c r="E942" s="1">
        <v>46055</v>
      </c>
      <c r="F942" s="1" t="s">
        <v>215</v>
      </c>
      <c r="G942" s="1" t="s">
        <v>216</v>
      </c>
      <c r="H942" s="1" t="s">
        <v>3408</v>
      </c>
      <c r="I942" s="1" t="s">
        <v>61</v>
      </c>
      <c r="J942" s="1" t="s">
        <v>112</v>
      </c>
      <c r="K942" s="1" t="s">
        <v>2905</v>
      </c>
      <c r="L942" s="1" t="s">
        <v>246</v>
      </c>
      <c r="M942" s="1">
        <v>106.48</v>
      </c>
      <c r="N942" s="1" t="s">
        <v>86</v>
      </c>
      <c r="O942" s="1">
        <v>1000</v>
      </c>
      <c r="P942" s="1">
        <v>106480</v>
      </c>
      <c r="Q942" s="1">
        <v>53</v>
      </c>
      <c r="R942" s="7">
        <v>5.2999999999999999E-2</v>
      </c>
      <c r="S942" s="1">
        <v>2</v>
      </c>
      <c r="T942" s="1">
        <v>7</v>
      </c>
      <c r="U942" s="1">
        <v>-5</v>
      </c>
      <c r="V942" s="1" t="s">
        <v>270</v>
      </c>
      <c r="W942" s="1" t="s">
        <v>366</v>
      </c>
      <c r="X942" s="1" t="s">
        <v>105</v>
      </c>
      <c r="Y942" s="1"/>
      <c r="Z942" s="1" t="s">
        <v>128</v>
      </c>
      <c r="AA942" s="1" t="s">
        <v>136</v>
      </c>
      <c r="AB942" s="1"/>
      <c r="AC942" s="1" t="s">
        <v>373</v>
      </c>
      <c r="AD942" s="1">
        <v>3.1</v>
      </c>
      <c r="AE942" s="1" t="s">
        <v>76</v>
      </c>
      <c r="AF942" s="1" t="s">
        <v>97</v>
      </c>
    </row>
    <row r="943" spans="1:32" ht="18" customHeight="1">
      <c r="A943" s="1" t="s">
        <v>2906</v>
      </c>
      <c r="B943" s="1" t="s">
        <v>2907</v>
      </c>
      <c r="C943" s="4">
        <v>46115</v>
      </c>
      <c r="D943" s="4">
        <v>46130</v>
      </c>
      <c r="E943" s="4">
        <v>46133</v>
      </c>
      <c r="F943" s="1" t="s">
        <v>142</v>
      </c>
      <c r="G943" s="1" t="s">
        <v>3561</v>
      </c>
      <c r="H943" s="1" t="s">
        <v>3392</v>
      </c>
      <c r="I943" s="1" t="s">
        <v>34</v>
      </c>
      <c r="J943" s="1" t="s">
        <v>50</v>
      </c>
      <c r="K943" s="1" t="s">
        <v>2908</v>
      </c>
      <c r="L943" s="1" t="s">
        <v>189</v>
      </c>
      <c r="M943" s="1">
        <v>1969.5</v>
      </c>
      <c r="N943" s="1" t="s">
        <v>104</v>
      </c>
      <c r="O943" s="1">
        <v>300</v>
      </c>
      <c r="P943" s="1">
        <v>590850</v>
      </c>
      <c r="Q943" s="1">
        <v>2</v>
      </c>
      <c r="R943" s="7">
        <v>6.7000000000000002E-3</v>
      </c>
      <c r="S943" s="1">
        <v>18</v>
      </c>
      <c r="T943" s="1">
        <v>15</v>
      </c>
      <c r="U943" s="1">
        <v>3</v>
      </c>
      <c r="V943" s="1" t="s">
        <v>166</v>
      </c>
      <c r="W943" s="1"/>
      <c r="X943" s="1" t="s">
        <v>105</v>
      </c>
      <c r="Y943" s="1" t="s">
        <v>212</v>
      </c>
      <c r="Z943" s="1" t="s">
        <v>173</v>
      </c>
      <c r="AA943" s="1" t="s">
        <v>55</v>
      </c>
      <c r="AB943" s="1"/>
      <c r="AC943" s="1"/>
      <c r="AD943" s="1">
        <v>2.9</v>
      </c>
      <c r="AE943" s="1" t="s">
        <v>115</v>
      </c>
      <c r="AF943" s="1" t="s">
        <v>46</v>
      </c>
    </row>
    <row r="944" spans="1:32" ht="18" customHeight="1">
      <c r="A944" s="1" t="s">
        <v>2909</v>
      </c>
      <c r="B944" s="1" t="s">
        <v>2910</v>
      </c>
      <c r="C944" s="4">
        <v>46106</v>
      </c>
      <c r="D944" s="4">
        <v>46118</v>
      </c>
      <c r="E944" s="4">
        <v>46128</v>
      </c>
      <c r="F944" s="1" t="s">
        <v>256</v>
      </c>
      <c r="G944" s="1" t="s">
        <v>257</v>
      </c>
      <c r="H944" s="1" t="s">
        <v>3420</v>
      </c>
      <c r="I944" s="1" t="s">
        <v>70</v>
      </c>
      <c r="J944" s="1" t="s">
        <v>153</v>
      </c>
      <c r="K944" s="1" t="s">
        <v>2838</v>
      </c>
      <c r="L944" s="1" t="s">
        <v>204</v>
      </c>
      <c r="M944" s="1">
        <v>410.42</v>
      </c>
      <c r="N944" s="1" t="s">
        <v>159</v>
      </c>
      <c r="O944" s="1">
        <v>75</v>
      </c>
      <c r="P944" s="1">
        <v>30781.5</v>
      </c>
      <c r="Q944" s="1">
        <v>0</v>
      </c>
      <c r="R944" s="7">
        <v>0</v>
      </c>
      <c r="S944" s="1">
        <v>22</v>
      </c>
      <c r="T944" s="1">
        <v>12</v>
      </c>
      <c r="U944" s="1">
        <v>10</v>
      </c>
      <c r="V944" s="1" t="s">
        <v>205</v>
      </c>
      <c r="W944" s="1" t="s">
        <v>404</v>
      </c>
      <c r="X944" s="1" t="s">
        <v>105</v>
      </c>
      <c r="Y944" s="1" t="s">
        <v>212</v>
      </c>
      <c r="Z944" s="1" t="s">
        <v>54</v>
      </c>
      <c r="AA944" s="1" t="s">
        <v>174</v>
      </c>
      <c r="AB944" s="1" t="s">
        <v>191</v>
      </c>
      <c r="AC944" s="1"/>
      <c r="AD944" s="1">
        <v>2.6</v>
      </c>
      <c r="AE944" s="1" t="s">
        <v>76</v>
      </c>
      <c r="AF944" s="1" t="s">
        <v>46</v>
      </c>
    </row>
    <row r="945" spans="1:32" ht="18" customHeight="1">
      <c r="A945" s="1" t="s">
        <v>2911</v>
      </c>
      <c r="B945" s="1" t="s">
        <v>2912</v>
      </c>
      <c r="C945" s="4">
        <v>46182</v>
      </c>
      <c r="D945" s="4">
        <v>46199</v>
      </c>
      <c r="E945" s="4">
        <v>46201</v>
      </c>
      <c r="F945" s="1" t="s">
        <v>235</v>
      </c>
      <c r="G945" s="1" t="s">
        <v>236</v>
      </c>
      <c r="H945" s="1" t="s">
        <v>479</v>
      </c>
      <c r="I945" s="1" t="s">
        <v>178</v>
      </c>
      <c r="J945" s="1" t="s">
        <v>71</v>
      </c>
      <c r="K945" s="1" t="s">
        <v>2913</v>
      </c>
      <c r="L945" s="1" t="s">
        <v>238</v>
      </c>
      <c r="M945" s="1">
        <v>730.18</v>
      </c>
      <c r="N945" s="1" t="s">
        <v>53</v>
      </c>
      <c r="O945" s="1">
        <v>1500</v>
      </c>
      <c r="P945" s="1">
        <v>1095270</v>
      </c>
      <c r="Q945" s="1">
        <v>25</v>
      </c>
      <c r="R945" s="7">
        <v>1.67E-2</v>
      </c>
      <c r="S945" s="1">
        <v>19</v>
      </c>
      <c r="T945" s="1">
        <v>17</v>
      </c>
      <c r="U945" s="1">
        <v>2</v>
      </c>
      <c r="V945" s="1" t="s">
        <v>3323</v>
      </c>
      <c r="W945" s="1" t="s">
        <v>40</v>
      </c>
      <c r="X945" s="1"/>
      <c r="Y945" s="1"/>
      <c r="Z945" s="1"/>
      <c r="AA945" s="1" t="s">
        <v>206</v>
      </c>
      <c r="AB945" s="1" t="s">
        <v>137</v>
      </c>
      <c r="AC945" s="1"/>
      <c r="AD945" s="1">
        <v>3.4</v>
      </c>
      <c r="AE945" s="1" t="s">
        <v>108</v>
      </c>
      <c r="AF945" s="1" t="s">
        <v>148</v>
      </c>
    </row>
    <row r="946" spans="1:32" ht="18" customHeight="1">
      <c r="A946" s="1" t="s">
        <v>2914</v>
      </c>
      <c r="B946" s="1" t="s">
        <v>2915</v>
      </c>
      <c r="C946" s="4" t="s">
        <v>3590</v>
      </c>
      <c r="D946" s="4">
        <v>46102</v>
      </c>
      <c r="E946" s="4" t="s">
        <v>3459</v>
      </c>
      <c r="F946" s="1" t="s">
        <v>32</v>
      </c>
      <c r="G946" s="1" t="s">
        <v>3422</v>
      </c>
      <c r="H946" s="1" t="s">
        <v>3395</v>
      </c>
      <c r="I946" s="1" t="s">
        <v>49</v>
      </c>
      <c r="J946" s="1" t="s">
        <v>35</v>
      </c>
      <c r="K946" s="1" t="s">
        <v>2916</v>
      </c>
      <c r="L946" s="1" t="s">
        <v>85</v>
      </c>
      <c r="M946" s="1">
        <v>1317.68</v>
      </c>
      <c r="N946" s="1" t="s">
        <v>172</v>
      </c>
      <c r="O946" s="1">
        <v>150</v>
      </c>
      <c r="P946" s="1">
        <v>197652</v>
      </c>
      <c r="Q946" s="1">
        <v>1</v>
      </c>
      <c r="R946" s="7">
        <v>6.7000000000000002E-3</v>
      </c>
      <c r="S946" s="1" t="s">
        <v>3792</v>
      </c>
      <c r="T946" s="1">
        <v>19</v>
      </c>
      <c r="U946" s="1">
        <v>0</v>
      </c>
      <c r="V946" s="1" t="s">
        <v>270</v>
      </c>
      <c r="W946" s="1" t="s">
        <v>40</v>
      </c>
      <c r="X946" s="1" t="s">
        <v>3324</v>
      </c>
      <c r="Y946" s="1" t="s">
        <v>42</v>
      </c>
      <c r="Z946" s="1" t="s">
        <v>128</v>
      </c>
      <c r="AA946" s="1" t="s">
        <v>129</v>
      </c>
      <c r="AB946" s="1" t="s">
        <v>95</v>
      </c>
      <c r="AC946" s="1"/>
      <c r="AD946" s="1">
        <v>3.6</v>
      </c>
      <c r="AE946" s="1" t="s">
        <v>76</v>
      </c>
      <c r="AF946" s="1"/>
    </row>
    <row r="947" spans="1:32" ht="18" customHeight="1">
      <c r="A947" s="1" t="s">
        <v>2917</v>
      </c>
      <c r="B947" s="1" t="s">
        <v>2918</v>
      </c>
      <c r="C947" s="4">
        <v>46175</v>
      </c>
      <c r="D947" s="4">
        <v>46181</v>
      </c>
      <c r="E947" s="4">
        <v>46192</v>
      </c>
      <c r="F947" s="1" t="s">
        <v>215</v>
      </c>
      <c r="G947" s="1" t="s">
        <v>216</v>
      </c>
      <c r="H947" s="1" t="s">
        <v>3408</v>
      </c>
      <c r="I947" s="1" t="s">
        <v>178</v>
      </c>
      <c r="J947" s="1" t="s">
        <v>112</v>
      </c>
      <c r="K947" s="1" t="s">
        <v>2919</v>
      </c>
      <c r="L947" s="1" t="s">
        <v>218</v>
      </c>
      <c r="M947" s="1" t="s">
        <v>3793</v>
      </c>
      <c r="N947" s="1" t="s">
        <v>65</v>
      </c>
      <c r="O947" s="1">
        <v>250</v>
      </c>
      <c r="P947" s="1">
        <v>158297.5</v>
      </c>
      <c r="Q947" s="1">
        <v>4</v>
      </c>
      <c r="R947" s="7">
        <v>1.6E-2</v>
      </c>
      <c r="S947" s="1">
        <v>17</v>
      </c>
      <c r="T947" s="1">
        <v>6</v>
      </c>
      <c r="U947" s="1">
        <v>11</v>
      </c>
      <c r="V947" s="1" t="s">
        <v>3328</v>
      </c>
      <c r="W947" s="1" t="s">
        <v>40</v>
      </c>
      <c r="X947" s="1" t="s">
        <v>105</v>
      </c>
      <c r="Y947" s="1" t="s">
        <v>66</v>
      </c>
      <c r="Z947" s="1" t="s">
        <v>107</v>
      </c>
      <c r="AA947" s="1" t="s">
        <v>88</v>
      </c>
      <c r="AB947" s="1"/>
      <c r="AC947" s="1"/>
      <c r="AD947" s="1">
        <v>1.8</v>
      </c>
      <c r="AE947" s="1" t="s">
        <v>184</v>
      </c>
      <c r="AF947" s="1" t="s">
        <v>46</v>
      </c>
    </row>
    <row r="948" spans="1:32" ht="18" customHeight="1">
      <c r="A948" s="1" t="s">
        <v>2920</v>
      </c>
      <c r="B948" s="1" t="s">
        <v>2921</v>
      </c>
      <c r="C948" s="4">
        <v>46084</v>
      </c>
      <c r="D948" s="4"/>
      <c r="E948" s="4" t="s">
        <v>3762</v>
      </c>
      <c r="F948" s="1" t="s">
        <v>48</v>
      </c>
      <c r="G948" s="1" t="s">
        <v>232</v>
      </c>
      <c r="H948" s="1" t="s">
        <v>3322</v>
      </c>
      <c r="I948" s="1" t="s">
        <v>83</v>
      </c>
      <c r="J948" s="1" t="s">
        <v>50</v>
      </c>
      <c r="K948" s="1" t="s">
        <v>2922</v>
      </c>
      <c r="L948" s="1" t="s">
        <v>52</v>
      </c>
      <c r="M948" s="1">
        <v>1456.78</v>
      </c>
      <c r="N948" s="1" t="s">
        <v>65</v>
      </c>
      <c r="O948" s="1">
        <v>50</v>
      </c>
      <c r="P948" s="1"/>
      <c r="Q948" s="1">
        <v>0</v>
      </c>
      <c r="R948" s="7">
        <v>0</v>
      </c>
      <c r="S948" s="1">
        <v>25</v>
      </c>
      <c r="T948" s="1">
        <v>17</v>
      </c>
      <c r="U948" s="1">
        <v>8</v>
      </c>
      <c r="V948" s="1" t="s">
        <v>39</v>
      </c>
      <c r="W948" s="1" t="s">
        <v>40</v>
      </c>
      <c r="X948" s="1" t="s">
        <v>3329</v>
      </c>
      <c r="Y948" s="1" t="s">
        <v>3334</v>
      </c>
      <c r="Z948" s="1"/>
      <c r="AA948" s="1" t="s">
        <v>136</v>
      </c>
      <c r="AB948" s="1" t="s">
        <v>56</v>
      </c>
      <c r="AC948" s="1"/>
      <c r="AD948" s="1">
        <v>2.8</v>
      </c>
      <c r="AE948" s="1" t="s">
        <v>57</v>
      </c>
      <c r="AF948" s="1" t="s">
        <v>46</v>
      </c>
    </row>
    <row r="949" spans="1:32" ht="18" hidden="1" customHeight="1">
      <c r="A949" s="1" t="s">
        <v>2923</v>
      </c>
      <c r="B949" s="1" t="s">
        <v>2924</v>
      </c>
      <c r="C949" s="4">
        <v>46175</v>
      </c>
      <c r="D949" s="1">
        <v>46196</v>
      </c>
      <c r="E949" s="1" t="s">
        <v>3455</v>
      </c>
      <c r="F949" s="1" t="s">
        <v>32</v>
      </c>
      <c r="G949" s="1" t="s">
        <v>3422</v>
      </c>
      <c r="H949" s="1" t="s">
        <v>3395</v>
      </c>
      <c r="I949" s="1" t="s">
        <v>120</v>
      </c>
      <c r="J949" s="1" t="s">
        <v>35</v>
      </c>
      <c r="K949" s="1" t="s">
        <v>594</v>
      </c>
      <c r="L949" s="1" t="s">
        <v>37</v>
      </c>
      <c r="M949" s="1">
        <v>-225.51</v>
      </c>
      <c r="N949" s="1" t="s">
        <v>38</v>
      </c>
      <c r="O949" s="1">
        <v>750</v>
      </c>
      <c r="P949" s="1">
        <v>169132.5</v>
      </c>
      <c r="Q949" s="1">
        <v>38</v>
      </c>
      <c r="R949" s="7">
        <v>5.0700000000000002E-2</v>
      </c>
      <c r="S949" s="1">
        <v>18</v>
      </c>
      <c r="T949" s="1">
        <v>21</v>
      </c>
      <c r="U949" s="1">
        <v>-3</v>
      </c>
      <c r="V949" s="1" t="s">
        <v>3352</v>
      </c>
      <c r="W949" s="1" t="s">
        <v>420</v>
      </c>
      <c r="X949" s="1"/>
      <c r="Y949" s="1"/>
      <c r="Z949" s="1" t="s">
        <v>173</v>
      </c>
      <c r="AA949" s="1" t="s">
        <v>129</v>
      </c>
      <c r="AB949" s="1" t="s">
        <v>191</v>
      </c>
      <c r="AC949" s="1" t="s">
        <v>283</v>
      </c>
      <c r="AD949" s="1">
        <v>2.1</v>
      </c>
      <c r="AE949" s="1" t="s">
        <v>76</v>
      </c>
      <c r="AF949" s="1" t="s">
        <v>284</v>
      </c>
    </row>
    <row r="950" spans="1:32" ht="18" customHeight="1">
      <c r="A950" s="1" t="s">
        <v>2925</v>
      </c>
      <c r="B950" s="1" t="s">
        <v>2926</v>
      </c>
      <c r="C950" s="4">
        <v>46166</v>
      </c>
      <c r="D950" s="4">
        <v>46179</v>
      </c>
      <c r="E950" s="4">
        <v>46180</v>
      </c>
      <c r="F950" s="1" t="s">
        <v>80</v>
      </c>
      <c r="G950" s="1" t="s">
        <v>81</v>
      </c>
      <c r="H950" s="1" t="s">
        <v>3414</v>
      </c>
      <c r="I950" s="1" t="s">
        <v>61</v>
      </c>
      <c r="J950" s="1" t="s">
        <v>35</v>
      </c>
      <c r="K950" s="1" t="s">
        <v>2927</v>
      </c>
      <c r="L950" s="1" t="s">
        <v>37</v>
      </c>
      <c r="M950" s="1">
        <v>2040.06</v>
      </c>
      <c r="N950" s="1" t="s">
        <v>104</v>
      </c>
      <c r="O950" s="1">
        <v>2000</v>
      </c>
      <c r="P950" s="1">
        <v>4080120</v>
      </c>
      <c r="Q950" s="1">
        <v>55</v>
      </c>
      <c r="R950" s="7">
        <v>2.75E-2</v>
      </c>
      <c r="S950" s="1">
        <v>14</v>
      </c>
      <c r="T950" s="1">
        <v>13</v>
      </c>
      <c r="U950" s="1">
        <v>1</v>
      </c>
      <c r="V950" s="1" t="s">
        <v>3323</v>
      </c>
      <c r="W950" s="1" t="s">
        <v>40</v>
      </c>
      <c r="X950" s="1" t="s">
        <v>105</v>
      </c>
      <c r="Y950" s="1" t="s">
        <v>66</v>
      </c>
      <c r="Z950" s="1" t="s">
        <v>173</v>
      </c>
      <c r="AA950" s="1"/>
      <c r="AB950" s="1" t="s">
        <v>56</v>
      </c>
      <c r="AC950" s="1"/>
      <c r="AD950" s="1">
        <v>3.4</v>
      </c>
      <c r="AE950" s="1" t="s">
        <v>76</v>
      </c>
      <c r="AF950" s="1" t="s">
        <v>46</v>
      </c>
    </row>
    <row r="951" spans="1:32" ht="18" hidden="1" customHeight="1">
      <c r="A951" s="1" t="s">
        <v>2928</v>
      </c>
      <c r="B951" s="1" t="s">
        <v>2929</v>
      </c>
      <c r="C951" s="4">
        <v>46110</v>
      </c>
      <c r="D951" s="1" t="s">
        <v>3400</v>
      </c>
      <c r="E951" s="1">
        <v>46120</v>
      </c>
      <c r="F951" s="1" t="s">
        <v>80</v>
      </c>
      <c r="G951" s="1" t="s">
        <v>3413</v>
      </c>
      <c r="H951" s="1" t="s">
        <v>3442</v>
      </c>
      <c r="I951" s="1" t="s">
        <v>178</v>
      </c>
      <c r="J951" s="1" t="s">
        <v>35</v>
      </c>
      <c r="K951" s="1" t="s">
        <v>540</v>
      </c>
      <c r="L951" s="1" t="s">
        <v>200</v>
      </c>
      <c r="M951" s="1">
        <v>1676.62</v>
      </c>
      <c r="N951" s="1" t="s">
        <v>65</v>
      </c>
      <c r="O951" s="1"/>
      <c r="P951" s="1">
        <v>502986</v>
      </c>
      <c r="Q951" s="1">
        <v>16</v>
      </c>
      <c r="R951" s="7">
        <v>5.33E-2</v>
      </c>
      <c r="S951" s="1">
        <v>10</v>
      </c>
      <c r="T951" s="1">
        <v>10</v>
      </c>
      <c r="U951" s="1">
        <v>0</v>
      </c>
      <c r="V951" s="1" t="s">
        <v>87</v>
      </c>
      <c r="W951" s="1" t="s">
        <v>74</v>
      </c>
      <c r="X951" s="1" t="s">
        <v>3329</v>
      </c>
      <c r="Y951" s="1" t="s">
        <v>106</v>
      </c>
      <c r="Z951" s="1" t="s">
        <v>107</v>
      </c>
      <c r="AA951" s="1" t="s">
        <v>129</v>
      </c>
      <c r="AB951" s="1" t="s">
        <v>95</v>
      </c>
      <c r="AC951" s="1" t="s">
        <v>75</v>
      </c>
      <c r="AD951" s="1">
        <v>3.1</v>
      </c>
      <c r="AE951" s="1" t="s">
        <v>76</v>
      </c>
      <c r="AF951" s="1" t="s">
        <v>97</v>
      </c>
    </row>
    <row r="952" spans="1:32" ht="18" customHeight="1">
      <c r="A952" s="1" t="s">
        <v>2930</v>
      </c>
      <c r="B952" s="1" t="s">
        <v>2931</v>
      </c>
      <c r="C952" s="4" t="s">
        <v>3435</v>
      </c>
      <c r="D952" s="4">
        <v>46204</v>
      </c>
      <c r="E952" s="4" t="s">
        <v>3540</v>
      </c>
      <c r="F952" s="1" t="s">
        <v>80</v>
      </c>
      <c r="G952" s="1" t="s">
        <v>3413</v>
      </c>
      <c r="H952" s="1" t="s">
        <v>3442</v>
      </c>
      <c r="I952" s="1" t="s">
        <v>34</v>
      </c>
      <c r="J952" s="1" t="s">
        <v>35</v>
      </c>
      <c r="K952" s="1" t="s">
        <v>2932</v>
      </c>
      <c r="L952" s="1" t="s">
        <v>85</v>
      </c>
      <c r="M952" s="1">
        <v>2506.5300000000002</v>
      </c>
      <c r="N952" s="1" t="s">
        <v>104</v>
      </c>
      <c r="O952" s="1">
        <v>750</v>
      </c>
      <c r="P952" s="1">
        <v>1879897.5</v>
      </c>
      <c r="Q952" s="1">
        <v>13</v>
      </c>
      <c r="R952" s="7">
        <v>1.7299999999999999E-2</v>
      </c>
      <c r="S952" s="1">
        <v>16</v>
      </c>
      <c r="T952" s="1">
        <v>10</v>
      </c>
      <c r="U952" s="1">
        <v>6</v>
      </c>
      <c r="V952" s="1" t="s">
        <v>205</v>
      </c>
      <c r="W952" s="1" t="s">
        <v>40</v>
      </c>
      <c r="X952" s="1" t="s">
        <v>3329</v>
      </c>
      <c r="Y952" s="1" t="s">
        <v>106</v>
      </c>
      <c r="Z952" s="1" t="s">
        <v>128</v>
      </c>
      <c r="AA952" s="1" t="s">
        <v>88</v>
      </c>
      <c r="AB952" s="1" t="s">
        <v>147</v>
      </c>
      <c r="AC952" s="1"/>
      <c r="AD952" s="1">
        <v>3.4</v>
      </c>
      <c r="AE952" s="1" t="s">
        <v>76</v>
      </c>
      <c r="AF952" s="1" t="s">
        <v>46</v>
      </c>
    </row>
    <row r="953" spans="1:32" ht="18" customHeight="1">
      <c r="A953" s="1" t="s">
        <v>2933</v>
      </c>
      <c r="B953" s="1" t="s">
        <v>2934</v>
      </c>
      <c r="C953" s="4" t="s">
        <v>3794</v>
      </c>
      <c r="D953" s="4">
        <v>46109</v>
      </c>
      <c r="E953" s="4">
        <v>46118</v>
      </c>
      <c r="F953" s="1" t="s">
        <v>215</v>
      </c>
      <c r="G953" s="1" t="s">
        <v>3415</v>
      </c>
      <c r="H953" s="1" t="s">
        <v>152</v>
      </c>
      <c r="I953" s="1" t="s">
        <v>241</v>
      </c>
      <c r="J953" s="1" t="s">
        <v>71</v>
      </c>
      <c r="K953" s="1" t="s">
        <v>2935</v>
      </c>
      <c r="L953" s="1" t="s">
        <v>553</v>
      </c>
      <c r="M953" s="1">
        <v>133.84</v>
      </c>
      <c r="N953" s="1" t="s">
        <v>159</v>
      </c>
      <c r="O953" s="1">
        <v>750</v>
      </c>
      <c r="P953" s="1">
        <v>100380</v>
      </c>
      <c r="Q953" s="1">
        <v>27</v>
      </c>
      <c r="R953" s="7">
        <v>3.5999999999999997E-2</v>
      </c>
      <c r="S953" s="1">
        <v>12</v>
      </c>
      <c r="T953" s="1">
        <v>3</v>
      </c>
      <c r="U953" s="1">
        <v>9</v>
      </c>
      <c r="V953" s="1" t="s">
        <v>3328</v>
      </c>
      <c r="W953" s="1" t="s">
        <v>40</v>
      </c>
      <c r="X953" s="1" t="s">
        <v>105</v>
      </c>
      <c r="Y953" s="1" t="s">
        <v>3334</v>
      </c>
      <c r="Z953" s="1" t="s">
        <v>3333</v>
      </c>
      <c r="AA953" s="1" t="s">
        <v>174</v>
      </c>
      <c r="AB953" s="1"/>
      <c r="AC953" s="1"/>
      <c r="AD953" s="1">
        <v>2</v>
      </c>
      <c r="AE953" s="1" t="s">
        <v>139</v>
      </c>
      <c r="AF953" s="1" t="s">
        <v>46</v>
      </c>
    </row>
    <row r="954" spans="1:32" ht="18" customHeight="1">
      <c r="A954" s="1" t="s">
        <v>2936</v>
      </c>
      <c r="B954" s="1" t="s">
        <v>2937</v>
      </c>
      <c r="C954" s="4">
        <v>46047</v>
      </c>
      <c r="D954" s="4">
        <v>46068</v>
      </c>
      <c r="E954" s="4"/>
      <c r="F954" s="1" t="s">
        <v>32</v>
      </c>
      <c r="G954" s="1" t="s">
        <v>3359</v>
      </c>
      <c r="H954" s="1" t="s">
        <v>3319</v>
      </c>
      <c r="I954" s="1" t="s">
        <v>61</v>
      </c>
      <c r="J954" s="1" t="s">
        <v>35</v>
      </c>
      <c r="K954" s="1" t="s">
        <v>2938</v>
      </c>
      <c r="L954" s="1" t="s">
        <v>37</v>
      </c>
      <c r="M954" s="1">
        <v>1188.3699999999999</v>
      </c>
      <c r="N954" s="1" t="s">
        <v>104</v>
      </c>
      <c r="O954" s="1">
        <v>150</v>
      </c>
      <c r="P954" s="1">
        <v>178255.5</v>
      </c>
      <c r="Q954" s="1">
        <v>2</v>
      </c>
      <c r="R954" s="7">
        <v>1.3299999999999999E-2</v>
      </c>
      <c r="S954" s="1">
        <v>20</v>
      </c>
      <c r="T954" s="1">
        <v>21</v>
      </c>
      <c r="U954" s="1">
        <v>-1</v>
      </c>
      <c r="V954" s="1" t="s">
        <v>3337</v>
      </c>
      <c r="W954" s="1" t="s">
        <v>40</v>
      </c>
      <c r="X954" s="1"/>
      <c r="Y954" s="1" t="s">
        <v>212</v>
      </c>
      <c r="Z954" s="1" t="s">
        <v>128</v>
      </c>
      <c r="AA954" s="1" t="s">
        <v>129</v>
      </c>
      <c r="AB954" s="1" t="s">
        <v>137</v>
      </c>
      <c r="AC954" s="1"/>
      <c r="AD954" s="1">
        <v>4.8</v>
      </c>
      <c r="AE954" s="1" t="s">
        <v>139</v>
      </c>
      <c r="AF954" s="1" t="s">
        <v>130</v>
      </c>
    </row>
    <row r="955" spans="1:32" ht="18" customHeight="1">
      <c r="A955" s="1" t="s">
        <v>2939</v>
      </c>
      <c r="B955" s="1" t="s">
        <v>2940</v>
      </c>
      <c r="C955" s="4">
        <v>46115</v>
      </c>
      <c r="D955" s="4">
        <v>46129</v>
      </c>
      <c r="E955" s="4" t="s">
        <v>3795</v>
      </c>
      <c r="F955" s="1" t="s">
        <v>100</v>
      </c>
      <c r="G955" s="1" t="s">
        <v>101</v>
      </c>
      <c r="H955" s="1" t="s">
        <v>3361</v>
      </c>
      <c r="I955" s="1" t="s">
        <v>34</v>
      </c>
      <c r="J955" s="1" t="s">
        <v>153</v>
      </c>
      <c r="K955" s="1" t="s">
        <v>1764</v>
      </c>
      <c r="L955" s="1" t="s">
        <v>295</v>
      </c>
      <c r="M955" s="1">
        <v>785.26</v>
      </c>
      <c r="N955" s="1" t="s">
        <v>53</v>
      </c>
      <c r="O955" s="1">
        <v>50</v>
      </c>
      <c r="P955" s="1">
        <v>39263</v>
      </c>
      <c r="Q955" s="1">
        <v>0</v>
      </c>
      <c r="R955" s="7">
        <v>0</v>
      </c>
      <c r="S955" s="1">
        <v>16</v>
      </c>
      <c r="T955" s="1">
        <v>14</v>
      </c>
      <c r="U955" s="1">
        <v>2</v>
      </c>
      <c r="V955" s="1" t="s">
        <v>3323</v>
      </c>
      <c r="W955" s="1" t="s">
        <v>40</v>
      </c>
      <c r="X955" s="1" t="s">
        <v>105</v>
      </c>
      <c r="Y955" s="1" t="s">
        <v>66</v>
      </c>
      <c r="Z955" s="1" t="s">
        <v>54</v>
      </c>
      <c r="AA955" s="1" t="s">
        <v>136</v>
      </c>
      <c r="AB955" s="1"/>
      <c r="AC955" s="1"/>
      <c r="AD955" s="1">
        <v>4.9000000000000004</v>
      </c>
      <c r="AE955" s="1" t="s">
        <v>108</v>
      </c>
      <c r="AF955" s="1" t="s">
        <v>46</v>
      </c>
    </row>
    <row r="956" spans="1:32" ht="18" customHeight="1">
      <c r="A956" s="1" t="s">
        <v>2941</v>
      </c>
      <c r="B956" s="1" t="s">
        <v>2942</v>
      </c>
      <c r="C956" s="4">
        <v>46188</v>
      </c>
      <c r="D956" s="4">
        <v>46209</v>
      </c>
      <c r="E956" s="4" t="s">
        <v>3400</v>
      </c>
      <c r="F956" s="1" t="s">
        <v>142</v>
      </c>
      <c r="G956" s="1" t="s">
        <v>3542</v>
      </c>
      <c r="H956" s="1" t="s">
        <v>3405</v>
      </c>
      <c r="I956" s="1" t="s">
        <v>92</v>
      </c>
      <c r="J956" s="1" t="s">
        <v>163</v>
      </c>
      <c r="K956" s="1" t="s">
        <v>2943</v>
      </c>
      <c r="L956" s="1" t="s">
        <v>253</v>
      </c>
      <c r="M956" s="1">
        <v>854.55</v>
      </c>
      <c r="N956" s="1" t="s">
        <v>86</v>
      </c>
      <c r="O956" s="1">
        <v>500</v>
      </c>
      <c r="P956" s="1">
        <v>427275</v>
      </c>
      <c r="Q956" s="1">
        <v>8</v>
      </c>
      <c r="R956" s="7">
        <v>1.6E-2</v>
      </c>
      <c r="S956" s="1">
        <v>17</v>
      </c>
      <c r="T956" s="1">
        <v>21</v>
      </c>
      <c r="U956" s="1">
        <v>-4</v>
      </c>
      <c r="V956" s="1" t="s">
        <v>270</v>
      </c>
      <c r="W956" s="1" t="s">
        <v>40</v>
      </c>
      <c r="X956" s="1"/>
      <c r="Y956" s="1" t="s">
        <v>190</v>
      </c>
      <c r="Z956" s="1" t="s">
        <v>3333</v>
      </c>
      <c r="AA956" s="1"/>
      <c r="AB956" s="1" t="s">
        <v>191</v>
      </c>
      <c r="AC956" s="1"/>
      <c r="AD956" s="1">
        <v>3.7</v>
      </c>
      <c r="AE956" s="1" t="s">
        <v>45</v>
      </c>
      <c r="AF956" s="1" t="s">
        <v>130</v>
      </c>
    </row>
    <row r="957" spans="1:32" ht="18" customHeight="1">
      <c r="A957" s="1" t="s">
        <v>2944</v>
      </c>
      <c r="B957" s="1" t="s">
        <v>2945</v>
      </c>
      <c r="C957" s="4">
        <v>46172</v>
      </c>
      <c r="D957" s="4">
        <v>46189</v>
      </c>
      <c r="E957" s="4" t="s">
        <v>3796</v>
      </c>
      <c r="F957" s="1" t="s">
        <v>142</v>
      </c>
      <c r="G957" s="1" t="s">
        <v>143</v>
      </c>
      <c r="H957" s="1" t="s">
        <v>3392</v>
      </c>
      <c r="I957" s="1" t="s">
        <v>178</v>
      </c>
      <c r="J957" s="1" t="s">
        <v>50</v>
      </c>
      <c r="K957" s="1" t="s">
        <v>2946</v>
      </c>
      <c r="L957" s="1" t="s">
        <v>52</v>
      </c>
      <c r="M957" s="1">
        <v>2644.58</v>
      </c>
      <c r="N957" s="1" t="s">
        <v>86</v>
      </c>
      <c r="O957" s="1">
        <v>100</v>
      </c>
      <c r="P957" s="1" t="s">
        <v>3797</v>
      </c>
      <c r="Q957" s="1">
        <v>113</v>
      </c>
      <c r="R957" s="7">
        <v>0</v>
      </c>
      <c r="S957" s="1">
        <v>28</v>
      </c>
      <c r="T957" s="1">
        <v>17</v>
      </c>
      <c r="U957" s="1">
        <v>11</v>
      </c>
      <c r="V957" s="1" t="s">
        <v>3328</v>
      </c>
      <c r="W957" s="1" t="s">
        <v>40</v>
      </c>
      <c r="X957" s="1" t="s">
        <v>41</v>
      </c>
      <c r="Y957" s="1" t="s">
        <v>212</v>
      </c>
      <c r="Z957" s="1" t="s">
        <v>43</v>
      </c>
      <c r="AA957" s="1" t="s">
        <v>174</v>
      </c>
      <c r="AB957" s="1" t="s">
        <v>137</v>
      </c>
      <c r="AC957" s="1"/>
      <c r="AD957" s="1">
        <v>3.3</v>
      </c>
      <c r="AE957" s="1" t="s">
        <v>108</v>
      </c>
      <c r="AF957" s="1" t="s">
        <v>46</v>
      </c>
    </row>
    <row r="958" spans="1:32" ht="18" customHeight="1">
      <c r="A958" s="1" t="s">
        <v>2947</v>
      </c>
      <c r="B958" s="1" t="s">
        <v>2948</v>
      </c>
      <c r="C958" s="4">
        <v>46071</v>
      </c>
      <c r="D958" s="4">
        <v>46099</v>
      </c>
      <c r="E958" s="4" t="s">
        <v>3452</v>
      </c>
      <c r="F958" s="1" t="s">
        <v>118</v>
      </c>
      <c r="G958" s="1" t="s">
        <v>119</v>
      </c>
      <c r="H958" s="1" t="s">
        <v>3340</v>
      </c>
      <c r="I958" s="1" t="s">
        <v>178</v>
      </c>
      <c r="J958" s="1" t="s">
        <v>62</v>
      </c>
      <c r="K958" s="1" t="s">
        <v>2949</v>
      </c>
      <c r="L958" s="1" t="s">
        <v>225</v>
      </c>
      <c r="M958" s="1">
        <v>309.27</v>
      </c>
      <c r="N958" s="1" t="s">
        <v>53</v>
      </c>
      <c r="O958" s="1">
        <v>500</v>
      </c>
      <c r="P958" s="1" t="s">
        <v>3798</v>
      </c>
      <c r="Q958" s="1">
        <v>9</v>
      </c>
      <c r="R958" s="7">
        <v>1.7999999999999999E-2</v>
      </c>
      <c r="S958" s="1">
        <v>25</v>
      </c>
      <c r="T958" s="1">
        <v>28</v>
      </c>
      <c r="U958" s="1">
        <v>-3</v>
      </c>
      <c r="V958" s="1" t="s">
        <v>87</v>
      </c>
      <c r="W958" s="1" t="s">
        <v>40</v>
      </c>
      <c r="X958" s="1" t="s">
        <v>3324</v>
      </c>
      <c r="Y958" s="1" t="s">
        <v>3334</v>
      </c>
      <c r="Z958" s="1" t="s">
        <v>3330</v>
      </c>
      <c r="AA958" s="1" t="s">
        <v>136</v>
      </c>
      <c r="AB958" s="1" t="s">
        <v>56</v>
      </c>
      <c r="AC958" s="1"/>
      <c r="AD958" s="1">
        <v>2.6</v>
      </c>
      <c r="AE958" s="1" t="s">
        <v>45</v>
      </c>
      <c r="AF958" s="1"/>
    </row>
    <row r="959" spans="1:32" ht="18" customHeight="1">
      <c r="A959" s="1" t="s">
        <v>2950</v>
      </c>
      <c r="B959" s="1" t="s">
        <v>2951</v>
      </c>
      <c r="C959" s="4">
        <v>46072</v>
      </c>
      <c r="D959" s="4">
        <v>46077</v>
      </c>
      <c r="E959" s="4">
        <v>46081</v>
      </c>
      <c r="F959" s="1" t="s">
        <v>151</v>
      </c>
      <c r="G959" s="1" t="s">
        <v>3351</v>
      </c>
      <c r="H959" s="1" t="s">
        <v>152</v>
      </c>
      <c r="I959" s="1" t="s">
        <v>92</v>
      </c>
      <c r="J959" s="1" t="s">
        <v>112</v>
      </c>
      <c r="K959" s="1" t="s">
        <v>2952</v>
      </c>
      <c r="L959" s="1" t="s">
        <v>229</v>
      </c>
      <c r="M959" s="1">
        <v>206.6</v>
      </c>
      <c r="N959" s="1" t="s">
        <v>65</v>
      </c>
      <c r="O959" s="1">
        <v>75</v>
      </c>
      <c r="P959" s="1">
        <v>15495</v>
      </c>
      <c r="Q959" s="1">
        <v>3</v>
      </c>
      <c r="R959" s="7">
        <v>0.04</v>
      </c>
      <c r="S959" s="1">
        <v>9</v>
      </c>
      <c r="T959" s="1">
        <v>5</v>
      </c>
      <c r="U959" s="1"/>
      <c r="V959" s="1" t="s">
        <v>3328</v>
      </c>
      <c r="W959" s="1" t="s">
        <v>40</v>
      </c>
      <c r="X959" s="1" t="s">
        <v>3329</v>
      </c>
      <c r="Y959" s="1"/>
      <c r="Z959" s="1" t="s">
        <v>43</v>
      </c>
      <c r="AA959" s="1" t="s">
        <v>129</v>
      </c>
      <c r="AB959" s="1" t="s">
        <v>44</v>
      </c>
      <c r="AC959" s="1"/>
      <c r="AD959" s="1">
        <v>4.0999999999999996</v>
      </c>
      <c r="AE959" s="1" t="s">
        <v>45</v>
      </c>
      <c r="AF959" s="1" t="s">
        <v>46</v>
      </c>
    </row>
    <row r="960" spans="1:32" ht="18" customHeight="1">
      <c r="A960" s="1" t="s">
        <v>2953</v>
      </c>
      <c r="B960" s="1" t="s">
        <v>2954</v>
      </c>
      <c r="C960" s="4">
        <v>46172</v>
      </c>
      <c r="D960" s="4" t="s">
        <v>3400</v>
      </c>
      <c r="E960" s="4" t="s">
        <v>3378</v>
      </c>
      <c r="F960" s="1" t="s">
        <v>151</v>
      </c>
      <c r="G960" s="1" t="s">
        <v>244</v>
      </c>
      <c r="H960" s="1" t="s">
        <v>152</v>
      </c>
      <c r="I960" s="1" t="s">
        <v>120</v>
      </c>
      <c r="J960" s="1" t="s">
        <v>35</v>
      </c>
      <c r="K960" s="1" t="s">
        <v>2955</v>
      </c>
      <c r="L960" s="1" t="s">
        <v>85</v>
      </c>
      <c r="M960" s="1" t="s">
        <v>3799</v>
      </c>
      <c r="N960" s="1" t="s">
        <v>159</v>
      </c>
      <c r="O960" s="1">
        <v>100</v>
      </c>
      <c r="P960" s="1">
        <v>154167</v>
      </c>
      <c r="Q960" s="1">
        <v>0</v>
      </c>
      <c r="R960" s="7">
        <v>0</v>
      </c>
      <c r="S960" s="1">
        <v>-2</v>
      </c>
      <c r="T960" s="1">
        <v>7</v>
      </c>
      <c r="U960" s="1">
        <v>-9</v>
      </c>
      <c r="V960" s="1" t="s">
        <v>362</v>
      </c>
      <c r="W960" s="1" t="s">
        <v>40</v>
      </c>
      <c r="X960" s="1" t="s">
        <v>105</v>
      </c>
      <c r="Y960" s="1" t="s">
        <v>106</v>
      </c>
      <c r="Z960" s="1" t="s">
        <v>3330</v>
      </c>
      <c r="AA960" s="1" t="s">
        <v>88</v>
      </c>
      <c r="AB960" s="1" t="s">
        <v>147</v>
      </c>
      <c r="AC960" s="1"/>
      <c r="AD960" s="1"/>
      <c r="AE960" s="1" t="s">
        <v>57</v>
      </c>
      <c r="AF960" s="1"/>
    </row>
    <row r="961" spans="1:32" ht="18" customHeight="1">
      <c r="A961" s="1" t="s">
        <v>2956</v>
      </c>
      <c r="B961" s="1" t="s">
        <v>2957</v>
      </c>
      <c r="C961" s="4">
        <v>46187</v>
      </c>
      <c r="D961" s="4">
        <v>46192</v>
      </c>
      <c r="E961" s="4">
        <v>46210</v>
      </c>
      <c r="F961" s="1" t="s">
        <v>162</v>
      </c>
      <c r="G961" s="1" t="s">
        <v>3383</v>
      </c>
      <c r="H961" s="1" t="s">
        <v>3408</v>
      </c>
      <c r="I961" s="1" t="s">
        <v>178</v>
      </c>
      <c r="J961" s="1" t="s">
        <v>163</v>
      </c>
      <c r="K961" s="1" t="s">
        <v>2958</v>
      </c>
      <c r="L961" s="1" t="s">
        <v>269</v>
      </c>
      <c r="M961" s="1">
        <v>325.87</v>
      </c>
      <c r="N961" s="1" t="s">
        <v>104</v>
      </c>
      <c r="O961" s="1">
        <v>250</v>
      </c>
      <c r="P961" s="1">
        <v>81467.5</v>
      </c>
      <c r="Q961" s="1">
        <v>4</v>
      </c>
      <c r="R961" s="7">
        <v>1.6E-2</v>
      </c>
      <c r="S961" s="1">
        <v>23</v>
      </c>
      <c r="T961" s="1">
        <v>5</v>
      </c>
      <c r="U961" s="1">
        <v>18</v>
      </c>
      <c r="V961" s="1" t="s">
        <v>3328</v>
      </c>
      <c r="W961" s="1" t="s">
        <v>40</v>
      </c>
      <c r="X961" s="1" t="s">
        <v>146</v>
      </c>
      <c r="Y961" s="1"/>
      <c r="Z961" s="1" t="s">
        <v>54</v>
      </c>
      <c r="AA961" s="1" t="s">
        <v>88</v>
      </c>
      <c r="AB961" s="1" t="s">
        <v>44</v>
      </c>
      <c r="AC961" s="1"/>
      <c r="AD961" s="1">
        <v>3.3</v>
      </c>
      <c r="AE961" s="1" t="s">
        <v>76</v>
      </c>
      <c r="AF961" s="1" t="s">
        <v>148</v>
      </c>
    </row>
    <row r="962" spans="1:32" ht="18" customHeight="1">
      <c r="A962" s="1" t="s">
        <v>2959</v>
      </c>
      <c r="B962" s="1" t="s">
        <v>2960</v>
      </c>
      <c r="C962" s="4">
        <v>46093</v>
      </c>
      <c r="D962" s="4">
        <v>46109</v>
      </c>
      <c r="E962" s="4">
        <v>46112</v>
      </c>
      <c r="F962" s="1" t="s">
        <v>80</v>
      </c>
      <c r="G962" s="1" t="s">
        <v>3470</v>
      </c>
      <c r="H962" s="1" t="s">
        <v>82</v>
      </c>
      <c r="I962" s="1" t="s">
        <v>178</v>
      </c>
      <c r="J962" s="1" t="s">
        <v>35</v>
      </c>
      <c r="K962" s="1" t="s">
        <v>594</v>
      </c>
      <c r="L962" s="1" t="s">
        <v>37</v>
      </c>
      <c r="M962" s="1">
        <v>1486.89</v>
      </c>
      <c r="N962" s="1" t="s">
        <v>159</v>
      </c>
      <c r="O962" s="1">
        <v>500</v>
      </c>
      <c r="P962" s="1">
        <v>743445</v>
      </c>
      <c r="Q962" s="1">
        <v>8</v>
      </c>
      <c r="R962" s="7">
        <v>1.6E-2</v>
      </c>
      <c r="S962" s="1">
        <v>19</v>
      </c>
      <c r="T962" s="1">
        <v>16</v>
      </c>
      <c r="U962" s="1">
        <v>3</v>
      </c>
      <c r="V962" s="1" t="s">
        <v>135</v>
      </c>
      <c r="W962" s="1" t="s">
        <v>40</v>
      </c>
      <c r="X962" s="1" t="s">
        <v>41</v>
      </c>
      <c r="Y962" s="1" t="s">
        <v>3334</v>
      </c>
      <c r="Z962" s="1" t="s">
        <v>128</v>
      </c>
      <c r="AA962" s="1" t="s">
        <v>88</v>
      </c>
      <c r="AB962" s="1" t="s">
        <v>137</v>
      </c>
      <c r="AC962" s="1"/>
      <c r="AD962" s="1"/>
      <c r="AE962" s="1" t="s">
        <v>57</v>
      </c>
      <c r="AF962" s="1" t="s">
        <v>46</v>
      </c>
    </row>
    <row r="963" spans="1:32" ht="18" customHeight="1">
      <c r="A963" s="1" t="s">
        <v>2961</v>
      </c>
      <c r="B963" s="1" t="s">
        <v>2962</v>
      </c>
      <c r="C963" s="4">
        <v>46024</v>
      </c>
      <c r="D963" s="4">
        <v>46037</v>
      </c>
      <c r="E963" s="4">
        <v>46040</v>
      </c>
      <c r="F963" s="1" t="s">
        <v>80</v>
      </c>
      <c r="G963" s="1" t="s">
        <v>3470</v>
      </c>
      <c r="H963" s="1" t="s">
        <v>3414</v>
      </c>
      <c r="I963" s="1" t="s">
        <v>83</v>
      </c>
      <c r="J963" s="1" t="s">
        <v>35</v>
      </c>
      <c r="K963" s="1" t="s">
        <v>2963</v>
      </c>
      <c r="L963" s="1" t="s">
        <v>85</v>
      </c>
      <c r="M963" s="1">
        <v>-1928.64</v>
      </c>
      <c r="N963" s="1" t="s">
        <v>86</v>
      </c>
      <c r="O963" s="1">
        <v>200</v>
      </c>
      <c r="P963" s="1">
        <v>385728</v>
      </c>
      <c r="Q963" s="1">
        <v>2</v>
      </c>
      <c r="R963" s="7">
        <v>0.01</v>
      </c>
      <c r="S963" s="1">
        <v>16</v>
      </c>
      <c r="T963" s="1">
        <v>13</v>
      </c>
      <c r="U963" s="1">
        <v>3</v>
      </c>
      <c r="V963" s="1" t="s">
        <v>135</v>
      </c>
      <c r="W963" s="1" t="s">
        <v>40</v>
      </c>
      <c r="X963" s="1" t="s">
        <v>3324</v>
      </c>
      <c r="Y963" s="1" t="s">
        <v>42</v>
      </c>
      <c r="Z963" s="1" t="s">
        <v>128</v>
      </c>
      <c r="AA963" s="1"/>
      <c r="AB963" s="1" t="s">
        <v>56</v>
      </c>
      <c r="AC963" s="1"/>
      <c r="AD963" s="1">
        <v>3.6</v>
      </c>
      <c r="AE963" s="1" t="s">
        <v>139</v>
      </c>
      <c r="AF963" s="1" t="s">
        <v>46</v>
      </c>
    </row>
    <row r="964" spans="1:32" ht="18" customHeight="1">
      <c r="A964" s="1" t="s">
        <v>2964</v>
      </c>
      <c r="B964" s="1" t="s">
        <v>2965</v>
      </c>
      <c r="C964" s="4" t="s">
        <v>3800</v>
      </c>
      <c r="D964" s="4">
        <v>46173</v>
      </c>
      <c r="E964" s="4">
        <v>46168</v>
      </c>
      <c r="F964" s="1" t="s">
        <v>60</v>
      </c>
      <c r="G964" s="1" t="s">
        <v>466</v>
      </c>
      <c r="H964" s="1" t="s">
        <v>3408</v>
      </c>
      <c r="I964" s="1" t="s">
        <v>178</v>
      </c>
      <c r="J964" s="1" t="s">
        <v>62</v>
      </c>
      <c r="K964" s="1" t="s">
        <v>2966</v>
      </c>
      <c r="L964" s="1" t="s">
        <v>122</v>
      </c>
      <c r="M964" s="1">
        <v>117.03</v>
      </c>
      <c r="N964" s="1" t="s">
        <v>159</v>
      </c>
      <c r="O964" s="1">
        <v>200</v>
      </c>
      <c r="P964" s="1">
        <v>23406</v>
      </c>
      <c r="Q964" s="1">
        <v>7</v>
      </c>
      <c r="R964" s="7">
        <v>3.5000000000000003E-2</v>
      </c>
      <c r="S964" s="1">
        <v>6</v>
      </c>
      <c r="T964" s="1" t="s">
        <v>3506</v>
      </c>
      <c r="U964" s="1">
        <v>-5</v>
      </c>
      <c r="V964" s="1" t="s">
        <v>270</v>
      </c>
      <c r="W964" s="1" t="s">
        <v>40</v>
      </c>
      <c r="X964" s="1" t="s">
        <v>41</v>
      </c>
      <c r="Y964" s="1" t="s">
        <v>42</v>
      </c>
      <c r="Z964" s="1" t="s">
        <v>107</v>
      </c>
      <c r="AA964" s="1" t="s">
        <v>206</v>
      </c>
      <c r="AB964" s="1" t="s">
        <v>95</v>
      </c>
      <c r="AC964" s="1"/>
      <c r="AD964" s="1">
        <v>2.7</v>
      </c>
      <c r="AE964" s="1" t="s">
        <v>184</v>
      </c>
      <c r="AF964" s="1"/>
    </row>
    <row r="965" spans="1:32" ht="18" customHeight="1">
      <c r="A965" s="1" t="s">
        <v>2967</v>
      </c>
      <c r="B965" s="1" t="s">
        <v>2968</v>
      </c>
      <c r="C965" s="4">
        <v>46068</v>
      </c>
      <c r="D965" s="4"/>
      <c r="E965" s="4">
        <v>46073</v>
      </c>
      <c r="F965" s="1" t="s">
        <v>60</v>
      </c>
      <c r="G965" s="1" t="s">
        <v>466</v>
      </c>
      <c r="H965" s="1"/>
      <c r="I965" s="1" t="s">
        <v>120</v>
      </c>
      <c r="J965" s="1" t="s">
        <v>62</v>
      </c>
      <c r="K965" s="1" t="s">
        <v>2969</v>
      </c>
      <c r="L965" s="1" t="s">
        <v>64</v>
      </c>
      <c r="M965" s="1">
        <v>376.46</v>
      </c>
      <c r="N965" s="1" t="s">
        <v>159</v>
      </c>
      <c r="O965" s="1">
        <v>250</v>
      </c>
      <c r="P965" s="1">
        <v>94115</v>
      </c>
      <c r="Q965" s="1">
        <v>6</v>
      </c>
      <c r="R965" s="7">
        <v>2.4E-2</v>
      </c>
      <c r="S965" s="1"/>
      <c r="T965" s="1">
        <v>11</v>
      </c>
      <c r="U965" s="1">
        <v>-6</v>
      </c>
      <c r="V965" s="1" t="s">
        <v>3352</v>
      </c>
      <c r="W965" s="1" t="s">
        <v>40</v>
      </c>
      <c r="X965" s="1" t="s">
        <v>105</v>
      </c>
      <c r="Y965" s="1" t="s">
        <v>3334</v>
      </c>
      <c r="Z965" s="1" t="s">
        <v>107</v>
      </c>
      <c r="AA965" s="1" t="s">
        <v>206</v>
      </c>
      <c r="AB965" s="1" t="s">
        <v>56</v>
      </c>
      <c r="AC965" s="1"/>
      <c r="AD965" s="1">
        <v>2.7</v>
      </c>
      <c r="AE965" s="1" t="s">
        <v>45</v>
      </c>
      <c r="AF965" s="1"/>
    </row>
    <row r="966" spans="1:32" ht="18" customHeight="1">
      <c r="A966" s="1" t="s">
        <v>2970</v>
      </c>
      <c r="B966" s="1" t="s">
        <v>2971</v>
      </c>
      <c r="C966" s="4">
        <v>46118</v>
      </c>
      <c r="D966" s="4">
        <v>46136</v>
      </c>
      <c r="E966" s="4" t="s">
        <v>3397</v>
      </c>
      <c r="F966" s="1" t="s">
        <v>118</v>
      </c>
      <c r="G966" s="1" t="s">
        <v>119</v>
      </c>
      <c r="H966" s="1" t="s">
        <v>3407</v>
      </c>
      <c r="I966" s="1" t="s">
        <v>70</v>
      </c>
      <c r="J966" s="1" t="s">
        <v>62</v>
      </c>
      <c r="K966" s="1" t="s">
        <v>2972</v>
      </c>
      <c r="L966" s="1" t="s">
        <v>225</v>
      </c>
      <c r="M966" s="1">
        <v>682.24</v>
      </c>
      <c r="N966" s="1" t="s">
        <v>104</v>
      </c>
      <c r="O966" s="1">
        <v>200</v>
      </c>
      <c r="P966" s="1">
        <v>0</v>
      </c>
      <c r="Q966" s="1">
        <v>0</v>
      </c>
      <c r="R966" s="7">
        <v>0</v>
      </c>
      <c r="S966" s="1">
        <v>20</v>
      </c>
      <c r="T966" s="1">
        <v>18</v>
      </c>
      <c r="U966" s="1">
        <v>2</v>
      </c>
      <c r="V966" s="1" t="s">
        <v>135</v>
      </c>
      <c r="W966" s="1" t="s">
        <v>40</v>
      </c>
      <c r="X966" s="1" t="s">
        <v>3324</v>
      </c>
      <c r="Y966" s="1" t="s">
        <v>212</v>
      </c>
      <c r="Z966" s="1" t="s">
        <v>107</v>
      </c>
      <c r="AA966" s="1" t="s">
        <v>206</v>
      </c>
      <c r="AB966" s="1" t="s">
        <v>191</v>
      </c>
      <c r="AC966" s="1"/>
      <c r="AD966" s="1">
        <v>3.6</v>
      </c>
      <c r="AE966" s="1" t="s">
        <v>45</v>
      </c>
      <c r="AF966" s="1" t="s">
        <v>46</v>
      </c>
    </row>
    <row r="967" spans="1:32" ht="18" customHeight="1">
      <c r="A967" s="1" t="s">
        <v>2973</v>
      </c>
      <c r="B967" s="1" t="s">
        <v>2974</v>
      </c>
      <c r="C967" s="4">
        <v>46036</v>
      </c>
      <c r="D967" s="4">
        <v>46057</v>
      </c>
      <c r="E967" s="4">
        <v>46056</v>
      </c>
      <c r="F967" s="1" t="s">
        <v>118</v>
      </c>
      <c r="G967" s="1" t="s">
        <v>3393</v>
      </c>
      <c r="H967" s="1" t="s">
        <v>3340</v>
      </c>
      <c r="I967" s="1" t="s">
        <v>34</v>
      </c>
      <c r="J967" s="1" t="s">
        <v>112</v>
      </c>
      <c r="K967" s="1" t="s">
        <v>2975</v>
      </c>
      <c r="L967" s="1" t="s">
        <v>246</v>
      </c>
      <c r="M967" s="1">
        <v>388.62</v>
      </c>
      <c r="N967" s="1" t="s">
        <v>104</v>
      </c>
      <c r="O967" s="1">
        <v>2000</v>
      </c>
      <c r="P967" s="1">
        <v>777240</v>
      </c>
      <c r="Q967" s="1">
        <v>26</v>
      </c>
      <c r="R967" s="7">
        <v>1.2999999999999999E-2</v>
      </c>
      <c r="S967" s="1">
        <v>20</v>
      </c>
      <c r="T967" s="1">
        <v>21</v>
      </c>
      <c r="U967" s="1">
        <v>-1</v>
      </c>
      <c r="V967" s="1" t="s">
        <v>3352</v>
      </c>
      <c r="W967" s="1" t="s">
        <v>40</v>
      </c>
      <c r="X967" s="1"/>
      <c r="Y967" s="1" t="s">
        <v>66</v>
      </c>
      <c r="Z967" s="1" t="s">
        <v>173</v>
      </c>
      <c r="AA967" s="1" t="s">
        <v>174</v>
      </c>
      <c r="AB967" s="1" t="s">
        <v>191</v>
      </c>
      <c r="AC967" s="1"/>
      <c r="AD967" s="1">
        <v>2.5</v>
      </c>
      <c r="AE967" s="1" t="s">
        <v>108</v>
      </c>
      <c r="AF967" s="1" t="s">
        <v>130</v>
      </c>
    </row>
    <row r="968" spans="1:32" ht="18" customHeight="1">
      <c r="A968" s="1" t="s">
        <v>2976</v>
      </c>
      <c r="B968" s="1" t="s">
        <v>2977</v>
      </c>
      <c r="C968" s="4" t="s">
        <v>3569</v>
      </c>
      <c r="D968" s="4">
        <v>46199</v>
      </c>
      <c r="E968" s="4">
        <v>46193</v>
      </c>
      <c r="F968" s="1" t="s">
        <v>235</v>
      </c>
      <c r="G968" s="1" t="s">
        <v>236</v>
      </c>
      <c r="H968" s="1" t="s">
        <v>3371</v>
      </c>
      <c r="I968" s="1" t="s">
        <v>61</v>
      </c>
      <c r="J968" s="1" t="s">
        <v>71</v>
      </c>
      <c r="K968" s="1" t="s">
        <v>2978</v>
      </c>
      <c r="L968" s="1" t="s">
        <v>73</v>
      </c>
      <c r="M968" s="1">
        <v>661.67</v>
      </c>
      <c r="N968" s="1" t="s">
        <v>104</v>
      </c>
      <c r="O968" s="1">
        <v>150</v>
      </c>
      <c r="P968" s="1">
        <v>99250.5</v>
      </c>
      <c r="Q968" s="1">
        <v>6</v>
      </c>
      <c r="R968" s="7">
        <v>0.04</v>
      </c>
      <c r="S968" s="1">
        <v>8</v>
      </c>
      <c r="T968" s="1">
        <v>14</v>
      </c>
      <c r="U968" s="1">
        <v>-6</v>
      </c>
      <c r="V968" s="1" t="s">
        <v>270</v>
      </c>
      <c r="W968" s="1" t="s">
        <v>40</v>
      </c>
      <c r="X968" s="1" t="s">
        <v>41</v>
      </c>
      <c r="Y968" s="1" t="s">
        <v>212</v>
      </c>
      <c r="Z968" s="1" t="s">
        <v>107</v>
      </c>
      <c r="AA968" s="1"/>
      <c r="AB968" s="1"/>
      <c r="AC968" s="1"/>
      <c r="AD968" s="1">
        <v>4</v>
      </c>
      <c r="AE968" s="1" t="s">
        <v>139</v>
      </c>
      <c r="AF968" s="1"/>
    </row>
    <row r="969" spans="1:32" ht="18" customHeight="1">
      <c r="A969" s="1" t="s">
        <v>2979</v>
      </c>
      <c r="B969" s="1" t="s">
        <v>2980</v>
      </c>
      <c r="C969" s="4">
        <v>46069</v>
      </c>
      <c r="D969" s="4">
        <v>46090</v>
      </c>
      <c r="E969" s="4" t="s">
        <v>3536</v>
      </c>
      <c r="F969" s="1" t="s">
        <v>235</v>
      </c>
      <c r="G969" s="1" t="s">
        <v>236</v>
      </c>
      <c r="H969" s="1" t="s">
        <v>3371</v>
      </c>
      <c r="I969" s="1" t="s">
        <v>70</v>
      </c>
      <c r="J969" s="1" t="s">
        <v>71</v>
      </c>
      <c r="K969" s="1" t="s">
        <v>2981</v>
      </c>
      <c r="L969" s="1" t="s">
        <v>337</v>
      </c>
      <c r="M969" s="1">
        <v>798.67</v>
      </c>
      <c r="N969" s="1" t="s">
        <v>86</v>
      </c>
      <c r="O969" s="1">
        <v>2000</v>
      </c>
      <c r="P969" s="1">
        <v>1597340</v>
      </c>
      <c r="Q969" s="1">
        <v>0</v>
      </c>
      <c r="R969" s="7">
        <v>0</v>
      </c>
      <c r="S969" s="1">
        <v>16</v>
      </c>
      <c r="T969" s="1">
        <v>21</v>
      </c>
      <c r="U969" s="1">
        <v>-5</v>
      </c>
      <c r="V969" s="1" t="s">
        <v>270</v>
      </c>
      <c r="W969" s="1" t="s">
        <v>40</v>
      </c>
      <c r="X969" s="1" t="s">
        <v>3329</v>
      </c>
      <c r="Y969" s="1"/>
      <c r="Z969" s="1" t="s">
        <v>128</v>
      </c>
      <c r="AA969" s="1" t="s">
        <v>88</v>
      </c>
      <c r="AB969" s="1"/>
      <c r="AC969" s="1"/>
      <c r="AD969" s="1">
        <v>4.8</v>
      </c>
      <c r="AE969" s="1" t="s">
        <v>108</v>
      </c>
      <c r="AF969" s="1"/>
    </row>
    <row r="970" spans="1:32" ht="18" customHeight="1">
      <c r="A970" s="1" t="s">
        <v>2982</v>
      </c>
      <c r="B970" s="1" t="s">
        <v>2983</v>
      </c>
      <c r="C970" s="4">
        <v>46089</v>
      </c>
      <c r="D970" s="4" t="s">
        <v>3436</v>
      </c>
      <c r="E970" s="4">
        <v>46110</v>
      </c>
      <c r="F970" s="1" t="s">
        <v>69</v>
      </c>
      <c r="G970" s="1" t="s">
        <v>3362</v>
      </c>
      <c r="H970" s="1" t="s">
        <v>3332</v>
      </c>
      <c r="I970" s="1" t="s">
        <v>178</v>
      </c>
      <c r="J970" s="1" t="s">
        <v>112</v>
      </c>
      <c r="K970" s="1" t="s">
        <v>2984</v>
      </c>
      <c r="L970" s="1" t="s">
        <v>114</v>
      </c>
      <c r="M970" s="1">
        <v>328.43</v>
      </c>
      <c r="N970" s="1" t="s">
        <v>65</v>
      </c>
      <c r="O970" s="1">
        <v>250</v>
      </c>
      <c r="P970" s="1">
        <v>82107.5</v>
      </c>
      <c r="Q970" s="1">
        <v>3</v>
      </c>
      <c r="R970" s="7">
        <v>1.2E-2</v>
      </c>
      <c r="S970" s="1">
        <v>21</v>
      </c>
      <c r="T970" s="1">
        <v>15</v>
      </c>
      <c r="U970" s="1">
        <v>6</v>
      </c>
      <c r="V970" s="1" t="s">
        <v>205</v>
      </c>
      <c r="W970" s="1" t="s">
        <v>40</v>
      </c>
      <c r="X970" s="1" t="s">
        <v>146</v>
      </c>
      <c r="Y970" s="1" t="s">
        <v>106</v>
      </c>
      <c r="Z970" s="1" t="s">
        <v>54</v>
      </c>
      <c r="AA970" s="1" t="s">
        <v>88</v>
      </c>
      <c r="AB970" s="1" t="s">
        <v>191</v>
      </c>
      <c r="AC970" s="1"/>
      <c r="AD970" s="1">
        <v>3.3</v>
      </c>
      <c r="AE970" s="1" t="s">
        <v>139</v>
      </c>
      <c r="AF970" s="1" t="s">
        <v>148</v>
      </c>
    </row>
    <row r="971" spans="1:32" ht="18" customHeight="1">
      <c r="A971" s="1" t="s">
        <v>2985</v>
      </c>
      <c r="B971" s="1" t="s">
        <v>2986</v>
      </c>
      <c r="C971" s="4">
        <v>46129</v>
      </c>
      <c r="D971" s="4">
        <v>46148</v>
      </c>
      <c r="E971" s="4" t="s">
        <v>3801</v>
      </c>
      <c r="F971" s="1" t="s">
        <v>90</v>
      </c>
      <c r="G971" s="1" t="s">
        <v>3346</v>
      </c>
      <c r="H971" s="1" t="s">
        <v>3425</v>
      </c>
      <c r="I971" s="1" t="s">
        <v>34</v>
      </c>
      <c r="J971" s="1" t="s">
        <v>71</v>
      </c>
      <c r="K971" s="1" t="s">
        <v>2987</v>
      </c>
      <c r="L971" s="1" t="s">
        <v>553</v>
      </c>
      <c r="M971" s="1">
        <v>113.66</v>
      </c>
      <c r="N971" s="1" t="s">
        <v>159</v>
      </c>
      <c r="O971" s="1">
        <v>100</v>
      </c>
      <c r="P971" s="1">
        <v>11366</v>
      </c>
      <c r="Q971" s="1">
        <v>3</v>
      </c>
      <c r="R971" s="7">
        <v>0.03</v>
      </c>
      <c r="S971" s="1"/>
      <c r="T971" s="1">
        <v>19</v>
      </c>
      <c r="U971" s="1">
        <v>-4</v>
      </c>
      <c r="V971" s="1" t="s">
        <v>3352</v>
      </c>
      <c r="W971" s="1" t="s">
        <v>40</v>
      </c>
      <c r="X971" s="1" t="s">
        <v>105</v>
      </c>
      <c r="Y971" s="1" t="s">
        <v>42</v>
      </c>
      <c r="Z971" s="1" t="s">
        <v>54</v>
      </c>
      <c r="AA971" s="1" t="s">
        <v>174</v>
      </c>
      <c r="AB971" s="1" t="s">
        <v>44</v>
      </c>
      <c r="AC971" s="1"/>
      <c r="AD971" s="1">
        <v>3</v>
      </c>
      <c r="AE971" s="1" t="s">
        <v>76</v>
      </c>
      <c r="AF971" s="1"/>
    </row>
    <row r="972" spans="1:32" ht="18" hidden="1" customHeight="1">
      <c r="A972" s="1" t="s">
        <v>2988</v>
      </c>
      <c r="B972" s="1" t="s">
        <v>2989</v>
      </c>
      <c r="C972" s="4">
        <v>46143</v>
      </c>
      <c r="D972" s="1">
        <v>46156</v>
      </c>
      <c r="E972" s="1">
        <v>46154</v>
      </c>
      <c r="F972" s="1" t="s">
        <v>69</v>
      </c>
      <c r="G972" s="1" t="s">
        <v>3331</v>
      </c>
      <c r="H972" s="1" t="s">
        <v>194</v>
      </c>
      <c r="I972" s="1" t="s">
        <v>83</v>
      </c>
      <c r="J972" s="1" t="s">
        <v>35</v>
      </c>
      <c r="K972" s="1" t="s">
        <v>2990</v>
      </c>
      <c r="L972" s="1" t="s">
        <v>180</v>
      </c>
      <c r="M972" s="1">
        <v>1953.24</v>
      </c>
      <c r="N972" s="1" t="s">
        <v>172</v>
      </c>
      <c r="O972" s="1">
        <v>1000</v>
      </c>
      <c r="P972" s="1">
        <v>1953240</v>
      </c>
      <c r="Q972" s="1">
        <v>48</v>
      </c>
      <c r="R972" s="7">
        <v>4.8000000000000001E-2</v>
      </c>
      <c r="S972" s="1"/>
      <c r="T972" s="1"/>
      <c r="U972" s="1">
        <v>-2</v>
      </c>
      <c r="V972" s="1" t="s">
        <v>3337</v>
      </c>
      <c r="W972" s="1" t="s">
        <v>3384</v>
      </c>
      <c r="X972" s="1" t="s">
        <v>41</v>
      </c>
      <c r="Y972" s="1" t="s">
        <v>190</v>
      </c>
      <c r="Z972" s="1" t="s">
        <v>107</v>
      </c>
      <c r="AA972" s="1" t="s">
        <v>88</v>
      </c>
      <c r="AB972" s="1" t="s">
        <v>147</v>
      </c>
      <c r="AC972" s="1" t="s">
        <v>183</v>
      </c>
      <c r="AD972" s="1">
        <v>2.1</v>
      </c>
      <c r="AE972" s="1" t="s">
        <v>57</v>
      </c>
      <c r="AF972" s="1" t="s">
        <v>97</v>
      </c>
    </row>
    <row r="973" spans="1:32" ht="18" customHeight="1">
      <c r="A973" s="1" t="s">
        <v>2991</v>
      </c>
      <c r="B973" s="1" t="s">
        <v>2992</v>
      </c>
      <c r="C973" s="4">
        <v>46149</v>
      </c>
      <c r="D973" s="4">
        <v>46158</v>
      </c>
      <c r="E973" s="4">
        <v>46173</v>
      </c>
      <c r="F973" s="1" t="s">
        <v>69</v>
      </c>
      <c r="G973" s="1" t="s">
        <v>3331</v>
      </c>
      <c r="H973" s="1" t="s">
        <v>3338</v>
      </c>
      <c r="I973" s="1" t="s">
        <v>92</v>
      </c>
      <c r="J973" s="1" t="s">
        <v>112</v>
      </c>
      <c r="K973" s="1" t="s">
        <v>2993</v>
      </c>
      <c r="L973" s="1" t="s">
        <v>114</v>
      </c>
      <c r="M973" s="1">
        <v>28.51</v>
      </c>
      <c r="N973" s="1" t="s">
        <v>53</v>
      </c>
      <c r="O973" s="1">
        <v>200</v>
      </c>
      <c r="P973" s="1">
        <v>0</v>
      </c>
      <c r="Q973" s="1">
        <v>2</v>
      </c>
      <c r="R973" s="7">
        <v>0.01</v>
      </c>
      <c r="S973" s="1">
        <v>24</v>
      </c>
      <c r="T973" s="1" t="s">
        <v>3802</v>
      </c>
      <c r="U973" s="1">
        <v>15</v>
      </c>
      <c r="V973" s="1" t="s">
        <v>3328</v>
      </c>
      <c r="W973" s="1" t="s">
        <v>40</v>
      </c>
      <c r="X973" s="1" t="s">
        <v>105</v>
      </c>
      <c r="Y973" s="1" t="s">
        <v>3334</v>
      </c>
      <c r="Z973" s="1"/>
      <c r="AA973" s="1" t="s">
        <v>174</v>
      </c>
      <c r="AB973" s="1" t="s">
        <v>44</v>
      </c>
      <c r="AC973" s="1"/>
      <c r="AD973" s="1">
        <v>1.8</v>
      </c>
      <c r="AE973" s="1" t="s">
        <v>139</v>
      </c>
      <c r="AF973" s="1" t="s">
        <v>46</v>
      </c>
    </row>
    <row r="974" spans="1:32" ht="18" hidden="1" customHeight="1">
      <c r="A974" s="1" t="s">
        <v>2994</v>
      </c>
      <c r="B974" s="1" t="s">
        <v>2995</v>
      </c>
      <c r="C974" s="4">
        <v>46185</v>
      </c>
      <c r="D974" s="1">
        <v>46205</v>
      </c>
      <c r="E974" s="1">
        <v>46207</v>
      </c>
      <c r="F974" s="1" t="s">
        <v>256</v>
      </c>
      <c r="G974" s="1" t="s">
        <v>257</v>
      </c>
      <c r="H974" s="1" t="s">
        <v>3410</v>
      </c>
      <c r="I974" s="1" t="s">
        <v>92</v>
      </c>
      <c r="J974" s="1" t="s">
        <v>153</v>
      </c>
      <c r="K974" s="1" t="s">
        <v>2996</v>
      </c>
      <c r="L974" s="1" t="s">
        <v>204</v>
      </c>
      <c r="M974" s="1">
        <v>849.05</v>
      </c>
      <c r="N974" s="1" t="s">
        <v>53</v>
      </c>
      <c r="O974" s="1">
        <v>1000</v>
      </c>
      <c r="P974" s="1">
        <v>849050</v>
      </c>
      <c r="Q974" s="1">
        <v>73</v>
      </c>
      <c r="R974" s="7">
        <v>7.2999999999999995E-2</v>
      </c>
      <c r="S974" s="1">
        <v>22</v>
      </c>
      <c r="T974" s="1">
        <v>20</v>
      </c>
      <c r="U974" s="1">
        <v>2</v>
      </c>
      <c r="V974" s="1" t="s">
        <v>135</v>
      </c>
      <c r="W974" s="1" t="s">
        <v>366</v>
      </c>
      <c r="X974" s="1"/>
      <c r="Y974" s="1" t="s">
        <v>190</v>
      </c>
      <c r="Z974" s="1"/>
      <c r="AA974" s="1"/>
      <c r="AB974" s="1" t="s">
        <v>44</v>
      </c>
      <c r="AC974" s="1" t="s">
        <v>75</v>
      </c>
      <c r="AD974" s="1">
        <v>1.7</v>
      </c>
      <c r="AE974" s="1" t="s">
        <v>115</v>
      </c>
      <c r="AF974" s="1" t="s">
        <v>185</v>
      </c>
    </row>
    <row r="975" spans="1:32" ht="18" hidden="1" customHeight="1">
      <c r="A975" s="1" t="s">
        <v>2997</v>
      </c>
      <c r="B975" s="1" t="s">
        <v>2998</v>
      </c>
      <c r="C975" s="4" t="s">
        <v>3763</v>
      </c>
      <c r="D975" s="1">
        <v>46209</v>
      </c>
      <c r="E975" s="1">
        <v>46215</v>
      </c>
      <c r="F975" s="1" t="s">
        <v>209</v>
      </c>
      <c r="G975" s="1" t="s">
        <v>210</v>
      </c>
      <c r="H975" s="1" t="s">
        <v>316</v>
      </c>
      <c r="I975" s="1" t="s">
        <v>61</v>
      </c>
      <c r="J975" s="1" t="s">
        <v>153</v>
      </c>
      <c r="K975" s="1" t="s">
        <v>2999</v>
      </c>
      <c r="L975" s="1" t="s">
        <v>295</v>
      </c>
      <c r="M975" s="1">
        <v>669.73</v>
      </c>
      <c r="N975" s="1" t="s">
        <v>104</v>
      </c>
      <c r="O975" s="1">
        <v>1000</v>
      </c>
      <c r="P975" s="1">
        <v>669730</v>
      </c>
      <c r="Q975" s="1">
        <v>45</v>
      </c>
      <c r="R975" s="7">
        <v>4.4999999999999998E-2</v>
      </c>
      <c r="S975" s="1">
        <v>20</v>
      </c>
      <c r="T975" s="1"/>
      <c r="U975" s="1">
        <v>6</v>
      </c>
      <c r="V975" s="1" t="s">
        <v>39</v>
      </c>
      <c r="W975" s="1" t="s">
        <v>366</v>
      </c>
      <c r="X975" s="1" t="s">
        <v>3329</v>
      </c>
      <c r="Y975" s="1" t="s">
        <v>66</v>
      </c>
      <c r="Z975" s="1" t="s">
        <v>107</v>
      </c>
      <c r="AA975" s="1" t="s">
        <v>206</v>
      </c>
      <c r="AB975" s="1" t="s">
        <v>56</v>
      </c>
      <c r="AC975" s="1" t="s">
        <v>373</v>
      </c>
      <c r="AD975" s="1"/>
      <c r="AE975" s="1" t="s">
        <v>139</v>
      </c>
      <c r="AF975" s="1" t="s">
        <v>77</v>
      </c>
    </row>
    <row r="976" spans="1:32" ht="18" customHeight="1">
      <c r="A976" s="1" t="s">
        <v>3000</v>
      </c>
      <c r="B976" s="1" t="s">
        <v>3001</v>
      </c>
      <c r="C976" s="4">
        <v>46133</v>
      </c>
      <c r="D976" s="4">
        <v>46143</v>
      </c>
      <c r="E976" s="4"/>
      <c r="F976" s="1" t="s">
        <v>162</v>
      </c>
      <c r="G976" s="1" t="s">
        <v>3382</v>
      </c>
      <c r="H976" s="1" t="s">
        <v>152</v>
      </c>
      <c r="I976" s="1" t="s">
        <v>178</v>
      </c>
      <c r="J976" s="1" t="s">
        <v>163</v>
      </c>
      <c r="K976" s="1" t="s">
        <v>2017</v>
      </c>
      <c r="L976" s="1" t="s">
        <v>253</v>
      </c>
      <c r="M976" s="1">
        <v>1022.14</v>
      </c>
      <c r="N976" s="1" t="s">
        <v>159</v>
      </c>
      <c r="O976" s="1">
        <v>200</v>
      </c>
      <c r="P976" s="1">
        <v>204428</v>
      </c>
      <c r="Q976" s="1">
        <v>4</v>
      </c>
      <c r="R976" s="7">
        <v>0.02</v>
      </c>
      <c r="S976" s="1">
        <v>12</v>
      </c>
      <c r="T976" s="1">
        <v>10</v>
      </c>
      <c r="U976" s="1">
        <v>2</v>
      </c>
      <c r="V976" s="1" t="s">
        <v>3323</v>
      </c>
      <c r="W976" s="1" t="s">
        <v>40</v>
      </c>
      <c r="X976" s="1" t="s">
        <v>3324</v>
      </c>
      <c r="Y976" s="1" t="s">
        <v>212</v>
      </c>
      <c r="Z976" s="1" t="s">
        <v>3333</v>
      </c>
      <c r="AA976" s="1" t="s">
        <v>206</v>
      </c>
      <c r="AB976" s="1" t="s">
        <v>137</v>
      </c>
      <c r="AC976" s="1"/>
      <c r="AD976" s="1">
        <v>4.2</v>
      </c>
      <c r="AE976" s="1" t="s">
        <v>139</v>
      </c>
      <c r="AF976" s="1" t="s">
        <v>46</v>
      </c>
    </row>
    <row r="977" spans="1:32" ht="18" customHeight="1">
      <c r="A977" s="1" t="s">
        <v>3002</v>
      </c>
      <c r="B977" s="1" t="s">
        <v>3003</v>
      </c>
      <c r="C977" s="4">
        <v>46049</v>
      </c>
      <c r="D977" s="4">
        <v>46064</v>
      </c>
      <c r="E977" s="4">
        <v>46078</v>
      </c>
      <c r="F977" s="1" t="s">
        <v>235</v>
      </c>
      <c r="G977" s="1" t="s">
        <v>3474</v>
      </c>
      <c r="H977" s="1" t="s">
        <v>479</v>
      </c>
      <c r="I977" s="1" t="s">
        <v>34</v>
      </c>
      <c r="J977" s="1" t="s">
        <v>71</v>
      </c>
      <c r="K977" s="1" t="s">
        <v>3004</v>
      </c>
      <c r="L977" s="1" t="s">
        <v>553</v>
      </c>
      <c r="M977" s="1">
        <v>55.59</v>
      </c>
      <c r="N977" s="1" t="s">
        <v>38</v>
      </c>
      <c r="O977" s="1">
        <v>50</v>
      </c>
      <c r="P977" s="1">
        <v>2779.5</v>
      </c>
      <c r="Q977" s="1">
        <v>2</v>
      </c>
      <c r="R977" s="7">
        <v>0.04</v>
      </c>
      <c r="S977" s="1">
        <v>29</v>
      </c>
      <c r="T977" s="1">
        <v>15</v>
      </c>
      <c r="U977" s="1">
        <v>14</v>
      </c>
      <c r="V977" s="1" t="s">
        <v>3328</v>
      </c>
      <c r="W977" s="1" t="s">
        <v>40</v>
      </c>
      <c r="X977" s="1" t="s">
        <v>127</v>
      </c>
      <c r="Y977" s="1" t="s">
        <v>42</v>
      </c>
      <c r="Z977" s="1" t="s">
        <v>43</v>
      </c>
      <c r="AA977" s="1" t="s">
        <v>3341</v>
      </c>
      <c r="AB977" s="1" t="s">
        <v>95</v>
      </c>
      <c r="AC977" s="1"/>
      <c r="AD977" s="1">
        <v>1.5</v>
      </c>
      <c r="AE977" s="1" t="s">
        <v>45</v>
      </c>
      <c r="AF977" s="1" t="s">
        <v>148</v>
      </c>
    </row>
    <row r="978" spans="1:32" ht="18" customHeight="1">
      <c r="A978" s="1" t="s">
        <v>3005</v>
      </c>
      <c r="B978" s="1" t="s">
        <v>3006</v>
      </c>
      <c r="C978" s="4">
        <v>46083</v>
      </c>
      <c r="D978" s="4">
        <v>46100</v>
      </c>
      <c r="E978" s="4">
        <v>46104</v>
      </c>
      <c r="F978" s="1" t="s">
        <v>80</v>
      </c>
      <c r="G978" s="1" t="s">
        <v>3413</v>
      </c>
      <c r="H978" s="1" t="s">
        <v>3442</v>
      </c>
      <c r="I978" s="1" t="s">
        <v>49</v>
      </c>
      <c r="J978" s="1" t="s">
        <v>35</v>
      </c>
      <c r="K978" s="1" t="s">
        <v>3007</v>
      </c>
      <c r="L978" s="1" t="s">
        <v>85</v>
      </c>
      <c r="M978" s="1">
        <v>3414.9</v>
      </c>
      <c r="N978" s="1" t="s">
        <v>3534</v>
      </c>
      <c r="O978" s="1">
        <v>750</v>
      </c>
      <c r="P978" s="1">
        <v>2561175</v>
      </c>
      <c r="Q978" s="1">
        <v>24</v>
      </c>
      <c r="R978" s="7">
        <v>3.2000000000000001E-2</v>
      </c>
      <c r="S978" s="1">
        <v>21</v>
      </c>
      <c r="T978" s="1">
        <v>17</v>
      </c>
      <c r="U978" s="1">
        <v>4</v>
      </c>
      <c r="V978" s="1" t="s">
        <v>205</v>
      </c>
      <c r="W978" s="1" t="s">
        <v>40</v>
      </c>
      <c r="X978" s="1" t="s">
        <v>41</v>
      </c>
      <c r="Y978" s="1" t="s">
        <v>212</v>
      </c>
      <c r="Z978" s="1" t="s">
        <v>3333</v>
      </c>
      <c r="AA978" s="1" t="s">
        <v>136</v>
      </c>
      <c r="AB978" s="1" t="s">
        <v>44</v>
      </c>
      <c r="AC978" s="1"/>
      <c r="AD978" s="1">
        <v>3.4</v>
      </c>
      <c r="AE978" s="1" t="s">
        <v>76</v>
      </c>
      <c r="AF978" s="1" t="s">
        <v>46</v>
      </c>
    </row>
    <row r="979" spans="1:32" ht="18" customHeight="1">
      <c r="A979" s="1" t="s">
        <v>3008</v>
      </c>
      <c r="B979" s="1" t="s">
        <v>3009</v>
      </c>
      <c r="C979" s="4" t="s">
        <v>3803</v>
      </c>
      <c r="D979" s="4"/>
      <c r="E979" s="4" t="s">
        <v>3804</v>
      </c>
      <c r="F979" s="1" t="s">
        <v>209</v>
      </c>
      <c r="G979" s="1" t="s">
        <v>210</v>
      </c>
      <c r="H979" s="1"/>
      <c r="I979" s="1" t="s">
        <v>34</v>
      </c>
      <c r="J979" s="1" t="s">
        <v>62</v>
      </c>
      <c r="K979" s="1" t="s">
        <v>3010</v>
      </c>
      <c r="L979" s="1" t="s">
        <v>225</v>
      </c>
      <c r="M979" s="1">
        <v>839.91</v>
      </c>
      <c r="N979" s="1" t="s">
        <v>104</v>
      </c>
      <c r="O979" s="1">
        <v>75</v>
      </c>
      <c r="P979" s="1">
        <v>62993.25</v>
      </c>
      <c r="Q979" s="1">
        <v>2</v>
      </c>
      <c r="R979" s="7">
        <v>2.6700000000000002E-2</v>
      </c>
      <c r="S979" s="1" t="s">
        <v>3805</v>
      </c>
      <c r="T979" s="1">
        <v>6</v>
      </c>
      <c r="U979" s="1">
        <v>2</v>
      </c>
      <c r="V979" s="1" t="s">
        <v>135</v>
      </c>
      <c r="W979" s="1" t="s">
        <v>40</v>
      </c>
      <c r="X979" s="1" t="s">
        <v>3324</v>
      </c>
      <c r="Y979" s="1" t="s">
        <v>3334</v>
      </c>
      <c r="Z979" s="1" t="s">
        <v>54</v>
      </c>
      <c r="AA979" s="1" t="s">
        <v>129</v>
      </c>
      <c r="AB979" s="1" t="s">
        <v>191</v>
      </c>
      <c r="AC979" s="1"/>
      <c r="AD979" s="1">
        <v>3.8</v>
      </c>
      <c r="AE979" s="1" t="s">
        <v>57</v>
      </c>
      <c r="AF979" s="1" t="s">
        <v>46</v>
      </c>
    </row>
    <row r="980" spans="1:32" ht="18" customHeight="1">
      <c r="A980" s="1" t="s">
        <v>3011</v>
      </c>
      <c r="B980" s="1" t="s">
        <v>3012</v>
      </c>
      <c r="C980" s="4" t="s">
        <v>3571</v>
      </c>
      <c r="D980" s="4">
        <v>46129</v>
      </c>
      <c r="E980" s="4">
        <v>46142</v>
      </c>
      <c r="F980" s="1" t="s">
        <v>162</v>
      </c>
      <c r="G980" s="1" t="s">
        <v>3383</v>
      </c>
      <c r="H980" s="1" t="s">
        <v>3354</v>
      </c>
      <c r="I980" s="1" t="s">
        <v>83</v>
      </c>
      <c r="J980" s="1" t="s">
        <v>163</v>
      </c>
      <c r="K980" s="1" t="s">
        <v>796</v>
      </c>
      <c r="L980" s="1" t="s">
        <v>269</v>
      </c>
      <c r="M980" s="1">
        <v>1196.01</v>
      </c>
      <c r="N980" s="1"/>
      <c r="O980" s="1">
        <v>750</v>
      </c>
      <c r="P980" s="1">
        <v>897007.5</v>
      </c>
      <c r="Q980" s="1">
        <v>0</v>
      </c>
      <c r="R980" s="7">
        <v>0</v>
      </c>
      <c r="S980" s="1">
        <v>18</v>
      </c>
      <c r="T980" s="1">
        <v>5</v>
      </c>
      <c r="U980" s="1">
        <v>13</v>
      </c>
      <c r="V980" s="1" t="s">
        <v>3328</v>
      </c>
      <c r="W980" s="1" t="s">
        <v>40</v>
      </c>
      <c r="X980" s="1" t="s">
        <v>3324</v>
      </c>
      <c r="Y980" s="1"/>
      <c r="Z980" s="1" t="s">
        <v>107</v>
      </c>
      <c r="AA980" s="1"/>
      <c r="AB980" s="1" t="s">
        <v>95</v>
      </c>
      <c r="AC980" s="1"/>
      <c r="AD980" s="1">
        <v>2.2999999999999998</v>
      </c>
      <c r="AE980" s="1" t="s">
        <v>184</v>
      </c>
      <c r="AF980" s="1" t="s">
        <v>46</v>
      </c>
    </row>
    <row r="981" spans="1:32" ht="18" customHeight="1">
      <c r="A981" s="1" t="s">
        <v>3013</v>
      </c>
      <c r="B981" s="1" t="s">
        <v>3014</v>
      </c>
      <c r="C981" s="4">
        <v>46140</v>
      </c>
      <c r="D981" s="4">
        <v>46160</v>
      </c>
      <c r="E981" s="4">
        <v>46165</v>
      </c>
      <c r="F981" s="1" t="s">
        <v>32</v>
      </c>
      <c r="G981" s="1" t="s">
        <v>3359</v>
      </c>
      <c r="H981" s="1" t="s">
        <v>3319</v>
      </c>
      <c r="I981" s="1" t="s">
        <v>70</v>
      </c>
      <c r="J981" s="1" t="s">
        <v>35</v>
      </c>
      <c r="K981" s="1" t="s">
        <v>3015</v>
      </c>
      <c r="L981" s="1" t="s">
        <v>85</v>
      </c>
      <c r="M981" s="1">
        <v>2816.82</v>
      </c>
      <c r="N981" s="1" t="s">
        <v>38</v>
      </c>
      <c r="O981" s="1">
        <v>200</v>
      </c>
      <c r="P981" s="1">
        <v>563364</v>
      </c>
      <c r="Q981" s="1">
        <v>0</v>
      </c>
      <c r="R981" s="7">
        <v>0</v>
      </c>
      <c r="S981" s="1">
        <v>25</v>
      </c>
      <c r="T981" s="1">
        <v>20</v>
      </c>
      <c r="U981" s="1">
        <v>5</v>
      </c>
      <c r="V981" s="1" t="s">
        <v>3328</v>
      </c>
      <c r="W981" s="1" t="s">
        <v>40</v>
      </c>
      <c r="X981" s="1"/>
      <c r="Y981" s="1" t="s">
        <v>42</v>
      </c>
      <c r="Z981" s="1" t="s">
        <v>3333</v>
      </c>
      <c r="AA981" s="1" t="s">
        <v>129</v>
      </c>
      <c r="AB981" s="1" t="s">
        <v>44</v>
      </c>
      <c r="AC981" s="1"/>
      <c r="AD981" s="1" t="s">
        <v>3431</v>
      </c>
      <c r="AE981" s="1" t="s">
        <v>57</v>
      </c>
      <c r="AF981" s="1" t="s">
        <v>148</v>
      </c>
    </row>
    <row r="982" spans="1:32" ht="18" customHeight="1">
      <c r="A982" s="1" t="s">
        <v>3016</v>
      </c>
      <c r="B982" s="1" t="s">
        <v>3017</v>
      </c>
      <c r="C982" s="4">
        <v>46051</v>
      </c>
      <c r="D982" s="4">
        <v>46066</v>
      </c>
      <c r="E982" s="4" t="s">
        <v>3806</v>
      </c>
      <c r="F982" s="1" t="s">
        <v>235</v>
      </c>
      <c r="G982" s="1" t="s">
        <v>3426</v>
      </c>
      <c r="H982" s="1" t="s">
        <v>479</v>
      </c>
      <c r="I982" s="1" t="s">
        <v>61</v>
      </c>
      <c r="J982" s="1" t="s">
        <v>71</v>
      </c>
      <c r="K982" s="1" t="s">
        <v>3018</v>
      </c>
      <c r="L982" s="1" t="s">
        <v>238</v>
      </c>
      <c r="M982" s="1">
        <v>725.34</v>
      </c>
      <c r="N982" s="1" t="s">
        <v>53</v>
      </c>
      <c r="O982" s="1">
        <v>1000</v>
      </c>
      <c r="P982" s="1">
        <v>725340</v>
      </c>
      <c r="Q982" s="1">
        <v>32</v>
      </c>
      <c r="R982" s="7">
        <v>3.2000000000000001E-2</v>
      </c>
      <c r="S982" s="1">
        <v>17</v>
      </c>
      <c r="T982" s="1">
        <v>15</v>
      </c>
      <c r="U982" s="1">
        <v>2</v>
      </c>
      <c r="V982" s="1" t="s">
        <v>3323</v>
      </c>
      <c r="W982" s="1"/>
      <c r="X982" s="1" t="s">
        <v>105</v>
      </c>
      <c r="Y982" s="1" t="s">
        <v>212</v>
      </c>
      <c r="Z982" s="1" t="s">
        <v>54</v>
      </c>
      <c r="AA982" s="1" t="s">
        <v>55</v>
      </c>
      <c r="AB982" s="1" t="s">
        <v>147</v>
      </c>
      <c r="AC982" s="1"/>
      <c r="AD982" s="1">
        <v>4.7</v>
      </c>
      <c r="AE982" s="1" t="s">
        <v>57</v>
      </c>
      <c r="AF982" s="1" t="s">
        <v>46</v>
      </c>
    </row>
    <row r="983" spans="1:32" ht="18" customHeight="1">
      <c r="A983" s="1" t="s">
        <v>3019</v>
      </c>
      <c r="B983" s="1" t="s">
        <v>3020</v>
      </c>
      <c r="C983" s="4">
        <v>46140</v>
      </c>
      <c r="D983" s="4" t="s">
        <v>3436</v>
      </c>
      <c r="E983" s="4">
        <v>46147</v>
      </c>
      <c r="F983" s="1" t="s">
        <v>151</v>
      </c>
      <c r="G983" s="1" t="s">
        <v>3351</v>
      </c>
      <c r="H983" s="1" t="s">
        <v>3408</v>
      </c>
      <c r="I983" s="1" t="s">
        <v>120</v>
      </c>
      <c r="J983" s="1" t="s">
        <v>112</v>
      </c>
      <c r="K983" s="1" t="s">
        <v>3021</v>
      </c>
      <c r="L983" s="1" t="s">
        <v>114</v>
      </c>
      <c r="M983" s="1">
        <v>693.11</v>
      </c>
      <c r="N983" s="1" t="s">
        <v>65</v>
      </c>
      <c r="O983" s="1">
        <v>200</v>
      </c>
      <c r="P983" s="1">
        <v>138622</v>
      </c>
      <c r="Q983" s="1">
        <v>0</v>
      </c>
      <c r="R983" s="7">
        <v>0</v>
      </c>
      <c r="S983" s="1">
        <v>7</v>
      </c>
      <c r="T983" s="1">
        <v>6</v>
      </c>
      <c r="U983" s="1">
        <v>1</v>
      </c>
      <c r="V983" s="1" t="s">
        <v>135</v>
      </c>
      <c r="W983" s="1" t="s">
        <v>40</v>
      </c>
      <c r="X983" s="1" t="s">
        <v>3329</v>
      </c>
      <c r="Y983" s="1" t="s">
        <v>106</v>
      </c>
      <c r="Z983" s="1" t="s">
        <v>43</v>
      </c>
      <c r="AA983" s="1" t="s">
        <v>88</v>
      </c>
      <c r="AB983" s="1" t="s">
        <v>95</v>
      </c>
      <c r="AC983" s="1"/>
      <c r="AD983" s="1">
        <v>3.4</v>
      </c>
      <c r="AE983" s="1" t="s">
        <v>76</v>
      </c>
      <c r="AF983" s="1" t="s">
        <v>46</v>
      </c>
    </row>
    <row r="984" spans="1:32" ht="18" customHeight="1">
      <c r="A984" s="1" t="s">
        <v>3022</v>
      </c>
      <c r="B984" s="1" t="s">
        <v>3023</v>
      </c>
      <c r="C984" s="4">
        <v>46109</v>
      </c>
      <c r="D984" s="4">
        <v>46133</v>
      </c>
      <c r="E984" s="4">
        <v>46119</v>
      </c>
      <c r="F984" s="1" t="s">
        <v>90</v>
      </c>
      <c r="G984" s="1" t="s">
        <v>91</v>
      </c>
      <c r="H984" s="1" t="s">
        <v>133</v>
      </c>
      <c r="I984" s="1" t="s">
        <v>83</v>
      </c>
      <c r="J984" s="1" t="s">
        <v>71</v>
      </c>
      <c r="K984" s="1" t="s">
        <v>3024</v>
      </c>
      <c r="L984" s="1" t="s">
        <v>337</v>
      </c>
      <c r="M984" s="1">
        <v>611.08000000000004</v>
      </c>
      <c r="N984" s="1" t="s">
        <v>159</v>
      </c>
      <c r="O984" s="1">
        <v>50</v>
      </c>
      <c r="P984" s="1">
        <v>30554</v>
      </c>
      <c r="Q984" s="1">
        <v>0</v>
      </c>
      <c r="R984" s="7">
        <v>0</v>
      </c>
      <c r="S984" s="1">
        <v>10</v>
      </c>
      <c r="T984" s="1">
        <v>24</v>
      </c>
      <c r="U984" s="1">
        <v>-14</v>
      </c>
      <c r="V984" s="1" t="s">
        <v>270</v>
      </c>
      <c r="W984" s="1" t="s">
        <v>40</v>
      </c>
      <c r="X984" s="1" t="s">
        <v>127</v>
      </c>
      <c r="Y984" s="1" t="s">
        <v>3334</v>
      </c>
      <c r="Z984" s="1" t="s">
        <v>173</v>
      </c>
      <c r="AA984" s="1" t="s">
        <v>206</v>
      </c>
      <c r="AB984" s="1" t="s">
        <v>56</v>
      </c>
      <c r="AC984" s="1"/>
      <c r="AD984" s="1">
        <v>4.0999999999999996</v>
      </c>
      <c r="AE984" s="1" t="s">
        <v>57</v>
      </c>
      <c r="AF984" s="1" t="s">
        <v>130</v>
      </c>
    </row>
    <row r="985" spans="1:32" ht="18" customHeight="1">
      <c r="A985" s="1" t="s">
        <v>3025</v>
      </c>
      <c r="B985" s="1" t="s">
        <v>3026</v>
      </c>
      <c r="C985" s="4" t="s">
        <v>3807</v>
      </c>
      <c r="D985" s="4"/>
      <c r="E985" s="4">
        <v>46114</v>
      </c>
      <c r="F985" s="1" t="s">
        <v>256</v>
      </c>
      <c r="G985" s="1" t="s">
        <v>257</v>
      </c>
      <c r="H985" s="1" t="s">
        <v>3420</v>
      </c>
      <c r="I985" s="1" t="s">
        <v>241</v>
      </c>
      <c r="J985" s="1" t="s">
        <v>153</v>
      </c>
      <c r="K985" s="1" t="s">
        <v>3027</v>
      </c>
      <c r="L985" s="1" t="s">
        <v>295</v>
      </c>
      <c r="M985" s="1">
        <v>678.17</v>
      </c>
      <c r="N985" s="1" t="s">
        <v>104</v>
      </c>
      <c r="O985" s="1">
        <v>500</v>
      </c>
      <c r="P985" s="1">
        <v>339085</v>
      </c>
      <c r="Q985" s="1">
        <v>15</v>
      </c>
      <c r="R985" s="7">
        <v>0.03</v>
      </c>
      <c r="S985" s="1">
        <v>17</v>
      </c>
      <c r="T985" s="1">
        <v>15</v>
      </c>
      <c r="U985" s="1">
        <v>2</v>
      </c>
      <c r="V985" s="1" t="s">
        <v>166</v>
      </c>
      <c r="W985" s="1" t="s">
        <v>40</v>
      </c>
      <c r="X985" s="1" t="s">
        <v>105</v>
      </c>
      <c r="Y985" s="1" t="s">
        <v>3334</v>
      </c>
      <c r="Z985" s="1" t="s">
        <v>128</v>
      </c>
      <c r="AA985" s="1"/>
      <c r="AB985" s="1"/>
      <c r="AC985" s="1"/>
      <c r="AD985" s="1">
        <v>2.9</v>
      </c>
      <c r="AE985" s="1" t="s">
        <v>139</v>
      </c>
      <c r="AF985" s="1" t="s">
        <v>46</v>
      </c>
    </row>
    <row r="986" spans="1:32" ht="18" customHeight="1">
      <c r="A986" s="1" t="s">
        <v>3028</v>
      </c>
      <c r="B986" s="1" t="s">
        <v>3029</v>
      </c>
      <c r="C986" s="4" t="s">
        <v>3808</v>
      </c>
      <c r="D986" s="4"/>
      <c r="E986" s="4">
        <v>46067</v>
      </c>
      <c r="F986" s="1" t="s">
        <v>256</v>
      </c>
      <c r="G986" s="1" t="s">
        <v>257</v>
      </c>
      <c r="H986" s="1" t="s">
        <v>3420</v>
      </c>
      <c r="I986" s="1" t="s">
        <v>34</v>
      </c>
      <c r="J986" s="1" t="s">
        <v>153</v>
      </c>
      <c r="K986" s="1" t="s">
        <v>3030</v>
      </c>
      <c r="L986" s="1" t="s">
        <v>318</v>
      </c>
      <c r="M986" s="1">
        <v>640.59</v>
      </c>
      <c r="N986" s="1" t="s">
        <v>65</v>
      </c>
      <c r="O986" s="1"/>
      <c r="P986" s="1">
        <v>480442.5</v>
      </c>
      <c r="Q986" s="1">
        <v>10</v>
      </c>
      <c r="R986" s="7">
        <v>1.3299999999999999E-2</v>
      </c>
      <c r="S986" s="1">
        <v>14</v>
      </c>
      <c r="T986" s="1">
        <v>21</v>
      </c>
      <c r="U986" s="1">
        <v>-7</v>
      </c>
      <c r="V986" s="1" t="s">
        <v>270</v>
      </c>
      <c r="W986" s="1" t="s">
        <v>40</v>
      </c>
      <c r="X986" s="1" t="s">
        <v>41</v>
      </c>
      <c r="Y986" s="1" t="s">
        <v>66</v>
      </c>
      <c r="Z986" s="1" t="s">
        <v>128</v>
      </c>
      <c r="AA986" s="1"/>
      <c r="AB986" s="1" t="s">
        <v>137</v>
      </c>
      <c r="AC986" s="1"/>
      <c r="AD986" s="1">
        <v>2.2999999999999998</v>
      </c>
      <c r="AE986" s="1" t="s">
        <v>184</v>
      </c>
      <c r="AF986" s="1"/>
    </row>
    <row r="987" spans="1:32" ht="18" customHeight="1">
      <c r="A987" s="1" t="s">
        <v>3031</v>
      </c>
      <c r="B987" s="1" t="s">
        <v>3032</v>
      </c>
      <c r="C987" s="4" t="s">
        <v>3601</v>
      </c>
      <c r="D987" s="4">
        <v>46052</v>
      </c>
      <c r="E987" s="4">
        <v>46062</v>
      </c>
      <c r="F987" s="1" t="s">
        <v>48</v>
      </c>
      <c r="G987" s="1" t="s">
        <v>3467</v>
      </c>
      <c r="H987" s="1" t="s">
        <v>102</v>
      </c>
      <c r="I987" s="1" t="s">
        <v>120</v>
      </c>
      <c r="J987" s="1" t="s">
        <v>50</v>
      </c>
      <c r="K987" s="1" t="s">
        <v>3033</v>
      </c>
      <c r="L987" s="1" t="s">
        <v>52</v>
      </c>
      <c r="M987" s="1">
        <v>1099.05</v>
      </c>
      <c r="N987" s="1" t="s">
        <v>53</v>
      </c>
      <c r="O987" s="1">
        <v>500</v>
      </c>
      <c r="P987" s="1">
        <v>549525</v>
      </c>
      <c r="Q987" s="1">
        <v>7</v>
      </c>
      <c r="R987" s="7">
        <v>1.4E-2</v>
      </c>
      <c r="S987" s="1">
        <v>20</v>
      </c>
      <c r="T987" s="1">
        <v>10</v>
      </c>
      <c r="U987" s="1">
        <v>10</v>
      </c>
      <c r="V987" s="1" t="s">
        <v>39</v>
      </c>
      <c r="W987" s="1" t="s">
        <v>40</v>
      </c>
      <c r="X987" s="1" t="s">
        <v>105</v>
      </c>
      <c r="Y987" s="1" t="s">
        <v>106</v>
      </c>
      <c r="Z987" s="1" t="s">
        <v>128</v>
      </c>
      <c r="AA987" s="1" t="s">
        <v>3341</v>
      </c>
      <c r="AB987" s="1" t="s">
        <v>137</v>
      </c>
      <c r="AC987" s="1"/>
      <c r="AD987" s="1">
        <v>1.2</v>
      </c>
      <c r="AE987" s="1" t="s">
        <v>184</v>
      </c>
      <c r="AF987" s="1" t="s">
        <v>46</v>
      </c>
    </row>
    <row r="988" spans="1:32" ht="18" customHeight="1">
      <c r="A988" s="1" t="s">
        <v>3034</v>
      </c>
      <c r="B988" s="1" t="s">
        <v>3035</v>
      </c>
      <c r="C988" s="4">
        <v>46122</v>
      </c>
      <c r="D988" s="4"/>
      <c r="E988" s="4" t="s">
        <v>3537</v>
      </c>
      <c r="F988" s="1" t="s">
        <v>215</v>
      </c>
      <c r="G988" s="1" t="s">
        <v>216</v>
      </c>
      <c r="H988" s="1" t="s">
        <v>3327</v>
      </c>
      <c r="I988" s="1" t="s">
        <v>34</v>
      </c>
      <c r="J988" s="1" t="s">
        <v>71</v>
      </c>
      <c r="K988" s="1" t="s">
        <v>3036</v>
      </c>
      <c r="L988" s="1" t="s">
        <v>337</v>
      </c>
      <c r="M988" s="1">
        <v>220.34</v>
      </c>
      <c r="N988" s="1" t="s">
        <v>53</v>
      </c>
      <c r="O988" s="1">
        <v>250</v>
      </c>
      <c r="P988" s="1">
        <v>55085</v>
      </c>
      <c r="Q988" s="1">
        <v>7</v>
      </c>
      <c r="R988" s="7">
        <v>2.8000000000000001E-2</v>
      </c>
      <c r="S988" s="1">
        <v>7</v>
      </c>
      <c r="T988" s="1">
        <v>11</v>
      </c>
      <c r="U988" s="1">
        <v>-4</v>
      </c>
      <c r="V988" s="1" t="s">
        <v>3337</v>
      </c>
      <c r="W988" s="1" t="s">
        <v>40</v>
      </c>
      <c r="X988" s="1" t="s">
        <v>146</v>
      </c>
      <c r="Y988" s="1" t="s">
        <v>3334</v>
      </c>
      <c r="Z988" s="1" t="s">
        <v>43</v>
      </c>
      <c r="AA988" s="1" t="s">
        <v>174</v>
      </c>
      <c r="AB988" s="1" t="s">
        <v>191</v>
      </c>
      <c r="AC988" s="1"/>
      <c r="AD988" s="1">
        <v>3.4</v>
      </c>
      <c r="AE988" s="1" t="s">
        <v>57</v>
      </c>
      <c r="AF988" s="1" t="s">
        <v>130</v>
      </c>
    </row>
    <row r="989" spans="1:32" ht="18" hidden="1" customHeight="1">
      <c r="A989" s="1" t="s">
        <v>3037</v>
      </c>
      <c r="B989" s="1" t="s">
        <v>3038</v>
      </c>
      <c r="C989" s="4">
        <v>46150</v>
      </c>
      <c r="D989" s="1">
        <v>46164</v>
      </c>
      <c r="E989" s="1">
        <v>46164</v>
      </c>
      <c r="F989" s="1" t="s">
        <v>69</v>
      </c>
      <c r="G989" s="1" t="s">
        <v>3331</v>
      </c>
      <c r="H989" s="1" t="s">
        <v>3338</v>
      </c>
      <c r="I989" s="1" t="s">
        <v>49</v>
      </c>
      <c r="J989" s="1" t="s">
        <v>112</v>
      </c>
      <c r="K989" s="1" t="s">
        <v>3039</v>
      </c>
      <c r="L989" s="1" t="s">
        <v>229</v>
      </c>
      <c r="M989" s="1">
        <v>754.54</v>
      </c>
      <c r="N989" s="1" t="s">
        <v>104</v>
      </c>
      <c r="O989" s="1">
        <v>75</v>
      </c>
      <c r="P989" s="1">
        <v>56590.5</v>
      </c>
      <c r="Q989" s="1">
        <v>4</v>
      </c>
      <c r="R989" s="7">
        <v>5.33E-2</v>
      </c>
      <c r="S989" s="1">
        <v>14</v>
      </c>
      <c r="T989" s="1">
        <v>14</v>
      </c>
      <c r="U989" s="1">
        <v>0</v>
      </c>
      <c r="V989" s="1" t="s">
        <v>87</v>
      </c>
      <c r="W989" s="1" t="s">
        <v>366</v>
      </c>
      <c r="X989" s="1" t="s">
        <v>105</v>
      </c>
      <c r="Y989" s="1"/>
      <c r="Z989" s="1" t="s">
        <v>43</v>
      </c>
      <c r="AA989" s="1"/>
      <c r="AB989" s="1" t="s">
        <v>56</v>
      </c>
      <c r="AC989" s="1" t="s">
        <v>183</v>
      </c>
      <c r="AD989" s="1">
        <v>1.7</v>
      </c>
      <c r="AE989" s="1" t="s">
        <v>184</v>
      </c>
      <c r="AF989" s="1" t="s">
        <v>97</v>
      </c>
    </row>
    <row r="990" spans="1:32" ht="18" customHeight="1">
      <c r="A990" s="1" t="s">
        <v>3040</v>
      </c>
      <c r="B990" s="1" t="s">
        <v>3041</v>
      </c>
      <c r="C990" s="4" t="s">
        <v>3560</v>
      </c>
      <c r="D990" s="4">
        <v>46176</v>
      </c>
      <c r="E990" s="4">
        <v>46180</v>
      </c>
      <c r="F990" s="1" t="s">
        <v>256</v>
      </c>
      <c r="G990" s="1" t="s">
        <v>3419</v>
      </c>
      <c r="H990" s="1" t="s">
        <v>3420</v>
      </c>
      <c r="I990" s="1" t="s">
        <v>83</v>
      </c>
      <c r="J990" s="1" t="s">
        <v>153</v>
      </c>
      <c r="K990" s="1" t="s">
        <v>3042</v>
      </c>
      <c r="L990" s="1" t="s">
        <v>318</v>
      </c>
      <c r="M990" s="1">
        <v>486.68</v>
      </c>
      <c r="N990" s="1" t="s">
        <v>38</v>
      </c>
      <c r="O990" s="1">
        <v>300</v>
      </c>
      <c r="P990" s="1">
        <v>146004</v>
      </c>
      <c r="Q990" s="1">
        <v>11</v>
      </c>
      <c r="R990" s="7">
        <v>3.6700000000000003E-2</v>
      </c>
      <c r="S990" s="1">
        <v>21</v>
      </c>
      <c r="T990" s="1">
        <v>17</v>
      </c>
      <c r="U990" s="1">
        <v>4</v>
      </c>
      <c r="V990" s="1" t="s">
        <v>3328</v>
      </c>
      <c r="W990" s="1" t="s">
        <v>40</v>
      </c>
      <c r="X990" s="1" t="s">
        <v>105</v>
      </c>
      <c r="Y990" s="1"/>
      <c r="Z990" s="1"/>
      <c r="AA990" s="1" t="s">
        <v>129</v>
      </c>
      <c r="AB990" s="1" t="s">
        <v>147</v>
      </c>
      <c r="AC990" s="1"/>
      <c r="AD990" s="1">
        <v>4.9000000000000004</v>
      </c>
      <c r="AE990" s="1" t="s">
        <v>184</v>
      </c>
      <c r="AF990" s="1" t="s">
        <v>46</v>
      </c>
    </row>
    <row r="991" spans="1:32" ht="18" customHeight="1">
      <c r="A991" s="1" t="s">
        <v>3043</v>
      </c>
      <c r="B991" s="1" t="s">
        <v>3044</v>
      </c>
      <c r="C991" s="4">
        <v>46193</v>
      </c>
      <c r="D991" s="4"/>
      <c r="E991" s="4">
        <v>46217</v>
      </c>
      <c r="F991" s="1" t="s">
        <v>80</v>
      </c>
      <c r="G991" s="1" t="s">
        <v>3470</v>
      </c>
      <c r="H991" s="1" t="s">
        <v>82</v>
      </c>
      <c r="I991" s="1" t="s">
        <v>49</v>
      </c>
      <c r="J991" s="1" t="s">
        <v>35</v>
      </c>
      <c r="K991" s="1" t="s">
        <v>3045</v>
      </c>
      <c r="L991" s="1" t="s">
        <v>200</v>
      </c>
      <c r="M991" s="1">
        <v>-1193.6099999999999</v>
      </c>
      <c r="N991" s="1" t="s">
        <v>159</v>
      </c>
      <c r="O991" s="1">
        <v>150</v>
      </c>
      <c r="P991" s="1">
        <v>179041.5</v>
      </c>
      <c r="Q991" s="1">
        <v>-1</v>
      </c>
      <c r="R991" s="7">
        <v>1.3299999999999999E-2</v>
      </c>
      <c r="S991" s="1">
        <v>24</v>
      </c>
      <c r="T991" s="1">
        <v>15</v>
      </c>
      <c r="U991" s="1">
        <v>9</v>
      </c>
      <c r="V991" s="1" t="s">
        <v>39</v>
      </c>
      <c r="W991" s="1" t="s">
        <v>40</v>
      </c>
      <c r="X991" s="1" t="s">
        <v>105</v>
      </c>
      <c r="Y991" s="1"/>
      <c r="Z991" s="1" t="s">
        <v>173</v>
      </c>
      <c r="AA991" s="1"/>
      <c r="AB991" s="1" t="s">
        <v>191</v>
      </c>
      <c r="AC991" s="1"/>
      <c r="AD991" s="1">
        <v>3.2</v>
      </c>
      <c r="AE991" s="1" t="s">
        <v>108</v>
      </c>
      <c r="AF991" s="1" t="s">
        <v>46</v>
      </c>
    </row>
    <row r="992" spans="1:32" ht="18" customHeight="1">
      <c r="A992" s="1" t="s">
        <v>3046</v>
      </c>
      <c r="B992" s="1" t="s">
        <v>3047</v>
      </c>
      <c r="C992" s="4" t="s">
        <v>3809</v>
      </c>
      <c r="D992" s="4">
        <v>46207</v>
      </c>
      <c r="E992" s="4">
        <v>46213</v>
      </c>
      <c r="F992" s="1" t="s">
        <v>209</v>
      </c>
      <c r="G992" s="1" t="s">
        <v>210</v>
      </c>
      <c r="H992" s="1" t="s">
        <v>3390</v>
      </c>
      <c r="I992" s="1" t="s">
        <v>61</v>
      </c>
      <c r="J992" s="1" t="s">
        <v>153</v>
      </c>
      <c r="K992" s="1" t="s">
        <v>3048</v>
      </c>
      <c r="L992" s="1" t="s">
        <v>155</v>
      </c>
      <c r="M992" s="1">
        <v>471.5</v>
      </c>
      <c r="N992" s="1" t="s">
        <v>38</v>
      </c>
      <c r="O992" s="1">
        <v>100</v>
      </c>
      <c r="P992" s="1">
        <v>47150</v>
      </c>
      <c r="Q992" s="1">
        <v>4</v>
      </c>
      <c r="R992" s="7">
        <v>0.04</v>
      </c>
      <c r="S992" s="1">
        <v>17</v>
      </c>
      <c r="T992" s="1">
        <v>11</v>
      </c>
      <c r="U992" s="1">
        <v>6</v>
      </c>
      <c r="V992" s="1" t="s">
        <v>39</v>
      </c>
      <c r="W992" s="1" t="s">
        <v>40</v>
      </c>
      <c r="X992" s="1" t="s">
        <v>41</v>
      </c>
      <c r="Y992" s="1" t="s">
        <v>212</v>
      </c>
      <c r="Z992" s="1" t="s">
        <v>173</v>
      </c>
      <c r="AA992" s="1" t="s">
        <v>88</v>
      </c>
      <c r="AB992" s="1"/>
      <c r="AC992" s="1"/>
      <c r="AD992" s="1">
        <v>1.5</v>
      </c>
      <c r="AE992" s="1" t="s">
        <v>57</v>
      </c>
      <c r="AF992" s="1" t="s">
        <v>46</v>
      </c>
    </row>
    <row r="993" spans="1:32" ht="18" customHeight="1">
      <c r="A993" s="1" t="s">
        <v>3049</v>
      </c>
      <c r="B993" s="1" t="s">
        <v>3050</v>
      </c>
      <c r="C993" s="4">
        <v>46113</v>
      </c>
      <c r="D993" s="4" t="s">
        <v>3436</v>
      </c>
      <c r="E993" s="4">
        <v>46131</v>
      </c>
      <c r="F993" s="1" t="s">
        <v>235</v>
      </c>
      <c r="G993" s="1" t="s">
        <v>3474</v>
      </c>
      <c r="H993" s="1"/>
      <c r="I993" s="1" t="s">
        <v>120</v>
      </c>
      <c r="J993" s="1" t="s">
        <v>50</v>
      </c>
      <c r="K993" s="1" t="s">
        <v>3051</v>
      </c>
      <c r="L993" s="1" t="s">
        <v>145</v>
      </c>
      <c r="M993" s="1">
        <v>3088.91</v>
      </c>
      <c r="N993" s="1" t="s">
        <v>38</v>
      </c>
      <c r="O993" s="1">
        <v>50</v>
      </c>
      <c r="P993" s="1">
        <v>154445.5</v>
      </c>
      <c r="Q993" s="1">
        <v>1</v>
      </c>
      <c r="R993" s="7">
        <v>0.02</v>
      </c>
      <c r="S993" s="1">
        <v>18</v>
      </c>
      <c r="T993" s="1" t="s">
        <v>3740</v>
      </c>
      <c r="U993" s="1">
        <v>-1</v>
      </c>
      <c r="V993" s="1" t="s">
        <v>87</v>
      </c>
      <c r="W993" s="1" t="s">
        <v>40</v>
      </c>
      <c r="X993" s="1" t="s">
        <v>105</v>
      </c>
      <c r="Y993" s="1" t="s">
        <v>106</v>
      </c>
      <c r="Z993" s="1"/>
      <c r="AA993" s="1" t="s">
        <v>136</v>
      </c>
      <c r="AB993" s="1" t="s">
        <v>137</v>
      </c>
      <c r="AC993" s="1"/>
      <c r="AD993" s="1">
        <v>4</v>
      </c>
      <c r="AE993" s="1" t="s">
        <v>108</v>
      </c>
      <c r="AF993" s="1"/>
    </row>
    <row r="994" spans="1:32" ht="18" customHeight="1">
      <c r="A994" s="1" t="s">
        <v>3052</v>
      </c>
      <c r="B994" s="1" t="s">
        <v>3053</v>
      </c>
      <c r="C994" s="4">
        <v>46132</v>
      </c>
      <c r="D994" s="4">
        <v>46143</v>
      </c>
      <c r="E994" s="4" t="s">
        <v>3810</v>
      </c>
      <c r="F994" s="1" t="s">
        <v>162</v>
      </c>
      <c r="G994" s="1" t="s">
        <v>3444</v>
      </c>
      <c r="H994" s="1" t="s">
        <v>152</v>
      </c>
      <c r="I994" s="1" t="s">
        <v>34</v>
      </c>
      <c r="J994" s="1" t="s">
        <v>163</v>
      </c>
      <c r="K994" s="1" t="s">
        <v>3054</v>
      </c>
      <c r="L994" s="1" t="s">
        <v>171</v>
      </c>
      <c r="M994" s="1">
        <v>425.9</v>
      </c>
      <c r="N994" s="1" t="s">
        <v>159</v>
      </c>
      <c r="O994" s="1">
        <v>100</v>
      </c>
      <c r="P994" s="1">
        <v>42590</v>
      </c>
      <c r="Q994" s="1">
        <v>0</v>
      </c>
      <c r="R994" s="7">
        <v>0</v>
      </c>
      <c r="S994" s="1">
        <v>11</v>
      </c>
      <c r="T994" s="1">
        <v>11</v>
      </c>
      <c r="U994" s="1">
        <v>0</v>
      </c>
      <c r="V994" s="1" t="s">
        <v>3352</v>
      </c>
      <c r="W994" s="1" t="s">
        <v>40</v>
      </c>
      <c r="X994" s="1" t="s">
        <v>105</v>
      </c>
      <c r="Y994" s="1" t="s">
        <v>212</v>
      </c>
      <c r="Z994" s="1" t="s">
        <v>3333</v>
      </c>
      <c r="AA994" s="1" t="s">
        <v>206</v>
      </c>
      <c r="AB994" s="1"/>
      <c r="AC994" s="1"/>
      <c r="AD994" s="1">
        <v>4.4000000000000004</v>
      </c>
      <c r="AE994" s="1" t="s">
        <v>139</v>
      </c>
      <c r="AF994" s="1"/>
    </row>
    <row r="995" spans="1:32" ht="18" customHeight="1">
      <c r="A995" s="1" t="s">
        <v>3055</v>
      </c>
      <c r="B995" s="1" t="s">
        <v>3056</v>
      </c>
      <c r="C995" s="4">
        <v>46084</v>
      </c>
      <c r="D995" s="4">
        <v>46101</v>
      </c>
      <c r="E995" s="4">
        <v>46105</v>
      </c>
      <c r="F995" s="1" t="s">
        <v>235</v>
      </c>
      <c r="G995" s="1" t="s">
        <v>236</v>
      </c>
      <c r="H995" s="1" t="s">
        <v>479</v>
      </c>
      <c r="I995" s="1" t="s">
        <v>120</v>
      </c>
      <c r="J995" s="1" t="s">
        <v>62</v>
      </c>
      <c r="K995" s="1" t="s">
        <v>3057</v>
      </c>
      <c r="L995" s="1" t="s">
        <v>64</v>
      </c>
      <c r="M995" s="1" t="s">
        <v>3811</v>
      </c>
      <c r="N995" s="1" t="s">
        <v>53</v>
      </c>
      <c r="O995" s="1" t="s">
        <v>3617</v>
      </c>
      <c r="P995" s="1">
        <v>238104</v>
      </c>
      <c r="Q995" s="1">
        <v>10</v>
      </c>
      <c r="R995" s="7">
        <v>3.3300000000000003E-2</v>
      </c>
      <c r="S995" s="1">
        <v>21</v>
      </c>
      <c r="T995" s="1">
        <v>17</v>
      </c>
      <c r="U995" s="1">
        <v>4</v>
      </c>
      <c r="V995" s="1" t="s">
        <v>3328</v>
      </c>
      <c r="W995" s="1" t="s">
        <v>40</v>
      </c>
      <c r="X995" s="1" t="s">
        <v>3324</v>
      </c>
      <c r="Y995" s="1"/>
      <c r="Z995" s="1" t="s">
        <v>3333</v>
      </c>
      <c r="AA995" s="1" t="s">
        <v>3341</v>
      </c>
      <c r="AB995" s="1"/>
      <c r="AC995" s="1"/>
      <c r="AD995" s="1">
        <v>2.9</v>
      </c>
      <c r="AE995" s="1" t="s">
        <v>115</v>
      </c>
      <c r="AF995" s="1" t="s">
        <v>46</v>
      </c>
    </row>
    <row r="996" spans="1:32" ht="18" customHeight="1">
      <c r="A996" s="1" t="s">
        <v>3058</v>
      </c>
      <c r="B996" s="1" t="s">
        <v>3059</v>
      </c>
      <c r="C996" s="4">
        <v>46156</v>
      </c>
      <c r="D996" s="4">
        <v>46168</v>
      </c>
      <c r="E996" s="4" t="s">
        <v>3812</v>
      </c>
      <c r="F996" s="1" t="s">
        <v>215</v>
      </c>
      <c r="G996" s="1" t="s">
        <v>216</v>
      </c>
      <c r="H996" s="1" t="s">
        <v>3327</v>
      </c>
      <c r="I996" s="1" t="s">
        <v>241</v>
      </c>
      <c r="J996" s="1" t="s">
        <v>112</v>
      </c>
      <c r="K996" s="1" t="s">
        <v>3060</v>
      </c>
      <c r="L996" s="1" t="s">
        <v>114</v>
      </c>
      <c r="M996" s="1">
        <v>526.98</v>
      </c>
      <c r="N996" s="1" t="s">
        <v>104</v>
      </c>
      <c r="O996" s="1">
        <v>750</v>
      </c>
      <c r="P996" s="1">
        <v>395235</v>
      </c>
      <c r="Q996" s="1">
        <v>13</v>
      </c>
      <c r="R996" s="7">
        <v>1.7299999999999999E-2</v>
      </c>
      <c r="S996" s="1">
        <v>15</v>
      </c>
      <c r="T996" s="1">
        <v>12</v>
      </c>
      <c r="U996" s="1">
        <v>3</v>
      </c>
      <c r="V996" s="1" t="s">
        <v>166</v>
      </c>
      <c r="W996" s="1" t="s">
        <v>40</v>
      </c>
      <c r="X996" s="1" t="s">
        <v>105</v>
      </c>
      <c r="Y996" s="1" t="s">
        <v>66</v>
      </c>
      <c r="Z996" s="1"/>
      <c r="AA996" s="1" t="s">
        <v>55</v>
      </c>
      <c r="AB996" s="1" t="s">
        <v>95</v>
      </c>
      <c r="AC996" s="1"/>
      <c r="AD996" s="1">
        <v>2.2999999999999998</v>
      </c>
      <c r="AE996" s="1" t="s">
        <v>139</v>
      </c>
      <c r="AF996" s="1" t="s">
        <v>46</v>
      </c>
    </row>
    <row r="997" spans="1:32" ht="18" hidden="1" customHeight="1">
      <c r="A997" s="1" t="s">
        <v>3061</v>
      </c>
      <c r="B997" s="1" t="s">
        <v>3062</v>
      </c>
      <c r="C997" s="4">
        <v>46102</v>
      </c>
      <c r="D997" s="1">
        <v>46121</v>
      </c>
      <c r="E997" s="1">
        <v>46128</v>
      </c>
      <c r="F997" s="1" t="s">
        <v>256</v>
      </c>
      <c r="G997" s="1" t="s">
        <v>257</v>
      </c>
      <c r="H997" s="1" t="s">
        <v>3433</v>
      </c>
      <c r="I997" s="1" t="s">
        <v>241</v>
      </c>
      <c r="J997" s="1" t="s">
        <v>153</v>
      </c>
      <c r="K997" s="1" t="s">
        <v>513</v>
      </c>
      <c r="L997" s="1" t="s">
        <v>318</v>
      </c>
      <c r="M997" s="1">
        <v>498.69</v>
      </c>
      <c r="N997" s="1" t="s">
        <v>159</v>
      </c>
      <c r="O997" s="1">
        <v>150</v>
      </c>
      <c r="P997" s="1">
        <v>74803.5</v>
      </c>
      <c r="Q997" s="1">
        <v>8</v>
      </c>
      <c r="R997" s="7">
        <v>5.33E-2</v>
      </c>
      <c r="S997" s="1">
        <v>26</v>
      </c>
      <c r="T997" s="1">
        <v>19</v>
      </c>
      <c r="U997" s="1">
        <v>7</v>
      </c>
      <c r="V997" s="1" t="s">
        <v>39</v>
      </c>
      <c r="W997" s="1" t="s">
        <v>3384</v>
      </c>
      <c r="X997" s="1" t="s">
        <v>3329</v>
      </c>
      <c r="Y997" s="1"/>
      <c r="Z997" s="1"/>
      <c r="AA997" s="1" t="s">
        <v>174</v>
      </c>
      <c r="AB997" s="1" t="s">
        <v>95</v>
      </c>
      <c r="AC997" s="1" t="s">
        <v>75</v>
      </c>
      <c r="AD997" s="1">
        <v>1</v>
      </c>
      <c r="AE997" s="1" t="s">
        <v>184</v>
      </c>
      <c r="AF997" s="1" t="s">
        <v>77</v>
      </c>
    </row>
    <row r="998" spans="1:32" ht="18" customHeight="1">
      <c r="A998" s="1" t="s">
        <v>3063</v>
      </c>
      <c r="B998" s="1" t="s">
        <v>3064</v>
      </c>
      <c r="C998" s="4" t="s">
        <v>3582</v>
      </c>
      <c r="D998" s="4">
        <v>46207</v>
      </c>
      <c r="E998" s="4">
        <v>46216</v>
      </c>
      <c r="F998" s="1"/>
      <c r="G998" s="1" t="s">
        <v>3391</v>
      </c>
      <c r="H998" s="1" t="s">
        <v>3405</v>
      </c>
      <c r="I998" s="1" t="s">
        <v>49</v>
      </c>
      <c r="J998" s="1" t="s">
        <v>50</v>
      </c>
      <c r="K998" s="1" t="s">
        <v>3065</v>
      </c>
      <c r="L998" s="1" t="s">
        <v>145</v>
      </c>
      <c r="M998" s="1"/>
      <c r="N998" s="1" t="s">
        <v>65</v>
      </c>
      <c r="O998" s="1">
        <v>750</v>
      </c>
      <c r="P998" s="1">
        <v>64140</v>
      </c>
      <c r="Q998" s="1">
        <v>25</v>
      </c>
      <c r="R998" s="7">
        <v>3.3300000000000003E-2</v>
      </c>
      <c r="S998" s="1">
        <v>26</v>
      </c>
      <c r="T998" s="1">
        <v>17</v>
      </c>
      <c r="U998" s="1">
        <v>9</v>
      </c>
      <c r="V998" s="1" t="s">
        <v>39</v>
      </c>
      <c r="W998" s="1" t="s">
        <v>40</v>
      </c>
      <c r="X998" s="1" t="s">
        <v>3324</v>
      </c>
      <c r="Y998" s="1"/>
      <c r="Z998" s="1" t="s">
        <v>3330</v>
      </c>
      <c r="AA998" s="1" t="s">
        <v>136</v>
      </c>
      <c r="AB998" s="1" t="s">
        <v>137</v>
      </c>
      <c r="AC998" s="1"/>
      <c r="AD998" s="1">
        <v>2.2000000000000002</v>
      </c>
      <c r="AE998" s="1" t="s">
        <v>139</v>
      </c>
      <c r="AF998" s="1" t="s">
        <v>386</v>
      </c>
    </row>
    <row r="999" spans="1:32" ht="18" customHeight="1">
      <c r="A999" s="1" t="s">
        <v>3066</v>
      </c>
      <c r="B999" s="1" t="s">
        <v>3067</v>
      </c>
      <c r="C999" s="4">
        <v>46067</v>
      </c>
      <c r="D999" s="4">
        <v>46084</v>
      </c>
      <c r="E999" s="4" t="s">
        <v>3813</v>
      </c>
      <c r="F999" s="1" t="s">
        <v>118</v>
      </c>
      <c r="G999" s="1" t="s">
        <v>119</v>
      </c>
      <c r="H999" s="1" t="s">
        <v>3340</v>
      </c>
      <c r="I999" s="1" t="s">
        <v>241</v>
      </c>
      <c r="J999" s="1" t="s">
        <v>153</v>
      </c>
      <c r="K999" s="1" t="s">
        <v>3068</v>
      </c>
      <c r="L999" s="1" t="s">
        <v>295</v>
      </c>
      <c r="M999" s="1">
        <v>517.76</v>
      </c>
      <c r="N999" s="1" t="s">
        <v>104</v>
      </c>
      <c r="O999" s="1">
        <v>2000</v>
      </c>
      <c r="P999" s="1">
        <v>1035520</v>
      </c>
      <c r="Q999" s="1">
        <v>0</v>
      </c>
      <c r="R999" s="7">
        <v>0</v>
      </c>
      <c r="S999" s="1">
        <v>18</v>
      </c>
      <c r="T999" s="1">
        <v>17</v>
      </c>
      <c r="U999" s="1">
        <v>1</v>
      </c>
      <c r="V999" s="1" t="s">
        <v>3323</v>
      </c>
      <c r="W999" s="1" t="s">
        <v>40</v>
      </c>
      <c r="X999" s="1" t="s">
        <v>105</v>
      </c>
      <c r="Y999" s="1" t="s">
        <v>190</v>
      </c>
      <c r="Z999" s="1" t="s">
        <v>3330</v>
      </c>
      <c r="AA999" s="1" t="s">
        <v>174</v>
      </c>
      <c r="AB999" s="1" t="s">
        <v>147</v>
      </c>
      <c r="AC999" s="1"/>
      <c r="AD999" s="1">
        <v>2.2000000000000002</v>
      </c>
      <c r="AE999" s="1" t="s">
        <v>76</v>
      </c>
      <c r="AF999" s="1" t="s">
        <v>46</v>
      </c>
    </row>
    <row r="1000" spans="1:32" ht="18" hidden="1" customHeight="1">
      <c r="A1000" s="1" t="s">
        <v>3069</v>
      </c>
      <c r="B1000" s="1" t="s">
        <v>3070</v>
      </c>
      <c r="C1000" s="4">
        <v>46137</v>
      </c>
      <c r="D1000" s="1"/>
      <c r="E1000" s="1">
        <v>46159</v>
      </c>
      <c r="F1000" s="1" t="s">
        <v>118</v>
      </c>
      <c r="G1000" s="1" t="s">
        <v>119</v>
      </c>
      <c r="H1000" s="1" t="s">
        <v>3340</v>
      </c>
      <c r="I1000" s="1" t="s">
        <v>83</v>
      </c>
      <c r="J1000" s="1" t="s">
        <v>62</v>
      </c>
      <c r="K1000" s="1" t="s">
        <v>3071</v>
      </c>
      <c r="L1000" s="1" t="s">
        <v>94</v>
      </c>
      <c r="M1000" s="1">
        <v>237.5</v>
      </c>
      <c r="N1000" s="1" t="s">
        <v>38</v>
      </c>
      <c r="O1000" s="1">
        <v>300</v>
      </c>
      <c r="P1000" s="1">
        <v>71250</v>
      </c>
      <c r="Q1000" s="1">
        <v>16</v>
      </c>
      <c r="R1000" s="7">
        <v>5.33E-2</v>
      </c>
      <c r="S1000" s="1">
        <v>22</v>
      </c>
      <c r="T1000" s="1">
        <v>20</v>
      </c>
      <c r="U1000" s="1">
        <v>2</v>
      </c>
      <c r="V1000" s="1" t="s">
        <v>3323</v>
      </c>
      <c r="W1000" s="1" t="s">
        <v>366</v>
      </c>
      <c r="X1000" s="1"/>
      <c r="Y1000" s="1"/>
      <c r="Z1000" s="1" t="s">
        <v>54</v>
      </c>
      <c r="AA1000" s="1" t="s">
        <v>88</v>
      </c>
      <c r="AB1000" s="1" t="s">
        <v>95</v>
      </c>
      <c r="AC1000" s="1" t="s">
        <v>283</v>
      </c>
      <c r="AD1000" s="1">
        <v>3.4</v>
      </c>
      <c r="AE1000" s="1" t="s">
        <v>115</v>
      </c>
      <c r="AF1000" s="1" t="s">
        <v>185</v>
      </c>
    </row>
    <row r="1001" spans="1:32" ht="18" customHeight="1">
      <c r="A1001" s="1" t="s">
        <v>3072</v>
      </c>
      <c r="B1001" s="1" t="s">
        <v>3073</v>
      </c>
      <c r="C1001" s="4">
        <v>46171</v>
      </c>
      <c r="D1001" s="4"/>
      <c r="E1001" s="4" t="s">
        <v>3563</v>
      </c>
      <c r="F1001" s="1" t="s">
        <v>48</v>
      </c>
      <c r="G1001" s="1" t="s">
        <v>232</v>
      </c>
      <c r="H1001" s="1" t="s">
        <v>3361</v>
      </c>
      <c r="I1001" s="1" t="s">
        <v>241</v>
      </c>
      <c r="J1001" s="1" t="s">
        <v>50</v>
      </c>
      <c r="K1001" s="1" t="s">
        <v>1476</v>
      </c>
      <c r="L1001" s="1" t="s">
        <v>145</v>
      </c>
      <c r="M1001" s="1">
        <v>2315.4</v>
      </c>
      <c r="N1001" s="1" t="s">
        <v>291</v>
      </c>
      <c r="O1001" s="1">
        <v>300</v>
      </c>
      <c r="P1001" s="1">
        <v>694620</v>
      </c>
      <c r="Q1001" s="1">
        <v>0</v>
      </c>
      <c r="R1001" s="7">
        <v>0</v>
      </c>
      <c r="S1001" s="1">
        <v>20</v>
      </c>
      <c r="T1001" s="1">
        <v>18</v>
      </c>
      <c r="U1001" s="1">
        <v>2</v>
      </c>
      <c r="V1001" s="1" t="s">
        <v>135</v>
      </c>
      <c r="W1001" s="1" t="s">
        <v>40</v>
      </c>
      <c r="X1001" s="1" t="s">
        <v>105</v>
      </c>
      <c r="Y1001" s="1" t="s">
        <v>66</v>
      </c>
      <c r="Z1001" s="1" t="s">
        <v>128</v>
      </c>
      <c r="AA1001" s="1" t="s">
        <v>3341</v>
      </c>
      <c r="AB1001" s="1" t="s">
        <v>147</v>
      </c>
      <c r="AC1001" s="1"/>
      <c r="AD1001" s="1">
        <v>2.5</v>
      </c>
      <c r="AE1001" s="1" t="s">
        <v>108</v>
      </c>
      <c r="AF1001" s="1" t="s">
        <v>46</v>
      </c>
    </row>
    <row r="1002" spans="1:32" ht="15" customHeight="1">
      <c r="A1002">
        <f>COUNTBLANK(A2:A1001)</f>
        <v>0</v>
      </c>
      <c r="B1002">
        <f t="shared" ref="B1002:AF1002" si="0">COUNTBLANK(B2:B1001)</f>
        <v>0</v>
      </c>
      <c r="C1002">
        <f t="shared" si="0"/>
        <v>16</v>
      </c>
      <c r="D1002" s="84">
        <f t="shared" si="0"/>
        <v>76</v>
      </c>
      <c r="E1002" s="84">
        <f t="shared" si="0"/>
        <v>34</v>
      </c>
      <c r="F1002">
        <f t="shared" si="0"/>
        <v>17</v>
      </c>
      <c r="G1002">
        <f t="shared" si="0"/>
        <v>10</v>
      </c>
      <c r="H1002">
        <f t="shared" si="0"/>
        <v>16</v>
      </c>
      <c r="I1002">
        <f t="shared" si="0"/>
        <v>0</v>
      </c>
      <c r="J1002">
        <f t="shared" si="0"/>
        <v>0</v>
      </c>
      <c r="K1002">
        <f t="shared" si="0"/>
        <v>0</v>
      </c>
      <c r="L1002">
        <f t="shared" si="0"/>
        <v>0</v>
      </c>
      <c r="M1002">
        <f t="shared" si="0"/>
        <v>28</v>
      </c>
      <c r="N1002">
        <f t="shared" si="0"/>
        <v>17</v>
      </c>
      <c r="O1002">
        <f t="shared" si="0"/>
        <v>22</v>
      </c>
      <c r="P1002">
        <f t="shared" si="0"/>
        <v>26</v>
      </c>
      <c r="Q1002">
        <f t="shared" si="0"/>
        <v>13</v>
      </c>
      <c r="R1002">
        <f t="shared" si="0"/>
        <v>0</v>
      </c>
      <c r="S1002">
        <f t="shared" si="0"/>
        <v>32</v>
      </c>
      <c r="T1002">
        <f t="shared" si="0"/>
        <v>28</v>
      </c>
      <c r="U1002">
        <f t="shared" si="0"/>
        <v>27</v>
      </c>
      <c r="V1002">
        <f t="shared" si="0"/>
        <v>0</v>
      </c>
      <c r="W1002">
        <f t="shared" si="0"/>
        <v>21</v>
      </c>
      <c r="X1002">
        <f t="shared" si="0"/>
        <v>115</v>
      </c>
      <c r="Y1002">
        <f t="shared" si="0"/>
        <v>148</v>
      </c>
      <c r="Z1002">
        <f t="shared" si="0"/>
        <v>126</v>
      </c>
      <c r="AA1002">
        <f t="shared" si="0"/>
        <v>130</v>
      </c>
      <c r="AB1002">
        <f t="shared" si="0"/>
        <v>154</v>
      </c>
      <c r="AC1002">
        <f t="shared" si="0"/>
        <v>793</v>
      </c>
      <c r="AD1002">
        <f t="shared" si="0"/>
        <v>16</v>
      </c>
      <c r="AE1002">
        <f t="shared" si="0"/>
        <v>0</v>
      </c>
      <c r="AF1002">
        <f t="shared" si="0"/>
        <v>189</v>
      </c>
    </row>
  </sheetData>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C24F4-0BD4-4CE2-98C8-445105F4E1B7}">
  <dimension ref="A1:R52"/>
  <sheetViews>
    <sheetView topLeftCell="E1" workbookViewId="0">
      <selection activeCell="I39" sqref="I39"/>
    </sheetView>
  </sheetViews>
  <sheetFormatPr defaultRowHeight="14"/>
  <cols>
    <col min="1" max="1" width="13.6640625" bestFit="1" customWidth="1"/>
    <col min="2" max="2" width="11.4140625" bestFit="1" customWidth="1"/>
    <col min="3" max="3" width="16.4140625" customWidth="1"/>
    <col min="4" max="4" width="11.4140625" customWidth="1"/>
    <col min="5" max="5" width="21.75" customWidth="1"/>
    <col min="6" max="6" width="10.1640625" style="84" bestFit="1" customWidth="1"/>
    <col min="7" max="7" width="20.25" style="84" bestFit="1" customWidth="1"/>
    <col min="8" max="8" width="18.1640625" style="84" bestFit="1" customWidth="1"/>
    <col min="9" max="9" width="12.33203125" customWidth="1"/>
    <col min="10" max="10" width="18.83203125" customWidth="1"/>
    <col min="11" max="11" width="10.08203125" hidden="1" customWidth="1"/>
    <col min="12" max="12" width="21.1640625" hidden="1" customWidth="1"/>
    <col min="13" max="13" width="15.08203125" bestFit="1" customWidth="1"/>
    <col min="14" max="14" width="20.33203125" bestFit="1" customWidth="1"/>
    <col min="15" max="15" width="24" bestFit="1" customWidth="1"/>
    <col min="16" max="16" width="28" bestFit="1" customWidth="1"/>
    <col min="17" max="17" width="23.33203125" bestFit="1" customWidth="1"/>
  </cols>
  <sheetData>
    <row r="1" spans="1:18">
      <c r="C1" t="s">
        <v>3169</v>
      </c>
      <c r="G1" s="85"/>
      <c r="H1" s="85" t="s">
        <v>3163</v>
      </c>
    </row>
    <row r="2" spans="1:18">
      <c r="A2" t="s">
        <v>0</v>
      </c>
      <c r="B2" t="s">
        <v>1</v>
      </c>
      <c r="C2" t="s">
        <v>3167</v>
      </c>
      <c r="F2" s="84" t="s">
        <v>3079</v>
      </c>
      <c r="G2" s="85" t="s">
        <v>3081</v>
      </c>
      <c r="H2" s="85" t="s">
        <v>2</v>
      </c>
      <c r="I2" t="s">
        <v>3164</v>
      </c>
      <c r="J2" t="s">
        <v>3165</v>
      </c>
      <c r="K2" t="s">
        <v>3</v>
      </c>
      <c r="L2" t="s">
        <v>4</v>
      </c>
      <c r="M2" t="s">
        <v>16</v>
      </c>
      <c r="N2" t="s">
        <v>3156</v>
      </c>
      <c r="O2" t="s">
        <v>17</v>
      </c>
      <c r="P2" t="s">
        <v>3157</v>
      </c>
      <c r="Q2" t="s">
        <v>18</v>
      </c>
      <c r="R2" t="s">
        <v>3172</v>
      </c>
    </row>
    <row r="3" spans="1:18">
      <c r="A3" t="s">
        <v>197</v>
      </c>
      <c r="B3" t="s">
        <v>198</v>
      </c>
      <c r="C3" s="84">
        <f>$G3-$O3</f>
        <v>46095</v>
      </c>
      <c r="D3" s="84">
        <f>$H3-$O3-$Q3</f>
        <v>46095</v>
      </c>
      <c r="E3" s="84">
        <f>IF($C3="#*",$D3,$C3)</f>
        <v>46095</v>
      </c>
      <c r="F3" s="84">
        <v>46095</v>
      </c>
      <c r="G3" s="85">
        <v>46107</v>
      </c>
      <c r="H3" s="85">
        <v>46099</v>
      </c>
      <c r="I3" s="84"/>
      <c r="J3" s="84"/>
      <c r="K3" t="s">
        <v>69</v>
      </c>
      <c r="L3" t="s">
        <v>111</v>
      </c>
      <c r="M3">
        <v>4</v>
      </c>
      <c r="N3" t="s">
        <v>3080</v>
      </c>
      <c r="O3">
        <v>12</v>
      </c>
      <c r="P3" t="s">
        <v>3080</v>
      </c>
      <c r="Q3">
        <v>-8</v>
      </c>
      <c r="R3">
        <f>M3-O3</f>
        <v>-8</v>
      </c>
    </row>
    <row r="4" spans="1:18">
      <c r="A4" t="s">
        <v>201</v>
      </c>
      <c r="B4" t="s">
        <v>202</v>
      </c>
      <c r="C4" s="84">
        <f t="shared" ref="C4:C42" si="0">$G4-$O4</f>
        <v>46111</v>
      </c>
      <c r="D4" s="84">
        <f t="shared" ref="D4:D42" si="1">$H4-$O4-$Q4</f>
        <v>-26</v>
      </c>
      <c r="E4" s="84">
        <f t="shared" ref="E4:E42" si="2">IF($C4="#*",$D4,$C4)</f>
        <v>46111</v>
      </c>
      <c r="F4" s="84">
        <v>46111</v>
      </c>
      <c r="G4" s="85">
        <v>46125</v>
      </c>
      <c r="H4" s="85"/>
      <c r="I4" s="84"/>
      <c r="J4" s="84"/>
      <c r="K4" t="s">
        <v>100</v>
      </c>
      <c r="L4" t="s">
        <v>101</v>
      </c>
      <c r="M4">
        <v>26</v>
      </c>
      <c r="N4" t="s">
        <v>3080</v>
      </c>
      <c r="O4">
        <v>14</v>
      </c>
      <c r="P4" t="s">
        <v>3080</v>
      </c>
      <c r="Q4">
        <v>12</v>
      </c>
      <c r="R4">
        <f t="shared" ref="R4:R42" si="3">M4-O4</f>
        <v>12</v>
      </c>
    </row>
    <row r="5" spans="1:18">
      <c r="A5" t="s">
        <v>374</v>
      </c>
      <c r="B5" t="s">
        <v>375</v>
      </c>
      <c r="C5" s="84">
        <f t="shared" si="0"/>
        <v>46162</v>
      </c>
      <c r="D5" s="84">
        <f t="shared" si="1"/>
        <v>46162</v>
      </c>
      <c r="E5" s="84">
        <f t="shared" si="2"/>
        <v>46162</v>
      </c>
      <c r="F5" s="84">
        <v>46162</v>
      </c>
      <c r="G5" s="85">
        <v>46167</v>
      </c>
      <c r="H5" s="85">
        <v>46173</v>
      </c>
      <c r="I5" s="84"/>
      <c r="J5" s="84"/>
      <c r="K5" t="s">
        <v>69</v>
      </c>
      <c r="L5" t="s">
        <v>111</v>
      </c>
      <c r="M5">
        <v>11</v>
      </c>
      <c r="N5" t="s">
        <v>3080</v>
      </c>
      <c r="O5">
        <v>5</v>
      </c>
      <c r="P5" t="s">
        <v>3080</v>
      </c>
      <c r="Q5">
        <v>6</v>
      </c>
      <c r="R5">
        <f t="shared" si="3"/>
        <v>6</v>
      </c>
    </row>
    <row r="6" spans="1:18">
      <c r="A6" t="s">
        <v>529</v>
      </c>
      <c r="B6" t="s">
        <v>530</v>
      </c>
      <c r="C6" s="84">
        <f t="shared" si="0"/>
        <v>46200</v>
      </c>
      <c r="D6" s="84">
        <f t="shared" si="1"/>
        <v>46200</v>
      </c>
      <c r="E6" s="84">
        <f t="shared" si="2"/>
        <v>46200</v>
      </c>
      <c r="F6" s="84">
        <v>46200</v>
      </c>
      <c r="G6" s="85">
        <v>46211</v>
      </c>
      <c r="H6" s="85">
        <v>46211</v>
      </c>
      <c r="I6" s="84"/>
      <c r="J6" s="84"/>
      <c r="K6" t="s">
        <v>215</v>
      </c>
      <c r="L6" t="s">
        <v>216</v>
      </c>
      <c r="M6">
        <v>11</v>
      </c>
      <c r="N6" t="s">
        <v>3080</v>
      </c>
      <c r="O6">
        <v>11</v>
      </c>
      <c r="P6" t="s">
        <v>3080</v>
      </c>
      <c r="Q6">
        <v>0</v>
      </c>
      <c r="R6">
        <f t="shared" si="3"/>
        <v>0</v>
      </c>
    </row>
    <row r="7" spans="1:18">
      <c r="A7" t="s">
        <v>632</v>
      </c>
      <c r="B7" t="s">
        <v>633</v>
      </c>
      <c r="C7" s="84">
        <f t="shared" si="0"/>
        <v>46053</v>
      </c>
      <c r="D7" s="84">
        <f t="shared" si="1"/>
        <v>46053</v>
      </c>
      <c r="E7" s="84">
        <f t="shared" si="2"/>
        <v>46053</v>
      </c>
      <c r="F7" s="84">
        <v>46053</v>
      </c>
      <c r="G7" s="85">
        <v>46057</v>
      </c>
      <c r="H7" s="85">
        <v>46054</v>
      </c>
      <c r="I7" s="84"/>
      <c r="J7" s="84"/>
      <c r="K7" t="s">
        <v>151</v>
      </c>
      <c r="L7" t="s">
        <v>244</v>
      </c>
      <c r="M7">
        <v>-5</v>
      </c>
      <c r="N7" t="s">
        <v>3080</v>
      </c>
      <c r="O7">
        <v>4</v>
      </c>
      <c r="P7" t="s">
        <v>3080</v>
      </c>
      <c r="Q7">
        <v>-3</v>
      </c>
      <c r="R7">
        <f t="shared" si="3"/>
        <v>-9</v>
      </c>
    </row>
    <row r="8" spans="1:18">
      <c r="A8" t="s">
        <v>759</v>
      </c>
      <c r="B8" t="s">
        <v>760</v>
      </c>
      <c r="C8" s="84">
        <f t="shared" si="0"/>
        <v>46041</v>
      </c>
      <c r="D8" s="84">
        <f t="shared" si="1"/>
        <v>46041</v>
      </c>
      <c r="E8" s="84">
        <f t="shared" si="2"/>
        <v>46041</v>
      </c>
      <c r="F8" s="84">
        <v>46041</v>
      </c>
      <c r="G8" s="85">
        <v>46050</v>
      </c>
      <c r="H8" s="85">
        <v>46051</v>
      </c>
      <c r="I8" s="84"/>
      <c r="J8" s="84"/>
      <c r="K8" t="s">
        <v>69</v>
      </c>
      <c r="L8" t="s">
        <v>111</v>
      </c>
      <c r="M8">
        <v>10</v>
      </c>
      <c r="N8" t="s">
        <v>3080</v>
      </c>
      <c r="O8">
        <v>9</v>
      </c>
      <c r="P8" t="s">
        <v>3080</v>
      </c>
      <c r="Q8">
        <v>1</v>
      </c>
      <c r="R8">
        <f t="shared" si="3"/>
        <v>1</v>
      </c>
    </row>
    <row r="9" spans="1:18">
      <c r="A9" t="s">
        <v>836</v>
      </c>
      <c r="B9" t="s">
        <v>837</v>
      </c>
      <c r="C9" s="84">
        <f t="shared" si="0"/>
        <v>-19</v>
      </c>
      <c r="D9" s="84">
        <f t="shared" si="1"/>
        <v>46069</v>
      </c>
      <c r="E9" s="84">
        <f>IF($C9="#*",$C9,$D9)</f>
        <v>46069</v>
      </c>
      <c r="F9" s="84">
        <v>46069</v>
      </c>
      <c r="G9" s="85"/>
      <c r="H9" s="85">
        <v>46086</v>
      </c>
      <c r="I9" s="84"/>
      <c r="J9" s="84"/>
      <c r="K9" t="s">
        <v>256</v>
      </c>
      <c r="L9" t="s">
        <v>257</v>
      </c>
      <c r="M9">
        <v>17</v>
      </c>
      <c r="N9" t="s">
        <v>3080</v>
      </c>
      <c r="O9">
        <v>19</v>
      </c>
      <c r="P9" t="s">
        <v>3080</v>
      </c>
      <c r="Q9">
        <v>-2</v>
      </c>
      <c r="R9">
        <f t="shared" si="3"/>
        <v>-2</v>
      </c>
    </row>
    <row r="10" spans="1:18">
      <c r="A10" t="s">
        <v>933</v>
      </c>
      <c r="B10" t="s">
        <v>934</v>
      </c>
      <c r="C10" s="84">
        <f t="shared" si="0"/>
        <v>46186</v>
      </c>
      <c r="D10" s="84">
        <f t="shared" si="1"/>
        <v>46186</v>
      </c>
      <c r="E10" s="84">
        <f t="shared" si="2"/>
        <v>46186</v>
      </c>
      <c r="F10" s="84">
        <v>46186</v>
      </c>
      <c r="G10" s="85">
        <v>46197</v>
      </c>
      <c r="H10" s="85">
        <v>46195</v>
      </c>
      <c r="I10" s="84"/>
      <c r="J10" s="84"/>
      <c r="K10" t="s">
        <v>162</v>
      </c>
      <c r="L10" t="s">
        <v>3082</v>
      </c>
      <c r="M10">
        <v>9</v>
      </c>
      <c r="N10" t="s">
        <v>3080</v>
      </c>
      <c r="O10">
        <v>11</v>
      </c>
      <c r="P10" t="s">
        <v>3080</v>
      </c>
      <c r="Q10">
        <v>-2</v>
      </c>
      <c r="R10">
        <f t="shared" si="3"/>
        <v>-2</v>
      </c>
    </row>
    <row r="11" spans="1:18">
      <c r="A11" t="s">
        <v>939</v>
      </c>
      <c r="B11" t="s">
        <v>940</v>
      </c>
      <c r="C11" s="84">
        <f t="shared" si="0"/>
        <v>46027</v>
      </c>
      <c r="D11" s="84">
        <f t="shared" si="1"/>
        <v>46027</v>
      </c>
      <c r="E11" s="84">
        <f t="shared" si="2"/>
        <v>46027</v>
      </c>
      <c r="F11" s="84">
        <v>46027</v>
      </c>
      <c r="G11" s="85">
        <v>46042</v>
      </c>
      <c r="H11" s="85">
        <v>46048</v>
      </c>
      <c r="I11" s="84"/>
      <c r="J11" s="84"/>
      <c r="K11" t="s">
        <v>48</v>
      </c>
      <c r="L11" t="s">
        <v>232</v>
      </c>
      <c r="M11">
        <v>-5</v>
      </c>
      <c r="N11" t="s">
        <v>3080</v>
      </c>
      <c r="O11">
        <v>15</v>
      </c>
      <c r="P11" t="s">
        <v>3080</v>
      </c>
      <c r="Q11">
        <v>6</v>
      </c>
      <c r="R11">
        <f t="shared" si="3"/>
        <v>-20</v>
      </c>
    </row>
    <row r="12" spans="1:18">
      <c r="A12" t="s">
        <v>968</v>
      </c>
      <c r="B12" t="s">
        <v>969</v>
      </c>
      <c r="C12" s="84">
        <f t="shared" si="0"/>
        <v>46049</v>
      </c>
      <c r="D12" s="84">
        <f t="shared" si="1"/>
        <v>-17</v>
      </c>
      <c r="E12" s="84">
        <f t="shared" si="2"/>
        <v>46049</v>
      </c>
      <c r="F12" s="84">
        <v>46049</v>
      </c>
      <c r="G12" s="85">
        <v>46062</v>
      </c>
      <c r="H12" s="85"/>
      <c r="I12" s="84"/>
      <c r="J12" s="84"/>
      <c r="K12" t="s">
        <v>235</v>
      </c>
      <c r="L12" t="s">
        <v>236</v>
      </c>
      <c r="M12">
        <v>17</v>
      </c>
      <c r="N12" t="s">
        <v>3080</v>
      </c>
      <c r="O12">
        <v>13</v>
      </c>
      <c r="P12" t="s">
        <v>3080</v>
      </c>
      <c r="Q12">
        <v>4</v>
      </c>
      <c r="R12">
        <f t="shared" si="3"/>
        <v>4</v>
      </c>
    </row>
    <row r="13" spans="1:18">
      <c r="A13" t="s">
        <v>1026</v>
      </c>
      <c r="B13" t="s">
        <v>1027</v>
      </c>
      <c r="C13" s="84">
        <f t="shared" si="0"/>
        <v>46200</v>
      </c>
      <c r="D13" s="84">
        <f t="shared" si="1"/>
        <v>-10</v>
      </c>
      <c r="E13" s="84">
        <f t="shared" si="2"/>
        <v>46200</v>
      </c>
      <c r="F13" s="84">
        <v>46200</v>
      </c>
      <c r="G13" s="85">
        <v>46208</v>
      </c>
      <c r="H13" s="85"/>
      <c r="I13" s="84"/>
      <c r="J13" s="84"/>
      <c r="K13" t="s">
        <v>215</v>
      </c>
      <c r="L13" t="s">
        <v>216</v>
      </c>
      <c r="M13">
        <v>10</v>
      </c>
      <c r="N13" t="s">
        <v>3080</v>
      </c>
      <c r="O13">
        <v>8</v>
      </c>
      <c r="P13" t="s">
        <v>3080</v>
      </c>
      <c r="Q13">
        <v>2</v>
      </c>
      <c r="R13">
        <f t="shared" si="3"/>
        <v>2</v>
      </c>
    </row>
    <row r="14" spans="1:18">
      <c r="A14" t="s">
        <v>1080</v>
      </c>
      <c r="B14" t="s">
        <v>1081</v>
      </c>
      <c r="C14" s="84">
        <f t="shared" si="0"/>
        <v>46045</v>
      </c>
      <c r="D14" s="84">
        <f t="shared" si="1"/>
        <v>46045</v>
      </c>
      <c r="E14" s="84">
        <f t="shared" si="2"/>
        <v>46045</v>
      </c>
      <c r="F14" s="84">
        <v>46045</v>
      </c>
      <c r="G14" s="85">
        <v>46057</v>
      </c>
      <c r="H14" s="85">
        <v>46056</v>
      </c>
      <c r="I14" s="84"/>
      <c r="J14" s="84"/>
      <c r="K14" t="s">
        <v>80</v>
      </c>
      <c r="L14" t="s">
        <v>81</v>
      </c>
      <c r="M14">
        <v>11</v>
      </c>
      <c r="N14" t="s">
        <v>3080</v>
      </c>
      <c r="O14">
        <v>12</v>
      </c>
      <c r="P14" t="s">
        <v>3080</v>
      </c>
      <c r="Q14">
        <v>-1</v>
      </c>
      <c r="R14">
        <f t="shared" si="3"/>
        <v>-1</v>
      </c>
    </row>
    <row r="15" spans="1:18">
      <c r="A15" t="s">
        <v>1125</v>
      </c>
      <c r="B15" t="s">
        <v>1126</v>
      </c>
      <c r="C15" s="84">
        <f t="shared" si="0"/>
        <v>46132</v>
      </c>
      <c r="D15" s="84">
        <f t="shared" si="1"/>
        <v>46132</v>
      </c>
      <c r="E15" s="84">
        <f t="shared" si="2"/>
        <v>46132</v>
      </c>
      <c r="F15" s="84">
        <v>46132</v>
      </c>
      <c r="G15" s="85">
        <v>46148</v>
      </c>
      <c r="H15" s="85">
        <v>46142</v>
      </c>
      <c r="I15" s="84"/>
      <c r="J15" s="84"/>
      <c r="K15" t="s">
        <v>48</v>
      </c>
      <c r="L15" t="s">
        <v>232</v>
      </c>
      <c r="M15">
        <v>10</v>
      </c>
      <c r="N15" t="s">
        <v>3080</v>
      </c>
      <c r="O15">
        <v>16</v>
      </c>
      <c r="P15" t="s">
        <v>3080</v>
      </c>
      <c r="Q15">
        <v>-6</v>
      </c>
      <c r="R15">
        <f t="shared" si="3"/>
        <v>-6</v>
      </c>
    </row>
    <row r="16" spans="1:18">
      <c r="A16" t="s">
        <v>1188</v>
      </c>
      <c r="B16" t="s">
        <v>1219</v>
      </c>
      <c r="C16" s="84">
        <f t="shared" si="0"/>
        <v>-13</v>
      </c>
      <c r="D16" s="84">
        <f t="shared" si="1"/>
        <v>46093</v>
      </c>
      <c r="E16" s="84">
        <v>46093</v>
      </c>
      <c r="F16" s="84">
        <v>46093</v>
      </c>
      <c r="G16" s="85"/>
      <c r="H16" s="85">
        <v>46113</v>
      </c>
      <c r="I16" s="84"/>
      <c r="J16" s="84"/>
      <c r="K16" t="s">
        <v>48</v>
      </c>
      <c r="L16" t="s">
        <v>232</v>
      </c>
      <c r="M16">
        <v>20</v>
      </c>
      <c r="N16" t="s">
        <v>3080</v>
      </c>
      <c r="O16">
        <v>13</v>
      </c>
      <c r="P16" t="s">
        <v>3080</v>
      </c>
      <c r="Q16">
        <v>7</v>
      </c>
      <c r="R16">
        <f t="shared" si="3"/>
        <v>7</v>
      </c>
    </row>
    <row r="17" spans="1:18">
      <c r="A17" t="s">
        <v>1252</v>
      </c>
      <c r="B17" t="s">
        <v>1253</v>
      </c>
      <c r="C17" s="84" t="e">
        <f t="shared" si="0"/>
        <v>#VALUE!</v>
      </c>
      <c r="D17" s="84" t="e">
        <f t="shared" si="1"/>
        <v>#VALUE!</v>
      </c>
      <c r="E17" s="84"/>
      <c r="F17" s="84" t="s">
        <v>3107</v>
      </c>
      <c r="G17" s="85">
        <v>46080</v>
      </c>
      <c r="H17" s="85">
        <v>46091</v>
      </c>
      <c r="I17" s="84"/>
      <c r="J17" s="84"/>
      <c r="K17" t="s">
        <v>142</v>
      </c>
      <c r="L17" t="s">
        <v>143</v>
      </c>
      <c r="M17">
        <v>27</v>
      </c>
      <c r="N17" t="s">
        <v>3080</v>
      </c>
      <c r="O17" t="s">
        <v>3080</v>
      </c>
      <c r="P17" t="s">
        <v>3080</v>
      </c>
      <c r="Q17">
        <v>11</v>
      </c>
      <c r="R17" t="e">
        <f t="shared" si="3"/>
        <v>#VALUE!</v>
      </c>
    </row>
    <row r="18" spans="1:18">
      <c r="A18" t="s">
        <v>1345</v>
      </c>
      <c r="B18" t="s">
        <v>1346</v>
      </c>
      <c r="C18" s="84">
        <f t="shared" si="0"/>
        <v>46195</v>
      </c>
      <c r="D18" s="84">
        <f t="shared" si="1"/>
        <v>46195</v>
      </c>
      <c r="E18" s="84">
        <f t="shared" si="2"/>
        <v>46195</v>
      </c>
      <c r="F18" s="84">
        <v>46195</v>
      </c>
      <c r="G18" s="85">
        <v>46212</v>
      </c>
      <c r="H18" s="85">
        <v>46210</v>
      </c>
      <c r="I18" s="84"/>
      <c r="J18" s="84"/>
      <c r="K18" t="s">
        <v>90</v>
      </c>
      <c r="L18" t="s">
        <v>91</v>
      </c>
      <c r="M18">
        <v>15</v>
      </c>
      <c r="N18" t="s">
        <v>3080</v>
      </c>
      <c r="O18">
        <v>17</v>
      </c>
      <c r="P18" t="s">
        <v>3080</v>
      </c>
      <c r="Q18">
        <v>-2</v>
      </c>
      <c r="R18">
        <f t="shared" si="3"/>
        <v>-2</v>
      </c>
    </row>
    <row r="19" spans="1:18">
      <c r="A19" t="s">
        <v>1404</v>
      </c>
      <c r="B19" t="s">
        <v>1405</v>
      </c>
      <c r="C19" s="84">
        <f t="shared" si="0"/>
        <v>46060</v>
      </c>
      <c r="D19" s="84">
        <f t="shared" si="1"/>
        <v>46060</v>
      </c>
      <c r="E19" s="84">
        <f t="shared" si="2"/>
        <v>46060</v>
      </c>
      <c r="F19" s="84">
        <v>46060</v>
      </c>
      <c r="G19" s="85">
        <v>46073</v>
      </c>
      <c r="H19" s="85">
        <v>46082</v>
      </c>
      <c r="I19" s="84"/>
      <c r="J19" s="84"/>
      <c r="K19" t="s">
        <v>256</v>
      </c>
      <c r="L19" t="s">
        <v>257</v>
      </c>
      <c r="M19">
        <v>22</v>
      </c>
      <c r="N19" t="s">
        <v>3080</v>
      </c>
      <c r="O19">
        <v>13</v>
      </c>
      <c r="P19" t="s">
        <v>3080</v>
      </c>
      <c r="Q19">
        <v>9</v>
      </c>
      <c r="R19">
        <f t="shared" si="3"/>
        <v>9</v>
      </c>
    </row>
    <row r="20" spans="1:18">
      <c r="A20" t="s">
        <v>1433</v>
      </c>
      <c r="B20" t="s">
        <v>1434</v>
      </c>
      <c r="C20" s="84">
        <f t="shared" si="0"/>
        <v>46055</v>
      </c>
      <c r="D20" s="84">
        <f t="shared" si="1"/>
        <v>46055</v>
      </c>
      <c r="E20" s="84">
        <f t="shared" si="2"/>
        <v>46055</v>
      </c>
      <c r="F20" s="84">
        <v>46055</v>
      </c>
      <c r="G20" s="85">
        <v>46074</v>
      </c>
      <c r="H20" s="85">
        <v>46065</v>
      </c>
      <c r="I20" s="84"/>
      <c r="J20" s="84"/>
      <c r="K20" t="s">
        <v>48</v>
      </c>
      <c r="L20" t="s">
        <v>232</v>
      </c>
      <c r="M20">
        <v>10</v>
      </c>
      <c r="N20" t="s">
        <v>3080</v>
      </c>
      <c r="O20">
        <v>19</v>
      </c>
      <c r="P20" t="s">
        <v>3080</v>
      </c>
      <c r="Q20">
        <v>-9</v>
      </c>
      <c r="R20">
        <f t="shared" si="3"/>
        <v>-9</v>
      </c>
    </row>
    <row r="21" spans="1:18">
      <c r="A21" t="s">
        <v>1564</v>
      </c>
      <c r="B21" t="s">
        <v>1565</v>
      </c>
      <c r="C21" s="84">
        <f t="shared" si="0"/>
        <v>-14</v>
      </c>
      <c r="D21" s="84">
        <f t="shared" si="1"/>
        <v>46132</v>
      </c>
      <c r="E21" s="84">
        <v>46132</v>
      </c>
      <c r="F21" s="84">
        <v>46132</v>
      </c>
      <c r="G21" s="85"/>
      <c r="H21" s="85">
        <v>46145</v>
      </c>
      <c r="I21" s="84"/>
      <c r="J21" s="84"/>
      <c r="K21" t="s">
        <v>60</v>
      </c>
      <c r="L21" t="s">
        <v>466</v>
      </c>
      <c r="M21">
        <v>13</v>
      </c>
      <c r="N21" t="s">
        <v>3080</v>
      </c>
      <c r="O21">
        <v>14</v>
      </c>
      <c r="P21" t="s">
        <v>3080</v>
      </c>
      <c r="Q21">
        <v>-1</v>
      </c>
      <c r="R21">
        <f t="shared" si="3"/>
        <v>-1</v>
      </c>
    </row>
    <row r="22" spans="1:18">
      <c r="A22" t="s">
        <v>1585</v>
      </c>
      <c r="B22" t="s">
        <v>1586</v>
      </c>
      <c r="C22" s="84">
        <f t="shared" si="0"/>
        <v>46197</v>
      </c>
      <c r="D22" s="84">
        <f t="shared" si="1"/>
        <v>46197</v>
      </c>
      <c r="E22" s="84">
        <f t="shared" si="2"/>
        <v>46197</v>
      </c>
      <c r="F22" s="84">
        <v>46197</v>
      </c>
      <c r="G22" s="85">
        <v>46217</v>
      </c>
      <c r="H22" s="85">
        <v>46212</v>
      </c>
      <c r="I22" s="84"/>
      <c r="J22" s="84"/>
      <c r="K22" t="s">
        <v>142</v>
      </c>
      <c r="L22" t="s">
        <v>143</v>
      </c>
      <c r="M22">
        <v>15</v>
      </c>
      <c r="N22" t="s">
        <v>3080</v>
      </c>
      <c r="O22">
        <v>20</v>
      </c>
      <c r="P22" t="s">
        <v>3080</v>
      </c>
      <c r="Q22">
        <v>-5</v>
      </c>
      <c r="R22">
        <f t="shared" si="3"/>
        <v>-5</v>
      </c>
    </row>
    <row r="23" spans="1:18">
      <c r="A23" t="s">
        <v>1897</v>
      </c>
      <c r="B23" t="s">
        <v>1898</v>
      </c>
      <c r="C23" s="84">
        <f t="shared" si="0"/>
        <v>46194</v>
      </c>
      <c r="D23" s="84">
        <f t="shared" si="1"/>
        <v>46194</v>
      </c>
      <c r="E23" s="84">
        <f t="shared" si="2"/>
        <v>46194</v>
      </c>
      <c r="F23" s="84">
        <v>46194</v>
      </c>
      <c r="G23" s="85">
        <v>46205</v>
      </c>
      <c r="H23" s="85">
        <v>46201</v>
      </c>
      <c r="I23" s="84"/>
      <c r="J23" s="84"/>
      <c r="K23" t="s">
        <v>60</v>
      </c>
      <c r="L23" t="s">
        <v>466</v>
      </c>
      <c r="M23">
        <v>7</v>
      </c>
      <c r="N23" t="s">
        <v>3080</v>
      </c>
      <c r="O23">
        <v>11</v>
      </c>
      <c r="P23" t="s">
        <v>3080</v>
      </c>
      <c r="Q23">
        <v>-4</v>
      </c>
      <c r="R23">
        <f t="shared" si="3"/>
        <v>-4</v>
      </c>
    </row>
    <row r="24" spans="1:18">
      <c r="A24" t="s">
        <v>1903</v>
      </c>
      <c r="B24" t="s">
        <v>1904</v>
      </c>
      <c r="C24" s="84">
        <f t="shared" si="0"/>
        <v>46201</v>
      </c>
      <c r="D24" s="84">
        <f t="shared" si="1"/>
        <v>46201</v>
      </c>
      <c r="E24" s="84">
        <f t="shared" si="2"/>
        <v>46201</v>
      </c>
      <c r="F24" s="84">
        <v>46201</v>
      </c>
      <c r="G24" s="85">
        <v>46216</v>
      </c>
      <c r="H24" s="85">
        <v>46222</v>
      </c>
      <c r="I24" s="84"/>
      <c r="J24" s="84"/>
      <c r="K24" t="s">
        <v>100</v>
      </c>
      <c r="L24" t="s">
        <v>101</v>
      </c>
      <c r="M24">
        <v>21</v>
      </c>
      <c r="N24" t="s">
        <v>3080</v>
      </c>
      <c r="O24">
        <v>15</v>
      </c>
      <c r="P24" t="s">
        <v>3080</v>
      </c>
      <c r="Q24">
        <v>6</v>
      </c>
      <c r="R24">
        <f t="shared" si="3"/>
        <v>6</v>
      </c>
    </row>
    <row r="25" spans="1:18">
      <c r="A25" t="s">
        <v>1934</v>
      </c>
      <c r="B25" t="s">
        <v>1935</v>
      </c>
      <c r="C25" s="84">
        <f t="shared" si="0"/>
        <v>46139</v>
      </c>
      <c r="D25" s="84">
        <f t="shared" si="1"/>
        <v>46139</v>
      </c>
      <c r="E25" s="84">
        <f t="shared" si="2"/>
        <v>46139</v>
      </c>
      <c r="F25" s="84">
        <v>46139</v>
      </c>
      <c r="G25" s="85">
        <v>46145</v>
      </c>
      <c r="H25" s="85">
        <v>46139</v>
      </c>
      <c r="I25" s="84"/>
      <c r="J25" s="84"/>
      <c r="K25" t="s">
        <v>151</v>
      </c>
      <c r="L25" t="s">
        <v>244</v>
      </c>
      <c r="M25">
        <v>0</v>
      </c>
      <c r="N25" t="s">
        <v>3080</v>
      </c>
      <c r="O25">
        <v>6</v>
      </c>
      <c r="P25" t="s">
        <v>3080</v>
      </c>
      <c r="Q25">
        <v>-6</v>
      </c>
      <c r="R25">
        <f t="shared" si="3"/>
        <v>-6</v>
      </c>
    </row>
    <row r="26" spans="1:18">
      <c r="A26" t="s">
        <v>1943</v>
      </c>
      <c r="B26" t="s">
        <v>1944</v>
      </c>
      <c r="C26" s="84">
        <f t="shared" si="0"/>
        <v>46065</v>
      </c>
      <c r="D26" s="84">
        <f t="shared" si="1"/>
        <v>46065</v>
      </c>
      <c r="E26" s="84">
        <f t="shared" si="2"/>
        <v>46065</v>
      </c>
      <c r="F26" s="84">
        <v>46065</v>
      </c>
      <c r="G26" s="85">
        <v>46077</v>
      </c>
      <c r="H26" s="85">
        <v>46079</v>
      </c>
      <c r="I26" s="84"/>
      <c r="J26" s="84"/>
      <c r="K26" t="s">
        <v>69</v>
      </c>
      <c r="L26" t="s">
        <v>111</v>
      </c>
      <c r="M26">
        <v>14</v>
      </c>
      <c r="N26" t="s">
        <v>3080</v>
      </c>
      <c r="O26">
        <v>12</v>
      </c>
      <c r="P26" t="s">
        <v>3080</v>
      </c>
      <c r="Q26">
        <v>2</v>
      </c>
      <c r="R26">
        <f t="shared" si="3"/>
        <v>2</v>
      </c>
    </row>
    <row r="27" spans="1:18">
      <c r="A27" t="s">
        <v>2042</v>
      </c>
      <c r="B27" t="s">
        <v>2043</v>
      </c>
      <c r="C27" s="84">
        <f t="shared" si="0"/>
        <v>46077</v>
      </c>
      <c r="D27" s="84">
        <f t="shared" si="1"/>
        <v>-17</v>
      </c>
      <c r="E27" s="84">
        <f t="shared" si="2"/>
        <v>46077</v>
      </c>
      <c r="F27" s="84">
        <v>46077</v>
      </c>
      <c r="G27" s="85">
        <v>46093</v>
      </c>
      <c r="H27" s="85"/>
      <c r="I27" s="84"/>
      <c r="J27" s="84"/>
      <c r="K27" t="s">
        <v>100</v>
      </c>
      <c r="L27" t="s">
        <v>101</v>
      </c>
      <c r="M27">
        <v>17</v>
      </c>
      <c r="N27" t="s">
        <v>3080</v>
      </c>
      <c r="O27">
        <v>16</v>
      </c>
      <c r="P27" t="s">
        <v>3080</v>
      </c>
      <c r="Q27">
        <v>1</v>
      </c>
      <c r="R27">
        <f t="shared" si="3"/>
        <v>1</v>
      </c>
    </row>
    <row r="28" spans="1:18">
      <c r="A28" t="s">
        <v>2107</v>
      </c>
      <c r="B28" t="s">
        <v>2108</v>
      </c>
      <c r="C28" s="84">
        <f t="shared" si="0"/>
        <v>46082</v>
      </c>
      <c r="D28" s="84">
        <f t="shared" si="1"/>
        <v>46082</v>
      </c>
      <c r="E28" s="84">
        <f t="shared" si="2"/>
        <v>46082</v>
      </c>
      <c r="F28" s="84">
        <v>46082</v>
      </c>
      <c r="G28" s="85">
        <v>46089</v>
      </c>
      <c r="H28" s="85">
        <v>46093</v>
      </c>
      <c r="I28" s="84"/>
      <c r="J28" s="84"/>
      <c r="K28" t="s">
        <v>60</v>
      </c>
      <c r="L28" t="s">
        <v>466</v>
      </c>
      <c r="M28">
        <v>11</v>
      </c>
      <c r="N28" t="s">
        <v>3080</v>
      </c>
      <c r="O28">
        <v>7</v>
      </c>
      <c r="P28" t="s">
        <v>3080</v>
      </c>
      <c r="Q28">
        <v>4</v>
      </c>
      <c r="R28">
        <f t="shared" si="3"/>
        <v>4</v>
      </c>
    </row>
    <row r="29" spans="1:18">
      <c r="A29" t="s">
        <v>2211</v>
      </c>
      <c r="B29" t="s">
        <v>2212</v>
      </c>
      <c r="C29" s="84">
        <f t="shared" si="0"/>
        <v>-13</v>
      </c>
      <c r="D29" s="84">
        <f t="shared" si="1"/>
        <v>46138</v>
      </c>
      <c r="E29" s="84">
        <v>46138</v>
      </c>
      <c r="F29" s="84">
        <v>46138</v>
      </c>
      <c r="G29" s="85"/>
      <c r="H29" s="85">
        <v>46157</v>
      </c>
      <c r="I29" s="84"/>
      <c r="J29" s="84"/>
      <c r="K29" t="s">
        <v>100</v>
      </c>
      <c r="L29" t="s">
        <v>101</v>
      </c>
      <c r="M29">
        <v>19</v>
      </c>
      <c r="N29" t="s">
        <v>3080</v>
      </c>
      <c r="O29">
        <v>13</v>
      </c>
      <c r="P29" t="s">
        <v>3080</v>
      </c>
      <c r="Q29">
        <v>6</v>
      </c>
      <c r="R29">
        <f t="shared" si="3"/>
        <v>6</v>
      </c>
    </row>
    <row r="30" spans="1:18">
      <c r="A30" t="s">
        <v>2223</v>
      </c>
      <c r="B30" t="s">
        <v>2224</v>
      </c>
      <c r="C30" s="84">
        <f t="shared" si="0"/>
        <v>46110</v>
      </c>
      <c r="D30" s="84">
        <f t="shared" si="1"/>
        <v>46110</v>
      </c>
      <c r="E30" s="84">
        <f t="shared" si="2"/>
        <v>46110</v>
      </c>
      <c r="F30" s="84">
        <v>46110</v>
      </c>
      <c r="G30" s="85">
        <v>46132</v>
      </c>
      <c r="H30" s="85">
        <v>46131</v>
      </c>
      <c r="I30" s="84"/>
      <c r="J30" s="84"/>
      <c r="K30" t="s">
        <v>90</v>
      </c>
      <c r="L30" t="s">
        <v>91</v>
      </c>
      <c r="M30">
        <v>21</v>
      </c>
      <c r="N30" t="s">
        <v>3080</v>
      </c>
      <c r="O30">
        <v>22</v>
      </c>
      <c r="P30" t="s">
        <v>3080</v>
      </c>
      <c r="Q30">
        <v>-1</v>
      </c>
      <c r="R30">
        <f t="shared" si="3"/>
        <v>-1</v>
      </c>
    </row>
    <row r="31" spans="1:18">
      <c r="A31" t="s">
        <v>2012</v>
      </c>
      <c r="B31" t="s">
        <v>2289</v>
      </c>
      <c r="C31" s="84">
        <f t="shared" si="0"/>
        <v>46088</v>
      </c>
      <c r="D31" s="84">
        <f t="shared" si="1"/>
        <v>46088</v>
      </c>
      <c r="E31" s="84">
        <f t="shared" si="2"/>
        <v>46088</v>
      </c>
      <c r="F31" s="84">
        <v>46088</v>
      </c>
      <c r="G31" s="85">
        <v>46100</v>
      </c>
      <c r="H31" s="85">
        <v>46111</v>
      </c>
      <c r="I31" s="84"/>
      <c r="J31" s="84"/>
      <c r="K31" t="s">
        <v>256</v>
      </c>
      <c r="L31" t="s">
        <v>257</v>
      </c>
      <c r="M31">
        <v>23</v>
      </c>
      <c r="N31" t="s">
        <v>3080</v>
      </c>
      <c r="O31">
        <v>12</v>
      </c>
      <c r="P31" t="s">
        <v>3080</v>
      </c>
      <c r="Q31">
        <v>11</v>
      </c>
      <c r="R31">
        <f t="shared" si="3"/>
        <v>11</v>
      </c>
    </row>
    <row r="32" spans="1:18">
      <c r="A32" t="s">
        <v>2356</v>
      </c>
      <c r="B32" t="s">
        <v>2357</v>
      </c>
      <c r="C32" s="84">
        <f t="shared" si="0"/>
        <v>46066</v>
      </c>
      <c r="D32" s="84">
        <f t="shared" si="1"/>
        <v>46066</v>
      </c>
      <c r="E32" s="84">
        <f t="shared" si="2"/>
        <v>46066</v>
      </c>
      <c r="F32" s="84">
        <v>46066</v>
      </c>
      <c r="G32" s="85">
        <v>46077</v>
      </c>
      <c r="H32" s="85">
        <v>46077</v>
      </c>
      <c r="I32" s="84"/>
      <c r="J32" s="84"/>
      <c r="K32" t="s">
        <v>69</v>
      </c>
      <c r="L32" t="s">
        <v>111</v>
      </c>
      <c r="M32">
        <v>11</v>
      </c>
      <c r="N32" t="s">
        <v>3080</v>
      </c>
      <c r="O32">
        <v>11</v>
      </c>
      <c r="P32" t="s">
        <v>3080</v>
      </c>
      <c r="Q32">
        <v>0</v>
      </c>
      <c r="R32">
        <f t="shared" si="3"/>
        <v>0</v>
      </c>
    </row>
    <row r="33" spans="1:18">
      <c r="A33" t="s">
        <v>2391</v>
      </c>
      <c r="B33" t="s">
        <v>2392</v>
      </c>
      <c r="C33" s="84">
        <f t="shared" si="0"/>
        <v>46143</v>
      </c>
      <c r="D33" s="84">
        <f t="shared" si="1"/>
        <v>46143</v>
      </c>
      <c r="E33" s="84">
        <f t="shared" si="2"/>
        <v>46143</v>
      </c>
      <c r="F33" s="84">
        <v>46143</v>
      </c>
      <c r="G33" s="85">
        <v>46159</v>
      </c>
      <c r="H33" s="85">
        <v>46157</v>
      </c>
      <c r="I33" s="84"/>
      <c r="J33" s="84"/>
      <c r="K33" t="s">
        <v>48</v>
      </c>
      <c r="L33" t="s">
        <v>232</v>
      </c>
      <c r="M33">
        <v>14</v>
      </c>
      <c r="N33" t="s">
        <v>3080</v>
      </c>
      <c r="O33">
        <v>16</v>
      </c>
      <c r="P33" t="s">
        <v>3080</v>
      </c>
      <c r="Q33">
        <v>-2</v>
      </c>
      <c r="R33">
        <f t="shared" si="3"/>
        <v>-2</v>
      </c>
    </row>
    <row r="34" spans="1:18">
      <c r="A34" t="s">
        <v>2424</v>
      </c>
      <c r="B34" t="s">
        <v>2425</v>
      </c>
      <c r="C34" s="84">
        <f t="shared" si="0"/>
        <v>-13</v>
      </c>
      <c r="D34" s="84">
        <f t="shared" si="1"/>
        <v>46051</v>
      </c>
      <c r="E34" s="84">
        <v>46051</v>
      </c>
      <c r="F34" s="84" t="s">
        <v>3088</v>
      </c>
      <c r="G34" s="85"/>
      <c r="H34" s="85">
        <v>46071</v>
      </c>
      <c r="I34" s="84"/>
      <c r="J34" s="84"/>
      <c r="K34" t="s">
        <v>60</v>
      </c>
      <c r="L34" t="s">
        <v>466</v>
      </c>
      <c r="M34">
        <v>20</v>
      </c>
      <c r="N34" t="s">
        <v>3080</v>
      </c>
      <c r="O34">
        <v>13</v>
      </c>
      <c r="P34" t="s">
        <v>3080</v>
      </c>
      <c r="Q34">
        <v>7</v>
      </c>
      <c r="R34">
        <f t="shared" si="3"/>
        <v>7</v>
      </c>
    </row>
    <row r="35" spans="1:18">
      <c r="A35" t="s">
        <v>2478</v>
      </c>
      <c r="B35" t="s">
        <v>2479</v>
      </c>
      <c r="C35" s="84">
        <f t="shared" si="0"/>
        <v>46145</v>
      </c>
      <c r="D35" s="84">
        <f t="shared" si="1"/>
        <v>46145</v>
      </c>
      <c r="E35" s="84">
        <f t="shared" si="2"/>
        <v>46145</v>
      </c>
      <c r="F35" s="84">
        <v>46145</v>
      </c>
      <c r="G35" s="85">
        <v>46154</v>
      </c>
      <c r="H35" s="85">
        <v>46159</v>
      </c>
      <c r="I35" s="84"/>
      <c r="J35" s="84"/>
      <c r="K35" t="s">
        <v>162</v>
      </c>
      <c r="L35" t="s">
        <v>3082</v>
      </c>
      <c r="M35">
        <v>14</v>
      </c>
      <c r="N35" t="s">
        <v>3080</v>
      </c>
      <c r="O35">
        <v>9</v>
      </c>
      <c r="P35" t="s">
        <v>3080</v>
      </c>
      <c r="Q35">
        <v>5</v>
      </c>
      <c r="R35">
        <f t="shared" si="3"/>
        <v>5</v>
      </c>
    </row>
    <row r="36" spans="1:18">
      <c r="A36" t="s">
        <v>2634</v>
      </c>
      <c r="B36" t="s">
        <v>2635</v>
      </c>
      <c r="C36" s="84">
        <f t="shared" si="0"/>
        <v>46094</v>
      </c>
      <c r="D36" s="84">
        <f t="shared" si="1"/>
        <v>46094</v>
      </c>
      <c r="E36" s="84">
        <f t="shared" si="2"/>
        <v>46094</v>
      </c>
      <c r="F36" s="84">
        <v>46094</v>
      </c>
      <c r="G36" s="85">
        <v>46104</v>
      </c>
      <c r="H36" s="85">
        <v>46109</v>
      </c>
      <c r="I36" s="84"/>
      <c r="J36" s="84"/>
      <c r="K36" t="s">
        <v>209</v>
      </c>
      <c r="L36" t="s">
        <v>210</v>
      </c>
      <c r="M36">
        <v>15</v>
      </c>
      <c r="N36" t="s">
        <v>3080</v>
      </c>
      <c r="O36">
        <v>10</v>
      </c>
      <c r="P36" t="s">
        <v>3080</v>
      </c>
      <c r="Q36">
        <v>5</v>
      </c>
      <c r="R36">
        <f t="shared" si="3"/>
        <v>5</v>
      </c>
    </row>
    <row r="37" spans="1:18">
      <c r="A37" t="s">
        <v>2716</v>
      </c>
      <c r="B37" t="s">
        <v>2717</v>
      </c>
      <c r="C37" s="84">
        <f t="shared" si="0"/>
        <v>46089</v>
      </c>
      <c r="D37" s="84">
        <f t="shared" si="1"/>
        <v>46089</v>
      </c>
      <c r="E37" s="84">
        <f t="shared" si="2"/>
        <v>46089</v>
      </c>
      <c r="F37" s="84">
        <v>46089</v>
      </c>
      <c r="G37" s="85">
        <v>46104</v>
      </c>
      <c r="H37" s="85">
        <v>46106</v>
      </c>
      <c r="I37" s="84"/>
      <c r="J37" s="84"/>
      <c r="K37" t="s">
        <v>100</v>
      </c>
      <c r="L37" t="s">
        <v>101</v>
      </c>
      <c r="M37">
        <v>17</v>
      </c>
      <c r="N37" t="s">
        <v>3080</v>
      </c>
      <c r="O37">
        <v>15</v>
      </c>
      <c r="P37" t="s">
        <v>3080</v>
      </c>
      <c r="Q37">
        <v>2</v>
      </c>
      <c r="R37">
        <f t="shared" si="3"/>
        <v>2</v>
      </c>
    </row>
    <row r="38" spans="1:18">
      <c r="A38" t="s">
        <v>2744</v>
      </c>
      <c r="B38" t="s">
        <v>2745</v>
      </c>
      <c r="C38" s="84">
        <f t="shared" si="0"/>
        <v>-20</v>
      </c>
      <c r="D38" s="84">
        <f t="shared" si="1"/>
        <v>46091</v>
      </c>
      <c r="E38" s="84">
        <v>46091</v>
      </c>
      <c r="F38" s="84" t="s">
        <v>3088</v>
      </c>
      <c r="G38" s="85"/>
      <c r="H38" s="85">
        <v>46108</v>
      </c>
      <c r="I38" s="84"/>
      <c r="J38" s="84"/>
      <c r="K38" t="s">
        <v>142</v>
      </c>
      <c r="L38" t="s">
        <v>143</v>
      </c>
      <c r="M38">
        <v>17</v>
      </c>
      <c r="N38" t="s">
        <v>3080</v>
      </c>
      <c r="O38">
        <v>20</v>
      </c>
      <c r="P38" t="s">
        <v>3080</v>
      </c>
      <c r="Q38">
        <v>-3</v>
      </c>
      <c r="R38">
        <f t="shared" si="3"/>
        <v>-3</v>
      </c>
    </row>
    <row r="39" spans="1:18">
      <c r="A39" t="s">
        <v>2768</v>
      </c>
      <c r="B39" t="s">
        <v>2769</v>
      </c>
      <c r="C39" s="84">
        <f t="shared" si="0"/>
        <v>46177</v>
      </c>
      <c r="D39" s="84">
        <f t="shared" si="1"/>
        <v>46177</v>
      </c>
      <c r="E39" s="84">
        <f t="shared" si="2"/>
        <v>46177</v>
      </c>
      <c r="F39" s="84">
        <v>46177</v>
      </c>
      <c r="G39" s="85">
        <v>46181</v>
      </c>
      <c r="H39" s="85">
        <v>46204</v>
      </c>
      <c r="I39" s="84"/>
      <c r="J39" s="84"/>
      <c r="K39" t="s">
        <v>151</v>
      </c>
      <c r="L39" t="s">
        <v>244</v>
      </c>
      <c r="M39" t="s">
        <v>3080</v>
      </c>
      <c r="N39" t="s">
        <v>3080</v>
      </c>
      <c r="O39">
        <v>4</v>
      </c>
      <c r="P39" t="s">
        <v>3080</v>
      </c>
      <c r="Q39">
        <v>23</v>
      </c>
      <c r="R39" t="e">
        <f t="shared" si="3"/>
        <v>#VALUE!</v>
      </c>
    </row>
    <row r="40" spans="1:18">
      <c r="A40" t="s">
        <v>2839</v>
      </c>
      <c r="B40" t="s">
        <v>2840</v>
      </c>
      <c r="C40" s="84">
        <f t="shared" si="0"/>
        <v>46158</v>
      </c>
      <c r="D40" s="84">
        <f t="shared" si="1"/>
        <v>46158</v>
      </c>
      <c r="E40" s="84">
        <f t="shared" si="2"/>
        <v>46158</v>
      </c>
      <c r="F40" s="84">
        <v>46158</v>
      </c>
      <c r="G40" s="85">
        <v>46165</v>
      </c>
      <c r="H40" s="85">
        <v>46165</v>
      </c>
      <c r="I40" s="84"/>
      <c r="J40" s="84"/>
      <c r="K40" t="s">
        <v>215</v>
      </c>
      <c r="L40" t="s">
        <v>216</v>
      </c>
      <c r="M40">
        <v>7</v>
      </c>
      <c r="N40" t="s">
        <v>3080</v>
      </c>
      <c r="O40">
        <v>7</v>
      </c>
      <c r="P40" t="s">
        <v>3080</v>
      </c>
      <c r="Q40">
        <v>0</v>
      </c>
      <c r="R40">
        <f t="shared" si="3"/>
        <v>0</v>
      </c>
    </row>
    <row r="41" spans="1:18">
      <c r="A41" t="s">
        <v>2842</v>
      </c>
      <c r="B41" t="s">
        <v>2843</v>
      </c>
      <c r="C41" s="84">
        <f t="shared" si="0"/>
        <v>46175</v>
      </c>
      <c r="D41" s="84">
        <f t="shared" si="1"/>
        <v>46175</v>
      </c>
      <c r="E41" s="84">
        <f t="shared" si="2"/>
        <v>46175</v>
      </c>
      <c r="F41" s="84">
        <v>46175</v>
      </c>
      <c r="G41" s="85">
        <v>46194</v>
      </c>
      <c r="H41" s="85">
        <v>46189</v>
      </c>
      <c r="I41" s="84"/>
      <c r="J41" s="84"/>
      <c r="K41" t="s">
        <v>118</v>
      </c>
      <c r="L41" t="s">
        <v>119</v>
      </c>
      <c r="M41">
        <v>14</v>
      </c>
      <c r="N41" t="s">
        <v>3080</v>
      </c>
      <c r="O41">
        <v>19</v>
      </c>
      <c r="P41" t="s">
        <v>3080</v>
      </c>
      <c r="Q41">
        <v>-5</v>
      </c>
      <c r="R41">
        <f t="shared" si="3"/>
        <v>-5</v>
      </c>
    </row>
    <row r="42" spans="1:18">
      <c r="A42" t="s">
        <v>2887</v>
      </c>
      <c r="B42" t="s">
        <v>2888</v>
      </c>
      <c r="C42" s="84">
        <f t="shared" si="0"/>
        <v>46105</v>
      </c>
      <c r="D42" s="84">
        <f t="shared" si="1"/>
        <v>46105</v>
      </c>
      <c r="E42" s="84">
        <f t="shared" si="2"/>
        <v>46105</v>
      </c>
      <c r="F42" s="84">
        <v>46105</v>
      </c>
      <c r="G42" s="85">
        <v>46116</v>
      </c>
      <c r="H42" s="85">
        <v>46114</v>
      </c>
      <c r="I42" s="84"/>
      <c r="J42" s="84"/>
      <c r="K42" t="s">
        <v>69</v>
      </c>
      <c r="L42" t="s">
        <v>111</v>
      </c>
      <c r="M42">
        <v>9</v>
      </c>
      <c r="N42" t="s">
        <v>3080</v>
      </c>
      <c r="O42">
        <v>11</v>
      </c>
      <c r="P42" t="s">
        <v>3080</v>
      </c>
      <c r="Q42">
        <v>-2</v>
      </c>
      <c r="R42">
        <f t="shared" si="3"/>
        <v>-2</v>
      </c>
    </row>
    <row r="43" spans="1:18">
      <c r="G43" s="85"/>
      <c r="H43" s="85"/>
    </row>
    <row r="44" spans="1:18">
      <c r="G44" s="85"/>
      <c r="H44" s="85"/>
    </row>
    <row r="45" spans="1:18">
      <c r="G45" s="85"/>
      <c r="H45" s="85"/>
    </row>
    <row r="46" spans="1:18">
      <c r="C46" t="s">
        <v>3174</v>
      </c>
      <c r="I46" t="s">
        <v>3175</v>
      </c>
      <c r="J46" t="s">
        <v>3176</v>
      </c>
    </row>
    <row r="47" spans="1:18">
      <c r="C47" t="s">
        <v>3170</v>
      </c>
      <c r="G47" s="84" t="s">
        <v>3168</v>
      </c>
      <c r="I47" t="s">
        <v>3170</v>
      </c>
      <c r="J47" t="s">
        <v>3177</v>
      </c>
    </row>
    <row r="48" spans="1:18">
      <c r="A48" t="s">
        <v>0</v>
      </c>
      <c r="B48" t="s">
        <v>1</v>
      </c>
      <c r="C48" t="s">
        <v>3166</v>
      </c>
      <c r="D48" t="s">
        <v>3171</v>
      </c>
      <c r="F48" s="84" t="s">
        <v>3079</v>
      </c>
      <c r="G48" s="84" t="s">
        <v>3081</v>
      </c>
      <c r="H48" s="84" t="s">
        <v>2</v>
      </c>
      <c r="I48" t="s">
        <v>3164</v>
      </c>
      <c r="J48" t="s">
        <v>3165</v>
      </c>
      <c r="M48" t="s">
        <v>16</v>
      </c>
      <c r="N48" t="s">
        <v>3156</v>
      </c>
      <c r="O48" t="s">
        <v>17</v>
      </c>
      <c r="P48" t="s">
        <v>3157</v>
      </c>
      <c r="Q48" t="s">
        <v>18</v>
      </c>
      <c r="R48" t="s">
        <v>3172</v>
      </c>
    </row>
    <row r="49" spans="1:18">
      <c r="A49" t="s">
        <v>30</v>
      </c>
      <c r="B49" t="s">
        <v>31</v>
      </c>
      <c r="C49" s="84">
        <f>G49-O49</f>
        <v>46081</v>
      </c>
      <c r="D49" s="84">
        <f>$H49-$O49-$Q49</f>
        <v>46081</v>
      </c>
      <c r="E49" s="84"/>
      <c r="F49" s="84">
        <v>46081</v>
      </c>
      <c r="G49" s="84">
        <v>46101</v>
      </c>
      <c r="H49" s="84">
        <v>46111</v>
      </c>
      <c r="I49" s="84">
        <f>F49+O49</f>
        <v>46101</v>
      </c>
      <c r="J49" s="84">
        <f>I49+Q49</f>
        <v>46111</v>
      </c>
      <c r="K49" s="84">
        <f t="shared" ref="K49:L49" si="4">J49+R49</f>
        <v>46121</v>
      </c>
      <c r="L49" s="84">
        <f t="shared" si="4"/>
        <v>46121</v>
      </c>
      <c r="M49" t="s">
        <v>3080</v>
      </c>
      <c r="N49">
        <v>30</v>
      </c>
      <c r="O49">
        <v>20</v>
      </c>
      <c r="P49">
        <v>20</v>
      </c>
      <c r="Q49">
        <v>10</v>
      </c>
      <c r="R49">
        <f>N49-O49</f>
        <v>10</v>
      </c>
    </row>
    <row r="50" spans="1:18">
      <c r="A50" t="s">
        <v>30</v>
      </c>
      <c r="B50" t="s">
        <v>47</v>
      </c>
      <c r="C50" s="84" t="e">
        <f t="shared" ref="C50:C52" si="5">G50-O50</f>
        <v>#VALUE!</v>
      </c>
      <c r="D50" s="84">
        <f t="shared" ref="D50:D52" si="6">$H50-$O50-$Q50</f>
        <v>46066</v>
      </c>
      <c r="E50" s="84"/>
      <c r="F50" s="84">
        <v>46066</v>
      </c>
      <c r="G50" s="84" t="s">
        <v>3088</v>
      </c>
      <c r="H50" s="84">
        <v>46082</v>
      </c>
      <c r="I50" s="84">
        <f t="shared" ref="I50:I52" si="7">F50+O50</f>
        <v>46079</v>
      </c>
      <c r="J50" s="84">
        <f t="shared" ref="J50:J52" si="8">I50+Q50</f>
        <v>46082</v>
      </c>
      <c r="M50">
        <v>16</v>
      </c>
      <c r="N50">
        <v>16</v>
      </c>
      <c r="O50">
        <v>13</v>
      </c>
      <c r="P50" t="s">
        <v>3080</v>
      </c>
      <c r="Q50">
        <v>3</v>
      </c>
      <c r="R50">
        <f t="shared" ref="R50:R52" si="9">N50-O50</f>
        <v>3</v>
      </c>
    </row>
    <row r="51" spans="1:18">
      <c r="A51" t="s">
        <v>58</v>
      </c>
      <c r="B51" t="s">
        <v>59</v>
      </c>
      <c r="C51" s="84">
        <f t="shared" si="5"/>
        <v>46151</v>
      </c>
      <c r="D51" s="84">
        <f t="shared" si="6"/>
        <v>46151</v>
      </c>
      <c r="E51" s="84"/>
      <c r="F51" s="84">
        <v>46151</v>
      </c>
      <c r="G51" s="84">
        <v>46160</v>
      </c>
      <c r="H51" s="84">
        <v>46165</v>
      </c>
      <c r="I51" s="84">
        <f t="shared" si="7"/>
        <v>46160</v>
      </c>
      <c r="J51" s="84">
        <f t="shared" si="8"/>
        <v>46165</v>
      </c>
      <c r="M51">
        <v>14</v>
      </c>
      <c r="N51">
        <v>14</v>
      </c>
      <c r="O51">
        <v>9</v>
      </c>
      <c r="P51">
        <v>9</v>
      </c>
      <c r="Q51">
        <v>5</v>
      </c>
      <c r="R51">
        <f t="shared" si="9"/>
        <v>5</v>
      </c>
    </row>
    <row r="52" spans="1:18">
      <c r="A52" t="s">
        <v>67</v>
      </c>
      <c r="B52" t="s">
        <v>68</v>
      </c>
      <c r="C52" s="84">
        <f t="shared" si="5"/>
        <v>46127</v>
      </c>
      <c r="D52" s="84">
        <f t="shared" si="6"/>
        <v>46135</v>
      </c>
      <c r="E52" s="84"/>
      <c r="F52" s="84">
        <v>46127</v>
      </c>
      <c r="G52" s="84">
        <v>46139</v>
      </c>
      <c r="H52" s="84">
        <v>46147</v>
      </c>
      <c r="I52" s="84">
        <f t="shared" si="7"/>
        <v>46139</v>
      </c>
      <c r="J52" s="84">
        <f t="shared" si="8"/>
        <v>46139</v>
      </c>
      <c r="M52">
        <v>-5</v>
      </c>
      <c r="N52">
        <v>20</v>
      </c>
      <c r="O52">
        <v>12</v>
      </c>
      <c r="P52">
        <v>12</v>
      </c>
      <c r="R52">
        <f t="shared" si="9"/>
        <v>8</v>
      </c>
    </row>
  </sheetData>
  <autoFilter ref="A2:Q42" xr:uid="{686C24F4-0BD4-4CE2-98C8-445105F4E1B7}"/>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CD417-A940-4C0E-9086-1C72F88CB6A4}">
  <dimension ref="B1:V88"/>
  <sheetViews>
    <sheetView workbookViewId="0">
      <selection activeCell="B10" sqref="B10"/>
    </sheetView>
  </sheetViews>
  <sheetFormatPr defaultRowHeight="14"/>
  <sheetData>
    <row r="1" spans="2:22">
      <c r="U1" t="str" cm="1">
        <f t="array" ref="U1:U16">_xlfn._xlws.SORT(_xlfn.UNIQUE(_xlfn._TRO_TRAILING(Cleaned_Data!G:G)))</f>
        <v>AbidjanCS</v>
      </c>
      <c r="V1" t="str">
        <f>_xlfn.XLOOKUP(U1,Cleaned_Data!G:G,Cleaned_Data!H:H)</f>
        <v>Ivory Coast</v>
      </c>
    </row>
    <row r="2" spans="2:22">
      <c r="U2" t="str">
        <v>AccraAI</v>
      </c>
      <c r="V2" t="str">
        <f>_xlfn.XLOOKUP(U2,Cleaned_Data!G:G,Cleaned_Data!H:H)</f>
        <v>Ghana</v>
      </c>
    </row>
    <row r="3" spans="2:22">
      <c r="B3" t="s">
        <v>3083</v>
      </c>
      <c r="U3" t="str">
        <v>AddisFW</v>
      </c>
      <c r="V3" t="str">
        <f>_xlfn.XLOOKUP(U3,Cleaned_Data!G:G,Cleaned_Data!H:H)</f>
        <v>Ethiopia</v>
      </c>
    </row>
    <row r="4" spans="2:22">
      <c r="B4" t="s">
        <v>3086</v>
      </c>
      <c r="U4" t="str">
        <v>Cape</v>
      </c>
      <c r="V4" t="str">
        <f>_xlfn.XLOOKUP(U4,Cleaned_Data!G:G,Cleaned_Data!H:H)</f>
        <v>South Africa</v>
      </c>
    </row>
    <row r="5" spans="2:22">
      <c r="B5" t="s">
        <v>3084</v>
      </c>
      <c r="U5" t="str">
        <v>Casablanca</v>
      </c>
      <c r="V5" t="str">
        <f>_xlfn.XLOOKUP(U5,Cleaned_Data!G:G,Cleaned_Data!H:H)</f>
        <v>Kenya</v>
      </c>
    </row>
    <row r="6" spans="2:22">
      <c r="B6" t="s">
        <v>3085</v>
      </c>
      <c r="U6" t="str">
        <v>Dar</v>
      </c>
      <c r="V6" t="str">
        <f>_xlfn.XLOOKUP(U6,Cleaned_Data!G:G,Cleaned_Data!H:H)</f>
        <v>Tanzania</v>
      </c>
    </row>
    <row r="7" spans="2:22">
      <c r="B7" t="s">
        <v>3087</v>
      </c>
      <c r="U7" t="str">
        <v>Kampala</v>
      </c>
      <c r="V7" t="str">
        <f>_xlfn.XLOOKUP(U7,Cleaned_Data!G:G,Cleaned_Data!H:H)</f>
        <v>Uganda</v>
      </c>
    </row>
    <row r="8" spans="2:22">
      <c r="B8" t="s">
        <v>3089</v>
      </c>
      <c r="U8" t="str">
        <v>Kano</v>
      </c>
      <c r="V8" t="str">
        <f>_xlfn.XLOOKUP(U8,Cleaned_Data!G:G,Cleaned_Data!H:H)</f>
        <v>Nigeria</v>
      </c>
    </row>
    <row r="9" spans="2:22">
      <c r="B9" t="s">
        <v>3090</v>
      </c>
      <c r="U9" t="str">
        <v>Kentech</v>
      </c>
      <c r="V9" t="str">
        <f>_xlfn.XLOOKUP(U9,Cleaned_Data!G:G,Cleaned_Data!H:H)</f>
        <v>Kenya</v>
      </c>
    </row>
    <row r="10" spans="2:22">
      <c r="B10" t="s">
        <v>3091</v>
      </c>
      <c r="U10" t="str">
        <v>Kigali</v>
      </c>
      <c r="V10" t="str">
        <f>_xlfn.XLOOKUP(U10,Cleaned_Data!G:G,Cleaned_Data!H:H)</f>
        <v>Rwanda</v>
      </c>
    </row>
    <row r="11" spans="2:22">
      <c r="B11" t="s">
        <v>3092</v>
      </c>
      <c r="U11" t="str">
        <v>LagosPR</v>
      </c>
      <c r="V11" t="str">
        <f>_xlfn.XLOOKUP(U11,Cleaned_Data!G:G,Cleaned_Data!H:H)</f>
        <v>Nigeria</v>
      </c>
    </row>
    <row r="12" spans="2:22">
      <c r="B12" t="s">
        <v>3093</v>
      </c>
      <c r="U12" t="str">
        <v>Mombasa</v>
      </c>
      <c r="V12" t="str">
        <f>_xlfn.XLOOKUP(U12,Cleaned_Data!G:G,Cleaned_Data!H:H)</f>
        <v>Kenya</v>
      </c>
    </row>
    <row r="13" spans="2:22">
      <c r="B13" t="s">
        <v>3094</v>
      </c>
      <c r="U13" t="str">
        <v>Nile</v>
      </c>
      <c r="V13" t="str">
        <f>_xlfn.XLOOKUP(U13,Cleaned_Data!G:G,Cleaned_Data!H:H)</f>
        <v>Egypt</v>
      </c>
    </row>
    <row r="14" spans="2:22">
      <c r="B14" t="s">
        <v>3095</v>
      </c>
      <c r="U14" t="str">
        <v>Primesteel</v>
      </c>
      <c r="V14" t="str">
        <f>_xlfn.XLOOKUP(U14,Cleaned_Data!G:G,Cleaned_Data!H:H)</f>
        <v>Nigeria</v>
      </c>
    </row>
    <row r="15" spans="2:22">
      <c r="B15" t="s">
        <v>3214</v>
      </c>
      <c r="U15" t="str">
        <v>Sahara</v>
      </c>
      <c r="V15" t="str">
        <f>_xlfn.XLOOKUP(U15,Cleaned_Data!G:G,Cleaned_Data!H:H)</f>
        <v>Nigeria</v>
      </c>
    </row>
    <row r="16" spans="2:22">
      <c r="B16" t="s">
        <v>3096</v>
      </c>
      <c r="U16" t="str">
        <v>Supplier_Name</v>
      </c>
      <c r="V16" t="str">
        <f>_xlfn.XLOOKUP(U16,Cleaned_Data!G:G,Cleaned_Data!H:H)</f>
        <v>Supplier_Country</v>
      </c>
    </row>
    <row r="17" spans="2:22">
      <c r="B17" t="s">
        <v>3097</v>
      </c>
      <c r="V17">
        <f>_xlfn.XLOOKUP(U17,Cleaned_Data!G:G,Cleaned_Data!H:H)</f>
        <v>0</v>
      </c>
    </row>
    <row r="18" spans="2:22">
      <c r="C18" t="s">
        <v>3098</v>
      </c>
      <c r="V18">
        <f>_xlfn.XLOOKUP(U18,Cleaned_Data!G:G,Cleaned_Data!H:H)</f>
        <v>0</v>
      </c>
    </row>
    <row r="19" spans="2:22">
      <c r="C19" t="s">
        <v>3100</v>
      </c>
      <c r="V19">
        <f>_xlfn.XLOOKUP(U19,Cleaned_Data!G:G,Cleaned_Data!H:H)</f>
        <v>0</v>
      </c>
    </row>
    <row r="20" spans="2:22">
      <c r="D20" t="s">
        <v>392</v>
      </c>
      <c r="E20" t="s">
        <v>91</v>
      </c>
      <c r="J20" t="s">
        <v>867</v>
      </c>
      <c r="K20" t="s">
        <v>3099</v>
      </c>
      <c r="O20" t="s">
        <v>3101</v>
      </c>
      <c r="P20" t="s">
        <v>111</v>
      </c>
    </row>
    <row r="21" spans="2:22">
      <c r="D21" t="s">
        <v>392</v>
      </c>
      <c r="E21" t="s">
        <v>3082</v>
      </c>
      <c r="J21" t="s">
        <v>867</v>
      </c>
      <c r="K21" t="s">
        <v>111</v>
      </c>
      <c r="O21" t="s">
        <v>3101</v>
      </c>
      <c r="P21" t="s">
        <v>244</v>
      </c>
    </row>
    <row r="22" spans="2:22">
      <c r="D22" t="s">
        <v>392</v>
      </c>
      <c r="E22" t="s">
        <v>236</v>
      </c>
      <c r="J22" t="s">
        <v>867</v>
      </c>
      <c r="K22" t="s">
        <v>257</v>
      </c>
      <c r="O22" t="s">
        <v>3101</v>
      </c>
      <c r="P22" t="s">
        <v>81</v>
      </c>
    </row>
    <row r="23" spans="2:22">
      <c r="D23" t="s">
        <v>392</v>
      </c>
      <c r="E23" t="s">
        <v>236</v>
      </c>
      <c r="J23" t="s">
        <v>867</v>
      </c>
      <c r="K23" t="s">
        <v>232</v>
      </c>
      <c r="O23" t="s">
        <v>3101</v>
      </c>
      <c r="P23" t="s">
        <v>119</v>
      </c>
    </row>
    <row r="24" spans="2:22">
      <c r="D24" t="s">
        <v>392</v>
      </c>
      <c r="E24" t="s">
        <v>33</v>
      </c>
      <c r="J24" t="s">
        <v>867</v>
      </c>
      <c r="K24" t="s">
        <v>244</v>
      </c>
      <c r="O24" t="s">
        <v>3101</v>
      </c>
      <c r="P24" t="s">
        <v>232</v>
      </c>
    </row>
    <row r="25" spans="2:22">
      <c r="D25" t="s">
        <v>392</v>
      </c>
      <c r="E25" t="s">
        <v>3099</v>
      </c>
      <c r="J25" t="s">
        <v>867</v>
      </c>
      <c r="K25" t="s">
        <v>232</v>
      </c>
      <c r="O25" t="s">
        <v>3101</v>
      </c>
      <c r="P25" t="s">
        <v>81</v>
      </c>
    </row>
    <row r="26" spans="2:22">
      <c r="J26" t="s">
        <v>867</v>
      </c>
      <c r="K26" t="s">
        <v>119</v>
      </c>
      <c r="O26" t="s">
        <v>3101</v>
      </c>
      <c r="P26" t="s">
        <v>236</v>
      </c>
    </row>
    <row r="27" spans="2:22">
      <c r="O27" t="s">
        <v>3101</v>
      </c>
      <c r="P27" t="s">
        <v>33</v>
      </c>
    </row>
    <row r="28" spans="2:22">
      <c r="B28" t="s">
        <v>3102</v>
      </c>
      <c r="O28" t="s">
        <v>3101</v>
      </c>
      <c r="P28" t="s">
        <v>111</v>
      </c>
    </row>
    <row r="29" spans="2:22">
      <c r="O29" t="s">
        <v>3101</v>
      </c>
      <c r="P29" t="s">
        <v>244</v>
      </c>
    </row>
    <row r="30" spans="2:22">
      <c r="B30" t="s">
        <v>3103</v>
      </c>
      <c r="O30" t="s">
        <v>3101</v>
      </c>
      <c r="P30" t="s">
        <v>91</v>
      </c>
    </row>
    <row r="31" spans="2:22">
      <c r="B31" t="s">
        <v>3105</v>
      </c>
      <c r="O31" t="s">
        <v>3101</v>
      </c>
      <c r="P31" t="s">
        <v>111</v>
      </c>
    </row>
    <row r="32" spans="2:22">
      <c r="B32" t="s">
        <v>3104</v>
      </c>
      <c r="O32" t="s">
        <v>3101</v>
      </c>
      <c r="P32" t="s">
        <v>33</v>
      </c>
    </row>
    <row r="33" spans="2:16">
      <c r="O33" t="s">
        <v>3101</v>
      </c>
      <c r="P33" t="s">
        <v>3099</v>
      </c>
    </row>
    <row r="34" spans="2:16">
      <c r="B34" t="s">
        <v>3106</v>
      </c>
      <c r="O34" t="s">
        <v>3101</v>
      </c>
      <c r="P34" t="s">
        <v>244</v>
      </c>
    </row>
    <row r="35" spans="2:16">
      <c r="O35" t="s">
        <v>3101</v>
      </c>
      <c r="P35" t="s">
        <v>232</v>
      </c>
    </row>
    <row r="36" spans="2:16">
      <c r="B36" t="s">
        <v>3109</v>
      </c>
      <c r="O36" t="s">
        <v>3101</v>
      </c>
      <c r="P36" t="s">
        <v>3099</v>
      </c>
    </row>
    <row r="37" spans="2:16">
      <c r="B37" t="s">
        <v>939</v>
      </c>
      <c r="C37" t="s">
        <v>940</v>
      </c>
      <c r="D37" t="s">
        <v>3110</v>
      </c>
    </row>
    <row r="38" spans="2:16">
      <c r="B38" t="s">
        <v>1934</v>
      </c>
      <c r="C38" t="s">
        <v>1935</v>
      </c>
      <c r="D38" t="s">
        <v>3110</v>
      </c>
    </row>
    <row r="39" spans="2:16">
      <c r="B39" t="s">
        <v>2768</v>
      </c>
      <c r="C39" t="s">
        <v>2769</v>
      </c>
      <c r="D39" t="s">
        <v>3110</v>
      </c>
    </row>
    <row r="41" spans="2:16">
      <c r="B41" t="s">
        <v>3111</v>
      </c>
    </row>
    <row r="47" spans="2:16">
      <c r="B47" t="s">
        <v>0</v>
      </c>
      <c r="C47" t="s">
        <v>1</v>
      </c>
      <c r="D47" t="s">
        <v>3</v>
      </c>
      <c r="E47" t="s">
        <v>4</v>
      </c>
      <c r="F47" t="s">
        <v>5</v>
      </c>
      <c r="G47" t="s">
        <v>10</v>
      </c>
      <c r="H47" t="s">
        <v>11</v>
      </c>
      <c r="I47" t="s">
        <v>3118</v>
      </c>
      <c r="O47" t="s">
        <v>3113</v>
      </c>
      <c r="P47" t="s">
        <v>11</v>
      </c>
    </row>
    <row r="48" spans="2:16">
      <c r="B48" t="s">
        <v>167</v>
      </c>
      <c r="C48" t="s">
        <v>168</v>
      </c>
      <c r="D48" t="s">
        <v>142</v>
      </c>
      <c r="E48" t="s">
        <v>143</v>
      </c>
      <c r="F48" t="s">
        <v>169</v>
      </c>
      <c r="G48">
        <v>1754.18</v>
      </c>
      <c r="H48" t="s">
        <v>172</v>
      </c>
      <c r="I48" t="str">
        <f>_xlfn.XLOOKUP(F48,$O$47:$O$59,$P$47:$P$59)</f>
        <v>MAD</v>
      </c>
      <c r="O48" t="s">
        <v>258</v>
      </c>
      <c r="P48" t="s">
        <v>3074</v>
      </c>
    </row>
    <row r="49" spans="2:16">
      <c r="B49" t="s">
        <v>499</v>
      </c>
      <c r="C49" t="s">
        <v>500</v>
      </c>
      <c r="D49" t="s">
        <v>151</v>
      </c>
      <c r="E49" t="s">
        <v>244</v>
      </c>
      <c r="F49" t="s">
        <v>152</v>
      </c>
      <c r="G49">
        <v>770.28</v>
      </c>
      <c r="H49" t="s">
        <v>172</v>
      </c>
      <c r="I49" t="str">
        <f t="shared" ref="I49:I61" si="0">_xlfn.XLOOKUP(F49,$O$47:$O$59,$P$47:$P$59)</f>
        <v>NGN</v>
      </c>
      <c r="O49" t="s">
        <v>133</v>
      </c>
      <c r="P49" t="s">
        <v>104</v>
      </c>
    </row>
    <row r="50" spans="2:16">
      <c r="B50" t="s">
        <v>745</v>
      </c>
      <c r="C50" t="s">
        <v>746</v>
      </c>
      <c r="D50" t="s">
        <v>60</v>
      </c>
      <c r="E50" t="s">
        <v>466</v>
      </c>
      <c r="F50" t="s">
        <v>152</v>
      </c>
      <c r="G50">
        <v>235.32</v>
      </c>
      <c r="H50" t="s">
        <v>172</v>
      </c>
      <c r="I50" t="str">
        <f t="shared" si="0"/>
        <v>NGN</v>
      </c>
      <c r="O50" t="s">
        <v>479</v>
      </c>
      <c r="P50" t="s">
        <v>3075</v>
      </c>
    </row>
    <row r="51" spans="2:16">
      <c r="B51" t="s">
        <v>895</v>
      </c>
      <c r="C51" t="s">
        <v>896</v>
      </c>
      <c r="D51" t="s">
        <v>142</v>
      </c>
      <c r="E51" t="s">
        <v>143</v>
      </c>
      <c r="F51" t="s">
        <v>169</v>
      </c>
      <c r="G51">
        <v>1447.49</v>
      </c>
      <c r="H51" t="s">
        <v>172</v>
      </c>
      <c r="I51" t="str">
        <f t="shared" si="0"/>
        <v>MAD</v>
      </c>
      <c r="O51" t="s">
        <v>316</v>
      </c>
      <c r="P51" t="s">
        <v>86</v>
      </c>
    </row>
    <row r="52" spans="2:16">
      <c r="B52" t="s">
        <v>1134</v>
      </c>
      <c r="C52" t="s">
        <v>1135</v>
      </c>
      <c r="D52" t="s">
        <v>162</v>
      </c>
      <c r="E52" t="s">
        <v>3082</v>
      </c>
      <c r="F52" t="s">
        <v>152</v>
      </c>
      <c r="G52">
        <v>540.4</v>
      </c>
      <c r="H52" t="s">
        <v>172</v>
      </c>
      <c r="I52" t="str">
        <f t="shared" si="0"/>
        <v>NGN</v>
      </c>
      <c r="O52" t="s">
        <v>102</v>
      </c>
      <c r="P52" t="s">
        <v>38</v>
      </c>
    </row>
    <row r="53" spans="2:16">
      <c r="B53" t="s">
        <v>1182</v>
      </c>
      <c r="C53" t="s">
        <v>1183</v>
      </c>
      <c r="D53" t="s">
        <v>80</v>
      </c>
      <c r="E53" t="s">
        <v>81</v>
      </c>
      <c r="F53" t="s">
        <v>82</v>
      </c>
      <c r="G53">
        <v>525.99</v>
      </c>
      <c r="H53" t="s">
        <v>172</v>
      </c>
      <c r="I53" t="str">
        <f t="shared" si="0"/>
        <v>RWF</v>
      </c>
      <c r="O53" t="s">
        <v>169</v>
      </c>
      <c r="P53" t="s">
        <v>3114</v>
      </c>
    </row>
    <row r="54" spans="2:16">
      <c r="B54" t="s">
        <v>1715</v>
      </c>
      <c r="C54" t="s">
        <v>1716</v>
      </c>
      <c r="D54" t="s">
        <v>151</v>
      </c>
      <c r="E54" t="s">
        <v>244</v>
      </c>
      <c r="F54" t="s">
        <v>152</v>
      </c>
      <c r="G54">
        <v>598.96</v>
      </c>
      <c r="H54" t="s">
        <v>172</v>
      </c>
      <c r="I54" t="str">
        <f t="shared" si="0"/>
        <v>NGN</v>
      </c>
      <c r="O54" t="s">
        <v>152</v>
      </c>
      <c r="P54" t="s">
        <v>159</v>
      </c>
    </row>
    <row r="55" spans="2:16">
      <c r="B55" t="s">
        <v>1986</v>
      </c>
      <c r="C55" t="s">
        <v>1987</v>
      </c>
      <c r="D55" t="s">
        <v>80</v>
      </c>
      <c r="E55" t="s">
        <v>81</v>
      </c>
      <c r="F55" t="s">
        <v>82</v>
      </c>
      <c r="G55">
        <v>1812.41</v>
      </c>
      <c r="H55" t="s">
        <v>172</v>
      </c>
      <c r="I55" t="str">
        <f t="shared" si="0"/>
        <v>RWF</v>
      </c>
      <c r="O55" t="s">
        <v>82</v>
      </c>
      <c r="P55" t="s">
        <v>3076</v>
      </c>
    </row>
    <row r="56" spans="2:16">
      <c r="B56" t="s">
        <v>1989</v>
      </c>
      <c r="C56" t="s">
        <v>1990</v>
      </c>
      <c r="D56" t="s">
        <v>162</v>
      </c>
      <c r="E56" t="s">
        <v>3082</v>
      </c>
      <c r="F56" t="s">
        <v>152</v>
      </c>
      <c r="G56">
        <v>1290.06</v>
      </c>
      <c r="H56" t="s">
        <v>172</v>
      </c>
      <c r="I56" t="str">
        <f t="shared" si="0"/>
        <v>NGN</v>
      </c>
      <c r="O56" t="s">
        <v>301</v>
      </c>
      <c r="P56" t="s">
        <v>53</v>
      </c>
    </row>
    <row r="57" spans="2:16">
      <c r="B57" t="s">
        <v>2062</v>
      </c>
      <c r="C57" t="s">
        <v>2063</v>
      </c>
      <c r="D57" t="s">
        <v>32</v>
      </c>
      <c r="E57" t="s">
        <v>33</v>
      </c>
      <c r="F57" t="s">
        <v>177</v>
      </c>
      <c r="G57">
        <v>698.39</v>
      </c>
      <c r="H57" t="s">
        <v>172</v>
      </c>
      <c r="I57" t="str">
        <f t="shared" si="0"/>
        <v>TZS</v>
      </c>
      <c r="O57" t="s">
        <v>177</v>
      </c>
      <c r="P57" t="s">
        <v>3077</v>
      </c>
    </row>
    <row r="58" spans="2:16">
      <c r="B58" t="s">
        <v>2193</v>
      </c>
      <c r="C58" t="s">
        <v>2194</v>
      </c>
      <c r="D58" t="s">
        <v>151</v>
      </c>
      <c r="E58" t="s">
        <v>244</v>
      </c>
      <c r="F58" t="s">
        <v>152</v>
      </c>
      <c r="G58">
        <v>151.94</v>
      </c>
      <c r="H58" t="s">
        <v>172</v>
      </c>
      <c r="I58" t="str">
        <f t="shared" si="0"/>
        <v>NGN</v>
      </c>
      <c r="O58" t="s">
        <v>194</v>
      </c>
      <c r="P58" t="s">
        <v>3078</v>
      </c>
    </row>
    <row r="59" spans="2:16">
      <c r="B59" t="s">
        <v>2382</v>
      </c>
      <c r="C59" t="s">
        <v>2383</v>
      </c>
      <c r="D59" t="s">
        <v>69</v>
      </c>
      <c r="E59" t="s">
        <v>111</v>
      </c>
      <c r="F59" t="s">
        <v>194</v>
      </c>
      <c r="G59">
        <v>76.72</v>
      </c>
      <c r="H59" t="s">
        <v>172</v>
      </c>
      <c r="I59" t="str">
        <f t="shared" si="0"/>
        <v>UGX</v>
      </c>
      <c r="O59" t="s">
        <v>3117</v>
      </c>
      <c r="P59" t="s">
        <v>65</v>
      </c>
    </row>
    <row r="60" spans="2:16">
      <c r="B60" t="s">
        <v>2914</v>
      </c>
      <c r="C60" t="s">
        <v>2915</v>
      </c>
      <c r="D60" t="s">
        <v>32</v>
      </c>
      <c r="E60" t="s">
        <v>33</v>
      </c>
      <c r="F60" t="s">
        <v>177</v>
      </c>
      <c r="G60">
        <v>1317.68</v>
      </c>
      <c r="H60" t="s">
        <v>172</v>
      </c>
      <c r="I60" t="str">
        <f t="shared" si="0"/>
        <v>TZS</v>
      </c>
    </row>
    <row r="61" spans="2:16">
      <c r="B61" t="s">
        <v>2988</v>
      </c>
      <c r="C61" t="s">
        <v>2989</v>
      </c>
      <c r="D61" t="s">
        <v>69</v>
      </c>
      <c r="E61" t="s">
        <v>111</v>
      </c>
      <c r="F61" t="s">
        <v>194</v>
      </c>
      <c r="G61">
        <v>1953.24</v>
      </c>
      <c r="H61" t="s">
        <v>172</v>
      </c>
      <c r="I61" t="str">
        <f t="shared" si="0"/>
        <v>UGX</v>
      </c>
    </row>
    <row r="65" spans="2:12">
      <c r="B65" t="s">
        <v>3151</v>
      </c>
    </row>
    <row r="67" spans="2:12">
      <c r="B67" t="s">
        <v>0</v>
      </c>
      <c r="C67" t="s">
        <v>1</v>
      </c>
      <c r="D67" t="s">
        <v>3079</v>
      </c>
      <c r="E67" t="s">
        <v>3</v>
      </c>
      <c r="F67" t="s">
        <v>4</v>
      </c>
      <c r="G67" t="s">
        <v>5</v>
      </c>
      <c r="H67" t="s">
        <v>6</v>
      </c>
      <c r="I67" t="s">
        <v>7</v>
      </c>
      <c r="J67" t="s">
        <v>9</v>
      </c>
      <c r="K67" t="s">
        <v>24</v>
      </c>
      <c r="L67" t="s">
        <v>27</v>
      </c>
    </row>
    <row r="68" spans="2:12">
      <c r="B68" t="s">
        <v>131</v>
      </c>
      <c r="C68" t="s">
        <v>132</v>
      </c>
      <c r="D68">
        <v>46041</v>
      </c>
      <c r="E68" t="s">
        <v>90</v>
      </c>
      <c r="F68" t="s">
        <v>91</v>
      </c>
      <c r="G68" t="s">
        <v>133</v>
      </c>
      <c r="H68" t="s">
        <v>70</v>
      </c>
      <c r="I68" t="s">
        <v>71</v>
      </c>
      <c r="J68" t="s">
        <v>73</v>
      </c>
      <c r="K68" t="s">
        <v>136</v>
      </c>
    </row>
    <row r="69" spans="2:12">
      <c r="B69" t="s">
        <v>367</v>
      </c>
      <c r="C69" t="s">
        <v>368</v>
      </c>
      <c r="D69">
        <v>46137</v>
      </c>
      <c r="E69" t="s">
        <v>256</v>
      </c>
      <c r="F69" t="s">
        <v>257</v>
      </c>
      <c r="G69" t="s">
        <v>258</v>
      </c>
      <c r="H69" t="s">
        <v>70</v>
      </c>
      <c r="I69" t="s">
        <v>153</v>
      </c>
      <c r="J69" t="s">
        <v>155</v>
      </c>
      <c r="K69" t="s">
        <v>206</v>
      </c>
    </row>
    <row r="70" spans="2:12">
      <c r="B70" t="s">
        <v>722</v>
      </c>
      <c r="C70" t="s">
        <v>723</v>
      </c>
      <c r="D70">
        <v>46129</v>
      </c>
      <c r="E70" t="s">
        <v>118</v>
      </c>
      <c r="F70" t="s">
        <v>119</v>
      </c>
      <c r="G70" t="s">
        <v>301</v>
      </c>
      <c r="H70" t="s">
        <v>83</v>
      </c>
      <c r="I70" t="s">
        <v>62</v>
      </c>
      <c r="J70" t="s">
        <v>64</v>
      </c>
      <c r="K70" t="s">
        <v>136</v>
      </c>
    </row>
    <row r="71" spans="2:12">
      <c r="B71" t="s">
        <v>931</v>
      </c>
      <c r="C71" t="s">
        <v>932</v>
      </c>
      <c r="D71">
        <v>46136</v>
      </c>
      <c r="E71" t="s">
        <v>118</v>
      </c>
      <c r="F71" t="s">
        <v>119</v>
      </c>
      <c r="G71" t="s">
        <v>301</v>
      </c>
      <c r="H71" t="s">
        <v>241</v>
      </c>
      <c r="I71" t="s">
        <v>62</v>
      </c>
      <c r="J71" t="s">
        <v>64</v>
      </c>
      <c r="K71" t="s">
        <v>3112</v>
      </c>
    </row>
    <row r="72" spans="2:12">
      <c r="B72" t="s">
        <v>1155</v>
      </c>
      <c r="C72" t="s">
        <v>1156</v>
      </c>
      <c r="D72">
        <v>46193</v>
      </c>
      <c r="E72" t="s">
        <v>69</v>
      </c>
      <c r="F72" t="s">
        <v>111</v>
      </c>
      <c r="G72" t="s">
        <v>194</v>
      </c>
      <c r="H72" t="s">
        <v>34</v>
      </c>
      <c r="I72" t="s">
        <v>112</v>
      </c>
      <c r="J72" t="s">
        <v>246</v>
      </c>
      <c r="K72" t="s">
        <v>88</v>
      </c>
    </row>
    <row r="73" spans="2:12">
      <c r="B73" t="s">
        <v>1261</v>
      </c>
      <c r="C73" t="s">
        <v>1262</v>
      </c>
      <c r="D73">
        <v>46203</v>
      </c>
      <c r="E73" t="s">
        <v>215</v>
      </c>
      <c r="F73" t="s">
        <v>216</v>
      </c>
      <c r="G73" t="s">
        <v>152</v>
      </c>
      <c r="H73" t="s">
        <v>178</v>
      </c>
      <c r="I73" t="s">
        <v>112</v>
      </c>
      <c r="J73" t="s">
        <v>246</v>
      </c>
      <c r="K73" t="s">
        <v>136</v>
      </c>
    </row>
    <row r="74" spans="2:12">
      <c r="B74" t="s">
        <v>1350</v>
      </c>
      <c r="C74" t="s">
        <v>1351</v>
      </c>
      <c r="D74">
        <v>46201</v>
      </c>
      <c r="E74" t="s">
        <v>100</v>
      </c>
      <c r="F74" t="s">
        <v>101</v>
      </c>
      <c r="G74" t="s">
        <v>102</v>
      </c>
      <c r="H74" t="s">
        <v>61</v>
      </c>
      <c r="I74" t="s">
        <v>50</v>
      </c>
      <c r="J74" t="s">
        <v>189</v>
      </c>
      <c r="K74" t="s">
        <v>129</v>
      </c>
    </row>
    <row r="75" spans="2:12">
      <c r="B75" t="s">
        <v>1483</v>
      </c>
      <c r="C75" t="s">
        <v>1484</v>
      </c>
      <c r="D75">
        <v>46185</v>
      </c>
      <c r="E75" t="s">
        <v>69</v>
      </c>
      <c r="F75" t="s">
        <v>111</v>
      </c>
      <c r="G75" t="s">
        <v>194</v>
      </c>
      <c r="H75" t="s">
        <v>61</v>
      </c>
      <c r="I75" t="s">
        <v>71</v>
      </c>
      <c r="J75" t="s">
        <v>553</v>
      </c>
      <c r="K75" t="s">
        <v>174</v>
      </c>
    </row>
    <row r="76" spans="2:12">
      <c r="B76" t="s">
        <v>1679</v>
      </c>
      <c r="C76" t="s">
        <v>1680</v>
      </c>
      <c r="D76">
        <v>46146</v>
      </c>
      <c r="E76" t="s">
        <v>235</v>
      </c>
      <c r="F76" t="s">
        <v>236</v>
      </c>
      <c r="G76" t="s">
        <v>479</v>
      </c>
      <c r="H76" t="s">
        <v>83</v>
      </c>
      <c r="I76" t="s">
        <v>71</v>
      </c>
      <c r="J76" t="s">
        <v>73</v>
      </c>
      <c r="K76" t="s">
        <v>3112</v>
      </c>
    </row>
    <row r="77" spans="2:12">
      <c r="B77" t="s">
        <v>1685</v>
      </c>
      <c r="C77" t="s">
        <v>1686</v>
      </c>
      <c r="D77">
        <v>46059</v>
      </c>
      <c r="E77" t="s">
        <v>60</v>
      </c>
      <c r="F77" t="s">
        <v>466</v>
      </c>
      <c r="G77" t="s">
        <v>152</v>
      </c>
      <c r="H77" t="s">
        <v>120</v>
      </c>
      <c r="I77" t="s">
        <v>62</v>
      </c>
      <c r="J77" t="s">
        <v>122</v>
      </c>
      <c r="K77" t="s">
        <v>136</v>
      </c>
    </row>
    <row r="78" spans="2:12">
      <c r="B78" t="s">
        <v>1784</v>
      </c>
      <c r="C78" t="s">
        <v>1785</v>
      </c>
      <c r="D78">
        <v>46150</v>
      </c>
      <c r="E78" t="s">
        <v>69</v>
      </c>
      <c r="F78" t="s">
        <v>111</v>
      </c>
      <c r="G78" t="s">
        <v>194</v>
      </c>
      <c r="H78" t="s">
        <v>34</v>
      </c>
      <c r="I78" t="s">
        <v>35</v>
      </c>
      <c r="J78" t="s">
        <v>180</v>
      </c>
      <c r="K78" t="s">
        <v>3112</v>
      </c>
    </row>
    <row r="79" spans="2:12">
      <c r="B79" t="s">
        <v>1853</v>
      </c>
      <c r="C79" t="s">
        <v>1854</v>
      </c>
      <c r="D79">
        <v>46120</v>
      </c>
      <c r="E79" t="s">
        <v>235</v>
      </c>
      <c r="F79" t="s">
        <v>236</v>
      </c>
      <c r="G79" t="s">
        <v>479</v>
      </c>
      <c r="H79" t="s">
        <v>120</v>
      </c>
      <c r="I79" t="s">
        <v>71</v>
      </c>
      <c r="J79" t="s">
        <v>337</v>
      </c>
      <c r="K79" t="s">
        <v>206</v>
      </c>
    </row>
    <row r="80" spans="2:12">
      <c r="B80" t="s">
        <v>1986</v>
      </c>
      <c r="C80" t="s">
        <v>1987</v>
      </c>
      <c r="D80">
        <v>46174</v>
      </c>
      <c r="E80" t="s">
        <v>80</v>
      </c>
      <c r="F80" t="s">
        <v>81</v>
      </c>
      <c r="G80" t="s">
        <v>82</v>
      </c>
      <c r="H80" t="s">
        <v>49</v>
      </c>
      <c r="I80" t="s">
        <v>35</v>
      </c>
      <c r="J80" t="s">
        <v>180</v>
      </c>
      <c r="K80" t="s">
        <v>206</v>
      </c>
    </row>
    <row r="81" spans="2:11">
      <c r="B81" t="s">
        <v>2300</v>
      </c>
      <c r="C81" t="s">
        <v>2301</v>
      </c>
      <c r="D81">
        <v>46032</v>
      </c>
      <c r="E81" t="s">
        <v>162</v>
      </c>
      <c r="F81" t="s">
        <v>3082</v>
      </c>
      <c r="G81" t="s">
        <v>152</v>
      </c>
      <c r="H81" t="s">
        <v>61</v>
      </c>
      <c r="I81" t="s">
        <v>163</v>
      </c>
      <c r="J81" t="s">
        <v>171</v>
      </c>
      <c r="K81" t="s">
        <v>88</v>
      </c>
    </row>
    <row r="82" spans="2:11">
      <c r="B82" t="s">
        <v>2306</v>
      </c>
      <c r="C82" t="s">
        <v>2307</v>
      </c>
      <c r="D82">
        <v>46056</v>
      </c>
      <c r="E82" t="s">
        <v>142</v>
      </c>
      <c r="F82" t="s">
        <v>143</v>
      </c>
      <c r="G82" t="s">
        <v>169</v>
      </c>
      <c r="H82" t="s">
        <v>83</v>
      </c>
      <c r="I82" t="s">
        <v>50</v>
      </c>
      <c r="J82" t="s">
        <v>189</v>
      </c>
      <c r="K82" t="s">
        <v>55</v>
      </c>
    </row>
    <row r="83" spans="2:11">
      <c r="B83" t="s">
        <v>2367</v>
      </c>
      <c r="C83" t="s">
        <v>2368</v>
      </c>
      <c r="D83">
        <v>46100</v>
      </c>
      <c r="E83" t="s">
        <v>90</v>
      </c>
      <c r="F83" t="s">
        <v>91</v>
      </c>
      <c r="G83" t="s">
        <v>133</v>
      </c>
      <c r="H83" t="s">
        <v>70</v>
      </c>
      <c r="I83" t="s">
        <v>71</v>
      </c>
      <c r="J83" t="s">
        <v>73</v>
      </c>
      <c r="K83" t="s">
        <v>136</v>
      </c>
    </row>
    <row r="84" spans="2:11">
      <c r="B84" t="s">
        <v>2492</v>
      </c>
      <c r="C84" t="s">
        <v>2493</v>
      </c>
      <c r="D84">
        <v>46024</v>
      </c>
      <c r="E84" t="s">
        <v>100</v>
      </c>
      <c r="F84" t="s">
        <v>101</v>
      </c>
      <c r="G84" t="s">
        <v>102</v>
      </c>
      <c r="H84" t="s">
        <v>34</v>
      </c>
      <c r="I84" t="s">
        <v>112</v>
      </c>
      <c r="J84" t="s">
        <v>114</v>
      </c>
      <c r="K84" t="s">
        <v>129</v>
      </c>
    </row>
    <row r="85" spans="2:11">
      <c r="B85" t="s">
        <v>2728</v>
      </c>
      <c r="C85" t="s">
        <v>2729</v>
      </c>
      <c r="D85">
        <v>46049</v>
      </c>
      <c r="E85" t="s">
        <v>48</v>
      </c>
      <c r="F85" t="s">
        <v>232</v>
      </c>
      <c r="G85" t="s">
        <v>102</v>
      </c>
      <c r="H85" t="s">
        <v>70</v>
      </c>
      <c r="I85" t="s">
        <v>50</v>
      </c>
      <c r="J85" t="s">
        <v>145</v>
      </c>
      <c r="K85" t="s">
        <v>88</v>
      </c>
    </row>
    <row r="86" spans="2:11">
      <c r="B86" t="s">
        <v>2953</v>
      </c>
      <c r="C86" t="s">
        <v>2954</v>
      </c>
      <c r="D86">
        <v>46172</v>
      </c>
      <c r="E86" t="s">
        <v>151</v>
      </c>
      <c r="F86" t="s">
        <v>244</v>
      </c>
      <c r="G86" t="s">
        <v>152</v>
      </c>
      <c r="H86" t="s">
        <v>120</v>
      </c>
      <c r="I86" t="s">
        <v>35</v>
      </c>
      <c r="J86" t="s">
        <v>85</v>
      </c>
      <c r="K86" t="s">
        <v>88</v>
      </c>
    </row>
    <row r="87" spans="2:11">
      <c r="B87" t="s">
        <v>2959</v>
      </c>
      <c r="C87" t="s">
        <v>2960</v>
      </c>
      <c r="D87">
        <v>46093</v>
      </c>
      <c r="E87" t="s">
        <v>80</v>
      </c>
      <c r="F87" t="s">
        <v>81</v>
      </c>
      <c r="G87" t="s">
        <v>82</v>
      </c>
      <c r="H87" t="s">
        <v>178</v>
      </c>
      <c r="I87" t="s">
        <v>35</v>
      </c>
      <c r="J87" t="s">
        <v>37</v>
      </c>
      <c r="K87" t="s">
        <v>88</v>
      </c>
    </row>
    <row r="88" spans="2:11">
      <c r="B88" t="s">
        <v>2997</v>
      </c>
      <c r="C88" t="s">
        <v>2998</v>
      </c>
      <c r="D88">
        <v>46195</v>
      </c>
      <c r="E88" t="s">
        <v>209</v>
      </c>
      <c r="F88" t="s">
        <v>210</v>
      </c>
      <c r="G88" t="s">
        <v>316</v>
      </c>
      <c r="H88" t="s">
        <v>61</v>
      </c>
      <c r="I88" t="s">
        <v>153</v>
      </c>
      <c r="J88" t="s">
        <v>295</v>
      </c>
      <c r="K88" t="s">
        <v>206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83B44-BF2E-4C4B-8BCE-BBE4539138D0}">
  <dimension ref="B2:X44"/>
  <sheetViews>
    <sheetView workbookViewId="0">
      <selection activeCell="F29" sqref="F29"/>
    </sheetView>
  </sheetViews>
  <sheetFormatPr defaultRowHeight="14"/>
  <cols>
    <col min="2" max="2" width="10.6640625" bestFit="1" customWidth="1"/>
    <col min="3" max="3" width="9.75" customWidth="1"/>
    <col min="4" max="4" width="28.25" customWidth="1"/>
    <col min="8" max="8" width="14.4140625" customWidth="1"/>
    <col min="9" max="9" width="15.58203125" customWidth="1"/>
    <col min="13" max="13" width="24.75" customWidth="1"/>
    <col min="14" max="14" width="14.08203125" customWidth="1"/>
  </cols>
  <sheetData>
    <row r="2" spans="2:24">
      <c r="L2" t="s">
        <v>3181</v>
      </c>
    </row>
    <row r="3" spans="2:24">
      <c r="K3" t="s">
        <v>1252</v>
      </c>
      <c r="L3" t="s">
        <v>1253</v>
      </c>
      <c r="M3">
        <v>46115</v>
      </c>
      <c r="N3">
        <v>46080</v>
      </c>
      <c r="O3">
        <v>46091</v>
      </c>
      <c r="P3" t="s">
        <v>142</v>
      </c>
      <c r="Q3" t="s">
        <v>143</v>
      </c>
      <c r="R3" t="s">
        <v>169</v>
      </c>
      <c r="S3" t="s">
        <v>241</v>
      </c>
      <c r="T3">
        <v>27</v>
      </c>
      <c r="U3">
        <v>-24</v>
      </c>
      <c r="V3" t="s">
        <v>3080</v>
      </c>
      <c r="W3">
        <v>-35</v>
      </c>
      <c r="X3">
        <v>11</v>
      </c>
    </row>
    <row r="4" spans="2:24">
      <c r="B4" t="s">
        <v>3113</v>
      </c>
      <c r="C4" t="s">
        <v>11</v>
      </c>
      <c r="D4" t="s">
        <v>3115</v>
      </c>
      <c r="H4" t="s">
        <v>1</v>
      </c>
      <c r="I4" t="s">
        <v>3079</v>
      </c>
      <c r="K4" t="s">
        <v>1582</v>
      </c>
      <c r="L4" t="s">
        <v>1583</v>
      </c>
      <c r="M4">
        <v>46194</v>
      </c>
      <c r="N4">
        <v>46129</v>
      </c>
      <c r="O4">
        <v>46218</v>
      </c>
      <c r="P4" t="s">
        <v>100</v>
      </c>
      <c r="Q4" t="s">
        <v>101</v>
      </c>
      <c r="R4" t="s">
        <v>102</v>
      </c>
      <c r="S4" t="s">
        <v>120</v>
      </c>
      <c r="T4">
        <v>24</v>
      </c>
      <c r="U4">
        <v>24</v>
      </c>
      <c r="V4" t="s">
        <v>3080</v>
      </c>
      <c r="W4">
        <v>-65</v>
      </c>
      <c r="X4">
        <v>8</v>
      </c>
    </row>
    <row r="5" spans="2:24">
      <c r="B5" t="s">
        <v>258</v>
      </c>
      <c r="C5" t="s">
        <v>3074</v>
      </c>
      <c r="D5">
        <v>1.8E-3</v>
      </c>
      <c r="H5" t="s">
        <v>198</v>
      </c>
      <c r="I5" t="s">
        <v>3107</v>
      </c>
      <c r="M5">
        <v>1</v>
      </c>
    </row>
    <row r="6" spans="2:24">
      <c r="B6" t="s">
        <v>133</v>
      </c>
      <c r="C6" t="s">
        <v>104</v>
      </c>
      <c r="D6">
        <v>1.9E-2</v>
      </c>
      <c r="H6" t="s">
        <v>202</v>
      </c>
      <c r="I6" t="s">
        <v>3107</v>
      </c>
      <c r="M6">
        <v>2</v>
      </c>
    </row>
    <row r="7" spans="2:24">
      <c r="B7" t="s">
        <v>479</v>
      </c>
      <c r="C7" t="s">
        <v>3075</v>
      </c>
      <c r="D7">
        <v>6.4000000000000003E-3</v>
      </c>
      <c r="H7" t="s">
        <v>375</v>
      </c>
      <c r="I7" t="s">
        <v>3088</v>
      </c>
    </row>
    <row r="8" spans="2:24">
      <c r="B8" t="s">
        <v>316</v>
      </c>
      <c r="C8" t="s">
        <v>86</v>
      </c>
      <c r="D8">
        <v>8.8999999999999996E-2</v>
      </c>
      <c r="H8" t="s">
        <v>530</v>
      </c>
      <c r="I8" t="s">
        <v>3088</v>
      </c>
    </row>
    <row r="9" spans="2:24">
      <c r="B9" t="s">
        <v>102</v>
      </c>
      <c r="C9" t="s">
        <v>38</v>
      </c>
      <c r="D9">
        <v>7.7000000000000002E-3</v>
      </c>
      <c r="H9" t="s">
        <v>633</v>
      </c>
      <c r="I9" t="s">
        <v>3088</v>
      </c>
    </row>
    <row r="10" spans="2:24">
      <c r="B10" t="s">
        <v>169</v>
      </c>
      <c r="C10" t="s">
        <v>3114</v>
      </c>
      <c r="D10">
        <v>0.11</v>
      </c>
      <c r="H10" t="s">
        <v>760</v>
      </c>
      <c r="I10" t="s">
        <v>3088</v>
      </c>
    </row>
    <row r="11" spans="2:24">
      <c r="B11" t="s">
        <v>152</v>
      </c>
      <c r="C11" t="s">
        <v>159</v>
      </c>
      <c r="D11">
        <v>7.2999999999999996E-4</v>
      </c>
      <c r="H11" t="s">
        <v>837</v>
      </c>
      <c r="I11" t="s">
        <v>3107</v>
      </c>
    </row>
    <row r="12" spans="2:24">
      <c r="B12" t="s">
        <v>82</v>
      </c>
      <c r="C12" t="s">
        <v>3076</v>
      </c>
      <c r="D12">
        <v>6.8000000000000005E-4</v>
      </c>
      <c r="H12" t="s">
        <v>934</v>
      </c>
      <c r="I12" t="s">
        <v>3088</v>
      </c>
      <c r="M12" t="s">
        <v>3173</v>
      </c>
      <c r="N12" s="84">
        <f>MEDIAN(Supplier_Perf_Table[Order Date])</f>
        <v>46115</v>
      </c>
    </row>
    <row r="13" spans="2:24">
      <c r="B13" t="s">
        <v>301</v>
      </c>
      <c r="C13" t="s">
        <v>53</v>
      </c>
      <c r="D13">
        <v>6.0999999999999999E-2</v>
      </c>
      <c r="H13" t="s">
        <v>940</v>
      </c>
      <c r="I13" t="s">
        <v>3107</v>
      </c>
    </row>
    <row r="14" spans="2:24">
      <c r="B14" t="s">
        <v>177</v>
      </c>
      <c r="C14" t="s">
        <v>3077</v>
      </c>
      <c r="D14">
        <v>3.8999999999999999E-4</v>
      </c>
      <c r="H14" t="s">
        <v>969</v>
      </c>
      <c r="I14" t="s">
        <v>3088</v>
      </c>
      <c r="M14" t="s">
        <v>3178</v>
      </c>
      <c r="N14" s="84">
        <f>MEDIAN(Cleaned_Data!D:D)</f>
        <v>46129</v>
      </c>
    </row>
    <row r="15" spans="2:24">
      <c r="B15" t="s">
        <v>194</v>
      </c>
      <c r="C15" t="s">
        <v>3078</v>
      </c>
      <c r="D15">
        <v>2.7E-4</v>
      </c>
      <c r="H15" t="s">
        <v>1027</v>
      </c>
      <c r="I15" t="s">
        <v>3088</v>
      </c>
    </row>
    <row r="16" spans="2:24">
      <c r="B16" t="s">
        <v>3117</v>
      </c>
      <c r="C16" t="s">
        <v>65</v>
      </c>
      <c r="D16">
        <v>1</v>
      </c>
      <c r="H16" t="s">
        <v>1081</v>
      </c>
      <c r="I16" t="s">
        <v>3088</v>
      </c>
      <c r="M16" t="s">
        <v>3179</v>
      </c>
      <c r="N16" s="70">
        <f>MEDIAN(Cleaned_Data!M:M)</f>
        <v>606.9</v>
      </c>
    </row>
    <row r="17" spans="8:13">
      <c r="H17" t="s">
        <v>1126</v>
      </c>
      <c r="I17" t="s">
        <v>3088</v>
      </c>
      <c r="M17" t="s">
        <v>3180</v>
      </c>
    </row>
    <row r="18" spans="8:13">
      <c r="H18" t="s">
        <v>1219</v>
      </c>
      <c r="I18" t="s">
        <v>3088</v>
      </c>
    </row>
    <row r="19" spans="8:13">
      <c r="H19" t="s">
        <v>1253</v>
      </c>
      <c r="I19" t="s">
        <v>3107</v>
      </c>
      <c r="M19" t="s">
        <v>3113</v>
      </c>
    </row>
    <row r="20" spans="8:13">
      <c r="H20" t="s">
        <v>1346</v>
      </c>
      <c r="I20" t="s">
        <v>3088</v>
      </c>
      <c r="M20" t="s">
        <v>258</v>
      </c>
    </row>
    <row r="21" spans="8:13">
      <c r="H21" t="s">
        <v>1405</v>
      </c>
      <c r="I21" t="s">
        <v>3088</v>
      </c>
      <c r="M21" t="s">
        <v>133</v>
      </c>
    </row>
    <row r="22" spans="8:13">
      <c r="H22" t="s">
        <v>1434</v>
      </c>
      <c r="I22" t="s">
        <v>3107</v>
      </c>
      <c r="M22" t="s">
        <v>479</v>
      </c>
    </row>
    <row r="23" spans="8:13">
      <c r="H23" t="s">
        <v>1565</v>
      </c>
      <c r="I23" t="s">
        <v>3088</v>
      </c>
      <c r="M23" t="s">
        <v>316</v>
      </c>
    </row>
    <row r="24" spans="8:13">
      <c r="H24" t="s">
        <v>1586</v>
      </c>
      <c r="I24" t="s">
        <v>3088</v>
      </c>
      <c r="M24" t="s">
        <v>102</v>
      </c>
    </row>
    <row r="25" spans="8:13">
      <c r="H25" t="s">
        <v>1898</v>
      </c>
      <c r="I25" t="s">
        <v>3088</v>
      </c>
      <c r="M25" t="s">
        <v>169</v>
      </c>
    </row>
    <row r="26" spans="8:13">
      <c r="H26" t="s">
        <v>1904</v>
      </c>
      <c r="I26" t="s">
        <v>3107</v>
      </c>
      <c r="M26" t="s">
        <v>152</v>
      </c>
    </row>
    <row r="27" spans="8:13">
      <c r="H27" t="s">
        <v>1935</v>
      </c>
      <c r="I27" t="s">
        <v>3107</v>
      </c>
      <c r="M27" t="s">
        <v>82</v>
      </c>
    </row>
    <row r="28" spans="8:13">
      <c r="H28" t="s">
        <v>1944</v>
      </c>
      <c r="I28" t="s">
        <v>3107</v>
      </c>
      <c r="M28" t="s">
        <v>301</v>
      </c>
    </row>
    <row r="29" spans="8:13">
      <c r="H29" t="s">
        <v>2043</v>
      </c>
      <c r="I29" t="s">
        <v>3088</v>
      </c>
      <c r="M29" t="s">
        <v>177</v>
      </c>
    </row>
    <row r="30" spans="8:13">
      <c r="H30" t="s">
        <v>2108</v>
      </c>
      <c r="I30" t="s">
        <v>3088</v>
      </c>
      <c r="M30" t="s">
        <v>194</v>
      </c>
    </row>
    <row r="31" spans="8:13">
      <c r="H31" t="s">
        <v>2212</v>
      </c>
      <c r="I31" t="s">
        <v>3088</v>
      </c>
      <c r="M31" t="s">
        <v>3117</v>
      </c>
    </row>
    <row r="32" spans="8:13">
      <c r="H32" t="s">
        <v>2224</v>
      </c>
      <c r="I32" t="s">
        <v>3107</v>
      </c>
    </row>
    <row r="33" spans="8:9">
      <c r="H33" t="s">
        <v>2289</v>
      </c>
      <c r="I33" t="s">
        <v>3088</v>
      </c>
    </row>
    <row r="34" spans="8:9">
      <c r="H34" t="s">
        <v>2357</v>
      </c>
      <c r="I34" t="s">
        <v>3088</v>
      </c>
    </row>
    <row r="35" spans="8:9">
      <c r="H35" t="s">
        <v>2392</v>
      </c>
      <c r="I35" t="s">
        <v>3088</v>
      </c>
    </row>
    <row r="36" spans="8:9">
      <c r="H36" t="s">
        <v>2425</v>
      </c>
      <c r="I36" t="s">
        <v>3088</v>
      </c>
    </row>
    <row r="37" spans="8:9">
      <c r="H37" t="s">
        <v>2479</v>
      </c>
      <c r="I37" t="s">
        <v>3088</v>
      </c>
    </row>
    <row r="38" spans="8:9">
      <c r="H38" t="s">
        <v>2635</v>
      </c>
      <c r="I38" t="s">
        <v>3108</v>
      </c>
    </row>
    <row r="39" spans="8:9">
      <c r="H39" t="s">
        <v>2717</v>
      </c>
      <c r="I39" t="s">
        <v>3088</v>
      </c>
    </row>
    <row r="40" spans="8:9">
      <c r="H40" t="s">
        <v>2745</v>
      </c>
      <c r="I40" t="s">
        <v>3088</v>
      </c>
    </row>
    <row r="41" spans="8:9">
      <c r="H41" t="s">
        <v>2769</v>
      </c>
      <c r="I41" t="s">
        <v>3108</v>
      </c>
    </row>
    <row r="42" spans="8:9">
      <c r="H42" t="s">
        <v>2840</v>
      </c>
      <c r="I42" t="s">
        <v>3107</v>
      </c>
    </row>
    <row r="43" spans="8:9">
      <c r="H43" t="s">
        <v>2843</v>
      </c>
      <c r="I43" t="s">
        <v>3088</v>
      </c>
    </row>
    <row r="44" spans="8:9">
      <c r="H44" t="s">
        <v>2888</v>
      </c>
      <c r="I44" t="s">
        <v>3088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Supplier Performance Dashboard</vt:lpstr>
      <vt:lpstr>LeadTime Reliability Dashboard</vt:lpstr>
      <vt:lpstr>Quality and Defect Dashboard</vt:lpstr>
      <vt:lpstr>Procuremt &amp; Invoice Inaccuracy</vt:lpstr>
      <vt:lpstr>Supplier Risk &amp; Segmentation</vt:lpstr>
      <vt:lpstr>Sheet1</vt:lpstr>
      <vt:lpstr>LeadTime Reliability Dashboard3</vt:lpstr>
      <vt:lpstr>Pivot</vt:lpstr>
      <vt:lpstr>Pivot Table Analysis</vt:lpstr>
      <vt:lpstr>Cleaned_Data</vt:lpstr>
      <vt:lpstr>Raw_Dirty_Data</vt:lpstr>
      <vt:lpstr>Sheet3</vt:lpstr>
      <vt:lpstr>Comments</vt:lpstr>
      <vt:lpstr>Comments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Segun Lawal</dc:creator>
  <cp:lastModifiedBy>Segun Lawal</cp:lastModifiedBy>
  <dcterms:created xsi:type="dcterms:W3CDTF">2026-05-07T11:07:33Z</dcterms:created>
  <dcterms:modified xsi:type="dcterms:W3CDTF">2026-05-30T23:14:45Z</dcterms:modified>
</cp:coreProperties>
</file>