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640" windowHeight="11160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9" l="1"/>
  <c r="L19" i="9"/>
  <c r="I6" i="1" l="1"/>
  <c r="I25" i="1" l="1"/>
  <c r="I24" i="1"/>
  <c r="I23" i="1"/>
  <c r="I22" i="1"/>
  <c r="I21" i="1"/>
  <c r="I20" i="1"/>
  <c r="I19" i="1"/>
  <c r="I15" i="1"/>
  <c r="I14" i="1"/>
  <c r="I13" i="1"/>
  <c r="I11" i="1"/>
  <c r="I10" i="1"/>
  <c r="I9" i="1"/>
  <c r="I8" i="1"/>
  <c r="I7" i="1"/>
  <c r="I5" i="1"/>
  <c r="I4" i="1"/>
  <c r="I3" i="1"/>
  <c r="I33" i="1" l="1"/>
  <c r="I26" i="1"/>
  <c r="I30" i="1"/>
  <c r="I35" i="1"/>
  <c r="I73" i="1"/>
  <c r="I71" i="1"/>
  <c r="I74" i="1"/>
  <c r="I70" i="1"/>
  <c r="I72" i="1"/>
  <c r="I45" i="1"/>
  <c r="I46" i="1"/>
  <c r="I44" i="1"/>
  <c r="I43" i="1"/>
  <c r="I42" i="1"/>
  <c r="I41" i="1"/>
  <c r="I40" i="1"/>
  <c r="I39" i="1"/>
  <c r="I62" i="1"/>
  <c r="I61" i="1"/>
  <c r="I57" i="1"/>
  <c r="I58" i="1"/>
  <c r="I60" i="1"/>
  <c r="I59" i="1"/>
  <c r="I56" i="1"/>
  <c r="I55" i="1"/>
  <c r="I54" i="1"/>
  <c r="I37" i="1"/>
  <c r="I31" i="1"/>
  <c r="I28" i="1"/>
  <c r="I27" i="1"/>
  <c r="F78" i="1" l="1"/>
  <c r="F33" i="1"/>
  <c r="F26" i="1"/>
  <c r="F30" i="1"/>
  <c r="F73" i="1"/>
  <c r="F71" i="1"/>
  <c r="F74" i="1"/>
  <c r="F70" i="1"/>
  <c r="F72" i="1"/>
  <c r="F46" i="1"/>
  <c r="F45" i="1"/>
  <c r="F44" i="1"/>
  <c r="F43" i="1"/>
  <c r="F42" i="1"/>
  <c r="F41" i="1"/>
  <c r="F40" i="1"/>
  <c r="F39" i="1"/>
  <c r="F62" i="1"/>
  <c r="F61" i="1"/>
  <c r="F57" i="1"/>
  <c r="F60" i="1"/>
  <c r="F59" i="1"/>
  <c r="F58" i="1"/>
  <c r="F56" i="1"/>
  <c r="F55" i="1"/>
  <c r="F54" i="1"/>
  <c r="F37" i="1"/>
  <c r="F31" i="1"/>
  <c r="F28" i="1"/>
  <c r="F22" i="1"/>
  <c r="F24" i="1"/>
  <c r="F25" i="1"/>
  <c r="F23" i="1"/>
  <c r="F10" i="1"/>
  <c r="F9" i="1"/>
  <c r="F11" i="1"/>
  <c r="F8" i="1"/>
  <c r="F20" i="1"/>
  <c r="F21" i="1"/>
  <c r="F19" i="1"/>
  <c r="F14" i="1"/>
  <c r="F15" i="1"/>
  <c r="F13" i="1"/>
  <c r="F7" i="1"/>
  <c r="F5" i="1"/>
  <c r="F4" i="1"/>
  <c r="F6" i="1"/>
  <c r="F27" i="1"/>
  <c r="F3" i="1"/>
  <c r="P78" i="1" l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63" i="1"/>
  <c r="M53" i="1"/>
  <c r="M49" i="1"/>
  <c r="M50" i="1"/>
  <c r="M51" i="1"/>
  <c r="M48" i="1"/>
  <c r="M78" i="1"/>
  <c r="M77" i="1"/>
  <c r="M76" i="1"/>
  <c r="M75" i="1"/>
  <c r="M71" i="1"/>
  <c r="M72" i="1"/>
  <c r="M73" i="1"/>
  <c r="M74" i="1"/>
  <c r="M70" i="1"/>
  <c r="M65" i="1"/>
  <c r="M66" i="1"/>
  <c r="M67" i="1"/>
  <c r="M68" i="1"/>
  <c r="M69" i="1"/>
  <c r="M64" i="1"/>
  <c r="M61" i="1"/>
  <c r="M62" i="1"/>
  <c r="M55" i="1"/>
  <c r="M56" i="1"/>
  <c r="M57" i="1"/>
  <c r="M58" i="1"/>
  <c r="M59" i="1"/>
  <c r="M60" i="1"/>
  <c r="M54" i="1"/>
  <c r="M52" i="1"/>
  <c r="M47" i="1"/>
  <c r="M44" i="1"/>
  <c r="M45" i="1"/>
  <c r="M46" i="1"/>
  <c r="M43" i="1"/>
  <c r="M40" i="1"/>
  <c r="M41" i="1"/>
  <c r="M42" i="1"/>
  <c r="M39" i="1"/>
  <c r="M38" i="1"/>
  <c r="M37" i="1"/>
  <c r="M36" i="1"/>
  <c r="M35" i="1"/>
  <c r="M34" i="1"/>
  <c r="M33" i="1"/>
  <c r="M32" i="1"/>
  <c r="M30" i="1"/>
  <c r="M31" i="1"/>
  <c r="M27" i="1"/>
  <c r="M28" i="1"/>
  <c r="M29" i="1"/>
  <c r="M26" i="1"/>
  <c r="M23" i="1"/>
  <c r="M24" i="1"/>
  <c r="M25" i="1"/>
  <c r="M22" i="1"/>
  <c r="M17" i="1"/>
  <c r="M18" i="1"/>
  <c r="M19" i="1"/>
  <c r="M20" i="1"/>
  <c r="M21" i="1"/>
  <c r="M16" i="1"/>
  <c r="M14" i="1"/>
  <c r="M15" i="1"/>
  <c r="M13" i="1"/>
  <c r="M9" i="1"/>
  <c r="M10" i="1"/>
  <c r="M11" i="1"/>
  <c r="M12" i="1"/>
  <c r="M8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<sst xmlns="http://schemas.openxmlformats.org/spreadsheetml/2006/main" count="2907" uniqueCount="108">
  <si>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</si>
  <si>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</si>
  <si>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</si>
  <si>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</si>
  <si>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</si>
  <si>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</si>
  <si>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</si>
  <si>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</si>
  <si>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</si>
  <si>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</si>
  <si>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</si>
  <si>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</si>
  <si>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</si>
  <si>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</si>
  <si>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</si>
  <si>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</si>
  <si>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</si>
  <si>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</si>
  <si>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</si>
  <si>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</si>
  <si>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</si>
  <si>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</si>
  <si>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</si>
  <si>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</si>
  <si>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</si>
  <si>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</si>
  <si>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</si>
  <si>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</si>
  <si>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</si>
  <si>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</si>
  <si>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</si>
  <si>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</si>
  <si>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</si>
  <si>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</si>
  <si>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</si>
  <si>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</si>
  <si>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</si>
  <si>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</si>
  <si>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</si>
  <si>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</si>
  <si>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</si>
  <si>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</si>
  <si>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180 ซีซี 0 ขวด กาแฟ</t>
  </si>
  <si>
    <t xml:space="preserve"> 180 ซีซี 0 ขวด จืด</t>
  </si>
  <si>
    <t xml:space="preserve"> 180 ซีซี 0 ขวด ช็อกโกแลต</t>
  </si>
  <si>
    <t xml:space="preserve"> 180 ซีซี 0 ขวด พร่องมันเนย</t>
  </si>
  <si>
    <t xml:space="preserve"> 180 ซีซี 0 ขวด สตรอเบอร์รี่</t>
  </si>
  <si>
    <t xml:space="preserve"> 180 ซีซี 0 ขวด หวาน</t>
  </si>
  <si>
    <t>นมแลคโตสฟรี 180 ซีซี 0 ขวด พร่องมันเนย</t>
  </si>
  <si>
    <t xml:space="preserve"> 200 ซีซี 0 ถุง จืด</t>
  </si>
  <si>
    <t>ออแกนิค 200 ซีซี 0 ขวด จืด</t>
  </si>
  <si>
    <t xml:space="preserve"> 1000 ซีซี 0 ถุง จืด</t>
  </si>
  <si>
    <t>ออแกนิค 1000 มิลลิลิตร 0 แกลลอน จืด</t>
  </si>
  <si>
    <t xml:space="preserve"> 2 ลิตร 0 แกลลอน จืด</t>
  </si>
  <si>
    <t xml:space="preserve"> 5 กิโลกรัม 0 ถุง จืด</t>
  </si>
  <si>
    <t>โยเกิร์ตพร้อมดื่ม พาสเจอร์ไรส์</t>
  </si>
  <si>
    <t xml:space="preserve"> 100 ซีซี 0 ขวด เลมอน</t>
  </si>
  <si>
    <t xml:space="preserve"> 100 ซีซี 0 ขวด สตรอเบอร์รี่</t>
  </si>
  <si>
    <t xml:space="preserve"> 100 ซีซี 0 ขวด ส้ม</t>
  </si>
  <si>
    <t xml:space="preserve"> 100 ซีซี 0 ขวด สับปะรด</t>
  </si>
  <si>
    <t xml:space="preserve"> 180 ซีซี 0 ขวด เลมอน</t>
  </si>
  <si>
    <t xml:space="preserve"> 180 ซีซี 0 ขวด ส้ม</t>
  </si>
  <si>
    <t xml:space="preserve"> 180 ซีซี 0 ขวด สับปะรด</t>
  </si>
  <si>
    <t xml:space="preserve"> 5 ลิตร 0 แกลลอน เลมอน</t>
  </si>
  <si>
    <t xml:space="preserve"> 5 กิโลกรัม 1 ถุง เลมอน</t>
  </si>
  <si>
    <t xml:space="preserve"> 5 กิโลกรัม 1 ถุง สตรอเบอร์รี่</t>
  </si>
  <si>
    <t xml:space="preserve"> 5 กิโลกรัม 1 ถุง ส้ม</t>
  </si>
  <si>
    <t xml:space="preserve"> 5 กิโลกรัม 1 ถุง สับปะรด</t>
  </si>
  <si>
    <t xml:space="preserve"> 100 มิลลิลิตร 0 ขวด เสาวรส</t>
  </si>
  <si>
    <t>นม น้ำนมดิบ</t>
  </si>
  <si>
    <t xml:space="preserve"> 5 กิโลกรัม 1 ถุง จืด</t>
  </si>
  <si>
    <t>โยเกิร์ต อื่นๆ</t>
  </si>
  <si>
    <t xml:space="preserve"> 120 กรัม 0 ถ้วย ธรรมชาติ</t>
  </si>
  <si>
    <t xml:space="preserve"> 120 กรัม 0 ถ้วย ผลไม้รวม</t>
  </si>
  <si>
    <t xml:space="preserve"> 120 กรัม 0 ถ้วย มะเกี่ยง</t>
  </si>
  <si>
    <t xml:space="preserve"> 120 กรัม 0 ถ้วย มัลเบอร์รี่</t>
  </si>
  <si>
    <t xml:space="preserve"> 120 กรัม 0 ถ้วย ลูกชิด</t>
  </si>
  <si>
    <t xml:space="preserve"> 120 กรัม 0 ถ้วย วุ้นว่านหางจระเข้</t>
  </si>
  <si>
    <t xml:space="preserve"> 120 กรัม 0 ถ้วย สตรอเบอร์รี่</t>
  </si>
  <si>
    <t>ออแกนิค 120 กรัม 0 ถ้วย จืด</t>
  </si>
  <si>
    <t>ออแกนิค 120 กรัม 0 ถ้วย น้ำผึ้ง</t>
  </si>
  <si>
    <t xml:space="preserve"> 5 กิโลกรัม 1 ถุง 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</si>
  <si>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</si>
  <si>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</si>
  <si>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</si>
  <si>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</si>
  <si>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</si>
  <si>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</si>
  <si>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</si>
  <si>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 xml:space="preserve"> 90 กรัม 0 ถ้วย ช็อกโกแลต</t>
  </si>
  <si>
    <t xml:space="preserve"> 90 กรัม 0 ถ้วย ทุเรียน</t>
  </si>
  <si>
    <t xml:space="preserve"> 90 กรัม 0 ถ้วย นมสด</t>
  </si>
  <si>
    <t xml:space="preserve"> 90 กรัม 0 ถ้วย มะม่วง</t>
  </si>
  <si>
    <t xml:space="preserve"> 90 กรัม 0 ถ้วย สตรอเบอร์รี่</t>
  </si>
  <si>
    <t>ครีม อื่นๆ</t>
  </si>
  <si>
    <t>ครีมสด ไขมัน 35% 0  0 ไม่บรรจุภาชนะ จืด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</si>
  <si>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</si>
  <si>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</si>
  <si>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</t>
  </si>
  <si>
    <t>นมโรงเรียน 200 ซีซี 1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</si>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</sst>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43" fontId="0" fillId="2" borderId="1" xfId="1" applyFont="1" applyFill="1" applyBorder="1"/>
    <xf numFmtId="12" fontId="0" fillId="2" borderId="1" xfId="1" applyNumberFormat="1" applyFont="1" applyFill="1" applyBorder="1"/>
    <xf numFmtId="43" fontId="0" fillId="0" borderId="1" xfId="1" applyFont="1" applyFill="1" applyBorder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zoomScale="110" zoomScaleNormal="11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79" sqref="M79:P85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7.28515625" bestFit="1" customWidth="1"/>
    <col min="5" max="5" width="48.140625" bestFit="1" customWidth="1"/>
    <col min="6" max="6" width="13.28515625" style="5" hidden="1" customWidth="1"/>
    <col min="7" max="7" width="4.5703125" style="5" hidden="1" customWidth="1"/>
    <col min="8" max="8" width="15.28515625" style="5" hidden="1" customWidth="1"/>
    <col min="9" max="9" width="11.5703125" style="5" hidden="1" customWidth="1"/>
    <col min="10" max="10" width="4.5703125" style="5" hidden="1" customWidth="1"/>
    <col min="11" max="11" width="14.28515625" style="5" hidden="1" customWidth="1"/>
    <col min="12" max="13" width="11.5703125" style="5" bestFit="1" customWidth="1"/>
    <col min="14" max="14" width="14.28515625" style="5" bestFit="1" customWidth="1"/>
    <col min="15" max="15" width="17.7109375" style="5" bestFit="1" customWidth="1"/>
    <col min="16" max="16" width="23" style="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10"/>
      <c r="B2" s="10"/>
      <c r="C2" s="10"/>
      <c r="D2" s="10"/>
      <c r="E2" s="10"/>
      <c r="F2" s="3" t="s">
        <v>8</v>
      </c>
      <c r="G2" s="3" t="s">
        <v>9</v>
      </c>
      <c r="H2" s="3" t="s">
        <v>10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8</v>
      </c>
      <c r="N2" s="3" t="s">
        <v>10</v>
      </c>
      <c r="O2" s="3" t="s">
        <v>12</v>
      </c>
      <c r="P2" s="3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4">
        <f>198639*48*0.125</f>
        <v>1191834</v>
      </c>
      <c r="G3" s="4"/>
      <c r="H3" s="4">
        <v>52937237</v>
      </c>
      <c r="I3" s="8">
        <f>17782*48*0.125</f>
        <v>106692</v>
      </c>
      <c r="J3" s="8"/>
      <c r="K3" s="8">
        <v>4738849.7</v>
      </c>
      <c r="L3" s="6">
        <v>9490</v>
      </c>
      <c r="M3" s="4">
        <f>SUM(L3*0.125*48)</f>
        <v>56940</v>
      </c>
      <c r="N3" s="4">
        <v>2529172.5</v>
      </c>
      <c r="O3" s="6"/>
      <c r="P3" s="4">
        <f>SUM(O3*0.125*48)</f>
        <v>0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4">
        <f>11213*48*0.125</f>
        <v>67278</v>
      </c>
      <c r="G4" s="4"/>
      <c r="H4" s="4">
        <v>3097646</v>
      </c>
      <c r="I4" s="8">
        <f>978.2*48*0.125</f>
        <v>5869.2000000000007</v>
      </c>
      <c r="J4" s="8"/>
      <c r="K4" s="8">
        <v>270227.75</v>
      </c>
      <c r="L4" s="6">
        <v>18</v>
      </c>
      <c r="M4" s="4">
        <f t="shared" ref="M4:M7" si="0">SUM(L4*0.125*48)</f>
        <v>108</v>
      </c>
      <c r="N4" s="4">
        <v>5001.75</v>
      </c>
      <c r="O4" s="6"/>
      <c r="P4" s="4">
        <f t="shared" ref="P4:P7" si="1">SUM(O4*0.125*48)</f>
        <v>0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4">
        <f>10508*48*0.125</f>
        <v>63048</v>
      </c>
      <c r="G5" s="4"/>
      <c r="H5" s="4">
        <v>2902810</v>
      </c>
      <c r="I5" s="8">
        <f>938*48*0.125</f>
        <v>5628</v>
      </c>
      <c r="J5" s="8"/>
      <c r="K5" s="8">
        <v>259122.5</v>
      </c>
      <c r="L5" s="6">
        <v>382</v>
      </c>
      <c r="M5" s="4">
        <f t="shared" si="0"/>
        <v>2292</v>
      </c>
      <c r="N5" s="4">
        <v>105556.75</v>
      </c>
      <c r="O5" s="6"/>
      <c r="P5" s="4">
        <f t="shared" si="1"/>
        <v>0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4">
        <f>32472*48*0.125</f>
        <v>194832</v>
      </c>
      <c r="G6" s="4"/>
      <c r="H6" s="4">
        <v>8970445</v>
      </c>
      <c r="I6" s="8">
        <f>2934.6*48*0.125</f>
        <v>17607.599999999999</v>
      </c>
      <c r="J6" s="8"/>
      <c r="K6" s="8">
        <v>810683.25</v>
      </c>
      <c r="L6" s="6">
        <v>2806</v>
      </c>
      <c r="M6" s="4">
        <f t="shared" si="0"/>
        <v>16836</v>
      </c>
      <c r="N6" s="4">
        <v>775186.75</v>
      </c>
      <c r="O6" s="6"/>
      <c r="P6" s="4">
        <f t="shared" si="1"/>
        <v>0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4">
        <f>1013*48*0.125</f>
        <v>6078</v>
      </c>
      <c r="G7" s="4"/>
      <c r="H7" s="4">
        <v>396067</v>
      </c>
      <c r="I7" s="8">
        <f>93.8*48*0.125</f>
        <v>562.79999999999995</v>
      </c>
      <c r="J7" s="8"/>
      <c r="K7" s="8">
        <v>36675.800000000003</v>
      </c>
      <c r="L7" s="6">
        <v>85</v>
      </c>
      <c r="M7" s="4">
        <f t="shared" si="0"/>
        <v>510</v>
      </c>
      <c r="N7" s="4">
        <v>25806</v>
      </c>
      <c r="O7" s="6">
        <v>19</v>
      </c>
      <c r="P7" s="4">
        <f t="shared" si="1"/>
        <v>114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4">
        <f>401260*36*0.2</f>
        <v>2889072</v>
      </c>
      <c r="G8" s="4"/>
      <c r="H8" s="4">
        <v>119575406</v>
      </c>
      <c r="I8" s="8">
        <f>41091.9*36*0.2</f>
        <v>295861.68000000005</v>
      </c>
      <c r="J8" s="8"/>
      <c r="K8" s="8">
        <v>12245387.390000001</v>
      </c>
      <c r="L8" s="6">
        <v>17404</v>
      </c>
      <c r="M8" s="4">
        <f>SUM(L8*0.2*36)</f>
        <v>125308.8</v>
      </c>
      <c r="N8" s="4">
        <v>4551905.2</v>
      </c>
      <c r="O8" s="6"/>
      <c r="P8" s="4">
        <f>SUM(O8*0.2*36)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4">
        <f>18184*36*0.2</f>
        <v>130924.8</v>
      </c>
      <c r="G9" s="4"/>
      <c r="H9" s="4">
        <v>5573462</v>
      </c>
      <c r="I9" s="8">
        <f>1608*36*0.2</f>
        <v>11577.6</v>
      </c>
      <c r="J9" s="8"/>
      <c r="K9" s="8">
        <v>492852</v>
      </c>
      <c r="L9" s="6">
        <v>256</v>
      </c>
      <c r="M9" s="4">
        <f t="shared" ref="M9:M12" si="2">SUM(L9*0.2*36)</f>
        <v>1843.2</v>
      </c>
      <c r="N9" s="4">
        <v>78501.5</v>
      </c>
      <c r="O9" s="6"/>
      <c r="P9" s="4">
        <f t="shared" ref="P9:P12" si="3">SUM(O9*0.2*36)</f>
        <v>0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4">
        <f>6039*36*0.2</f>
        <v>43480.800000000003</v>
      </c>
      <c r="G10" s="4"/>
      <c r="H10" s="4">
        <v>1799599</v>
      </c>
      <c r="I10" s="8">
        <f>268*36*0.2</f>
        <v>1929.6000000000001</v>
      </c>
      <c r="J10" s="8"/>
      <c r="K10" s="8">
        <v>79864</v>
      </c>
      <c r="L10" s="6">
        <v>900</v>
      </c>
      <c r="M10" s="4">
        <f t="shared" si="2"/>
        <v>6480</v>
      </c>
      <c r="N10" s="4">
        <v>268225</v>
      </c>
      <c r="O10" s="6"/>
      <c r="P10" s="4">
        <f t="shared" si="3"/>
        <v>0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4">
        <f>45971*36*0.2</f>
        <v>330991.2</v>
      </c>
      <c r="G11" s="4"/>
      <c r="H11" s="4">
        <v>14090216</v>
      </c>
      <c r="I11" s="8">
        <f>4154*36*0.2</f>
        <v>29908.800000000003</v>
      </c>
      <c r="J11" s="8"/>
      <c r="K11" s="8">
        <v>1273201</v>
      </c>
      <c r="L11" s="6">
        <v>3623</v>
      </c>
      <c r="M11" s="4">
        <f t="shared" si="2"/>
        <v>26085.600000000002</v>
      </c>
      <c r="N11" s="4">
        <v>1110524.5</v>
      </c>
      <c r="O11" s="6"/>
      <c r="P11" s="4">
        <f t="shared" si="3"/>
        <v>0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4"/>
      <c r="G12" s="4"/>
      <c r="H12" s="4"/>
      <c r="I12" s="8"/>
      <c r="J12" s="8"/>
      <c r="K12" s="8"/>
      <c r="L12" s="6">
        <v>390</v>
      </c>
      <c r="M12" s="4">
        <f t="shared" si="2"/>
        <v>2808</v>
      </c>
      <c r="N12" s="4">
        <v>127300</v>
      </c>
      <c r="O12" s="6">
        <v>55</v>
      </c>
      <c r="P12" s="4">
        <f t="shared" si="3"/>
        <v>396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4">
        <f>29402*12*0.25</f>
        <v>88206</v>
      </c>
      <c r="G13" s="4"/>
      <c r="H13" s="4">
        <v>3528243</v>
      </c>
      <c r="I13" s="8">
        <f>2680*12*0.25</f>
        <v>8040</v>
      </c>
      <c r="J13" s="8"/>
      <c r="K13" s="8">
        <v>321600</v>
      </c>
      <c r="L13" s="6">
        <v>2629</v>
      </c>
      <c r="M13" s="4">
        <f>SUM(L13*0.25*12)</f>
        <v>7887</v>
      </c>
      <c r="N13" s="4">
        <v>315480</v>
      </c>
      <c r="O13" s="6"/>
      <c r="P13" s="4">
        <f>SUM(O13*0.25*12)</f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4">
        <f>13311*12*0.25</f>
        <v>39933</v>
      </c>
      <c r="G14" s="4"/>
      <c r="H14" s="4">
        <v>1633935</v>
      </c>
      <c r="I14" s="8">
        <f>1183.22*12*0.25</f>
        <v>3549.66</v>
      </c>
      <c r="J14" s="8"/>
      <c r="K14" s="8">
        <v>145240.26</v>
      </c>
      <c r="L14" s="6">
        <v>125</v>
      </c>
      <c r="M14" s="4">
        <f t="shared" ref="M14:M15" si="4">SUM(L14*0.25*12)</f>
        <v>375</v>
      </c>
      <c r="N14" s="4">
        <v>15345</v>
      </c>
      <c r="O14" s="6"/>
      <c r="P14" s="4">
        <f t="shared" ref="P14:P15" si="5">SUM(O14*0.25*12)</f>
        <v>0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4">
        <f>17714*12*0.25</f>
        <v>53142</v>
      </c>
      <c r="G15" s="4"/>
      <c r="H15" s="4">
        <v>2174346</v>
      </c>
      <c r="I15" s="8">
        <f>1608*12*0.25</f>
        <v>4824</v>
      </c>
      <c r="J15" s="8"/>
      <c r="K15" s="8">
        <v>197382</v>
      </c>
      <c r="L15" s="6">
        <v>972</v>
      </c>
      <c r="M15" s="4">
        <f t="shared" si="4"/>
        <v>2916</v>
      </c>
      <c r="N15" s="4">
        <v>119314.25</v>
      </c>
      <c r="O15" s="6"/>
      <c r="P15" s="4">
        <f t="shared" si="5"/>
        <v>0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4"/>
      <c r="G16" s="4"/>
      <c r="H16" s="4"/>
      <c r="I16" s="8"/>
      <c r="J16" s="8"/>
      <c r="K16" s="8"/>
      <c r="L16" s="6"/>
      <c r="M16" s="4">
        <f>SUM(L16*0.25*36)</f>
        <v>0</v>
      </c>
      <c r="N16" s="4"/>
      <c r="O16" s="6"/>
      <c r="P16" s="4">
        <f>SUM(O16*0.25*36)</f>
        <v>0</v>
      </c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4"/>
      <c r="G17" s="4"/>
      <c r="H17" s="4"/>
      <c r="I17" s="8"/>
      <c r="J17" s="8"/>
      <c r="K17" s="8"/>
      <c r="L17" s="6"/>
      <c r="M17" s="4">
        <f t="shared" ref="M17:M21" si="6">SUM(L17*0.25*36)</f>
        <v>0</v>
      </c>
      <c r="N17" s="4"/>
      <c r="O17" s="6"/>
      <c r="P17" s="4">
        <f t="shared" ref="P17:P21" si="7">SUM(O17*0.25*36)</f>
        <v>0</v>
      </c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4"/>
      <c r="G18" s="4"/>
      <c r="H18" s="4"/>
      <c r="I18" s="8"/>
      <c r="J18" s="8"/>
      <c r="K18" s="8"/>
      <c r="L18" s="6"/>
      <c r="M18" s="4">
        <f t="shared" si="6"/>
        <v>0</v>
      </c>
      <c r="N18" s="4"/>
      <c r="O18" s="6"/>
      <c r="P18" s="4">
        <f t="shared" si="7"/>
        <v>0</v>
      </c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4">
        <f>36352*36*0.25</f>
        <v>327168</v>
      </c>
      <c r="G19" s="4"/>
      <c r="H19" s="4">
        <v>12941146</v>
      </c>
      <c r="I19" s="8">
        <f>3350*36*0.25</f>
        <v>30150</v>
      </c>
      <c r="J19" s="8"/>
      <c r="K19" s="8">
        <v>1192600</v>
      </c>
      <c r="L19" s="6">
        <v>1554</v>
      </c>
      <c r="M19" s="4">
        <f t="shared" si="6"/>
        <v>13986</v>
      </c>
      <c r="N19" s="4">
        <v>553224</v>
      </c>
      <c r="O19" s="6"/>
      <c r="P19" s="4">
        <f t="shared" si="7"/>
        <v>0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4">
        <f>6670*36*0.25</f>
        <v>60030</v>
      </c>
      <c r="G20" s="4"/>
      <c r="H20" s="4">
        <v>2423009</v>
      </c>
      <c r="I20" s="8">
        <f>675.08*36*0.25</f>
        <v>6075.72</v>
      </c>
      <c r="J20" s="8"/>
      <c r="K20" s="8">
        <v>245223.27</v>
      </c>
      <c r="L20" s="6">
        <v>265</v>
      </c>
      <c r="M20" s="4">
        <f t="shared" si="6"/>
        <v>2385</v>
      </c>
      <c r="N20" s="4">
        <v>96261.25</v>
      </c>
      <c r="O20" s="6"/>
      <c r="P20" s="4">
        <f t="shared" si="7"/>
        <v>0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4">
        <f>15661*36*0.25</f>
        <v>140949</v>
      </c>
      <c r="G21" s="4"/>
      <c r="H21" s="4">
        <v>5688804</v>
      </c>
      <c r="I21" s="8">
        <f>1584.97*36*0.25</f>
        <v>14264.73</v>
      </c>
      <c r="J21" s="8"/>
      <c r="K21" s="8">
        <v>575741.6</v>
      </c>
      <c r="L21" s="6">
        <v>702</v>
      </c>
      <c r="M21" s="4">
        <f t="shared" si="6"/>
        <v>6318</v>
      </c>
      <c r="N21" s="4">
        <v>255001.5</v>
      </c>
      <c r="O21" s="6"/>
      <c r="P21" s="4">
        <f t="shared" si="7"/>
        <v>0</v>
      </c>
    </row>
    <row r="22" spans="1:16" x14ac:dyDescent="0.25">
      <c r="A22" s="2" t="s">
        <v>14</v>
      </c>
      <c r="B22" s="2"/>
      <c r="C22" s="2" t="s">
        <v>15</v>
      </c>
      <c r="D22" s="2" t="s">
        <v>36</v>
      </c>
      <c r="E22" s="2" t="s">
        <v>37</v>
      </c>
      <c r="F22" s="4">
        <f>1142*36*0.2</f>
        <v>8222.4</v>
      </c>
      <c r="G22" s="4"/>
      <c r="H22" s="4">
        <v>342740</v>
      </c>
      <c r="I22" s="8">
        <f>95*36*0.2</f>
        <v>684</v>
      </c>
      <c r="J22" s="8"/>
      <c r="K22" s="8">
        <v>28500</v>
      </c>
      <c r="L22" s="6">
        <v>86</v>
      </c>
      <c r="M22" s="4">
        <f>SUM(L22*0.2*36)</f>
        <v>619.19999999999993</v>
      </c>
      <c r="N22" s="4">
        <v>15600</v>
      </c>
      <c r="O22" s="6">
        <v>34</v>
      </c>
      <c r="P22" s="4">
        <f>SUM(O22*0.2*36)</f>
        <v>244.8</v>
      </c>
    </row>
    <row r="23" spans="1:16" x14ac:dyDescent="0.25">
      <c r="A23" s="2" t="s">
        <v>14</v>
      </c>
      <c r="B23" s="2"/>
      <c r="C23" s="2" t="s">
        <v>15</v>
      </c>
      <c r="D23" s="2" t="s">
        <v>36</v>
      </c>
      <c r="E23" s="2" t="s">
        <v>38</v>
      </c>
      <c r="F23" s="4">
        <f>1035*36*0.2</f>
        <v>7452</v>
      </c>
      <c r="G23" s="4"/>
      <c r="H23" s="4">
        <v>310602</v>
      </c>
      <c r="I23" s="8">
        <f>96*36*0.2</f>
        <v>691.2</v>
      </c>
      <c r="J23" s="8"/>
      <c r="K23" s="8">
        <v>28800</v>
      </c>
      <c r="L23" s="6">
        <v>108</v>
      </c>
      <c r="M23" s="4">
        <f t="shared" ref="M23:M25" si="8">SUM(L23*0.2*36)</f>
        <v>777.6</v>
      </c>
      <c r="N23" s="4">
        <v>20700</v>
      </c>
      <c r="O23" s="6">
        <v>39</v>
      </c>
      <c r="P23" s="4">
        <f t="shared" ref="P23:P25" si="9">SUM(O23*0.2*36)</f>
        <v>280.8</v>
      </c>
    </row>
    <row r="24" spans="1:16" x14ac:dyDescent="0.25">
      <c r="A24" s="2" t="s">
        <v>14</v>
      </c>
      <c r="B24" s="2"/>
      <c r="C24" s="2" t="s">
        <v>15</v>
      </c>
      <c r="D24" s="2" t="s">
        <v>36</v>
      </c>
      <c r="E24" s="2" t="s">
        <v>39</v>
      </c>
      <c r="F24" s="4">
        <f>1146*36*0.2</f>
        <v>8251.2000000000007</v>
      </c>
      <c r="G24" s="4"/>
      <c r="H24" s="4">
        <v>343805</v>
      </c>
      <c r="I24" s="8">
        <f>95*36*0.2</f>
        <v>684</v>
      </c>
      <c r="J24" s="8"/>
      <c r="K24" s="8">
        <v>28500</v>
      </c>
      <c r="L24" s="6">
        <v>100</v>
      </c>
      <c r="M24" s="4">
        <f t="shared" si="8"/>
        <v>720</v>
      </c>
      <c r="N24" s="4">
        <v>18600</v>
      </c>
      <c r="O24" s="6">
        <v>38</v>
      </c>
      <c r="P24" s="4">
        <f t="shared" si="9"/>
        <v>273.60000000000002</v>
      </c>
    </row>
    <row r="25" spans="1:16" x14ac:dyDescent="0.25">
      <c r="A25" s="2" t="s">
        <v>14</v>
      </c>
      <c r="B25" s="2"/>
      <c r="C25" s="2" t="s">
        <v>15</v>
      </c>
      <c r="D25" s="2" t="s">
        <v>36</v>
      </c>
      <c r="E25" s="2" t="s">
        <v>40</v>
      </c>
      <c r="F25" s="4">
        <f>1050*36*0.2</f>
        <v>7560</v>
      </c>
      <c r="G25" s="4"/>
      <c r="H25" s="4">
        <v>315021</v>
      </c>
      <c r="I25" s="8">
        <f>99*36*0.2</f>
        <v>712.80000000000007</v>
      </c>
      <c r="J25" s="8"/>
      <c r="K25" s="8">
        <v>29700</v>
      </c>
      <c r="L25" s="6">
        <v>74</v>
      </c>
      <c r="M25" s="4">
        <f t="shared" si="8"/>
        <v>532.80000000000007</v>
      </c>
      <c r="N25" s="4">
        <v>14100</v>
      </c>
      <c r="O25" s="6">
        <v>27</v>
      </c>
      <c r="P25" s="4">
        <f t="shared" si="9"/>
        <v>194.4</v>
      </c>
    </row>
    <row r="26" spans="1:16" x14ac:dyDescent="0.25">
      <c r="A26" s="2" t="s">
        <v>14</v>
      </c>
      <c r="B26" s="2"/>
      <c r="C26" s="2" t="s">
        <v>15</v>
      </c>
      <c r="D26" s="2" t="s">
        <v>41</v>
      </c>
      <c r="E26" s="2" t="s">
        <v>42</v>
      </c>
      <c r="F26" s="4">
        <f>112141*0.18</f>
        <v>20185.38</v>
      </c>
      <c r="G26" s="4"/>
      <c r="H26" s="4">
        <v>884792</v>
      </c>
      <c r="I26" s="8">
        <f>8521*0.18</f>
        <v>1533.78</v>
      </c>
      <c r="J26" s="8"/>
      <c r="K26" s="8">
        <v>67231.199999999997</v>
      </c>
      <c r="L26" s="6">
        <v>12976</v>
      </c>
      <c r="M26" s="4">
        <f>SUM(L26*0.18)</f>
        <v>2335.6799999999998</v>
      </c>
      <c r="N26" s="4">
        <v>102466.29</v>
      </c>
      <c r="O26" s="6"/>
      <c r="P26" s="4">
        <f>SUM(O26*0.18)</f>
        <v>0</v>
      </c>
    </row>
    <row r="27" spans="1:16" x14ac:dyDescent="0.25">
      <c r="A27" s="2" t="s">
        <v>14</v>
      </c>
      <c r="B27" s="2"/>
      <c r="C27" s="2" t="s">
        <v>15</v>
      </c>
      <c r="D27" s="2" t="s">
        <v>41</v>
      </c>
      <c r="E27" s="2" t="s">
        <v>43</v>
      </c>
      <c r="F27" s="4">
        <f>1489344*0.18</f>
        <v>268081.91999999998</v>
      </c>
      <c r="G27" s="4"/>
      <c r="H27" s="4">
        <v>9308401</v>
      </c>
      <c r="I27" s="8">
        <f>112720*0.18</f>
        <v>20289.599999999999</v>
      </c>
      <c r="J27" s="8"/>
      <c r="K27" s="8">
        <v>704497.5</v>
      </c>
      <c r="L27" s="6">
        <v>56166</v>
      </c>
      <c r="M27" s="4">
        <f t="shared" ref="M27:M32" si="10">SUM(L27*0.18)</f>
        <v>10109.879999999999</v>
      </c>
      <c r="N27" s="4">
        <v>162393.34</v>
      </c>
      <c r="O27" s="6">
        <v>33580</v>
      </c>
      <c r="P27" s="4">
        <f t="shared" ref="P27:P32" si="11">SUM(O27*0.18)</f>
        <v>6044.4</v>
      </c>
    </row>
    <row r="28" spans="1:16" x14ac:dyDescent="0.25">
      <c r="A28" s="2" t="s">
        <v>14</v>
      </c>
      <c r="B28" s="2"/>
      <c r="C28" s="2" t="s">
        <v>15</v>
      </c>
      <c r="D28" s="2" t="s">
        <v>41</v>
      </c>
      <c r="E28" s="2" t="s">
        <v>44</v>
      </c>
      <c r="F28" s="4">
        <f>1483660*0.18</f>
        <v>267058.8</v>
      </c>
      <c r="G28" s="4"/>
      <c r="H28" s="4">
        <v>10192747</v>
      </c>
      <c r="I28" s="8">
        <f>111378*0.18</f>
        <v>20048.04</v>
      </c>
      <c r="J28" s="8"/>
      <c r="K28" s="8">
        <v>765164.8</v>
      </c>
      <c r="L28" s="6">
        <v>53767</v>
      </c>
      <c r="M28" s="4">
        <f t="shared" si="10"/>
        <v>9678.06</v>
      </c>
      <c r="N28" s="4">
        <v>424576.49</v>
      </c>
      <c r="O28" s="6"/>
      <c r="P28" s="4">
        <f t="shared" si="11"/>
        <v>0</v>
      </c>
    </row>
    <row r="29" spans="1:16" x14ac:dyDescent="0.25">
      <c r="A29" s="2" t="s">
        <v>14</v>
      </c>
      <c r="B29" s="2"/>
      <c r="C29" s="2" t="s">
        <v>15</v>
      </c>
      <c r="D29" s="2" t="s">
        <v>41</v>
      </c>
      <c r="E29" s="2" t="s">
        <v>45</v>
      </c>
      <c r="F29" s="4"/>
      <c r="G29" s="4"/>
      <c r="H29" s="4"/>
      <c r="I29" s="8"/>
      <c r="J29" s="8"/>
      <c r="K29" s="8"/>
      <c r="L29" s="6"/>
      <c r="M29" s="4">
        <f t="shared" si="10"/>
        <v>0</v>
      </c>
      <c r="N29" s="4"/>
      <c r="O29" s="6"/>
      <c r="P29" s="4">
        <f t="shared" si="11"/>
        <v>0</v>
      </c>
    </row>
    <row r="30" spans="1:16" x14ac:dyDescent="0.25">
      <c r="A30" s="2" t="s">
        <v>14</v>
      </c>
      <c r="B30" s="2"/>
      <c r="C30" s="2" t="s">
        <v>15</v>
      </c>
      <c r="D30" s="2" t="s">
        <v>41</v>
      </c>
      <c r="E30" s="2" t="s">
        <v>46</v>
      </c>
      <c r="F30" s="4">
        <f>313995*0.18</f>
        <v>56519.1</v>
      </c>
      <c r="G30" s="4"/>
      <c r="H30" s="4">
        <v>2477419</v>
      </c>
      <c r="I30" s="8">
        <f>23859*0.18</f>
        <v>4294.62</v>
      </c>
      <c r="J30" s="8"/>
      <c r="K30" s="8">
        <v>188247.37</v>
      </c>
      <c r="L30" s="6">
        <v>33631</v>
      </c>
      <c r="M30" s="4">
        <f t="shared" si="10"/>
        <v>6053.58</v>
      </c>
      <c r="N30" s="4">
        <v>265570.55</v>
      </c>
      <c r="O30" s="6"/>
      <c r="P30" s="4">
        <f t="shared" si="11"/>
        <v>0</v>
      </c>
    </row>
    <row r="31" spans="1:16" x14ac:dyDescent="0.25">
      <c r="A31" s="2" t="s">
        <v>14</v>
      </c>
      <c r="B31" s="2"/>
      <c r="C31" s="2" t="s">
        <v>15</v>
      </c>
      <c r="D31" s="2" t="s">
        <v>41</v>
      </c>
      <c r="E31" s="2" t="s">
        <v>47</v>
      </c>
      <c r="F31" s="4">
        <f>1476695*0.18</f>
        <v>265805.09999999998</v>
      </c>
      <c r="G31" s="4"/>
      <c r="H31" s="4">
        <v>10144897</v>
      </c>
      <c r="I31" s="8">
        <f>108895*0.18</f>
        <v>19601.099999999999</v>
      </c>
      <c r="J31" s="8"/>
      <c r="K31" s="8">
        <v>748109.92</v>
      </c>
      <c r="L31" s="6">
        <v>30699</v>
      </c>
      <c r="M31" s="4">
        <f t="shared" si="10"/>
        <v>5525.82</v>
      </c>
      <c r="N31" s="4">
        <v>242417.72</v>
      </c>
      <c r="O31" s="6"/>
      <c r="P31" s="4">
        <f t="shared" si="11"/>
        <v>0</v>
      </c>
    </row>
    <row r="32" spans="1:16" x14ac:dyDescent="0.25">
      <c r="A32" s="2" t="s">
        <v>14</v>
      </c>
      <c r="B32" s="2"/>
      <c r="C32" s="2" t="s">
        <v>15</v>
      </c>
      <c r="D32" s="2" t="s">
        <v>41</v>
      </c>
      <c r="E32" s="2" t="s">
        <v>48</v>
      </c>
      <c r="F32" s="4"/>
      <c r="G32" s="4"/>
      <c r="H32" s="4"/>
      <c r="I32" s="8"/>
      <c r="J32" s="8"/>
      <c r="K32" s="8"/>
      <c r="L32" s="6">
        <v>468</v>
      </c>
      <c r="M32" s="4">
        <f t="shared" si="10"/>
        <v>84.24</v>
      </c>
      <c r="N32" s="4">
        <v>5848.88</v>
      </c>
      <c r="O32" s="6"/>
      <c r="P32" s="4">
        <f t="shared" si="11"/>
        <v>0</v>
      </c>
    </row>
    <row r="33" spans="1:16" x14ac:dyDescent="0.25">
      <c r="A33" s="2" t="s">
        <v>14</v>
      </c>
      <c r="B33" s="2"/>
      <c r="C33" s="2" t="s">
        <v>15</v>
      </c>
      <c r="D33" s="2" t="s">
        <v>41</v>
      </c>
      <c r="E33" s="2" t="s">
        <v>49</v>
      </c>
      <c r="F33" s="4">
        <f>145783*0.2</f>
        <v>29156.600000000002</v>
      </c>
      <c r="G33" s="4"/>
      <c r="H33" s="4">
        <v>847001</v>
      </c>
      <c r="I33" s="8">
        <f>11077*0.2</f>
        <v>2215.4</v>
      </c>
      <c r="J33" s="8"/>
      <c r="K33" s="8">
        <v>64359.6</v>
      </c>
      <c r="L33" s="6">
        <v>36282</v>
      </c>
      <c r="M33" s="4">
        <f>SUM(L33*0.2)</f>
        <v>7256.4000000000005</v>
      </c>
      <c r="N33" s="4">
        <v>170738.47</v>
      </c>
      <c r="O33" s="6">
        <v>6895</v>
      </c>
      <c r="P33" s="4">
        <f>SUM(O33*0.2)</f>
        <v>1379</v>
      </c>
    </row>
    <row r="34" spans="1:16" x14ac:dyDescent="0.25">
      <c r="A34" s="2" t="s">
        <v>14</v>
      </c>
      <c r="B34" s="2"/>
      <c r="C34" s="2" t="s">
        <v>15</v>
      </c>
      <c r="D34" s="2" t="s">
        <v>41</v>
      </c>
      <c r="E34" s="2" t="s">
        <v>50</v>
      </c>
      <c r="F34" s="4"/>
      <c r="G34" s="4"/>
      <c r="H34" s="4"/>
      <c r="I34" s="8"/>
      <c r="J34" s="8"/>
      <c r="K34" s="8"/>
      <c r="L34" s="6">
        <v>1336</v>
      </c>
      <c r="M34" s="4">
        <f>SUM(L34*0.2)</f>
        <v>267.2</v>
      </c>
      <c r="N34" s="4">
        <v>32640</v>
      </c>
      <c r="O34" s="6">
        <v>248</v>
      </c>
      <c r="P34" s="4">
        <f>SUM(O34*0.2)</f>
        <v>49.6</v>
      </c>
    </row>
    <row r="35" spans="1:16" x14ac:dyDescent="0.25">
      <c r="A35" s="2" t="s">
        <v>14</v>
      </c>
      <c r="B35" s="2"/>
      <c r="C35" s="2" t="s">
        <v>15</v>
      </c>
      <c r="D35" s="2" t="s">
        <v>41</v>
      </c>
      <c r="E35" s="2" t="s">
        <v>51</v>
      </c>
      <c r="F35" s="4">
        <v>179426</v>
      </c>
      <c r="G35" s="4"/>
      <c r="H35" s="4">
        <v>5158486</v>
      </c>
      <c r="I35" s="8">
        <f>13634*1</f>
        <v>13634</v>
      </c>
      <c r="J35" s="8"/>
      <c r="K35" s="8">
        <v>391968.99</v>
      </c>
      <c r="L35" s="6">
        <v>19740</v>
      </c>
      <c r="M35" s="4">
        <f>SUM(L35)</f>
        <v>19740</v>
      </c>
      <c r="N35" s="4">
        <v>462990</v>
      </c>
      <c r="O35" s="6">
        <v>3636</v>
      </c>
      <c r="P35" s="4">
        <f>SUM(O35)</f>
        <v>3636</v>
      </c>
    </row>
    <row r="36" spans="1:16" x14ac:dyDescent="0.25">
      <c r="A36" s="2" t="s">
        <v>14</v>
      </c>
      <c r="B36" s="2"/>
      <c r="C36" s="2" t="s">
        <v>15</v>
      </c>
      <c r="D36" s="2" t="s">
        <v>41</v>
      </c>
      <c r="E36" s="2" t="s">
        <v>52</v>
      </c>
      <c r="F36" s="4"/>
      <c r="G36" s="4"/>
      <c r="H36" s="4"/>
      <c r="I36" s="8"/>
      <c r="J36" s="8"/>
      <c r="K36" s="8"/>
      <c r="L36" s="6">
        <v>24</v>
      </c>
      <c r="M36" s="4">
        <f>SUM(L36)</f>
        <v>24</v>
      </c>
      <c r="N36" s="4">
        <v>1560</v>
      </c>
      <c r="O36" s="6">
        <v>12</v>
      </c>
      <c r="P36" s="4">
        <f>SUM(O36)</f>
        <v>12</v>
      </c>
    </row>
    <row r="37" spans="1:16" x14ac:dyDescent="0.25">
      <c r="A37" s="2" t="s">
        <v>14</v>
      </c>
      <c r="B37" s="2"/>
      <c r="C37" s="2" t="s">
        <v>15</v>
      </c>
      <c r="D37" s="2" t="s">
        <v>41</v>
      </c>
      <c r="E37" s="2" t="s">
        <v>53</v>
      </c>
      <c r="F37" s="4">
        <f>280696*2</f>
        <v>561392</v>
      </c>
      <c r="G37" s="4"/>
      <c r="H37" s="4">
        <v>21052217</v>
      </c>
      <c r="I37" s="8">
        <f>21704*2</f>
        <v>43408</v>
      </c>
      <c r="J37" s="8"/>
      <c r="K37" s="8">
        <v>1627762.5</v>
      </c>
      <c r="L37" s="6">
        <v>1460</v>
      </c>
      <c r="M37" s="4">
        <f>SUM(L37*2)</f>
        <v>2920</v>
      </c>
      <c r="N37" s="4">
        <v>109200</v>
      </c>
      <c r="O37" s="6">
        <v>4</v>
      </c>
      <c r="P37" s="4">
        <f>SUM(O37*2)</f>
        <v>8</v>
      </c>
    </row>
    <row r="38" spans="1:16" x14ac:dyDescent="0.25">
      <c r="A38" s="2" t="s">
        <v>14</v>
      </c>
      <c r="B38" s="2"/>
      <c r="C38" s="2" t="s">
        <v>15</v>
      </c>
      <c r="D38" s="2" t="s">
        <v>41</v>
      </c>
      <c r="E38" s="2" t="s">
        <v>54</v>
      </c>
      <c r="F38" s="4">
        <v>567990</v>
      </c>
      <c r="G38" s="4"/>
      <c r="H38" s="4">
        <v>16471703</v>
      </c>
      <c r="I38" s="8">
        <v>43159</v>
      </c>
      <c r="J38" s="8"/>
      <c r="K38" s="8">
        <v>1251606.8999999999</v>
      </c>
      <c r="L38" s="6">
        <v>13480</v>
      </c>
      <c r="M38" s="4">
        <f>SUM(L38)</f>
        <v>13480</v>
      </c>
      <c r="N38" s="4">
        <v>390920</v>
      </c>
      <c r="O38" s="6"/>
      <c r="P38" s="4">
        <f>SUM(O38)</f>
        <v>0</v>
      </c>
    </row>
    <row r="39" spans="1:16" x14ac:dyDescent="0.25">
      <c r="A39" s="2" t="s">
        <v>14</v>
      </c>
      <c r="B39" s="2"/>
      <c r="C39" s="2" t="s">
        <v>15</v>
      </c>
      <c r="D39" s="2" t="s">
        <v>55</v>
      </c>
      <c r="E39" s="2" t="s">
        <v>56</v>
      </c>
      <c r="F39" s="4">
        <f>1764402*0.1</f>
        <v>176440.2</v>
      </c>
      <c r="G39" s="4"/>
      <c r="H39" s="4">
        <v>6104831</v>
      </c>
      <c r="I39" s="8">
        <f>121410*0.1</f>
        <v>12141</v>
      </c>
      <c r="J39" s="8"/>
      <c r="K39" s="8">
        <v>420078.6</v>
      </c>
      <c r="L39" s="6">
        <v>87973</v>
      </c>
      <c r="M39" s="4">
        <f>SUM(L39*0.1)</f>
        <v>8797.3000000000011</v>
      </c>
      <c r="N39" s="4">
        <v>276378.46000000002</v>
      </c>
      <c r="O39" s="6">
        <v>18351</v>
      </c>
      <c r="P39" s="4">
        <f>SUM(O39*0.1)</f>
        <v>1835.1000000000001</v>
      </c>
    </row>
    <row r="40" spans="1:16" x14ac:dyDescent="0.25">
      <c r="A40" s="2" t="s">
        <v>14</v>
      </c>
      <c r="B40" s="2"/>
      <c r="C40" s="2" t="s">
        <v>15</v>
      </c>
      <c r="D40" s="2" t="s">
        <v>55</v>
      </c>
      <c r="E40" s="2" t="s">
        <v>57</v>
      </c>
      <c r="F40" s="4">
        <f>1811951*0.1</f>
        <v>181195.1</v>
      </c>
      <c r="G40" s="4"/>
      <c r="H40" s="4">
        <v>6269352</v>
      </c>
      <c r="I40" s="8">
        <f>121410*0.1</f>
        <v>12141</v>
      </c>
      <c r="J40" s="8"/>
      <c r="K40" s="8">
        <v>420078.6</v>
      </c>
      <c r="L40" s="6">
        <v>90860</v>
      </c>
      <c r="M40" s="4">
        <f t="shared" ref="M40:M42" si="12">SUM(L40*0.1)</f>
        <v>9086</v>
      </c>
      <c r="N40" s="4">
        <v>360686.94</v>
      </c>
      <c r="O40" s="6"/>
      <c r="P40" s="4">
        <f t="shared" ref="P40:P42" si="13">SUM(O40*0.1)</f>
        <v>0</v>
      </c>
    </row>
    <row r="41" spans="1:16" x14ac:dyDescent="0.25">
      <c r="A41" s="2" t="s">
        <v>14</v>
      </c>
      <c r="B41" s="2"/>
      <c r="C41" s="2" t="s">
        <v>15</v>
      </c>
      <c r="D41" s="2" t="s">
        <v>55</v>
      </c>
      <c r="E41" s="2" t="s">
        <v>58</v>
      </c>
      <c r="F41" s="4">
        <f>1535864*0.1</f>
        <v>153586.4</v>
      </c>
      <c r="G41" s="4"/>
      <c r="H41" s="4">
        <v>5314090</v>
      </c>
      <c r="I41" s="8">
        <f>102240*0.1</f>
        <v>10224</v>
      </c>
      <c r="J41" s="8"/>
      <c r="K41" s="8">
        <v>353750.4</v>
      </c>
      <c r="L41" s="6">
        <v>87598</v>
      </c>
      <c r="M41" s="4">
        <f t="shared" si="12"/>
        <v>8759.8000000000011</v>
      </c>
      <c r="N41" s="4">
        <v>345705.33</v>
      </c>
      <c r="O41" s="6">
        <v>512</v>
      </c>
      <c r="P41" s="4">
        <f t="shared" si="13"/>
        <v>51.2</v>
      </c>
    </row>
    <row r="42" spans="1:16" x14ac:dyDescent="0.25">
      <c r="A42" s="2" t="s">
        <v>14</v>
      </c>
      <c r="B42" s="2"/>
      <c r="C42" s="2" t="s">
        <v>15</v>
      </c>
      <c r="D42" s="2" t="s">
        <v>55</v>
      </c>
      <c r="E42" s="2" t="s">
        <v>59</v>
      </c>
      <c r="F42" s="4">
        <f>1623032*0.1</f>
        <v>162303.20000000001</v>
      </c>
      <c r="G42" s="4"/>
      <c r="H42" s="4">
        <v>5615689</v>
      </c>
      <c r="I42" s="8">
        <f>122049*0.1</f>
        <v>12204.900000000001</v>
      </c>
      <c r="J42" s="8"/>
      <c r="K42" s="8">
        <v>422289.54</v>
      </c>
      <c r="L42" s="6">
        <v>88308</v>
      </c>
      <c r="M42" s="4">
        <f t="shared" si="12"/>
        <v>8830.8000000000011</v>
      </c>
      <c r="N42" s="4">
        <v>197754.58</v>
      </c>
      <c r="O42" s="6">
        <v>38492</v>
      </c>
      <c r="P42" s="4">
        <f t="shared" si="13"/>
        <v>3849.2000000000003</v>
      </c>
    </row>
    <row r="43" spans="1:16" x14ac:dyDescent="0.25">
      <c r="A43" s="2" t="s">
        <v>14</v>
      </c>
      <c r="B43" s="2"/>
      <c r="C43" s="2" t="s">
        <v>15</v>
      </c>
      <c r="D43" s="2" t="s">
        <v>55</v>
      </c>
      <c r="E43" s="2" t="s">
        <v>60</v>
      </c>
      <c r="F43" s="4">
        <f>482206*0.18</f>
        <v>86797.08</v>
      </c>
      <c r="G43" s="4"/>
      <c r="H43" s="4">
        <v>2893238</v>
      </c>
      <c r="I43" s="8">
        <f>36641*0.18</f>
        <v>6595.38</v>
      </c>
      <c r="J43" s="8"/>
      <c r="K43" s="8">
        <v>219843.48</v>
      </c>
      <c r="L43" s="6">
        <v>8447</v>
      </c>
      <c r="M43" s="4">
        <f>SUM(L43*0.18)</f>
        <v>1520.46</v>
      </c>
      <c r="N43" s="4">
        <v>52682.11</v>
      </c>
      <c r="O43" s="6">
        <v>839</v>
      </c>
      <c r="P43" s="4">
        <f>SUM(O43*0.18)</f>
        <v>151.01999999999998</v>
      </c>
    </row>
    <row r="44" spans="1:16" x14ac:dyDescent="0.25">
      <c r="A44" s="2" t="s">
        <v>14</v>
      </c>
      <c r="B44" s="2"/>
      <c r="C44" s="2" t="s">
        <v>15</v>
      </c>
      <c r="D44" s="2" t="s">
        <v>55</v>
      </c>
      <c r="E44" s="2" t="s">
        <v>46</v>
      </c>
      <c r="F44" s="4">
        <f>482206*0.18</f>
        <v>86797.08</v>
      </c>
      <c r="G44" s="4"/>
      <c r="H44" s="4">
        <v>2893238</v>
      </c>
      <c r="I44" s="8">
        <f>36641*0.18</f>
        <v>6595.38</v>
      </c>
      <c r="J44" s="8"/>
      <c r="K44" s="8">
        <v>219843.48</v>
      </c>
      <c r="L44" s="6">
        <v>8776</v>
      </c>
      <c r="M44" s="4">
        <f t="shared" ref="M44:M46" si="14">SUM(L44*0.18)</f>
        <v>1579.6799999999998</v>
      </c>
      <c r="N44" s="4">
        <v>60743.08</v>
      </c>
      <c r="O44" s="6"/>
      <c r="P44" s="4">
        <f t="shared" ref="P44:P46" si="15">SUM(O44*0.18)</f>
        <v>0</v>
      </c>
    </row>
    <row r="45" spans="1:16" x14ac:dyDescent="0.25">
      <c r="A45" s="2" t="s">
        <v>14</v>
      </c>
      <c r="B45" s="2"/>
      <c r="C45" s="2" t="s">
        <v>15</v>
      </c>
      <c r="D45" s="2" t="s">
        <v>55</v>
      </c>
      <c r="E45" s="2" t="s">
        <v>61</v>
      </c>
      <c r="F45" s="4">
        <f>482206*0.18</f>
        <v>86797.08</v>
      </c>
      <c r="G45" s="4"/>
      <c r="H45" s="4">
        <v>2893238</v>
      </c>
      <c r="I45" s="8">
        <f t="shared" ref="I45:I46" si="16">36641*0.18</f>
        <v>6595.38</v>
      </c>
      <c r="J45" s="8"/>
      <c r="K45" s="8">
        <v>219843.48</v>
      </c>
      <c r="L45" s="6">
        <v>7809</v>
      </c>
      <c r="M45" s="4">
        <f t="shared" si="14"/>
        <v>1405.62</v>
      </c>
      <c r="N45" s="4">
        <v>50936.05</v>
      </c>
      <c r="O45" s="6">
        <v>454</v>
      </c>
      <c r="P45" s="4">
        <f t="shared" si="15"/>
        <v>81.72</v>
      </c>
    </row>
    <row r="46" spans="1:16" x14ac:dyDescent="0.25">
      <c r="A46" s="2" t="s">
        <v>14</v>
      </c>
      <c r="B46" s="2"/>
      <c r="C46" s="2" t="s">
        <v>15</v>
      </c>
      <c r="D46" s="2" t="s">
        <v>55</v>
      </c>
      <c r="E46" s="2" t="s">
        <v>62</v>
      </c>
      <c r="F46" s="4">
        <f>482206*0.18</f>
        <v>86797.08</v>
      </c>
      <c r="G46" s="4"/>
      <c r="H46" s="4">
        <v>2893238</v>
      </c>
      <c r="I46" s="8">
        <f t="shared" si="16"/>
        <v>6595.38</v>
      </c>
      <c r="J46" s="8"/>
      <c r="K46" s="8">
        <v>219843.48</v>
      </c>
      <c r="L46" s="6">
        <v>8587</v>
      </c>
      <c r="M46" s="4">
        <f t="shared" si="14"/>
        <v>1545.6599999999999</v>
      </c>
      <c r="N46" s="4">
        <v>24280.01</v>
      </c>
      <c r="O46" s="6">
        <v>5088</v>
      </c>
      <c r="P46" s="4">
        <f t="shared" si="15"/>
        <v>915.83999999999992</v>
      </c>
    </row>
    <row r="47" spans="1:16" x14ac:dyDescent="0.25">
      <c r="A47" s="2" t="s">
        <v>14</v>
      </c>
      <c r="B47" s="2"/>
      <c r="C47" s="2" t="s">
        <v>15</v>
      </c>
      <c r="D47" s="2" t="s">
        <v>55</v>
      </c>
      <c r="E47" s="2" t="s">
        <v>63</v>
      </c>
      <c r="F47" s="4"/>
      <c r="G47" s="4"/>
      <c r="H47" s="4"/>
      <c r="I47" s="8"/>
      <c r="J47" s="8"/>
      <c r="K47" s="8"/>
      <c r="L47" s="6"/>
      <c r="M47" s="4">
        <f>SUM(L47)</f>
        <v>0</v>
      </c>
      <c r="N47" s="4"/>
      <c r="O47" s="6"/>
      <c r="P47" s="4">
        <f>SUM(O47)</f>
        <v>0</v>
      </c>
    </row>
    <row r="48" spans="1:16" x14ac:dyDescent="0.25">
      <c r="A48" s="2" t="s">
        <v>14</v>
      </c>
      <c r="B48" s="2"/>
      <c r="C48" s="2" t="s">
        <v>15</v>
      </c>
      <c r="D48" s="2" t="s">
        <v>55</v>
      </c>
      <c r="E48" s="2" t="s">
        <v>64</v>
      </c>
      <c r="F48" s="4">
        <v>865</v>
      </c>
      <c r="G48" s="4"/>
      <c r="H48" s="4">
        <v>30264</v>
      </c>
      <c r="I48" s="8">
        <v>67</v>
      </c>
      <c r="J48" s="8"/>
      <c r="K48" s="8">
        <v>2348.33</v>
      </c>
      <c r="L48" s="6">
        <v>12</v>
      </c>
      <c r="M48" s="4">
        <f>SUM(L48)*5</f>
        <v>60</v>
      </c>
      <c r="N48" s="4">
        <v>2100</v>
      </c>
      <c r="O48" s="6"/>
      <c r="P48" s="4">
        <f>SUM(O48)*5</f>
        <v>0</v>
      </c>
    </row>
    <row r="49" spans="1:16" x14ac:dyDescent="0.25">
      <c r="A49" s="2" t="s">
        <v>14</v>
      </c>
      <c r="B49" s="2"/>
      <c r="C49" s="2" t="s">
        <v>15</v>
      </c>
      <c r="D49" s="2" t="s">
        <v>55</v>
      </c>
      <c r="E49" s="2" t="s">
        <v>65</v>
      </c>
      <c r="F49" s="4">
        <v>865</v>
      </c>
      <c r="G49" s="4"/>
      <c r="H49" s="4">
        <v>30264</v>
      </c>
      <c r="I49" s="8">
        <v>67</v>
      </c>
      <c r="J49" s="8"/>
      <c r="K49" s="8">
        <v>2348.33</v>
      </c>
      <c r="L49" s="6">
        <v>10</v>
      </c>
      <c r="M49" s="4">
        <f t="shared" ref="M49:M51" si="17">SUM(L49)*5</f>
        <v>50</v>
      </c>
      <c r="N49" s="4">
        <v>1750</v>
      </c>
      <c r="O49" s="6"/>
      <c r="P49" s="4">
        <f t="shared" ref="P49:P51" si="18">SUM(O49)*5</f>
        <v>0</v>
      </c>
    </row>
    <row r="50" spans="1:16" x14ac:dyDescent="0.25">
      <c r="A50" s="2" t="s">
        <v>14</v>
      </c>
      <c r="B50" s="2"/>
      <c r="C50" s="2" t="s">
        <v>15</v>
      </c>
      <c r="D50" s="2" t="s">
        <v>55</v>
      </c>
      <c r="E50" s="2" t="s">
        <v>66</v>
      </c>
      <c r="F50" s="4">
        <v>865</v>
      </c>
      <c r="G50" s="4"/>
      <c r="H50" s="4">
        <v>30264</v>
      </c>
      <c r="I50" s="8">
        <v>67</v>
      </c>
      <c r="J50" s="8"/>
      <c r="K50" s="8">
        <v>2348.33</v>
      </c>
      <c r="L50" s="6"/>
      <c r="M50" s="4">
        <f t="shared" si="17"/>
        <v>0</v>
      </c>
      <c r="N50" s="4"/>
      <c r="O50" s="6"/>
      <c r="P50" s="4">
        <f t="shared" si="18"/>
        <v>0</v>
      </c>
    </row>
    <row r="51" spans="1:16" x14ac:dyDescent="0.25">
      <c r="A51" s="2" t="s">
        <v>14</v>
      </c>
      <c r="B51" s="2"/>
      <c r="C51" s="2" t="s">
        <v>15</v>
      </c>
      <c r="D51" s="2" t="s">
        <v>55</v>
      </c>
      <c r="E51" s="2" t="s">
        <v>67</v>
      </c>
      <c r="F51" s="4">
        <v>865</v>
      </c>
      <c r="G51" s="4"/>
      <c r="H51" s="4">
        <v>30264</v>
      </c>
      <c r="I51" s="8">
        <v>67</v>
      </c>
      <c r="J51" s="8"/>
      <c r="K51" s="8">
        <v>2348.33</v>
      </c>
      <c r="L51" s="6">
        <v>12</v>
      </c>
      <c r="M51" s="4">
        <f t="shared" si="17"/>
        <v>60</v>
      </c>
      <c r="N51" s="4">
        <v>2100</v>
      </c>
      <c r="O51" s="6"/>
      <c r="P51" s="4">
        <f t="shared" si="18"/>
        <v>0</v>
      </c>
    </row>
    <row r="52" spans="1:16" x14ac:dyDescent="0.25">
      <c r="A52" s="2" t="s">
        <v>14</v>
      </c>
      <c r="B52" s="2"/>
      <c r="C52" s="2" t="s">
        <v>15</v>
      </c>
      <c r="D52" s="2" t="s">
        <v>55</v>
      </c>
      <c r="E52" s="2" t="s">
        <v>68</v>
      </c>
      <c r="F52" s="4"/>
      <c r="G52" s="4"/>
      <c r="H52" s="4"/>
      <c r="I52" s="8"/>
      <c r="J52" s="8"/>
      <c r="K52" s="8"/>
      <c r="L52" s="6">
        <v>800</v>
      </c>
      <c r="M52" s="4">
        <f>SUM(L52*0.1)</f>
        <v>80</v>
      </c>
      <c r="N52" s="4">
        <v>3790.94</v>
      </c>
      <c r="O52" s="6">
        <v>314</v>
      </c>
      <c r="P52" s="4">
        <f>SUM(O52*0.1)</f>
        <v>31.400000000000002</v>
      </c>
    </row>
    <row r="53" spans="1:16" x14ac:dyDescent="0.25">
      <c r="A53" s="2" t="s">
        <v>14</v>
      </c>
      <c r="B53" s="2"/>
      <c r="C53" s="2" t="s">
        <v>15</v>
      </c>
      <c r="D53" s="2" t="s">
        <v>69</v>
      </c>
      <c r="E53" s="2" t="s">
        <v>70</v>
      </c>
      <c r="F53" s="4">
        <v>119387</v>
      </c>
      <c r="G53" s="4"/>
      <c r="H53" s="4">
        <v>3104057</v>
      </c>
      <c r="I53" s="8">
        <v>9075</v>
      </c>
      <c r="J53" s="8"/>
      <c r="K53" s="8">
        <v>235939.57</v>
      </c>
      <c r="L53" s="6">
        <v>1062</v>
      </c>
      <c r="M53" s="4">
        <f>SUM(L53)*5</f>
        <v>5310</v>
      </c>
      <c r="N53" s="4">
        <v>138060</v>
      </c>
      <c r="O53" s="6"/>
      <c r="P53" s="4">
        <f>SUM(O53)*5</f>
        <v>0</v>
      </c>
    </row>
    <row r="54" spans="1:16" x14ac:dyDescent="0.25">
      <c r="A54" s="2" t="s">
        <v>14</v>
      </c>
      <c r="B54" s="2"/>
      <c r="C54" s="2" t="s">
        <v>15</v>
      </c>
      <c r="D54" s="2" t="s">
        <v>71</v>
      </c>
      <c r="E54" s="2" t="s">
        <v>72</v>
      </c>
      <c r="F54" s="4">
        <f>750808*0.12</f>
        <v>90096.959999999992</v>
      </c>
      <c r="G54" s="4"/>
      <c r="H54" s="4">
        <v>5405817</v>
      </c>
      <c r="I54" s="8">
        <f>56801*0.12</f>
        <v>6816.12</v>
      </c>
      <c r="J54" s="8"/>
      <c r="K54" s="8">
        <v>408969.25</v>
      </c>
      <c r="L54" s="6">
        <v>63709</v>
      </c>
      <c r="M54" s="4">
        <f>SUM(L54*0.12)</f>
        <v>7645.08</v>
      </c>
      <c r="N54" s="4">
        <v>178694.34</v>
      </c>
      <c r="O54" s="6">
        <v>42286</v>
      </c>
      <c r="P54" s="4">
        <f>SUM(O54*0.12)</f>
        <v>5074.32</v>
      </c>
    </row>
    <row r="55" spans="1:16" x14ac:dyDescent="0.25">
      <c r="A55" s="2" t="s">
        <v>14</v>
      </c>
      <c r="B55" s="2"/>
      <c r="C55" s="2" t="s">
        <v>15</v>
      </c>
      <c r="D55" s="2" t="s">
        <v>71</v>
      </c>
      <c r="E55" s="2" t="s">
        <v>73</v>
      </c>
      <c r="F55" s="4">
        <f>750803*0.12</f>
        <v>90096.36</v>
      </c>
      <c r="G55" s="4"/>
      <c r="H55" s="4">
        <v>5405778</v>
      </c>
      <c r="I55" s="8">
        <f>56801*0.12</f>
        <v>6816.12</v>
      </c>
      <c r="J55" s="8"/>
      <c r="K55" s="8">
        <v>408969.25</v>
      </c>
      <c r="L55" s="6">
        <v>23793</v>
      </c>
      <c r="M55" s="4">
        <f t="shared" ref="M55:M62" si="19">SUM(L55*0.12)</f>
        <v>2855.16</v>
      </c>
      <c r="N55" s="4">
        <v>197783.32</v>
      </c>
      <c r="O55" s="6"/>
      <c r="P55" s="4">
        <f t="shared" ref="P55:P62" si="20">SUM(O55*0.12)</f>
        <v>0</v>
      </c>
    </row>
    <row r="56" spans="1:16" x14ac:dyDescent="0.25">
      <c r="A56" s="2" t="s">
        <v>14</v>
      </c>
      <c r="B56" s="2"/>
      <c r="C56" s="2" t="s">
        <v>15</v>
      </c>
      <c r="D56" s="2" t="s">
        <v>71</v>
      </c>
      <c r="E56" s="2" t="s">
        <v>74</v>
      </c>
      <c r="F56" s="4">
        <f>750800*0.12</f>
        <v>90096</v>
      </c>
      <c r="G56" s="4"/>
      <c r="H56" s="4">
        <v>5405759</v>
      </c>
      <c r="I56" s="8">
        <f>56801*0.12</f>
        <v>6816.12</v>
      </c>
      <c r="J56" s="8"/>
      <c r="K56" s="8">
        <v>408969.25</v>
      </c>
      <c r="L56" s="6">
        <v>11615</v>
      </c>
      <c r="M56" s="4">
        <f t="shared" si="19"/>
        <v>1393.8</v>
      </c>
      <c r="N56" s="4">
        <v>96927.56</v>
      </c>
      <c r="O56" s="6"/>
      <c r="P56" s="4">
        <f t="shared" si="20"/>
        <v>0</v>
      </c>
    </row>
    <row r="57" spans="1:16" x14ac:dyDescent="0.25">
      <c r="A57" s="2" t="s">
        <v>14</v>
      </c>
      <c r="B57" s="2"/>
      <c r="C57" s="2" t="s">
        <v>15</v>
      </c>
      <c r="D57" s="2" t="s">
        <v>71</v>
      </c>
      <c r="E57" s="2" t="s">
        <v>75</v>
      </c>
      <c r="F57" s="4">
        <f>448564*0.12</f>
        <v>53827.68</v>
      </c>
      <c r="G57" s="4"/>
      <c r="H57" s="4">
        <v>3229661</v>
      </c>
      <c r="I57" s="8">
        <f>34084*0.12</f>
        <v>4090.08</v>
      </c>
      <c r="J57" s="8"/>
      <c r="K57" s="8">
        <v>245406.67</v>
      </c>
      <c r="L57" s="6">
        <v>27250</v>
      </c>
      <c r="M57" s="4">
        <f t="shared" si="19"/>
        <v>3270</v>
      </c>
      <c r="N57" s="4">
        <v>221836.3</v>
      </c>
      <c r="O57" s="6">
        <v>464</v>
      </c>
      <c r="P57" s="4">
        <f t="shared" si="20"/>
        <v>55.68</v>
      </c>
    </row>
    <row r="58" spans="1:16" x14ac:dyDescent="0.25">
      <c r="A58" s="2" t="s">
        <v>14</v>
      </c>
      <c r="B58" s="2"/>
      <c r="C58" s="2" t="s">
        <v>15</v>
      </c>
      <c r="D58" s="2" t="s">
        <v>71</v>
      </c>
      <c r="E58" s="2" t="s">
        <v>76</v>
      </c>
      <c r="F58" s="4">
        <f>1196415*0.12</f>
        <v>143569.79999999999</v>
      </c>
      <c r="G58" s="4"/>
      <c r="H58" s="4">
        <v>8614191</v>
      </c>
      <c r="I58" s="8">
        <f>89460*0.12</f>
        <v>10735.199999999999</v>
      </c>
      <c r="J58" s="8"/>
      <c r="K58" s="8">
        <v>644112</v>
      </c>
      <c r="L58" s="6">
        <v>47418</v>
      </c>
      <c r="M58" s="4">
        <f t="shared" si="19"/>
        <v>5690.16</v>
      </c>
      <c r="N58" s="4">
        <v>393738.83</v>
      </c>
      <c r="O58" s="6">
        <v>42</v>
      </c>
      <c r="P58" s="4">
        <f t="shared" si="20"/>
        <v>5.04</v>
      </c>
    </row>
    <row r="59" spans="1:16" x14ac:dyDescent="0.25">
      <c r="A59" s="2" t="s">
        <v>14</v>
      </c>
      <c r="B59" s="2"/>
      <c r="C59" s="2" t="s">
        <v>15</v>
      </c>
      <c r="D59" s="2" t="s">
        <v>71</v>
      </c>
      <c r="E59" s="2" t="s">
        <v>77</v>
      </c>
      <c r="F59" s="4">
        <f>601538*0.12</f>
        <v>72184.56</v>
      </c>
      <c r="G59" s="4"/>
      <c r="H59" s="4">
        <v>4331070</v>
      </c>
      <c r="I59" s="8">
        <f>45460*0.12</f>
        <v>5455.2</v>
      </c>
      <c r="J59" s="8"/>
      <c r="K59" s="8">
        <v>327308.73</v>
      </c>
      <c r="L59" s="6">
        <v>10305</v>
      </c>
      <c r="M59" s="4">
        <f t="shared" si="19"/>
        <v>1236.5999999999999</v>
      </c>
      <c r="N59" s="4">
        <v>85652.18</v>
      </c>
      <c r="O59" s="6">
        <v>31</v>
      </c>
      <c r="P59" s="4">
        <f t="shared" si="20"/>
        <v>3.7199999999999998</v>
      </c>
    </row>
    <row r="60" spans="1:16" x14ac:dyDescent="0.25">
      <c r="A60" s="2" t="s">
        <v>14</v>
      </c>
      <c r="B60" s="2"/>
      <c r="C60" s="2" t="s">
        <v>15</v>
      </c>
      <c r="D60" s="2" t="s">
        <v>71</v>
      </c>
      <c r="E60" s="2" t="s">
        <v>78</v>
      </c>
      <c r="F60" s="4">
        <f>1196415*0.12</f>
        <v>143569.79999999999</v>
      </c>
      <c r="G60" s="4"/>
      <c r="H60" s="4">
        <v>8614191</v>
      </c>
      <c r="I60" s="8">
        <f>89460*0.12</f>
        <v>10735.199999999999</v>
      </c>
      <c r="J60" s="8"/>
      <c r="K60" s="8">
        <v>644112</v>
      </c>
      <c r="L60" s="6">
        <v>47212</v>
      </c>
      <c r="M60" s="4">
        <f t="shared" si="19"/>
        <v>5665.44</v>
      </c>
      <c r="N60" s="4">
        <v>391746.98</v>
      </c>
      <c r="O60" s="6"/>
      <c r="P60" s="4">
        <f t="shared" si="20"/>
        <v>0</v>
      </c>
    </row>
    <row r="61" spans="1:16" x14ac:dyDescent="0.25">
      <c r="A61" s="2" t="s">
        <v>14</v>
      </c>
      <c r="B61" s="2"/>
      <c r="C61" s="2" t="s">
        <v>15</v>
      </c>
      <c r="D61" s="2" t="s">
        <v>71</v>
      </c>
      <c r="E61" s="2" t="s">
        <v>79</v>
      </c>
      <c r="F61" s="4">
        <f>336423*0.12</f>
        <v>40370.76</v>
      </c>
      <c r="G61" s="4"/>
      <c r="H61" s="4">
        <v>6728460</v>
      </c>
      <c r="I61" s="8">
        <f>25563*0.12</f>
        <v>3067.56</v>
      </c>
      <c r="J61" s="8"/>
      <c r="K61" s="8">
        <v>511263.9</v>
      </c>
      <c r="L61" s="6">
        <v>412</v>
      </c>
      <c r="M61" s="4">
        <f t="shared" si="19"/>
        <v>49.44</v>
      </c>
      <c r="N61" s="4">
        <v>8239.2999999999993</v>
      </c>
      <c r="O61" s="6"/>
      <c r="P61" s="4">
        <f t="shared" si="20"/>
        <v>0</v>
      </c>
    </row>
    <row r="62" spans="1:16" x14ac:dyDescent="0.25">
      <c r="A62" s="2" t="s">
        <v>14</v>
      </c>
      <c r="B62" s="2"/>
      <c r="C62" s="2" t="s">
        <v>15</v>
      </c>
      <c r="D62" s="2" t="s">
        <v>71</v>
      </c>
      <c r="E62" s="2" t="s">
        <v>80</v>
      </c>
      <c r="F62" s="4">
        <f>336423*0.12</f>
        <v>40370.76</v>
      </c>
      <c r="G62" s="4"/>
      <c r="H62" s="4">
        <v>6728460</v>
      </c>
      <c r="I62" s="8">
        <f>25563*0.12</f>
        <v>3067.56</v>
      </c>
      <c r="J62" s="8"/>
      <c r="K62" s="8">
        <v>511263.9</v>
      </c>
      <c r="L62" s="6">
        <v>402</v>
      </c>
      <c r="M62" s="4">
        <f t="shared" si="19"/>
        <v>48.239999999999995</v>
      </c>
      <c r="N62" s="4">
        <v>8039.32</v>
      </c>
      <c r="O62" s="6"/>
      <c r="P62" s="4">
        <f t="shared" si="20"/>
        <v>0</v>
      </c>
    </row>
    <row r="63" spans="1:16" x14ac:dyDescent="0.25">
      <c r="A63" s="2" t="s">
        <v>14</v>
      </c>
      <c r="B63" s="2"/>
      <c r="C63" s="2" t="s">
        <v>15</v>
      </c>
      <c r="D63" s="2" t="s">
        <v>71</v>
      </c>
      <c r="E63" s="2" t="s">
        <v>81</v>
      </c>
      <c r="F63" s="4">
        <v>22428</v>
      </c>
      <c r="G63" s="4"/>
      <c r="H63" s="4">
        <v>1435405</v>
      </c>
      <c r="I63" s="8">
        <v>1704</v>
      </c>
      <c r="J63" s="8"/>
      <c r="K63" s="8">
        <v>109069.63</v>
      </c>
      <c r="L63" s="7">
        <v>161</v>
      </c>
      <c r="M63" s="4">
        <f>SUM(L63)*5</f>
        <v>805</v>
      </c>
      <c r="N63" s="4">
        <v>51520</v>
      </c>
      <c r="O63" s="6"/>
      <c r="P63" s="4">
        <f>SUM(O63)*5</f>
        <v>0</v>
      </c>
    </row>
    <row r="64" spans="1:16" x14ac:dyDescent="0.25">
      <c r="A64" s="2" t="s">
        <v>14</v>
      </c>
      <c r="B64" s="2"/>
      <c r="C64" s="2" t="s">
        <v>15</v>
      </c>
      <c r="D64" s="2" t="s">
        <v>71</v>
      </c>
      <c r="E64" s="2" t="s">
        <v>82</v>
      </c>
      <c r="F64" s="4"/>
      <c r="G64" s="4"/>
      <c r="H64" s="4"/>
      <c r="I64" s="8"/>
      <c r="J64" s="8"/>
      <c r="K64" s="8"/>
      <c r="L64" s="6">
        <v>660</v>
      </c>
      <c r="M64" s="4">
        <f>SUM(L64*0.08)</f>
        <v>52.800000000000004</v>
      </c>
      <c r="N64" s="4">
        <v>1302.92</v>
      </c>
      <c r="O64" s="6">
        <v>502</v>
      </c>
      <c r="P64" s="4">
        <f>SUM(O64*0.08)</f>
        <v>40.160000000000004</v>
      </c>
    </row>
    <row r="65" spans="1:16" x14ac:dyDescent="0.25">
      <c r="A65" s="2" t="s">
        <v>14</v>
      </c>
      <c r="B65" s="2"/>
      <c r="C65" s="2" t="s">
        <v>15</v>
      </c>
      <c r="D65" s="2" t="s">
        <v>71</v>
      </c>
      <c r="E65" s="2" t="s">
        <v>83</v>
      </c>
      <c r="F65" s="4"/>
      <c r="G65" s="4"/>
      <c r="H65" s="4"/>
      <c r="I65" s="8"/>
      <c r="J65" s="8"/>
      <c r="K65" s="8"/>
      <c r="L65" s="6">
        <v>660</v>
      </c>
      <c r="M65" s="4">
        <f t="shared" ref="M65:M69" si="21">SUM(L65*0.08)</f>
        <v>52.800000000000004</v>
      </c>
      <c r="N65" s="4">
        <v>5398.33</v>
      </c>
      <c r="O65" s="6"/>
      <c r="P65" s="4">
        <f t="shared" ref="P65:P69" si="22">SUM(O65*0.08)</f>
        <v>0</v>
      </c>
    </row>
    <row r="66" spans="1:16" x14ac:dyDescent="0.25">
      <c r="A66" s="2" t="s">
        <v>14</v>
      </c>
      <c r="B66" s="2"/>
      <c r="C66" s="2" t="s">
        <v>15</v>
      </c>
      <c r="D66" s="2" t="s">
        <v>71</v>
      </c>
      <c r="E66" s="2" t="s">
        <v>84</v>
      </c>
      <c r="F66" s="4"/>
      <c r="G66" s="4"/>
      <c r="H66" s="4"/>
      <c r="I66" s="8"/>
      <c r="J66" s="8"/>
      <c r="K66" s="8"/>
      <c r="L66" s="6">
        <v>720</v>
      </c>
      <c r="M66" s="4">
        <f t="shared" si="21"/>
        <v>57.6</v>
      </c>
      <c r="N66" s="4">
        <v>5566.33</v>
      </c>
      <c r="O66" s="6">
        <v>36</v>
      </c>
      <c r="P66" s="4">
        <f t="shared" si="22"/>
        <v>2.88</v>
      </c>
    </row>
    <row r="67" spans="1:16" x14ac:dyDescent="0.25">
      <c r="A67" s="2" t="s">
        <v>14</v>
      </c>
      <c r="B67" s="2"/>
      <c r="C67" s="2" t="s">
        <v>15</v>
      </c>
      <c r="D67" s="2" t="s">
        <v>71</v>
      </c>
      <c r="E67" s="2" t="s">
        <v>85</v>
      </c>
      <c r="F67" s="4"/>
      <c r="G67" s="4"/>
      <c r="H67" s="4"/>
      <c r="I67" s="8"/>
      <c r="J67" s="8"/>
      <c r="K67" s="8"/>
      <c r="L67" s="6">
        <v>660</v>
      </c>
      <c r="M67" s="4">
        <f t="shared" si="21"/>
        <v>52.800000000000004</v>
      </c>
      <c r="N67" s="4">
        <v>5398.33</v>
      </c>
      <c r="O67" s="6"/>
      <c r="P67" s="4">
        <f t="shared" si="22"/>
        <v>0</v>
      </c>
    </row>
    <row r="68" spans="1:16" x14ac:dyDescent="0.25">
      <c r="A68" s="2" t="s">
        <v>14</v>
      </c>
      <c r="B68" s="2"/>
      <c r="C68" s="2" t="s">
        <v>15</v>
      </c>
      <c r="D68" s="2" t="s">
        <v>71</v>
      </c>
      <c r="E68" s="2" t="s">
        <v>86</v>
      </c>
      <c r="F68" s="4"/>
      <c r="G68" s="4"/>
      <c r="H68" s="4"/>
      <c r="I68" s="8"/>
      <c r="J68" s="8"/>
      <c r="K68" s="8"/>
      <c r="L68" s="6">
        <v>420</v>
      </c>
      <c r="M68" s="4">
        <f t="shared" si="21"/>
        <v>33.6</v>
      </c>
      <c r="N68" s="4">
        <v>3329.17</v>
      </c>
      <c r="O68" s="6"/>
      <c r="P68" s="4">
        <f t="shared" si="22"/>
        <v>0</v>
      </c>
    </row>
    <row r="69" spans="1:16" x14ac:dyDescent="0.25">
      <c r="A69" s="2" t="s">
        <v>14</v>
      </c>
      <c r="B69" s="2"/>
      <c r="C69" s="2" t="s">
        <v>15</v>
      </c>
      <c r="D69" s="2" t="s">
        <v>71</v>
      </c>
      <c r="E69" s="2" t="s">
        <v>87</v>
      </c>
      <c r="F69" s="4"/>
      <c r="G69" s="4"/>
      <c r="H69" s="4"/>
      <c r="I69" s="8"/>
      <c r="J69" s="8"/>
      <c r="K69" s="8"/>
      <c r="L69" s="6">
        <v>480</v>
      </c>
      <c r="M69" s="4">
        <f t="shared" si="21"/>
        <v>38.4</v>
      </c>
      <c r="N69" s="4">
        <v>3749.17</v>
      </c>
      <c r="O69" s="6"/>
      <c r="P69" s="4">
        <f t="shared" si="22"/>
        <v>0</v>
      </c>
    </row>
    <row r="70" spans="1:16" x14ac:dyDescent="0.25">
      <c r="A70" s="2" t="s">
        <v>14</v>
      </c>
      <c r="B70" s="2"/>
      <c r="C70" s="2" t="s">
        <v>15</v>
      </c>
      <c r="D70" s="2" t="s">
        <v>88</v>
      </c>
      <c r="E70" s="2" t="s">
        <v>89</v>
      </c>
      <c r="F70" s="4">
        <f>224282*0.09</f>
        <v>20185.38</v>
      </c>
      <c r="G70" s="4"/>
      <c r="H70" s="4">
        <v>3902103</v>
      </c>
      <c r="I70" s="8">
        <f>17042*0.09</f>
        <v>1533.78</v>
      </c>
      <c r="J70" s="8"/>
      <c r="K70" s="8">
        <v>296502.39</v>
      </c>
      <c r="L70" s="6">
        <v>6714</v>
      </c>
      <c r="M70" s="4">
        <f>SUM(L70*0.09)</f>
        <v>604.26</v>
      </c>
      <c r="N70" s="4">
        <v>108738.76</v>
      </c>
      <c r="O70" s="6">
        <v>464</v>
      </c>
      <c r="P70" s="4">
        <f>SUM(O70*0.09)</f>
        <v>41.76</v>
      </c>
    </row>
    <row r="71" spans="1:16" x14ac:dyDescent="0.25">
      <c r="A71" s="2" t="s">
        <v>14</v>
      </c>
      <c r="B71" s="2"/>
      <c r="C71" s="2" t="s">
        <v>15</v>
      </c>
      <c r="D71" s="2" t="s">
        <v>88</v>
      </c>
      <c r="E71" s="2" t="s">
        <v>90</v>
      </c>
      <c r="F71" s="4">
        <f>168212*0.09</f>
        <v>15139.08</v>
      </c>
      <c r="G71" s="4"/>
      <c r="H71" s="4">
        <v>2926577</v>
      </c>
      <c r="I71" s="8">
        <f>12782*0.09</f>
        <v>1150.3799999999999</v>
      </c>
      <c r="J71" s="8"/>
      <c r="K71" s="8">
        <v>222376.79</v>
      </c>
      <c r="L71" s="6">
        <v>3492</v>
      </c>
      <c r="M71" s="4">
        <f t="shared" ref="M71:M74" si="23">SUM(L71*0.09)</f>
        <v>314.27999999999997</v>
      </c>
      <c r="N71" s="4">
        <v>60754.52</v>
      </c>
      <c r="O71" s="6"/>
      <c r="P71" s="4">
        <f t="shared" ref="P71:P74" si="24">SUM(O71*0.09)</f>
        <v>0</v>
      </c>
    </row>
    <row r="72" spans="1:16" x14ac:dyDescent="0.25">
      <c r="A72" s="2" t="s">
        <v>14</v>
      </c>
      <c r="B72" s="2"/>
      <c r="C72" s="2" t="s">
        <v>15</v>
      </c>
      <c r="D72" s="2" t="s">
        <v>88</v>
      </c>
      <c r="E72" s="2" t="s">
        <v>91</v>
      </c>
      <c r="F72" s="4">
        <f>448564*0.09</f>
        <v>40370.76</v>
      </c>
      <c r="G72" s="4"/>
      <c r="H72" s="4">
        <v>7804206</v>
      </c>
      <c r="I72" s="8">
        <f>34084*0.09</f>
        <v>3067.56</v>
      </c>
      <c r="J72" s="8"/>
      <c r="K72" s="8">
        <v>593004.77</v>
      </c>
      <c r="L72" s="6">
        <v>7782</v>
      </c>
      <c r="M72" s="4">
        <f t="shared" si="23"/>
        <v>700.38</v>
      </c>
      <c r="N72" s="4">
        <v>89618.12</v>
      </c>
      <c r="O72" s="6">
        <v>2631</v>
      </c>
      <c r="P72" s="4">
        <f t="shared" si="24"/>
        <v>236.79</v>
      </c>
    </row>
    <row r="73" spans="1:16" x14ac:dyDescent="0.25">
      <c r="A73" s="2" t="s">
        <v>14</v>
      </c>
      <c r="B73" s="2"/>
      <c r="C73" s="2" t="s">
        <v>15</v>
      </c>
      <c r="D73" s="2" t="s">
        <v>88</v>
      </c>
      <c r="E73" s="2" t="s">
        <v>92</v>
      </c>
      <c r="F73" s="4">
        <f>168212*0.09</f>
        <v>15139.08</v>
      </c>
      <c r="G73" s="4"/>
      <c r="H73" s="4">
        <v>2926577</v>
      </c>
      <c r="I73" s="8">
        <f>12782*0.09</f>
        <v>1150.3799999999999</v>
      </c>
      <c r="J73" s="8"/>
      <c r="K73" s="8">
        <v>222376.79</v>
      </c>
      <c r="L73" s="6">
        <v>937</v>
      </c>
      <c r="M73" s="4">
        <f t="shared" si="23"/>
        <v>84.33</v>
      </c>
      <c r="N73" s="4">
        <v>16302.11</v>
      </c>
      <c r="O73" s="6"/>
      <c r="P73" s="4">
        <f t="shared" si="24"/>
        <v>0</v>
      </c>
    </row>
    <row r="74" spans="1:16" x14ac:dyDescent="0.25">
      <c r="A74" s="2" t="s">
        <v>14</v>
      </c>
      <c r="B74" s="2"/>
      <c r="C74" s="2" t="s">
        <v>15</v>
      </c>
      <c r="D74" s="2" t="s">
        <v>88</v>
      </c>
      <c r="E74" s="2" t="s">
        <v>93</v>
      </c>
      <c r="F74" s="4">
        <f>224282*0.09</f>
        <v>20185.38</v>
      </c>
      <c r="G74" s="4"/>
      <c r="H74" s="4">
        <v>3902103</v>
      </c>
      <c r="I74" s="8">
        <f>17042*0.09</f>
        <v>1533.78</v>
      </c>
      <c r="J74" s="8"/>
      <c r="K74" s="8">
        <v>296502.39</v>
      </c>
      <c r="L74" s="6">
        <v>5382</v>
      </c>
      <c r="M74" s="4">
        <f t="shared" si="23"/>
        <v>484.38</v>
      </c>
      <c r="N74" s="4">
        <v>93637.119999999995</v>
      </c>
      <c r="O74" s="6"/>
      <c r="P74" s="4">
        <f t="shared" si="24"/>
        <v>0</v>
      </c>
    </row>
    <row r="75" spans="1:16" x14ac:dyDescent="0.25">
      <c r="A75" s="2" t="s">
        <v>14</v>
      </c>
      <c r="B75" s="2"/>
      <c r="C75" s="2" t="s">
        <v>15</v>
      </c>
      <c r="D75" s="2" t="s">
        <v>94</v>
      </c>
      <c r="E75" s="2" t="s">
        <v>95</v>
      </c>
      <c r="F75" s="4"/>
      <c r="G75" s="4"/>
      <c r="H75" s="4"/>
      <c r="I75" s="8"/>
      <c r="J75" s="8"/>
      <c r="K75" s="8"/>
      <c r="L75" s="6">
        <v>180</v>
      </c>
      <c r="M75" s="4">
        <f>SUM(L75)</f>
        <v>180</v>
      </c>
      <c r="N75" s="4">
        <v>14940</v>
      </c>
      <c r="O75" s="6"/>
      <c r="P75" s="4">
        <f>SUM(O75)</f>
        <v>0</v>
      </c>
    </row>
    <row r="76" spans="1:16" x14ac:dyDescent="0.25">
      <c r="A76" s="2" t="s">
        <v>14</v>
      </c>
      <c r="B76" s="2"/>
      <c r="C76" s="2" t="s">
        <v>15</v>
      </c>
      <c r="D76" s="2" t="s">
        <v>94</v>
      </c>
      <c r="E76" s="2" t="s">
        <v>96</v>
      </c>
      <c r="F76" s="4"/>
      <c r="G76" s="4"/>
      <c r="H76" s="4"/>
      <c r="I76" s="8"/>
      <c r="J76" s="8"/>
      <c r="K76" s="8"/>
      <c r="L76" s="6"/>
      <c r="M76" s="4">
        <f>SUM(L76)</f>
        <v>0</v>
      </c>
      <c r="N76" s="4"/>
      <c r="O76" s="6"/>
      <c r="P76" s="4">
        <f>SUM(O76)</f>
        <v>0</v>
      </c>
    </row>
    <row r="77" spans="1:16" x14ac:dyDescent="0.25">
      <c r="A77" s="2" t="s">
        <v>14</v>
      </c>
      <c r="B77" s="2"/>
      <c r="C77" s="2" t="s">
        <v>97</v>
      </c>
      <c r="D77" s="2" t="s">
        <v>16</v>
      </c>
      <c r="E77" s="2" t="s">
        <v>98</v>
      </c>
      <c r="F77" s="4"/>
      <c r="G77" s="4"/>
      <c r="H77" s="4"/>
      <c r="I77" s="8"/>
      <c r="J77" s="8"/>
      <c r="K77" s="8"/>
      <c r="L77" s="6"/>
      <c r="M77" s="4">
        <f>SUM(L77*0.2*36)</f>
        <v>0</v>
      </c>
      <c r="N77" s="4"/>
      <c r="O77" s="6"/>
      <c r="P77" s="4">
        <f>SUM(O77*0.2*36)</f>
        <v>0</v>
      </c>
    </row>
    <row r="78" spans="1:16" x14ac:dyDescent="0.25">
      <c r="A78" s="2" t="s">
        <v>14</v>
      </c>
      <c r="B78" s="2"/>
      <c r="C78" s="2" t="s">
        <v>97</v>
      </c>
      <c r="D78" s="2" t="s">
        <v>41</v>
      </c>
      <c r="E78" s="2" t="s">
        <v>99</v>
      </c>
      <c r="F78" s="4">
        <f>3039514*0.2</f>
        <v>607902.80000000005</v>
      </c>
      <c r="G78" s="4"/>
      <c r="H78" s="4">
        <v>20000002.120000001</v>
      </c>
      <c r="I78" s="8"/>
      <c r="J78" s="8"/>
      <c r="K78" s="8"/>
      <c r="L78" s="6"/>
      <c r="M78" s="4">
        <f>SUM(L78*0.2)</f>
        <v>0</v>
      </c>
      <c r="N78" s="4"/>
      <c r="O78" s="6"/>
      <c r="P78" s="4">
        <f>SUM(O78*0.2)</f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100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100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100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100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100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100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100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100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100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100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100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100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100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100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100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100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100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100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100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100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100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100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100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100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100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100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100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100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100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100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100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100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100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100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100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100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100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100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100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100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100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100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100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100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100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100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100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100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100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100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100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100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100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100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100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100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100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E80" sqref="E80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8" bestFit="1" customWidth="1"/>
    <col min="10" max="10" width="4.5703125" bestFit="1" customWidth="1"/>
    <col min="11" max="11" width="9.5703125" bestFit="1" customWidth="1"/>
    <col min="12" max="12" width="14" style="5" bestFit="1" customWidth="1"/>
    <col min="13" max="13" width="9.5703125" style="5" bestFit="1" customWidth="1"/>
    <col min="14" max="14" width="11.5703125" style="5" bestFit="1" customWidth="1"/>
    <col min="15" max="15" width="21.140625" style="5" bestFit="1" customWidth="1"/>
    <col min="16" max="16" width="29.42578125" style="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9" t="s">
        <v>7</v>
      </c>
      <c r="M1" s="9"/>
      <c r="N1" s="9"/>
      <c r="O1" s="9"/>
      <c r="P1" s="9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3" t="s">
        <v>11</v>
      </c>
      <c r="M2" s="3" t="s">
        <v>8</v>
      </c>
      <c r="N2" s="3" t="s">
        <v>10</v>
      </c>
      <c r="O2" s="3" t="s">
        <v>12</v>
      </c>
      <c r="P2" s="3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4"/>
      <c r="M3" s="4"/>
      <c r="N3" s="4"/>
      <c r="O3" s="4"/>
      <c r="P3" s="4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4"/>
      <c r="M4" s="4"/>
      <c r="N4" s="4"/>
      <c r="O4" s="4"/>
      <c r="P4" s="4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4"/>
      <c r="M5" s="4"/>
      <c r="N5" s="4"/>
      <c r="O5" s="4"/>
      <c r="P5" s="4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4"/>
      <c r="M6" s="4"/>
      <c r="N6" s="4"/>
      <c r="O6" s="4"/>
      <c r="P6" s="4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4"/>
      <c r="M7" s="4"/>
      <c r="N7" s="4"/>
      <c r="O7" s="4"/>
      <c r="P7" s="4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4"/>
      <c r="M8" s="4"/>
      <c r="N8" s="4"/>
      <c r="O8" s="4"/>
      <c r="P8" s="4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4"/>
      <c r="M9" s="4"/>
      <c r="N9" s="4"/>
      <c r="O9" s="4"/>
      <c r="P9" s="4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4"/>
      <c r="M10" s="4"/>
      <c r="N10" s="4"/>
      <c r="O10" s="4"/>
      <c r="P10" s="4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4"/>
      <c r="M11" s="4"/>
      <c r="N11" s="4"/>
      <c r="O11" s="4"/>
      <c r="P11" s="4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4"/>
      <c r="M12" s="4"/>
      <c r="N12" s="4"/>
      <c r="O12" s="4"/>
      <c r="P12" s="4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4"/>
      <c r="M13" s="4"/>
      <c r="N13" s="4"/>
      <c r="O13" s="4"/>
      <c r="P13" s="4"/>
    </row>
    <row r="14" spans="1:16" x14ac:dyDescent="0.25">
      <c r="A14" s="2" t="s">
        <v>107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4"/>
      <c r="M14" s="4"/>
      <c r="N14" s="4"/>
      <c r="O14" s="4"/>
      <c r="P14" s="4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4"/>
      <c r="J15" s="2"/>
      <c r="K15" s="4"/>
      <c r="L15" s="4">
        <v>225</v>
      </c>
      <c r="M15" s="4"/>
      <c r="N15" s="4">
        <v>9720</v>
      </c>
      <c r="O15" s="4"/>
      <c r="P15" s="4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4"/>
      <c r="M16" s="4"/>
      <c r="N16" s="4"/>
      <c r="O16" s="4"/>
      <c r="P16" s="4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4"/>
      <c r="M17" s="4"/>
      <c r="N17" s="4"/>
      <c r="O17" s="4"/>
      <c r="P17" s="4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4"/>
      <c r="M18" s="4"/>
      <c r="N18" s="4"/>
      <c r="O18" s="4"/>
      <c r="P18" s="4"/>
    </row>
    <row r="19" spans="1:16" x14ac:dyDescent="0.25">
      <c r="A19" s="2" t="s">
        <v>107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4">
        <f>230*36*0.25</f>
        <v>2070</v>
      </c>
      <c r="M19" s="4"/>
      <c r="N19" s="4">
        <v>87768</v>
      </c>
      <c r="O19" s="4"/>
      <c r="P19" s="4"/>
    </row>
    <row r="20" spans="1:16" x14ac:dyDescent="0.25">
      <c r="A20" s="2" t="s">
        <v>107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4"/>
      <c r="M20" s="4"/>
      <c r="N20" s="4"/>
      <c r="O20" s="4"/>
      <c r="P20" s="4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4">
        <f>161*36*0.25</f>
        <v>1449</v>
      </c>
      <c r="M21" s="4"/>
      <c r="N21" s="4">
        <v>62748</v>
      </c>
      <c r="O21" s="4"/>
      <c r="P21" s="4"/>
    </row>
    <row r="22" spans="1:16" x14ac:dyDescent="0.25">
      <c r="A22" s="2" t="s">
        <v>107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4"/>
      <c r="M22" s="4"/>
      <c r="N22" s="4"/>
      <c r="O22" s="4"/>
      <c r="P22" s="4"/>
    </row>
    <row r="23" spans="1:16" x14ac:dyDescent="0.25">
      <c r="A23" s="2" t="s">
        <v>107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4"/>
      <c r="M23" s="4"/>
      <c r="N23" s="4"/>
      <c r="O23" s="4"/>
      <c r="P23" s="4"/>
    </row>
    <row r="24" spans="1:16" x14ac:dyDescent="0.25">
      <c r="A24" s="2" t="s">
        <v>107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4"/>
      <c r="M24" s="4"/>
      <c r="N24" s="4"/>
      <c r="O24" s="4"/>
      <c r="P24" s="4"/>
    </row>
    <row r="25" spans="1:16" x14ac:dyDescent="0.25">
      <c r="A25" s="2" t="s">
        <v>107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4"/>
      <c r="M25" s="4"/>
      <c r="N25" s="4"/>
      <c r="O25" s="4"/>
      <c r="P25" s="4"/>
    </row>
    <row r="26" spans="1:16" x14ac:dyDescent="0.25">
      <c r="A26" s="2" t="s">
        <v>107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4"/>
      <c r="M26" s="4"/>
      <c r="N26" s="4"/>
      <c r="O26" s="4"/>
      <c r="P26" s="4"/>
    </row>
    <row r="27" spans="1:16" x14ac:dyDescent="0.25">
      <c r="A27" s="2" t="s">
        <v>107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4"/>
      <c r="M27" s="4"/>
      <c r="N27" s="4"/>
      <c r="O27" s="4"/>
      <c r="P27" s="4"/>
    </row>
    <row r="28" spans="1:16" x14ac:dyDescent="0.25">
      <c r="A28" s="2" t="s">
        <v>107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4"/>
      <c r="M28" s="4"/>
      <c r="N28" s="4"/>
      <c r="O28" s="4"/>
      <c r="P28" s="4"/>
    </row>
    <row r="29" spans="1:16" x14ac:dyDescent="0.25">
      <c r="A29" s="2" t="s">
        <v>107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4"/>
      <c r="M29" s="4"/>
      <c r="N29" s="4"/>
      <c r="O29" s="4"/>
      <c r="P29" s="4"/>
    </row>
    <row r="30" spans="1:16" x14ac:dyDescent="0.25">
      <c r="A30" s="2" t="s">
        <v>107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4"/>
      <c r="M30" s="4"/>
      <c r="N30" s="4"/>
      <c r="O30" s="4"/>
      <c r="P30" s="4"/>
    </row>
    <row r="31" spans="1:16" x14ac:dyDescent="0.25">
      <c r="A31" s="2" t="s">
        <v>107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4"/>
      <c r="M31" s="4"/>
      <c r="N31" s="4"/>
      <c r="O31" s="4"/>
      <c r="P31" s="4"/>
    </row>
    <row r="32" spans="1:16" x14ac:dyDescent="0.25">
      <c r="A32" s="2" t="s">
        <v>107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4"/>
      <c r="M32" s="4"/>
      <c r="N32" s="4"/>
      <c r="O32" s="4"/>
      <c r="P32" s="4"/>
    </row>
    <row r="33" spans="1:16" x14ac:dyDescent="0.25">
      <c r="A33" s="2" t="s">
        <v>107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4"/>
      <c r="M33" s="4"/>
      <c r="N33" s="4"/>
      <c r="O33" s="4"/>
      <c r="P33" s="4"/>
    </row>
    <row r="34" spans="1:16" x14ac:dyDescent="0.25">
      <c r="A34" s="2" t="s">
        <v>107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4"/>
      <c r="M34" s="4"/>
      <c r="N34" s="4"/>
      <c r="O34" s="4"/>
      <c r="P34" s="4"/>
    </row>
    <row r="35" spans="1:16" x14ac:dyDescent="0.25">
      <c r="A35" s="2" t="s">
        <v>107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4"/>
      <c r="M35" s="4"/>
      <c r="N35" s="4"/>
      <c r="O35" s="4"/>
      <c r="P35" s="4"/>
    </row>
    <row r="36" spans="1:16" x14ac:dyDescent="0.25">
      <c r="A36" s="2" t="s">
        <v>107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4"/>
      <c r="M36" s="4"/>
      <c r="N36" s="4"/>
      <c r="O36" s="4"/>
      <c r="P36" s="4"/>
    </row>
    <row r="37" spans="1:16" x14ac:dyDescent="0.25">
      <c r="A37" s="2" t="s">
        <v>107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4"/>
      <c r="M37" s="4"/>
      <c r="N37" s="4"/>
      <c r="O37" s="4"/>
      <c r="P37" s="4"/>
    </row>
    <row r="38" spans="1:16" x14ac:dyDescent="0.25">
      <c r="A38" s="2" t="s">
        <v>107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4"/>
      <c r="M38" s="4"/>
      <c r="N38" s="4"/>
      <c r="O38" s="4"/>
      <c r="P38" s="4"/>
    </row>
    <row r="39" spans="1:16" x14ac:dyDescent="0.25">
      <c r="A39" s="2" t="s">
        <v>107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4"/>
      <c r="M39" s="4"/>
      <c r="N39" s="4"/>
      <c r="O39" s="4"/>
      <c r="P39" s="4"/>
    </row>
    <row r="40" spans="1:16" x14ac:dyDescent="0.25">
      <c r="A40" s="2" t="s">
        <v>107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4"/>
      <c r="M40" s="4"/>
      <c r="N40" s="4"/>
      <c r="O40" s="4"/>
      <c r="P40" s="4"/>
    </row>
    <row r="41" spans="1:16" x14ac:dyDescent="0.25">
      <c r="A41" s="2" t="s">
        <v>107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4"/>
      <c r="M41" s="4"/>
      <c r="N41" s="4"/>
      <c r="O41" s="4"/>
      <c r="P41" s="4"/>
    </row>
    <row r="42" spans="1:16" x14ac:dyDescent="0.25">
      <c r="A42" s="2" t="s">
        <v>107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4"/>
      <c r="M42" s="4"/>
      <c r="N42" s="4"/>
      <c r="O42" s="4"/>
      <c r="P42" s="4"/>
    </row>
    <row r="43" spans="1:16" x14ac:dyDescent="0.25">
      <c r="A43" s="2" t="s">
        <v>107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4"/>
      <c r="M43" s="4"/>
      <c r="N43" s="4"/>
      <c r="O43" s="4"/>
      <c r="P43" s="4"/>
    </row>
    <row r="44" spans="1:16" x14ac:dyDescent="0.25">
      <c r="A44" s="2" t="s">
        <v>107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4"/>
      <c r="M44" s="4"/>
      <c r="N44" s="4"/>
      <c r="O44" s="4"/>
      <c r="P44" s="4"/>
    </row>
    <row r="45" spans="1:16" x14ac:dyDescent="0.25">
      <c r="A45" s="2" t="s">
        <v>107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4"/>
      <c r="M45" s="4"/>
      <c r="N45" s="4"/>
      <c r="O45" s="4"/>
      <c r="P45" s="4"/>
    </row>
    <row r="46" spans="1:16" x14ac:dyDescent="0.25">
      <c r="A46" s="2" t="s">
        <v>107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4"/>
      <c r="M46" s="4"/>
      <c r="N46" s="4"/>
      <c r="O46" s="4"/>
      <c r="P46" s="4"/>
    </row>
    <row r="47" spans="1:16" x14ac:dyDescent="0.25">
      <c r="A47" s="2" t="s">
        <v>107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4"/>
      <c r="M47" s="4"/>
      <c r="N47" s="4"/>
      <c r="O47" s="4"/>
      <c r="P47" s="4"/>
    </row>
    <row r="48" spans="1:16" x14ac:dyDescent="0.25">
      <c r="A48" s="2" t="s">
        <v>107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4"/>
      <c r="M48" s="4"/>
      <c r="N48" s="4"/>
      <c r="O48" s="4"/>
      <c r="P48" s="4"/>
    </row>
    <row r="49" spans="1:16" x14ac:dyDescent="0.25">
      <c r="A49" s="2" t="s">
        <v>107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4"/>
      <c r="M49" s="4"/>
      <c r="N49" s="4"/>
      <c r="O49" s="4"/>
      <c r="P49" s="4"/>
    </row>
    <row r="50" spans="1:16" x14ac:dyDescent="0.25">
      <c r="A50" s="2" t="s">
        <v>107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4"/>
      <c r="M50" s="4"/>
      <c r="N50" s="4"/>
      <c r="O50" s="4"/>
      <c r="P50" s="4"/>
    </row>
    <row r="51" spans="1:16" x14ac:dyDescent="0.25">
      <c r="A51" s="2" t="s">
        <v>107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4"/>
      <c r="M51" s="4"/>
      <c r="N51" s="4"/>
      <c r="O51" s="4"/>
      <c r="P51" s="4"/>
    </row>
    <row r="52" spans="1:16" x14ac:dyDescent="0.25">
      <c r="A52" s="2" t="s">
        <v>107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4"/>
      <c r="M52" s="4"/>
      <c r="N52" s="4"/>
      <c r="O52" s="4"/>
      <c r="P52" s="4"/>
    </row>
    <row r="53" spans="1:16" x14ac:dyDescent="0.25">
      <c r="A53" s="2" t="s">
        <v>107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4"/>
      <c r="M53" s="4"/>
      <c r="N53" s="4"/>
      <c r="O53" s="4"/>
      <c r="P53" s="4"/>
    </row>
    <row r="54" spans="1:16" x14ac:dyDescent="0.25">
      <c r="A54" s="2" t="s">
        <v>107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4"/>
      <c r="M54" s="4"/>
      <c r="N54" s="4"/>
      <c r="O54" s="4"/>
      <c r="P54" s="4"/>
    </row>
    <row r="55" spans="1:16" x14ac:dyDescent="0.25">
      <c r="A55" s="2" t="s">
        <v>107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4"/>
      <c r="M55" s="4"/>
      <c r="N55" s="4"/>
      <c r="O55" s="4"/>
      <c r="P55" s="4"/>
    </row>
    <row r="56" spans="1:16" x14ac:dyDescent="0.25">
      <c r="A56" s="2" t="s">
        <v>107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4"/>
      <c r="M56" s="4"/>
      <c r="N56" s="4"/>
      <c r="O56" s="4"/>
      <c r="P56" s="4"/>
    </row>
    <row r="57" spans="1:16" x14ac:dyDescent="0.25">
      <c r="A57" s="2" t="s">
        <v>107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4"/>
      <c r="M57" s="4"/>
      <c r="N57" s="4"/>
      <c r="O57" s="4"/>
      <c r="P57" s="4"/>
    </row>
    <row r="58" spans="1:16" x14ac:dyDescent="0.25">
      <c r="A58" s="2" t="s">
        <v>107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4"/>
      <c r="M58" s="4"/>
      <c r="N58" s="4"/>
      <c r="O58" s="4"/>
      <c r="P58" s="4"/>
    </row>
    <row r="59" spans="1:16" x14ac:dyDescent="0.25">
      <c r="A59" s="2" t="s">
        <v>107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4"/>
      <c r="M59" s="4"/>
      <c r="N59" s="4"/>
      <c r="O59" s="4"/>
      <c r="P59" s="4"/>
    </row>
    <row r="60" spans="1:16" x14ac:dyDescent="0.25">
      <c r="A60" s="2" t="s">
        <v>107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4"/>
      <c r="M60" s="4"/>
      <c r="N60" s="4"/>
      <c r="O60" s="4"/>
      <c r="P60" s="4"/>
    </row>
    <row r="61" spans="1:16" x14ac:dyDescent="0.25">
      <c r="A61" s="2" t="s">
        <v>107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4"/>
      <c r="M61" s="4"/>
      <c r="N61" s="4"/>
      <c r="O61" s="4"/>
      <c r="P61" s="4"/>
    </row>
    <row r="62" spans="1:16" x14ac:dyDescent="0.25">
      <c r="A62" s="2" t="s">
        <v>107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4"/>
      <c r="M62" s="4"/>
      <c r="N62" s="4"/>
      <c r="O62" s="4"/>
      <c r="P62" s="4"/>
    </row>
    <row r="63" spans="1:16" x14ac:dyDescent="0.25">
      <c r="A63" s="2" t="s">
        <v>107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4"/>
      <c r="M63" s="4"/>
      <c r="N63" s="4"/>
      <c r="O63" s="4"/>
      <c r="P63" s="4"/>
    </row>
    <row r="64" spans="1:16" x14ac:dyDescent="0.25">
      <c r="A64" s="2" t="s">
        <v>107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4"/>
      <c r="M64" s="4"/>
      <c r="N64" s="4"/>
      <c r="O64" s="4"/>
      <c r="P64" s="4"/>
    </row>
    <row r="65" spans="1:16" x14ac:dyDescent="0.25">
      <c r="A65" s="2" t="s">
        <v>107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4"/>
      <c r="M65" s="4"/>
      <c r="N65" s="4"/>
      <c r="O65" s="4"/>
      <c r="P65" s="4"/>
    </row>
    <row r="66" spans="1:16" x14ac:dyDescent="0.25">
      <c r="A66" s="2" t="s">
        <v>107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4"/>
      <c r="M66" s="4"/>
      <c r="N66" s="4"/>
      <c r="O66" s="4"/>
      <c r="P66" s="4"/>
    </row>
    <row r="67" spans="1:16" x14ac:dyDescent="0.25">
      <c r="A67" s="2" t="s">
        <v>107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4"/>
      <c r="M67" s="4"/>
      <c r="N67" s="4"/>
      <c r="O67" s="4"/>
      <c r="P67" s="4"/>
    </row>
    <row r="68" spans="1:16" x14ac:dyDescent="0.25">
      <c r="A68" s="2" t="s">
        <v>107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4"/>
      <c r="M68" s="4"/>
      <c r="N68" s="4"/>
      <c r="O68" s="4"/>
      <c r="P68" s="4"/>
    </row>
    <row r="69" spans="1:16" x14ac:dyDescent="0.25">
      <c r="A69" s="2" t="s">
        <v>107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4"/>
      <c r="M69" s="4"/>
      <c r="N69" s="4"/>
      <c r="O69" s="4"/>
      <c r="P69" s="4"/>
    </row>
    <row r="70" spans="1:16" x14ac:dyDescent="0.25">
      <c r="A70" s="2" t="s">
        <v>107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4"/>
      <c r="M70" s="4"/>
      <c r="N70" s="4"/>
      <c r="O70" s="4"/>
      <c r="P70" s="4"/>
    </row>
    <row r="71" spans="1:16" x14ac:dyDescent="0.25">
      <c r="A71" s="2" t="s">
        <v>107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4"/>
      <c r="M71" s="4"/>
      <c r="N71" s="4"/>
      <c r="O71" s="4"/>
      <c r="P71" s="4"/>
    </row>
    <row r="72" spans="1:16" x14ac:dyDescent="0.25">
      <c r="A72" s="2" t="s">
        <v>107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4"/>
      <c r="M72" s="4"/>
      <c r="N72" s="4"/>
      <c r="O72" s="4"/>
      <c r="P72" s="4"/>
    </row>
    <row r="73" spans="1:16" x14ac:dyDescent="0.25">
      <c r="A73" s="2" t="s">
        <v>107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4"/>
      <c r="M73" s="4"/>
      <c r="N73" s="4"/>
      <c r="O73" s="4"/>
      <c r="P73" s="4"/>
    </row>
    <row r="74" spans="1:16" x14ac:dyDescent="0.25">
      <c r="A74" s="2" t="s">
        <v>107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4"/>
      <c r="M74" s="4"/>
      <c r="N74" s="4"/>
      <c r="O74" s="4"/>
      <c r="P74" s="4"/>
    </row>
    <row r="75" spans="1:16" x14ac:dyDescent="0.25">
      <c r="A75" s="2" t="s">
        <v>107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4"/>
      <c r="M75" s="4"/>
      <c r="N75" s="4"/>
      <c r="O75" s="4"/>
      <c r="P75" s="4"/>
    </row>
    <row r="76" spans="1:16" x14ac:dyDescent="0.25">
      <c r="A76" s="2" t="s">
        <v>107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4"/>
      <c r="M76" s="4"/>
      <c r="N76" s="4"/>
      <c r="O76" s="4"/>
      <c r="P76" s="4"/>
    </row>
    <row r="77" spans="1:16" x14ac:dyDescent="0.25">
      <c r="A77" s="2" t="s">
        <v>107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4"/>
      <c r="M77" s="4"/>
      <c r="N77" s="4"/>
      <c r="O77" s="4"/>
      <c r="P77" s="4"/>
    </row>
    <row r="78" spans="1:16" x14ac:dyDescent="0.25">
      <c r="A78" s="2" t="s">
        <v>107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4"/>
      <c r="M78" s="4"/>
      <c r="N78" s="4"/>
      <c r="O78" s="4"/>
      <c r="P78" s="4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ไชยา  ตรีโชติ</cp:lastModifiedBy>
  <dcterms:created xsi:type="dcterms:W3CDTF">2020-03-04T02:24:55Z</dcterms:created>
  <dcterms:modified xsi:type="dcterms:W3CDTF">2020-03-23T10:26:44Z</dcterms:modified>
  <cp:category/>
</cp:coreProperties>
</file>