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DPO\DPO63\รายงานส่งส่วนกลาง\MIS\เก่า\"/>
    </mc:Choice>
  </mc:AlternateContent>
  <xr:revisionPtr revIDLastSave="0" documentId="13_ncr:1_{8902AFF3-3D14-432C-83EF-D3F372556D4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ตัวแทนจำหน่าย (TT)" sheetId="1" r:id="rId1"/>
    <sheet name="ร้านสหกรณ์ อ.ส.ค. จำกัด" sheetId="2" state="hidden" r:id="rId2"/>
    <sheet name="ขายเองหน้าโรงงาน (MT)" sheetId="3" state="hidden" r:id="rId3"/>
    <sheet name="ขายอื่นๆ" sheetId="4" state="hidden" r:id="rId4"/>
    <sheet name="ตัวเเทนจำหน่าย (AEC)" sheetId="5" state="hidden" r:id="rId5"/>
    <sheet name="หน่วยงานราชการ" sheetId="6" state="hidden" r:id="rId6"/>
    <sheet name="ขายนมโรงเรียน (ขนส่ง)" sheetId="7" state="hidden" r:id="rId7"/>
    <sheet name="ช่องทางพิเศษ(แมคไทย)" sheetId="8" state="hidden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7" i="1" l="1"/>
  <c r="N87" i="1"/>
  <c r="O87" i="1"/>
  <c r="P87" i="1"/>
  <c r="L87" i="1"/>
  <c r="P86" i="1"/>
  <c r="O86" i="1"/>
  <c r="N86" i="1"/>
  <c r="M86" i="1"/>
  <c r="L86" i="1"/>
  <c r="P79" i="1"/>
  <c r="O79" i="1"/>
  <c r="N79" i="1"/>
  <c r="M79" i="1"/>
  <c r="L79" i="1"/>
  <c r="M85" i="1" l="1"/>
  <c r="M84" i="1"/>
  <c r="I84" i="1"/>
  <c r="M83" i="1"/>
  <c r="M82" i="1"/>
  <c r="M79" i="9" l="1"/>
  <c r="N79" i="9"/>
  <c r="L79" i="9"/>
  <c r="I3" i="1"/>
  <c r="I73" i="1" l="1"/>
  <c r="I71" i="1"/>
  <c r="I74" i="1"/>
  <c r="I70" i="1"/>
  <c r="I72" i="1"/>
  <c r="I62" i="1"/>
  <c r="I61" i="1"/>
  <c r="I60" i="1"/>
  <c r="I59" i="1"/>
  <c r="I58" i="1"/>
  <c r="I57" i="1"/>
  <c r="I56" i="1"/>
  <c r="I55" i="1"/>
  <c r="I54" i="1"/>
  <c r="I45" i="1"/>
  <c r="I46" i="1"/>
  <c r="I44" i="1"/>
  <c r="I43" i="1"/>
  <c r="I42" i="1"/>
  <c r="I41" i="1"/>
  <c r="I40" i="1"/>
  <c r="I39" i="1"/>
  <c r="I37" i="1"/>
  <c r="I35" i="1"/>
  <c r="I33" i="1"/>
  <c r="I30" i="1"/>
  <c r="I31" i="1"/>
  <c r="I28" i="1"/>
  <c r="I27" i="1"/>
  <c r="I26" i="1"/>
  <c r="M15" i="9"/>
  <c r="M16" i="9"/>
  <c r="M17" i="9"/>
  <c r="M18" i="9"/>
  <c r="M19" i="9"/>
  <c r="M20" i="9"/>
  <c r="M21" i="9"/>
  <c r="M13" i="9"/>
  <c r="M14" i="9"/>
  <c r="I20" i="9"/>
  <c r="I23" i="1"/>
  <c r="I24" i="1"/>
  <c r="I25" i="1"/>
  <c r="I22" i="1"/>
  <c r="I21" i="1"/>
  <c r="I20" i="1"/>
  <c r="I19" i="1"/>
  <c r="I15" i="1"/>
  <c r="I14" i="1"/>
  <c r="I13" i="1"/>
  <c r="I11" i="1"/>
  <c r="I10" i="1"/>
  <c r="I9" i="1"/>
  <c r="I8" i="1"/>
  <c r="I7" i="1"/>
  <c r="I6" i="1"/>
  <c r="I5" i="1"/>
  <c r="I4" i="1"/>
  <c r="P36" i="1" l="1"/>
  <c r="P22" i="1"/>
  <c r="P12" i="1"/>
  <c r="F78" i="1" l="1"/>
  <c r="F33" i="1"/>
  <c r="F26" i="1"/>
  <c r="F30" i="1"/>
  <c r="F73" i="1"/>
  <c r="F71" i="1"/>
  <c r="F74" i="1"/>
  <c r="F70" i="1"/>
  <c r="F72" i="1"/>
  <c r="F46" i="1"/>
  <c r="F45" i="1"/>
  <c r="F44" i="1"/>
  <c r="F43" i="1"/>
  <c r="F42" i="1"/>
  <c r="F41" i="1"/>
  <c r="F40" i="1"/>
  <c r="F39" i="1"/>
  <c r="F62" i="1"/>
  <c r="F61" i="1"/>
  <c r="F57" i="1"/>
  <c r="F60" i="1"/>
  <c r="F59" i="1"/>
  <c r="F58" i="1"/>
  <c r="F56" i="1"/>
  <c r="F55" i="1"/>
  <c r="F54" i="1"/>
  <c r="F37" i="1"/>
  <c r="F31" i="1"/>
  <c r="F28" i="1"/>
  <c r="F22" i="1"/>
  <c r="F24" i="1"/>
  <c r="F25" i="1"/>
  <c r="F23" i="1"/>
  <c r="F10" i="1"/>
  <c r="F9" i="1"/>
  <c r="F11" i="1"/>
  <c r="F8" i="1"/>
  <c r="F20" i="1"/>
  <c r="F21" i="1"/>
  <c r="F19" i="1"/>
  <c r="F14" i="1"/>
  <c r="F15" i="1"/>
  <c r="F13" i="1"/>
  <c r="F7" i="1"/>
  <c r="F5" i="1"/>
  <c r="F4" i="1"/>
  <c r="F6" i="1"/>
  <c r="F27" i="1"/>
  <c r="F3" i="1"/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P3" i="1"/>
  <c r="M63" i="1"/>
  <c r="M53" i="1"/>
  <c r="M49" i="1"/>
  <c r="M50" i="1"/>
  <c r="M51" i="1"/>
  <c r="M48" i="1"/>
  <c r="M78" i="1"/>
  <c r="M77" i="1"/>
  <c r="M76" i="1"/>
  <c r="M75" i="1"/>
  <c r="M71" i="1"/>
  <c r="M72" i="1"/>
  <c r="M73" i="1"/>
  <c r="M74" i="1"/>
  <c r="M70" i="1"/>
  <c r="M65" i="1"/>
  <c r="M66" i="1"/>
  <c r="M67" i="1"/>
  <c r="M68" i="1"/>
  <c r="M69" i="1"/>
  <c r="M64" i="1"/>
  <c r="M61" i="1"/>
  <c r="M62" i="1"/>
  <c r="M55" i="1"/>
  <c r="M56" i="1"/>
  <c r="M57" i="1"/>
  <c r="M58" i="1"/>
  <c r="M59" i="1"/>
  <c r="M60" i="1"/>
  <c r="M54" i="1"/>
  <c r="M52" i="1"/>
  <c r="M47" i="1"/>
  <c r="M44" i="1"/>
  <c r="M45" i="1"/>
  <c r="M46" i="1"/>
  <c r="M43" i="1"/>
  <c r="M40" i="1"/>
  <c r="M41" i="1"/>
  <c r="M42" i="1"/>
  <c r="M39" i="1"/>
  <c r="M38" i="1"/>
  <c r="M37" i="1"/>
  <c r="M36" i="1"/>
  <c r="M35" i="1"/>
  <c r="M34" i="1"/>
  <c r="M33" i="1"/>
  <c r="M32" i="1"/>
  <c r="M30" i="1"/>
  <c r="M31" i="1"/>
  <c r="M27" i="1"/>
  <c r="M28" i="1"/>
  <c r="M29" i="1"/>
  <c r="M26" i="1"/>
  <c r="M23" i="1"/>
  <c r="M24" i="1"/>
  <c r="M25" i="1"/>
  <c r="M22" i="1"/>
  <c r="M17" i="1"/>
  <c r="M18" i="1"/>
  <c r="M19" i="1"/>
  <c r="M20" i="1"/>
  <c r="M21" i="1"/>
  <c r="M16" i="1"/>
  <c r="M14" i="1"/>
  <c r="M15" i="1"/>
  <c r="M13" i="1"/>
  <c r="M9" i="1"/>
  <c r="M10" i="1"/>
  <c r="M11" i="1"/>
  <c r="M12" i="1"/>
  <c r="M8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<sst xmlns="http://schemas.openxmlformats.org/spreadsheetml/2006/main" count="2942" uniqueCount="108">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</sst>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_-"/>
    <numFmt numFmtId="188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0" xfId="1" applyFont="1"/>
    <xf numFmtId="187" fontId="0" fillId="2" borderId="1" xfId="1" applyFont="1" applyFill="1" applyBorder="1"/>
    <xf numFmtId="187" fontId="0" fillId="0" borderId="1" xfId="1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187" fontId="0" fillId="0" borderId="1" xfId="1" applyFont="1" applyFill="1" applyBorder="1" applyAlignment="1">
      <alignment horizontal="center"/>
    </xf>
    <xf numFmtId="0" fontId="0" fillId="0" borderId="1" xfId="0" applyFill="1" applyBorder="1"/>
    <xf numFmtId="187" fontId="0" fillId="0" borderId="0" xfId="1" applyFont="1" applyFill="1"/>
    <xf numFmtId="188" fontId="0" fillId="2" borderId="1" xfId="1" applyNumberFormat="1" applyFont="1" applyFill="1" applyBorder="1"/>
    <xf numFmtId="187" fontId="2" fillId="0" borderId="1" xfId="1" applyFont="1" applyBorder="1" applyAlignment="1">
      <alignment horizontal="center"/>
    </xf>
    <xf numFmtId="0" fontId="2" fillId="0" borderId="1" xfId="0" applyFont="1" applyBorder="1"/>
    <xf numFmtId="187" fontId="2" fillId="0" borderId="1" xfId="1" applyFont="1" applyBorder="1"/>
    <xf numFmtId="187" fontId="2" fillId="0" borderId="1" xfId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87" fontId="2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87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7" fontId="0" fillId="0" borderId="1" xfId="1" applyFont="1" applyFill="1" applyBorder="1" applyAlignment="1">
      <alignment horizontal="center"/>
    </xf>
    <xf numFmtId="187" fontId="2" fillId="0" borderId="2" xfId="1" applyFont="1" applyFill="1" applyBorder="1"/>
    <xf numFmtId="188" fontId="2" fillId="2" borderId="2" xfId="1" applyNumberFormat="1" applyFont="1" applyFill="1" applyBorder="1"/>
    <xf numFmtId="187" fontId="2" fillId="0" borderId="3" xfId="1" applyFont="1" applyBorder="1"/>
    <xf numFmtId="187" fontId="2" fillId="0" borderId="4" xfId="1" applyFont="1" applyBorder="1"/>
    <xf numFmtId="187" fontId="2" fillId="0" borderId="4" xfId="1" applyFont="1" applyFill="1" applyBorder="1"/>
    <xf numFmtId="187" fontId="2" fillId="0" borderId="5" xfId="1" applyFont="1" applyBorder="1" applyAlignment="1">
      <alignment horizontal="center"/>
    </xf>
    <xf numFmtId="187" fontId="2" fillId="0" borderId="6" xfId="1" applyFont="1" applyBorder="1"/>
    <xf numFmtId="188" fontId="2" fillId="2" borderId="8" xfId="1" applyNumberFormat="1" applyFont="1" applyFill="1" applyBorder="1"/>
    <xf numFmtId="188" fontId="2" fillId="2" borderId="9" xfId="1" applyNumberFormat="1" applyFont="1" applyFill="1" applyBorder="1"/>
    <xf numFmtId="188" fontId="2" fillId="2" borderId="10" xfId="1" applyNumberFormat="1" applyFont="1" applyFill="1" applyBorder="1"/>
    <xf numFmtId="188" fontId="2" fillId="2" borderId="11" xfId="1" applyNumberFormat="1" applyFont="1" applyFill="1" applyBorder="1"/>
    <xf numFmtId="187" fontId="2" fillId="0" borderId="9" xfId="1" applyFont="1" applyBorder="1"/>
    <xf numFmtId="187" fontId="2" fillId="0" borderId="10" xfId="1" applyFont="1" applyBorder="1"/>
    <xf numFmtId="187" fontId="2" fillId="0" borderId="11" xfId="1" applyFont="1" applyBorder="1"/>
    <xf numFmtId="187" fontId="2" fillId="0" borderId="10" xfId="1" applyFont="1" applyFill="1" applyBorder="1"/>
    <xf numFmtId="188" fontId="2" fillId="2" borderId="12" xfId="1" applyNumberFormat="1" applyFont="1" applyFill="1" applyBorder="1"/>
    <xf numFmtId="188" fontId="2" fillId="2" borderId="3" xfId="1" applyNumberFormat="1" applyFont="1" applyFill="1" applyBorder="1"/>
    <xf numFmtId="187" fontId="2" fillId="0" borderId="3" xfId="1" applyFont="1" applyFill="1" applyBorder="1"/>
    <xf numFmtId="187" fontId="2" fillId="0" borderId="13" xfId="1" applyFont="1" applyBorder="1"/>
    <xf numFmtId="187" fontId="2" fillId="0" borderId="5" xfId="1" applyFont="1" applyFill="1" applyBorder="1" applyAlignment="1">
      <alignment horizontal="center"/>
    </xf>
    <xf numFmtId="187" fontId="2" fillId="2" borderId="9" xfId="1" applyFont="1" applyFill="1" applyBorder="1"/>
    <xf numFmtId="187" fontId="2" fillId="2" borderId="10" xfId="1" applyFont="1" applyFill="1" applyBorder="1"/>
    <xf numFmtId="0" fontId="3" fillId="0" borderId="5" xfId="0" applyFont="1" applyFill="1" applyBorder="1"/>
    <xf numFmtId="0" fontId="2" fillId="0" borderId="5" xfId="0" applyFont="1" applyFill="1" applyBorder="1"/>
    <xf numFmtId="187" fontId="2" fillId="0" borderId="5" xfId="1" applyFont="1" applyFill="1" applyBorder="1"/>
    <xf numFmtId="187" fontId="2" fillId="0" borderId="7" xfId="1" applyFont="1" applyFill="1" applyBorder="1"/>
    <xf numFmtId="188" fontId="2" fillId="2" borderId="15" xfId="1" applyNumberFormat="1" applyFont="1" applyFill="1" applyBorder="1"/>
    <xf numFmtId="187" fontId="2" fillId="0" borderId="6" xfId="1" applyFont="1" applyFill="1" applyBorder="1"/>
    <xf numFmtId="187" fontId="2" fillId="2" borderId="15" xfId="1" applyFont="1" applyFill="1" applyBorder="1"/>
    <xf numFmtId="187" fontId="2" fillId="0" borderId="13" xfId="1" applyFont="1" applyFill="1" applyBorder="1"/>
    <xf numFmtId="0" fontId="3" fillId="0" borderId="14" xfId="0" applyFont="1" applyBorder="1" applyAlignment="1">
      <alignment horizontal="left"/>
    </xf>
    <xf numFmtId="0" fontId="0" fillId="0" borderId="14" xfId="0" applyBorder="1"/>
    <xf numFmtId="187" fontId="0" fillId="0" borderId="14" xfId="1" applyFont="1" applyBorder="1"/>
    <xf numFmtId="0" fontId="3" fillId="0" borderId="5" xfId="0" applyFont="1" applyBorder="1" applyAlignment="1">
      <alignment horizontal="left"/>
    </xf>
    <xf numFmtId="0" fontId="2" fillId="0" borderId="5" xfId="0" applyFont="1" applyBorder="1"/>
    <xf numFmtId="187" fontId="2" fillId="0" borderId="5" xfId="1" applyFont="1" applyBorder="1"/>
    <xf numFmtId="188" fontId="2" fillId="2" borderId="7" xfId="1" applyNumberFormat="1" applyFont="1" applyFill="1" applyBorder="1"/>
    <xf numFmtId="187" fontId="2" fillId="0" borderId="15" xfId="1" applyFont="1" applyBorder="1"/>
    <xf numFmtId="188" fontId="2" fillId="2" borderId="6" xfId="1" applyNumberFormat="1" applyFont="1" applyFill="1" applyBorder="1"/>
    <xf numFmtId="0" fontId="3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87" fontId="2" fillId="0" borderId="16" xfId="1" applyFont="1" applyFill="1" applyBorder="1" applyAlignment="1">
      <alignment horizontal="center"/>
    </xf>
    <xf numFmtId="0" fontId="2" fillId="0" borderId="14" xfId="0" applyFont="1" applyBorder="1"/>
    <xf numFmtId="187" fontId="2" fillId="0" borderId="14" xfId="1" applyFont="1" applyBorder="1"/>
    <xf numFmtId="188" fontId="2" fillId="0" borderId="14" xfId="1" applyNumberFormat="1" applyFont="1" applyBorder="1"/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7"/>
  <sheetViews>
    <sheetView tabSelected="1" topLeftCell="D1" zoomScale="70" zoomScaleNormal="70" workbookViewId="0">
      <selection activeCell="P87" sqref="A1:P87"/>
    </sheetView>
  </sheetViews>
  <sheetFormatPr defaultRowHeight="15" x14ac:dyDescent="0.25"/>
  <cols>
    <col min="1" max="1" width="22.5703125" hidden="1" customWidth="1"/>
    <col min="2" max="2" width="8.42578125" hidden="1" customWidth="1"/>
    <col min="3" max="3" width="14" hidden="1" customWidth="1"/>
    <col min="4" max="4" width="27.28515625" style="21" bestFit="1" customWidth="1"/>
    <col min="5" max="5" width="54" bestFit="1" customWidth="1"/>
    <col min="6" max="6" width="13.28515625" style="3" hidden="1" customWidth="1"/>
    <col min="7" max="7" width="6.28515625" style="3" hidden="1" customWidth="1"/>
    <col min="8" max="8" width="15.28515625" style="3" hidden="1" customWidth="1"/>
    <col min="9" max="9" width="11.5703125" style="3" hidden="1" customWidth="1"/>
    <col min="10" max="10" width="6.28515625" style="3" hidden="1" customWidth="1"/>
    <col min="11" max="11" width="13.28515625" style="3" hidden="1" customWidth="1"/>
    <col min="12" max="12" width="14.42578125" style="3" bestFit="1" customWidth="1"/>
    <col min="13" max="13" width="14" style="3" bestFit="1" customWidth="1"/>
    <col min="14" max="14" width="16.85546875" style="3" bestFit="1" customWidth="1"/>
    <col min="15" max="15" width="19.42578125" style="3" bestFit="1" customWidth="1"/>
    <col min="16" max="16" width="25.42578125" style="3" bestFit="1" customWidth="1"/>
  </cols>
  <sheetData>
    <row r="1" spans="1:16" ht="15.75" x14ac:dyDescent="0.25">
      <c r="A1" s="27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26" t="s">
        <v>5</v>
      </c>
      <c r="G1" s="26"/>
      <c r="H1" s="26"/>
      <c r="I1" s="26" t="s">
        <v>6</v>
      </c>
      <c r="J1" s="26"/>
      <c r="K1" s="26"/>
      <c r="L1" s="26" t="s">
        <v>7</v>
      </c>
      <c r="M1" s="26"/>
      <c r="N1" s="26"/>
      <c r="O1" s="26"/>
      <c r="P1" s="26"/>
    </row>
    <row r="2" spans="1:16" ht="16.5" thickBot="1" x14ac:dyDescent="0.3">
      <c r="A2" s="27"/>
      <c r="B2" s="27"/>
      <c r="C2" s="27"/>
      <c r="D2" s="28"/>
      <c r="E2" s="29"/>
      <c r="F2" s="12" t="s">
        <v>8</v>
      </c>
      <c r="G2" s="12" t="s">
        <v>9</v>
      </c>
      <c r="H2" s="12" t="s">
        <v>10</v>
      </c>
      <c r="I2" s="12" t="s">
        <v>8</v>
      </c>
      <c r="J2" s="12" t="s">
        <v>9</v>
      </c>
      <c r="K2" s="12" t="s">
        <v>10</v>
      </c>
      <c r="L2" s="36" t="s">
        <v>11</v>
      </c>
      <c r="M2" s="12" t="s">
        <v>8</v>
      </c>
      <c r="N2" s="36" t="s">
        <v>10</v>
      </c>
      <c r="O2" s="36" t="s">
        <v>12</v>
      </c>
      <c r="P2" s="12" t="s">
        <v>13</v>
      </c>
    </row>
    <row r="3" spans="1:16" ht="16.5" thickTop="1" x14ac:dyDescent="0.25">
      <c r="A3" s="2" t="s">
        <v>14</v>
      </c>
      <c r="B3" s="2"/>
      <c r="C3" s="2" t="s">
        <v>15</v>
      </c>
      <c r="D3" s="19" t="s">
        <v>16</v>
      </c>
      <c r="E3" s="13" t="s">
        <v>17</v>
      </c>
      <c r="F3" s="14">
        <f>198639*48*0.125</f>
        <v>1191834</v>
      </c>
      <c r="G3" s="14"/>
      <c r="H3" s="14">
        <v>52937237</v>
      </c>
      <c r="I3" s="15">
        <f>18850*48*0.125</f>
        <v>113100</v>
      </c>
      <c r="J3" s="15"/>
      <c r="K3" s="31">
        <v>5023525</v>
      </c>
      <c r="L3" s="39">
        <v>9645</v>
      </c>
      <c r="M3" s="33">
        <f>SUM(L3*0.125*48)</f>
        <v>57870</v>
      </c>
      <c r="N3" s="42">
        <v>2570406.5</v>
      </c>
      <c r="O3" s="39">
        <v>941</v>
      </c>
      <c r="P3" s="34">
        <f>SUM(O3*0.125*48)</f>
        <v>5646</v>
      </c>
    </row>
    <row r="4" spans="1:16" ht="15.75" x14ac:dyDescent="0.25">
      <c r="A4" s="2" t="s">
        <v>14</v>
      </c>
      <c r="B4" s="2"/>
      <c r="C4" s="2" t="s">
        <v>15</v>
      </c>
      <c r="D4" s="19" t="s">
        <v>16</v>
      </c>
      <c r="E4" s="13" t="s">
        <v>18</v>
      </c>
      <c r="F4" s="14">
        <f>11213*48*0.125</f>
        <v>67278</v>
      </c>
      <c r="G4" s="14"/>
      <c r="H4" s="14">
        <v>3097646</v>
      </c>
      <c r="I4" s="15">
        <f>1145.5*48*0.125</f>
        <v>6873</v>
      </c>
      <c r="J4" s="15"/>
      <c r="K4" s="31">
        <v>316444.38</v>
      </c>
      <c r="L4" s="40">
        <v>646</v>
      </c>
      <c r="M4" s="33">
        <f t="shared" ref="M4:M7" si="0">SUM(L4*0.125*48)</f>
        <v>3876</v>
      </c>
      <c r="N4" s="43">
        <v>178467.25</v>
      </c>
      <c r="O4" s="40">
        <v>41</v>
      </c>
      <c r="P4" s="34">
        <f t="shared" ref="P4:P7" si="1">SUM(O4*0.125*48)</f>
        <v>246</v>
      </c>
    </row>
    <row r="5" spans="1:16" ht="15.75" x14ac:dyDescent="0.25">
      <c r="A5" s="2" t="s">
        <v>14</v>
      </c>
      <c r="B5" s="2"/>
      <c r="C5" s="2" t="s">
        <v>15</v>
      </c>
      <c r="D5" s="19" t="s">
        <v>16</v>
      </c>
      <c r="E5" s="13" t="s">
        <v>19</v>
      </c>
      <c r="F5" s="14">
        <f>10508*48*0.125</f>
        <v>63048</v>
      </c>
      <c r="G5" s="14"/>
      <c r="H5" s="14">
        <v>2902810</v>
      </c>
      <c r="I5" s="15">
        <f>1000.5*48*0.125</f>
        <v>6003</v>
      </c>
      <c r="J5" s="15"/>
      <c r="K5" s="31">
        <v>276388.13</v>
      </c>
      <c r="L5" s="40">
        <v>504</v>
      </c>
      <c r="M5" s="33">
        <f t="shared" si="0"/>
        <v>3024</v>
      </c>
      <c r="N5" s="43">
        <v>139230</v>
      </c>
      <c r="O5" s="40">
        <v>19</v>
      </c>
      <c r="P5" s="34">
        <f t="shared" si="1"/>
        <v>114</v>
      </c>
    </row>
    <row r="6" spans="1:16" ht="15.75" x14ac:dyDescent="0.25">
      <c r="A6" s="2" t="s">
        <v>14</v>
      </c>
      <c r="B6" s="2"/>
      <c r="C6" s="2" t="s">
        <v>15</v>
      </c>
      <c r="D6" s="19" t="s">
        <v>16</v>
      </c>
      <c r="E6" s="13" t="s">
        <v>20</v>
      </c>
      <c r="F6" s="14">
        <f>32472*48*0.125</f>
        <v>194832</v>
      </c>
      <c r="G6" s="14"/>
      <c r="H6" s="14">
        <v>8970445</v>
      </c>
      <c r="I6" s="15">
        <f>3045*48*0.125</f>
        <v>18270</v>
      </c>
      <c r="J6" s="15"/>
      <c r="K6" s="31">
        <v>841181.25</v>
      </c>
      <c r="L6" s="40">
        <v>2511</v>
      </c>
      <c r="M6" s="33">
        <f t="shared" si="0"/>
        <v>15066</v>
      </c>
      <c r="N6" s="43">
        <v>693673.5</v>
      </c>
      <c r="O6" s="40">
        <v>47</v>
      </c>
      <c r="P6" s="34">
        <f t="shared" si="1"/>
        <v>282</v>
      </c>
    </row>
    <row r="7" spans="1:16" ht="15.75" x14ac:dyDescent="0.25">
      <c r="A7" s="2" t="s">
        <v>14</v>
      </c>
      <c r="B7" s="2"/>
      <c r="C7" s="2" t="s">
        <v>15</v>
      </c>
      <c r="D7" s="19" t="s">
        <v>16</v>
      </c>
      <c r="E7" s="13" t="s">
        <v>21</v>
      </c>
      <c r="F7" s="14">
        <f>1013*48*0.125</f>
        <v>6078</v>
      </c>
      <c r="G7" s="14"/>
      <c r="H7" s="14">
        <v>396067</v>
      </c>
      <c r="I7" s="15">
        <f>101.5*48*0.125</f>
        <v>609</v>
      </c>
      <c r="J7" s="15"/>
      <c r="K7" s="31">
        <v>39686.5</v>
      </c>
      <c r="L7" s="40">
        <v>200</v>
      </c>
      <c r="M7" s="33">
        <f t="shared" si="0"/>
        <v>1200</v>
      </c>
      <c r="N7" s="43">
        <v>78200</v>
      </c>
      <c r="O7" s="40">
        <v>69</v>
      </c>
      <c r="P7" s="34">
        <f t="shared" si="1"/>
        <v>414</v>
      </c>
    </row>
    <row r="8" spans="1:16" ht="15.75" x14ac:dyDescent="0.25">
      <c r="A8" s="2" t="s">
        <v>14</v>
      </c>
      <c r="B8" s="2"/>
      <c r="C8" s="2" t="s">
        <v>15</v>
      </c>
      <c r="D8" s="19" t="s">
        <v>16</v>
      </c>
      <c r="E8" s="13" t="s">
        <v>22</v>
      </c>
      <c r="F8" s="14">
        <f>401260*36*0.2</f>
        <v>2889072</v>
      </c>
      <c r="G8" s="14"/>
      <c r="H8" s="14">
        <v>119575406</v>
      </c>
      <c r="I8" s="15">
        <f>27992*36*0.2</f>
        <v>201542.40000000002</v>
      </c>
      <c r="J8" s="15"/>
      <c r="K8" s="31">
        <v>8341616</v>
      </c>
      <c r="L8" s="40">
        <v>30376</v>
      </c>
      <c r="M8" s="33">
        <f>SUM(L8*0.2*36)</f>
        <v>218707.20000000001</v>
      </c>
      <c r="N8" s="43">
        <v>9052053</v>
      </c>
      <c r="O8" s="40">
        <v>2947</v>
      </c>
      <c r="P8" s="34">
        <f>SUM(O8*0.2*36)</f>
        <v>21218.399999999998</v>
      </c>
    </row>
    <row r="9" spans="1:16" ht="15.75" x14ac:dyDescent="0.25">
      <c r="A9" s="2" t="s">
        <v>14</v>
      </c>
      <c r="B9" s="2"/>
      <c r="C9" s="2" t="s">
        <v>15</v>
      </c>
      <c r="D9" s="19" t="s">
        <v>16</v>
      </c>
      <c r="E9" s="13" t="s">
        <v>23</v>
      </c>
      <c r="F9" s="14">
        <f>18184*36*0.2</f>
        <v>130924.8</v>
      </c>
      <c r="G9" s="14"/>
      <c r="H9" s="14">
        <v>5573462</v>
      </c>
      <c r="I9" s="15">
        <f>1783.5*36*0.2</f>
        <v>12841.2</v>
      </c>
      <c r="J9" s="15"/>
      <c r="K9" s="31">
        <v>546642.75</v>
      </c>
      <c r="L9" s="40">
        <v>491</v>
      </c>
      <c r="M9" s="33">
        <f t="shared" ref="M9:M12" si="2">SUM(L9*0.2*36)</f>
        <v>3535.2000000000003</v>
      </c>
      <c r="N9" s="43">
        <v>150499</v>
      </c>
      <c r="O9" s="40">
        <v>99</v>
      </c>
      <c r="P9" s="34">
        <f t="shared" ref="P9:P12" si="3">SUM(O9*0.2*36)</f>
        <v>712.80000000000007</v>
      </c>
    </row>
    <row r="10" spans="1:16" ht="15.75" x14ac:dyDescent="0.25">
      <c r="A10" s="2" t="s">
        <v>14</v>
      </c>
      <c r="B10" s="2"/>
      <c r="C10" s="2" t="s">
        <v>15</v>
      </c>
      <c r="D10" s="19" t="s">
        <v>16</v>
      </c>
      <c r="E10" s="13" t="s">
        <v>24</v>
      </c>
      <c r="F10" s="14">
        <f>6039*36*0.2</f>
        <v>43480.800000000003</v>
      </c>
      <c r="G10" s="14"/>
      <c r="H10" s="14">
        <v>1799599</v>
      </c>
      <c r="I10" s="15">
        <f>1502.2*36*0.2</f>
        <v>10815.840000000002</v>
      </c>
      <c r="J10" s="15"/>
      <c r="K10" s="31">
        <v>447655.6</v>
      </c>
      <c r="L10" s="40">
        <v>362</v>
      </c>
      <c r="M10" s="33">
        <f t="shared" si="2"/>
        <v>2606.4</v>
      </c>
      <c r="N10" s="43">
        <v>107881</v>
      </c>
      <c r="O10" s="40">
        <v>64</v>
      </c>
      <c r="P10" s="34">
        <f t="shared" si="3"/>
        <v>460.8</v>
      </c>
    </row>
    <row r="11" spans="1:16" ht="15.75" x14ac:dyDescent="0.25">
      <c r="A11" s="2" t="s">
        <v>14</v>
      </c>
      <c r="B11" s="2"/>
      <c r="C11" s="2" t="s">
        <v>15</v>
      </c>
      <c r="D11" s="19" t="s">
        <v>16</v>
      </c>
      <c r="E11" s="13" t="s">
        <v>25</v>
      </c>
      <c r="F11" s="14">
        <f>45971*36*0.2</f>
        <v>330991.2</v>
      </c>
      <c r="G11" s="14"/>
      <c r="H11" s="14">
        <v>14090216</v>
      </c>
      <c r="I11" s="15">
        <f>4205*36*0.2</f>
        <v>30276</v>
      </c>
      <c r="J11" s="15"/>
      <c r="K11" s="31">
        <v>1288832.5</v>
      </c>
      <c r="L11" s="40">
        <v>2662</v>
      </c>
      <c r="M11" s="33">
        <f t="shared" si="2"/>
        <v>19166.399999999998</v>
      </c>
      <c r="N11" s="43">
        <v>815918</v>
      </c>
      <c r="O11" s="40">
        <v>155</v>
      </c>
      <c r="P11" s="34">
        <f t="shared" si="3"/>
        <v>1116</v>
      </c>
    </row>
    <row r="12" spans="1:16" ht="15.75" x14ac:dyDescent="0.25">
      <c r="A12" s="2" t="s">
        <v>14</v>
      </c>
      <c r="B12" s="2"/>
      <c r="C12" s="2" t="s">
        <v>15</v>
      </c>
      <c r="D12" s="19" t="s">
        <v>16</v>
      </c>
      <c r="E12" s="13" t="s">
        <v>26</v>
      </c>
      <c r="F12" s="14"/>
      <c r="G12" s="14"/>
      <c r="H12" s="14"/>
      <c r="I12" s="15"/>
      <c r="J12" s="15"/>
      <c r="K12" s="31"/>
      <c r="L12" s="40">
        <v>371</v>
      </c>
      <c r="M12" s="33">
        <f t="shared" si="2"/>
        <v>2671.2000000000003</v>
      </c>
      <c r="N12" s="43">
        <v>140990</v>
      </c>
      <c r="O12" s="40">
        <v>118</v>
      </c>
      <c r="P12" s="34">
        <f t="shared" si="3"/>
        <v>849.6</v>
      </c>
    </row>
    <row r="13" spans="1:16" ht="15.75" x14ac:dyDescent="0.25">
      <c r="A13" s="2" t="s">
        <v>14</v>
      </c>
      <c r="B13" s="2"/>
      <c r="C13" s="2" t="s">
        <v>15</v>
      </c>
      <c r="D13" s="19" t="s">
        <v>16</v>
      </c>
      <c r="E13" s="13" t="s">
        <v>27</v>
      </c>
      <c r="F13" s="14">
        <f>29402*12*0.25</f>
        <v>88206</v>
      </c>
      <c r="G13" s="14"/>
      <c r="H13" s="14">
        <v>3528243</v>
      </c>
      <c r="I13" s="15">
        <f>2610*12*0.25</f>
        <v>7830</v>
      </c>
      <c r="J13" s="15"/>
      <c r="K13" s="31">
        <v>313200</v>
      </c>
      <c r="L13" s="40">
        <v>1755</v>
      </c>
      <c r="M13" s="33">
        <f>SUM(L13*0.25*12)</f>
        <v>5265</v>
      </c>
      <c r="N13" s="43">
        <v>210600</v>
      </c>
      <c r="O13" s="40">
        <v>299</v>
      </c>
      <c r="P13" s="34">
        <f>SUM(O13*0.25*12)</f>
        <v>897</v>
      </c>
    </row>
    <row r="14" spans="1:16" ht="15.75" x14ac:dyDescent="0.25">
      <c r="A14" s="2" t="s">
        <v>14</v>
      </c>
      <c r="B14" s="2"/>
      <c r="C14" s="2" t="s">
        <v>15</v>
      </c>
      <c r="D14" s="19" t="s">
        <v>16</v>
      </c>
      <c r="E14" s="13" t="s">
        <v>28</v>
      </c>
      <c r="F14" s="14">
        <f>13311*12*0.25</f>
        <v>39933</v>
      </c>
      <c r="G14" s="14"/>
      <c r="H14" s="14">
        <v>1633935</v>
      </c>
      <c r="I14" s="15">
        <f>1297.75*12*0.25</f>
        <v>3893.25</v>
      </c>
      <c r="J14" s="15"/>
      <c r="K14" s="31">
        <v>159298.81</v>
      </c>
      <c r="L14" s="40">
        <v>346</v>
      </c>
      <c r="M14" s="33">
        <f t="shared" ref="M14:M15" si="4">SUM(L14*0.25*12)</f>
        <v>1038</v>
      </c>
      <c r="N14" s="43">
        <v>42471.5</v>
      </c>
      <c r="O14" s="40">
        <v>8</v>
      </c>
      <c r="P14" s="34">
        <f t="shared" ref="P14:P15" si="5">SUM(O14*0.25*12)</f>
        <v>24</v>
      </c>
    </row>
    <row r="15" spans="1:16" ht="15.75" x14ac:dyDescent="0.25">
      <c r="A15" s="2" t="s">
        <v>14</v>
      </c>
      <c r="B15" s="2"/>
      <c r="C15" s="2" t="s">
        <v>15</v>
      </c>
      <c r="D15" s="19" t="s">
        <v>16</v>
      </c>
      <c r="E15" s="13" t="s">
        <v>29</v>
      </c>
      <c r="F15" s="14">
        <f>17714*12*0.25</f>
        <v>53142</v>
      </c>
      <c r="G15" s="14"/>
      <c r="H15" s="14">
        <v>2174346</v>
      </c>
      <c r="I15" s="15">
        <f>1595*12*0.25</f>
        <v>4785</v>
      </c>
      <c r="J15" s="15"/>
      <c r="K15" s="31">
        <v>195786.25</v>
      </c>
      <c r="L15" s="40">
        <v>450</v>
      </c>
      <c r="M15" s="33">
        <f t="shared" si="4"/>
        <v>1350</v>
      </c>
      <c r="N15" s="43">
        <v>55237.5</v>
      </c>
      <c r="O15" s="40">
        <v>21</v>
      </c>
      <c r="P15" s="34">
        <f t="shared" si="5"/>
        <v>63</v>
      </c>
    </row>
    <row r="16" spans="1:16" ht="15.75" hidden="1" x14ac:dyDescent="0.25">
      <c r="A16" s="2" t="s">
        <v>14</v>
      </c>
      <c r="B16" s="2"/>
      <c r="C16" s="2" t="s">
        <v>15</v>
      </c>
      <c r="D16" s="19" t="s">
        <v>16</v>
      </c>
      <c r="E16" s="13" t="s">
        <v>30</v>
      </c>
      <c r="F16" s="14"/>
      <c r="G16" s="14"/>
      <c r="H16" s="14"/>
      <c r="I16" s="15"/>
      <c r="J16" s="15"/>
      <c r="K16" s="31"/>
      <c r="L16" s="40"/>
      <c r="M16" s="33">
        <f>SUM(L16*0.25*36)</f>
        <v>0</v>
      </c>
      <c r="N16" s="43"/>
      <c r="O16" s="40"/>
      <c r="P16" s="34">
        <f>SUM(O16*0.25*36)</f>
        <v>0</v>
      </c>
    </row>
    <row r="17" spans="1:16" ht="15.75" hidden="1" x14ac:dyDescent="0.25">
      <c r="A17" s="2" t="s">
        <v>14</v>
      </c>
      <c r="B17" s="2"/>
      <c r="C17" s="2" t="s">
        <v>15</v>
      </c>
      <c r="D17" s="19" t="s">
        <v>16</v>
      </c>
      <c r="E17" s="13" t="s">
        <v>31</v>
      </c>
      <c r="F17" s="14"/>
      <c r="G17" s="14"/>
      <c r="H17" s="14"/>
      <c r="I17" s="15"/>
      <c r="J17" s="15"/>
      <c r="K17" s="31"/>
      <c r="L17" s="40"/>
      <c r="M17" s="33">
        <f t="shared" ref="M17:M21" si="6">SUM(L17*0.25*36)</f>
        <v>0</v>
      </c>
      <c r="N17" s="43"/>
      <c r="O17" s="40"/>
      <c r="P17" s="34">
        <f t="shared" ref="P17:P21" si="7">SUM(O17*0.25*36)</f>
        <v>0</v>
      </c>
    </row>
    <row r="18" spans="1:16" ht="15.75" hidden="1" x14ac:dyDescent="0.25">
      <c r="A18" s="2" t="s">
        <v>14</v>
      </c>
      <c r="B18" s="2"/>
      <c r="C18" s="2" t="s">
        <v>15</v>
      </c>
      <c r="D18" s="19" t="s">
        <v>16</v>
      </c>
      <c r="E18" s="13" t="s">
        <v>32</v>
      </c>
      <c r="F18" s="14"/>
      <c r="G18" s="14"/>
      <c r="H18" s="14"/>
      <c r="I18" s="15"/>
      <c r="J18" s="15"/>
      <c r="K18" s="31"/>
      <c r="L18" s="40"/>
      <c r="M18" s="33">
        <f t="shared" si="6"/>
        <v>0</v>
      </c>
      <c r="N18" s="43"/>
      <c r="O18" s="40"/>
      <c r="P18" s="34">
        <f t="shared" si="7"/>
        <v>0</v>
      </c>
    </row>
    <row r="19" spans="1:16" ht="15.75" x14ac:dyDescent="0.25">
      <c r="A19" s="2" t="s">
        <v>14</v>
      </c>
      <c r="B19" s="2"/>
      <c r="C19" s="2" t="s">
        <v>15</v>
      </c>
      <c r="D19" s="19" t="s">
        <v>16</v>
      </c>
      <c r="E19" s="13" t="s">
        <v>33</v>
      </c>
      <c r="F19" s="14">
        <f>36352*36*0.25</f>
        <v>327168</v>
      </c>
      <c r="G19" s="14"/>
      <c r="H19" s="14">
        <v>12941146</v>
      </c>
      <c r="I19" s="15">
        <f>3190*36*0.25</f>
        <v>28710</v>
      </c>
      <c r="J19" s="15"/>
      <c r="K19" s="31">
        <v>1135640</v>
      </c>
      <c r="L19" s="40">
        <v>395</v>
      </c>
      <c r="M19" s="33">
        <f t="shared" si="6"/>
        <v>3555</v>
      </c>
      <c r="N19" s="43">
        <v>140620</v>
      </c>
      <c r="O19" s="40">
        <v>165</v>
      </c>
      <c r="P19" s="34">
        <f t="shared" si="7"/>
        <v>1485</v>
      </c>
    </row>
    <row r="20" spans="1:16" ht="15.75" x14ac:dyDescent="0.25">
      <c r="A20" s="2" t="s">
        <v>14</v>
      </c>
      <c r="B20" s="2"/>
      <c r="C20" s="2" t="s">
        <v>15</v>
      </c>
      <c r="D20" s="19" t="s">
        <v>16</v>
      </c>
      <c r="E20" s="13" t="s">
        <v>34</v>
      </c>
      <c r="F20" s="14">
        <f>6670*36*0.25</f>
        <v>60030</v>
      </c>
      <c r="G20" s="14"/>
      <c r="H20" s="14">
        <v>2423009</v>
      </c>
      <c r="I20" s="15">
        <f>493.58*36*0.25</f>
        <v>4442.22</v>
      </c>
      <c r="J20" s="15"/>
      <c r="K20" s="31">
        <v>179292.94</v>
      </c>
      <c r="L20" s="40">
        <v>92</v>
      </c>
      <c r="M20" s="33">
        <f t="shared" si="6"/>
        <v>828</v>
      </c>
      <c r="N20" s="43">
        <v>33419</v>
      </c>
      <c r="O20" s="40">
        <v>12</v>
      </c>
      <c r="P20" s="34">
        <f t="shared" si="7"/>
        <v>108</v>
      </c>
    </row>
    <row r="21" spans="1:16" ht="15.75" x14ac:dyDescent="0.25">
      <c r="A21" s="2" t="s">
        <v>14</v>
      </c>
      <c r="B21" s="2"/>
      <c r="C21" s="2" t="s">
        <v>15</v>
      </c>
      <c r="D21" s="19" t="s">
        <v>16</v>
      </c>
      <c r="E21" s="13" t="s">
        <v>35</v>
      </c>
      <c r="F21" s="14">
        <f>15661*36*0.25</f>
        <v>140949</v>
      </c>
      <c r="G21" s="14"/>
      <c r="H21" s="14">
        <v>5688804</v>
      </c>
      <c r="I21" s="15">
        <f>1158.84*36*0.25</f>
        <v>10429.56</v>
      </c>
      <c r="J21" s="15"/>
      <c r="K21" s="31">
        <v>420948.63</v>
      </c>
      <c r="L21" s="40">
        <v>202</v>
      </c>
      <c r="M21" s="33">
        <f t="shared" si="6"/>
        <v>1818</v>
      </c>
      <c r="N21" s="43">
        <v>73376.5</v>
      </c>
      <c r="O21" s="40">
        <v>6</v>
      </c>
      <c r="P21" s="34">
        <f t="shared" si="7"/>
        <v>54</v>
      </c>
    </row>
    <row r="22" spans="1:16" ht="15.75" x14ac:dyDescent="0.25">
      <c r="A22" s="2" t="s">
        <v>14</v>
      </c>
      <c r="B22" s="2"/>
      <c r="C22" s="2" t="s">
        <v>15</v>
      </c>
      <c r="D22" s="19" t="s">
        <v>36</v>
      </c>
      <c r="E22" s="13" t="s">
        <v>37</v>
      </c>
      <c r="F22" s="14">
        <f>1142*36*0.2</f>
        <v>8222.4</v>
      </c>
      <c r="G22" s="14"/>
      <c r="H22" s="14">
        <v>342740</v>
      </c>
      <c r="I22" s="15">
        <f>145*36*0.2</f>
        <v>1044</v>
      </c>
      <c r="J22" s="15"/>
      <c r="K22" s="31">
        <v>43500</v>
      </c>
      <c r="L22" s="40">
        <v>16</v>
      </c>
      <c r="M22" s="33">
        <f>SUM(L22*0.2*36)</f>
        <v>115.2</v>
      </c>
      <c r="N22" s="43">
        <v>4800</v>
      </c>
      <c r="O22" s="40">
        <v>57</v>
      </c>
      <c r="P22" s="34">
        <f>SUM(O22*0.2*36)</f>
        <v>410.40000000000003</v>
      </c>
    </row>
    <row r="23" spans="1:16" ht="15.75" x14ac:dyDescent="0.25">
      <c r="A23" s="2" t="s">
        <v>14</v>
      </c>
      <c r="B23" s="2"/>
      <c r="C23" s="2" t="s">
        <v>15</v>
      </c>
      <c r="D23" s="19" t="s">
        <v>36</v>
      </c>
      <c r="E23" s="13" t="s">
        <v>38</v>
      </c>
      <c r="F23" s="14">
        <f>1035*36*0.2</f>
        <v>7452</v>
      </c>
      <c r="G23" s="14"/>
      <c r="H23" s="14">
        <v>310602</v>
      </c>
      <c r="I23" s="15">
        <f t="shared" ref="I23:I25" si="8">145*36*0.2</f>
        <v>1044</v>
      </c>
      <c r="J23" s="15"/>
      <c r="K23" s="31">
        <v>43500</v>
      </c>
      <c r="L23" s="40">
        <v>0</v>
      </c>
      <c r="M23" s="33">
        <f t="shared" ref="M23:M25" si="9">SUM(L23*0.2*36)</f>
        <v>0</v>
      </c>
      <c r="N23" s="43">
        <v>0</v>
      </c>
      <c r="O23" s="40">
        <v>0</v>
      </c>
      <c r="P23" s="34">
        <f t="shared" ref="P23:P25" si="10">SUM(O23*0.2*36)</f>
        <v>0</v>
      </c>
    </row>
    <row r="24" spans="1:16" ht="15.75" x14ac:dyDescent="0.25">
      <c r="A24" s="2" t="s">
        <v>14</v>
      </c>
      <c r="B24" s="2"/>
      <c r="C24" s="2" t="s">
        <v>15</v>
      </c>
      <c r="D24" s="19" t="s">
        <v>36</v>
      </c>
      <c r="E24" s="13" t="s">
        <v>39</v>
      </c>
      <c r="F24" s="14">
        <f>1146*36*0.2</f>
        <v>8251.2000000000007</v>
      </c>
      <c r="G24" s="14"/>
      <c r="H24" s="14">
        <v>343805</v>
      </c>
      <c r="I24" s="15">
        <f t="shared" si="8"/>
        <v>1044</v>
      </c>
      <c r="J24" s="15"/>
      <c r="K24" s="31">
        <v>43500</v>
      </c>
      <c r="L24" s="40">
        <v>4</v>
      </c>
      <c r="M24" s="33">
        <f t="shared" si="9"/>
        <v>28.8</v>
      </c>
      <c r="N24" s="43">
        <v>1200</v>
      </c>
      <c r="O24" s="40">
        <v>9</v>
      </c>
      <c r="P24" s="34">
        <f t="shared" si="10"/>
        <v>64.8</v>
      </c>
    </row>
    <row r="25" spans="1:16" ht="16.5" thickBot="1" x14ac:dyDescent="0.3">
      <c r="A25" s="2" t="s">
        <v>14</v>
      </c>
      <c r="B25" s="2"/>
      <c r="C25" s="2" t="s">
        <v>15</v>
      </c>
      <c r="D25" s="19" t="s">
        <v>36</v>
      </c>
      <c r="E25" s="13" t="s">
        <v>40</v>
      </c>
      <c r="F25" s="14">
        <f>1050*36*0.2</f>
        <v>7560</v>
      </c>
      <c r="G25" s="14"/>
      <c r="H25" s="14">
        <v>315021</v>
      </c>
      <c r="I25" s="15">
        <f t="shared" si="8"/>
        <v>1044</v>
      </c>
      <c r="J25" s="15"/>
      <c r="K25" s="31">
        <v>43500</v>
      </c>
      <c r="L25" s="41">
        <v>0</v>
      </c>
      <c r="M25" s="37">
        <f t="shared" si="9"/>
        <v>0</v>
      </c>
      <c r="N25" s="44">
        <v>0</v>
      </c>
      <c r="O25" s="41">
        <v>0</v>
      </c>
      <c r="P25" s="49">
        <f t="shared" si="10"/>
        <v>0</v>
      </c>
    </row>
    <row r="26" spans="1:16" ht="16.5" thickTop="1" x14ac:dyDescent="0.25">
      <c r="A26" s="2" t="s">
        <v>14</v>
      </c>
      <c r="B26" s="2"/>
      <c r="C26" s="2" t="s">
        <v>15</v>
      </c>
      <c r="D26" s="19" t="s">
        <v>41</v>
      </c>
      <c r="E26" s="13" t="s">
        <v>42</v>
      </c>
      <c r="F26" s="14">
        <f>112141*0.18</f>
        <v>20185.38</v>
      </c>
      <c r="G26" s="14"/>
      <c r="H26" s="14">
        <v>884792</v>
      </c>
      <c r="I26" s="15">
        <f>8521*0.18</f>
        <v>1533.78</v>
      </c>
      <c r="J26" s="15"/>
      <c r="K26" s="15">
        <v>67231.199999999997</v>
      </c>
      <c r="L26" s="38">
        <v>11812</v>
      </c>
      <c r="M26" s="42">
        <f>SUM(L26*0.18)</f>
        <v>2126.16</v>
      </c>
      <c r="N26" s="42">
        <v>93274.64</v>
      </c>
      <c r="O26" s="46"/>
      <c r="P26" s="42">
        <f>SUM(O26*0.18)</f>
        <v>0</v>
      </c>
    </row>
    <row r="27" spans="1:16" ht="15.75" x14ac:dyDescent="0.25">
      <c r="A27" s="2" t="s">
        <v>14</v>
      </c>
      <c r="B27" s="2"/>
      <c r="C27" s="2" t="s">
        <v>15</v>
      </c>
      <c r="D27" s="19" t="s">
        <v>41</v>
      </c>
      <c r="E27" s="13" t="s">
        <v>43</v>
      </c>
      <c r="F27" s="14">
        <f>1489344*0.18</f>
        <v>268081.91999999998</v>
      </c>
      <c r="G27" s="14"/>
      <c r="H27" s="14">
        <v>9308401</v>
      </c>
      <c r="I27" s="15">
        <f>112720*0.18</f>
        <v>20289.599999999999</v>
      </c>
      <c r="J27" s="15"/>
      <c r="K27" s="15">
        <v>704497.5</v>
      </c>
      <c r="L27" s="32">
        <v>19316</v>
      </c>
      <c r="M27" s="43">
        <f t="shared" ref="M27:M32" si="11">SUM(L27*0.18)</f>
        <v>3476.8799999999997</v>
      </c>
      <c r="N27" s="43">
        <v>138882.04</v>
      </c>
      <c r="O27" s="47">
        <v>31471</v>
      </c>
      <c r="P27" s="43">
        <f t="shared" ref="P27:P32" si="12">SUM(O27*0.18)</f>
        <v>5664.78</v>
      </c>
    </row>
    <row r="28" spans="1:16" ht="15.75" x14ac:dyDescent="0.25">
      <c r="A28" s="2" t="s">
        <v>14</v>
      </c>
      <c r="B28" s="2"/>
      <c r="C28" s="2" t="s">
        <v>15</v>
      </c>
      <c r="D28" s="19" t="s">
        <v>41</v>
      </c>
      <c r="E28" s="13" t="s">
        <v>44</v>
      </c>
      <c r="F28" s="14">
        <f>1483660*0.18</f>
        <v>267058.8</v>
      </c>
      <c r="G28" s="14"/>
      <c r="H28" s="14">
        <v>10192747</v>
      </c>
      <c r="I28" s="15">
        <f>111378*0.18</f>
        <v>20048.04</v>
      </c>
      <c r="J28" s="15"/>
      <c r="K28" s="15">
        <v>765164.8</v>
      </c>
      <c r="L28" s="32">
        <v>54293</v>
      </c>
      <c r="M28" s="43">
        <f t="shared" si="11"/>
        <v>9772.74</v>
      </c>
      <c r="N28" s="43">
        <v>428730.1</v>
      </c>
      <c r="O28" s="47"/>
      <c r="P28" s="43">
        <f t="shared" si="12"/>
        <v>0</v>
      </c>
    </row>
    <row r="29" spans="1:16" ht="15.75" hidden="1" x14ac:dyDescent="0.25">
      <c r="A29" s="2" t="s">
        <v>14</v>
      </c>
      <c r="B29" s="2"/>
      <c r="C29" s="2" t="s">
        <v>15</v>
      </c>
      <c r="D29" s="19" t="s">
        <v>41</v>
      </c>
      <c r="E29" s="13" t="s">
        <v>45</v>
      </c>
      <c r="F29" s="14"/>
      <c r="G29" s="14"/>
      <c r="H29" s="14"/>
      <c r="I29" s="15"/>
      <c r="J29" s="15"/>
      <c r="K29" s="15"/>
      <c r="L29" s="32"/>
      <c r="M29" s="43">
        <f t="shared" si="11"/>
        <v>0</v>
      </c>
      <c r="N29" s="43"/>
      <c r="O29" s="47"/>
      <c r="P29" s="43">
        <f t="shared" si="12"/>
        <v>0</v>
      </c>
    </row>
    <row r="30" spans="1:16" ht="15.75" x14ac:dyDescent="0.25">
      <c r="A30" s="2" t="s">
        <v>14</v>
      </c>
      <c r="B30" s="2"/>
      <c r="C30" s="2" t="s">
        <v>15</v>
      </c>
      <c r="D30" s="19" t="s">
        <v>41</v>
      </c>
      <c r="E30" s="13" t="s">
        <v>46</v>
      </c>
      <c r="F30" s="14">
        <f>313995*0.18</f>
        <v>56519.1</v>
      </c>
      <c r="G30" s="14"/>
      <c r="H30" s="14">
        <v>2477419</v>
      </c>
      <c r="I30" s="15">
        <f>23859*0.18</f>
        <v>4294.62</v>
      </c>
      <c r="J30" s="15"/>
      <c r="K30" s="15">
        <v>188247.37</v>
      </c>
      <c r="L30" s="32">
        <v>31520</v>
      </c>
      <c r="M30" s="43">
        <f t="shared" si="11"/>
        <v>5673.5999999999995</v>
      </c>
      <c r="N30" s="43">
        <v>248900.83</v>
      </c>
      <c r="O30" s="47"/>
      <c r="P30" s="43">
        <f t="shared" si="12"/>
        <v>0</v>
      </c>
    </row>
    <row r="31" spans="1:16" ht="15.75" x14ac:dyDescent="0.25">
      <c r="A31" s="2" t="s">
        <v>14</v>
      </c>
      <c r="B31" s="2"/>
      <c r="C31" s="2" t="s">
        <v>15</v>
      </c>
      <c r="D31" s="19" t="s">
        <v>41</v>
      </c>
      <c r="E31" s="13" t="s">
        <v>47</v>
      </c>
      <c r="F31" s="14">
        <f>1476695*0.18</f>
        <v>265805.09999999998</v>
      </c>
      <c r="G31" s="14"/>
      <c r="H31" s="14">
        <v>10144897</v>
      </c>
      <c r="I31" s="15">
        <f>108895*0.18</f>
        <v>19601.099999999999</v>
      </c>
      <c r="J31" s="15"/>
      <c r="K31" s="15">
        <v>748109.92</v>
      </c>
      <c r="L31" s="32">
        <v>26830</v>
      </c>
      <c r="M31" s="43">
        <f t="shared" si="11"/>
        <v>4829.3999999999996</v>
      </c>
      <c r="N31" s="43">
        <v>211865.77</v>
      </c>
      <c r="O31" s="47"/>
      <c r="P31" s="43">
        <f t="shared" si="12"/>
        <v>0</v>
      </c>
    </row>
    <row r="32" spans="1:16" ht="15.75" x14ac:dyDescent="0.25">
      <c r="A32" s="2" t="s">
        <v>14</v>
      </c>
      <c r="B32" s="2"/>
      <c r="C32" s="2" t="s">
        <v>15</v>
      </c>
      <c r="D32" s="19" t="s">
        <v>41</v>
      </c>
      <c r="E32" s="13" t="s">
        <v>48</v>
      </c>
      <c r="F32" s="14"/>
      <c r="G32" s="14"/>
      <c r="H32" s="14"/>
      <c r="I32" s="15"/>
      <c r="J32" s="15"/>
      <c r="K32" s="15"/>
      <c r="L32" s="32">
        <v>200</v>
      </c>
      <c r="M32" s="43">
        <f t="shared" si="11"/>
        <v>36</v>
      </c>
      <c r="N32" s="43">
        <v>2499.52</v>
      </c>
      <c r="O32" s="47"/>
      <c r="P32" s="43">
        <f t="shared" si="12"/>
        <v>0</v>
      </c>
    </row>
    <row r="33" spans="1:16" s="6" customFormat="1" ht="15.75" x14ac:dyDescent="0.25">
      <c r="A33" s="9" t="s">
        <v>14</v>
      </c>
      <c r="B33" s="9"/>
      <c r="C33" s="9" t="s">
        <v>15</v>
      </c>
      <c r="D33" s="20" t="s">
        <v>41</v>
      </c>
      <c r="E33" s="16" t="s">
        <v>49</v>
      </c>
      <c r="F33" s="15">
        <f>145783*0.2</f>
        <v>29156.600000000002</v>
      </c>
      <c r="G33" s="15"/>
      <c r="H33" s="15">
        <v>847001</v>
      </c>
      <c r="I33" s="15">
        <f>11077*0.2</f>
        <v>2215.4</v>
      </c>
      <c r="J33" s="15"/>
      <c r="K33" s="15">
        <v>64359.6</v>
      </c>
      <c r="L33" s="32">
        <v>29774</v>
      </c>
      <c r="M33" s="45">
        <f>SUM(L33*0.2)</f>
        <v>5954.8</v>
      </c>
      <c r="N33" s="45">
        <v>172986.94</v>
      </c>
      <c r="O33" s="47">
        <v>7036</v>
      </c>
      <c r="P33" s="45">
        <f>SUM(O33*0.2)</f>
        <v>1407.2</v>
      </c>
    </row>
    <row r="34" spans="1:16" ht="15.75" x14ac:dyDescent="0.25">
      <c r="A34" s="2" t="s">
        <v>14</v>
      </c>
      <c r="B34" s="2"/>
      <c r="C34" s="2" t="s">
        <v>15</v>
      </c>
      <c r="D34" s="19" t="s">
        <v>41</v>
      </c>
      <c r="E34" s="13" t="s">
        <v>50</v>
      </c>
      <c r="F34" s="14"/>
      <c r="G34" s="14"/>
      <c r="H34" s="14"/>
      <c r="I34" s="15"/>
      <c r="J34" s="15"/>
      <c r="K34" s="15"/>
      <c r="L34" s="32">
        <v>784</v>
      </c>
      <c r="M34" s="43">
        <f>SUM(L34*0.2)</f>
        <v>156.80000000000001</v>
      </c>
      <c r="N34" s="43">
        <v>23520</v>
      </c>
      <c r="O34" s="47">
        <v>179</v>
      </c>
      <c r="P34" s="43">
        <f>SUM(O34*0.2)</f>
        <v>35.800000000000004</v>
      </c>
    </row>
    <row r="35" spans="1:16" ht="15.75" x14ac:dyDescent="0.25">
      <c r="A35" s="2" t="s">
        <v>14</v>
      </c>
      <c r="B35" s="2"/>
      <c r="C35" s="2" t="s">
        <v>15</v>
      </c>
      <c r="D35" s="19" t="s">
        <v>41</v>
      </c>
      <c r="E35" s="13" t="s">
        <v>51</v>
      </c>
      <c r="F35" s="14">
        <v>179426</v>
      </c>
      <c r="G35" s="14"/>
      <c r="H35" s="14">
        <v>5158486</v>
      </c>
      <c r="I35" s="15">
        <f>13634*1</f>
        <v>13634</v>
      </c>
      <c r="J35" s="15"/>
      <c r="K35" s="15">
        <v>391968.99</v>
      </c>
      <c r="L35" s="32">
        <v>10531</v>
      </c>
      <c r="M35" s="43">
        <f>SUM(L35)</f>
        <v>10531</v>
      </c>
      <c r="N35" s="43">
        <v>302766.25</v>
      </c>
      <c r="O35" s="47">
        <v>2373</v>
      </c>
      <c r="P35" s="43">
        <f>SUM(O35)</f>
        <v>2373</v>
      </c>
    </row>
    <row r="36" spans="1:16" ht="15.75" x14ac:dyDescent="0.25">
      <c r="A36" s="2" t="s">
        <v>14</v>
      </c>
      <c r="B36" s="2"/>
      <c r="C36" s="2" t="s">
        <v>15</v>
      </c>
      <c r="D36" s="19" t="s">
        <v>41</v>
      </c>
      <c r="E36" s="13" t="s">
        <v>52</v>
      </c>
      <c r="F36" s="14"/>
      <c r="G36" s="14"/>
      <c r="H36" s="14"/>
      <c r="I36" s="15"/>
      <c r="J36" s="15"/>
      <c r="K36" s="15"/>
      <c r="L36" s="32">
        <v>16</v>
      </c>
      <c r="M36" s="43">
        <f>SUM(L36)</f>
        <v>16</v>
      </c>
      <c r="N36" s="43">
        <v>2080</v>
      </c>
      <c r="O36" s="47"/>
      <c r="P36" s="43">
        <f>SUM(O36)</f>
        <v>0</v>
      </c>
    </row>
    <row r="37" spans="1:16" ht="15.75" x14ac:dyDescent="0.25">
      <c r="A37" s="2" t="s">
        <v>14</v>
      </c>
      <c r="B37" s="2"/>
      <c r="C37" s="2" t="s">
        <v>15</v>
      </c>
      <c r="D37" s="19" t="s">
        <v>41</v>
      </c>
      <c r="E37" s="13" t="s">
        <v>53</v>
      </c>
      <c r="F37" s="14">
        <f>280696*2</f>
        <v>561392</v>
      </c>
      <c r="G37" s="14"/>
      <c r="H37" s="14">
        <v>21052217</v>
      </c>
      <c r="I37" s="15">
        <f>21704*2</f>
        <v>43408</v>
      </c>
      <c r="J37" s="15"/>
      <c r="K37" s="15">
        <v>1627762.5</v>
      </c>
      <c r="L37" s="32">
        <v>1838</v>
      </c>
      <c r="M37" s="43">
        <f>SUM(L37*2)</f>
        <v>3676</v>
      </c>
      <c r="N37" s="43">
        <v>137850</v>
      </c>
      <c r="O37" s="47"/>
      <c r="P37" s="43">
        <f>SUM(O37*2)</f>
        <v>0</v>
      </c>
    </row>
    <row r="38" spans="1:16" ht="15.75" x14ac:dyDescent="0.25">
      <c r="A38" s="2" t="s">
        <v>14</v>
      </c>
      <c r="B38" s="2"/>
      <c r="C38" s="2" t="s">
        <v>15</v>
      </c>
      <c r="D38" s="19" t="s">
        <v>41</v>
      </c>
      <c r="E38" s="13" t="s">
        <v>54</v>
      </c>
      <c r="F38" s="14">
        <v>567990</v>
      </c>
      <c r="G38" s="14"/>
      <c r="H38" s="14">
        <v>16471703</v>
      </c>
      <c r="I38" s="15">
        <v>43159</v>
      </c>
      <c r="J38" s="15"/>
      <c r="K38" s="15">
        <v>1251606.8999999999</v>
      </c>
      <c r="L38" s="32">
        <v>10205</v>
      </c>
      <c r="M38" s="43">
        <f>SUM(L38)</f>
        <v>10205</v>
      </c>
      <c r="N38" s="43">
        <v>295945</v>
      </c>
      <c r="O38" s="47"/>
      <c r="P38" s="43">
        <f>SUM(O38)</f>
        <v>0</v>
      </c>
    </row>
    <row r="39" spans="1:16" ht="15.75" x14ac:dyDescent="0.25">
      <c r="A39" s="2" t="s">
        <v>14</v>
      </c>
      <c r="B39" s="2"/>
      <c r="C39" s="2" t="s">
        <v>15</v>
      </c>
      <c r="D39" s="19" t="s">
        <v>55</v>
      </c>
      <c r="E39" s="13" t="s">
        <v>56</v>
      </c>
      <c r="F39" s="14">
        <f>1764402*0.1</f>
        <v>176440.2</v>
      </c>
      <c r="G39" s="14"/>
      <c r="H39" s="14">
        <v>6104831</v>
      </c>
      <c r="I39" s="15">
        <f>121410*0.1</f>
        <v>12141</v>
      </c>
      <c r="J39" s="15"/>
      <c r="K39" s="15">
        <v>420078.6</v>
      </c>
      <c r="L39" s="32">
        <v>82847</v>
      </c>
      <c r="M39" s="43">
        <f>SUM(L39*0.1)</f>
        <v>8284.7000000000007</v>
      </c>
      <c r="N39" s="43">
        <v>328877.71000000002</v>
      </c>
      <c r="O39" s="47">
        <v>11723</v>
      </c>
      <c r="P39" s="43">
        <f>SUM(O39*0.1)</f>
        <v>1172.3</v>
      </c>
    </row>
    <row r="40" spans="1:16" ht="15.75" x14ac:dyDescent="0.25">
      <c r="A40" s="2" t="s">
        <v>14</v>
      </c>
      <c r="B40" s="2"/>
      <c r="C40" s="2" t="s">
        <v>15</v>
      </c>
      <c r="D40" s="19" t="s">
        <v>55</v>
      </c>
      <c r="E40" s="13" t="s">
        <v>57</v>
      </c>
      <c r="F40" s="14">
        <f>1811951*0.1</f>
        <v>181195.1</v>
      </c>
      <c r="G40" s="14"/>
      <c r="H40" s="14">
        <v>6269352</v>
      </c>
      <c r="I40" s="15">
        <f>121410*0.1</f>
        <v>12141</v>
      </c>
      <c r="J40" s="15"/>
      <c r="K40" s="15">
        <v>420078.6</v>
      </c>
      <c r="L40" s="32">
        <v>102138</v>
      </c>
      <c r="M40" s="43">
        <f t="shared" ref="M40:M42" si="13">SUM(L40*0.1)</f>
        <v>10213.800000000001</v>
      </c>
      <c r="N40" s="43">
        <v>405457.2</v>
      </c>
      <c r="O40" s="47"/>
      <c r="P40" s="43">
        <f t="shared" ref="P40:P42" si="14">SUM(O40*0.1)</f>
        <v>0</v>
      </c>
    </row>
    <row r="41" spans="1:16" ht="15.75" x14ac:dyDescent="0.25">
      <c r="A41" s="2" t="s">
        <v>14</v>
      </c>
      <c r="B41" s="2"/>
      <c r="C41" s="2" t="s">
        <v>15</v>
      </c>
      <c r="D41" s="19" t="s">
        <v>55</v>
      </c>
      <c r="E41" s="13" t="s">
        <v>58</v>
      </c>
      <c r="F41" s="14">
        <f>1535864*0.1</f>
        <v>153586.4</v>
      </c>
      <c r="G41" s="14"/>
      <c r="H41" s="14">
        <v>5314090</v>
      </c>
      <c r="I41" s="15">
        <f>102240*0.1</f>
        <v>10224</v>
      </c>
      <c r="J41" s="15"/>
      <c r="K41" s="15">
        <v>353750.4</v>
      </c>
      <c r="L41" s="32">
        <v>94867</v>
      </c>
      <c r="M41" s="43">
        <f t="shared" si="13"/>
        <v>9486.7000000000007</v>
      </c>
      <c r="N41" s="43">
        <v>376593.52</v>
      </c>
      <c r="O41" s="47">
        <v>1315</v>
      </c>
      <c r="P41" s="43">
        <f t="shared" si="14"/>
        <v>131.5</v>
      </c>
    </row>
    <row r="42" spans="1:16" ht="15.75" x14ac:dyDescent="0.25">
      <c r="A42" s="2" t="s">
        <v>14</v>
      </c>
      <c r="B42" s="2"/>
      <c r="C42" s="2" t="s">
        <v>15</v>
      </c>
      <c r="D42" s="19" t="s">
        <v>55</v>
      </c>
      <c r="E42" s="13" t="s">
        <v>59</v>
      </c>
      <c r="F42" s="14">
        <f>1623032*0.1</f>
        <v>162303.20000000001</v>
      </c>
      <c r="G42" s="14"/>
      <c r="H42" s="14">
        <v>5615689</v>
      </c>
      <c r="I42" s="15">
        <f>122049*0.1</f>
        <v>12204.900000000001</v>
      </c>
      <c r="J42" s="15"/>
      <c r="K42" s="15">
        <v>422289.54</v>
      </c>
      <c r="L42" s="32">
        <v>45166</v>
      </c>
      <c r="M42" s="43">
        <f t="shared" si="13"/>
        <v>4516.6000000000004</v>
      </c>
      <c r="N42" s="43">
        <v>179295.48</v>
      </c>
      <c r="O42" s="47">
        <v>49929</v>
      </c>
      <c r="P42" s="43">
        <f t="shared" si="14"/>
        <v>4992.9000000000005</v>
      </c>
    </row>
    <row r="43" spans="1:16" ht="15.75" x14ac:dyDescent="0.25">
      <c r="A43" s="2" t="s">
        <v>14</v>
      </c>
      <c r="B43" s="2"/>
      <c r="C43" s="2" t="s">
        <v>15</v>
      </c>
      <c r="D43" s="19" t="s">
        <v>55</v>
      </c>
      <c r="E43" s="13" t="s">
        <v>60</v>
      </c>
      <c r="F43" s="14">
        <f>482206*0.18</f>
        <v>86797.08</v>
      </c>
      <c r="G43" s="14"/>
      <c r="H43" s="14">
        <v>2893238</v>
      </c>
      <c r="I43" s="15">
        <f>36641*0.18</f>
        <v>6595.38</v>
      </c>
      <c r="J43" s="15"/>
      <c r="K43" s="15">
        <v>219843.48</v>
      </c>
      <c r="L43" s="32">
        <v>4471</v>
      </c>
      <c r="M43" s="43">
        <f>SUM(L43*0.18)</f>
        <v>804.78</v>
      </c>
      <c r="N43" s="43">
        <v>30856.65</v>
      </c>
      <c r="O43" s="47">
        <v>468</v>
      </c>
      <c r="P43" s="43">
        <f>SUM(O43*0.18)</f>
        <v>84.24</v>
      </c>
    </row>
    <row r="44" spans="1:16" ht="15.75" x14ac:dyDescent="0.25">
      <c r="A44" s="2" t="s">
        <v>14</v>
      </c>
      <c r="B44" s="2"/>
      <c r="C44" s="2" t="s">
        <v>15</v>
      </c>
      <c r="D44" s="19" t="s">
        <v>55</v>
      </c>
      <c r="E44" s="13" t="s">
        <v>46</v>
      </c>
      <c r="F44" s="14">
        <f>482206*0.18</f>
        <v>86797.08</v>
      </c>
      <c r="G44" s="14"/>
      <c r="H44" s="14">
        <v>2893238</v>
      </c>
      <c r="I44" s="15">
        <f>36641*0.18</f>
        <v>6595.38</v>
      </c>
      <c r="J44" s="15"/>
      <c r="K44" s="15">
        <v>219843.48</v>
      </c>
      <c r="L44" s="32">
        <v>5724</v>
      </c>
      <c r="M44" s="43">
        <f t="shared" ref="M44:M46" si="15">SUM(L44*0.18)</f>
        <v>1030.32</v>
      </c>
      <c r="N44" s="43">
        <v>39504.230000000003</v>
      </c>
      <c r="O44" s="47">
        <v>22</v>
      </c>
      <c r="P44" s="43">
        <f t="shared" ref="P44:P46" si="16">SUM(O44*0.18)</f>
        <v>3.96</v>
      </c>
    </row>
    <row r="45" spans="1:16" ht="15.75" x14ac:dyDescent="0.25">
      <c r="A45" s="2" t="s">
        <v>14</v>
      </c>
      <c r="B45" s="2"/>
      <c r="C45" s="2" t="s">
        <v>15</v>
      </c>
      <c r="D45" s="19" t="s">
        <v>55</v>
      </c>
      <c r="E45" s="13" t="s">
        <v>61</v>
      </c>
      <c r="F45" s="14">
        <f>482206*0.18</f>
        <v>86797.08</v>
      </c>
      <c r="G45" s="14"/>
      <c r="H45" s="14">
        <v>2893238</v>
      </c>
      <c r="I45" s="15">
        <f t="shared" ref="I45:I46" si="17">36641*0.18</f>
        <v>6595.38</v>
      </c>
      <c r="J45" s="15"/>
      <c r="K45" s="15">
        <v>219844.48000000001</v>
      </c>
      <c r="L45" s="32">
        <v>4046</v>
      </c>
      <c r="M45" s="43">
        <f t="shared" si="15"/>
        <v>728.28</v>
      </c>
      <c r="N45" s="43">
        <v>27923.51</v>
      </c>
      <c r="O45" s="47">
        <v>60</v>
      </c>
      <c r="P45" s="43">
        <f t="shared" si="16"/>
        <v>10.799999999999999</v>
      </c>
    </row>
    <row r="46" spans="1:16" ht="15.75" x14ac:dyDescent="0.25">
      <c r="A46" s="2" t="s">
        <v>14</v>
      </c>
      <c r="B46" s="2"/>
      <c r="C46" s="2" t="s">
        <v>15</v>
      </c>
      <c r="D46" s="19" t="s">
        <v>55</v>
      </c>
      <c r="E46" s="13" t="s">
        <v>62</v>
      </c>
      <c r="F46" s="14">
        <f>482206*0.18</f>
        <v>86797.08</v>
      </c>
      <c r="G46" s="14"/>
      <c r="H46" s="14">
        <v>2893238</v>
      </c>
      <c r="I46" s="15">
        <f t="shared" si="17"/>
        <v>6595.38</v>
      </c>
      <c r="J46" s="15"/>
      <c r="K46" s="15">
        <v>219845.48</v>
      </c>
      <c r="L46" s="32">
        <v>2009</v>
      </c>
      <c r="M46" s="43">
        <f t="shared" si="15"/>
        <v>361.62</v>
      </c>
      <c r="N46" s="43">
        <v>13865.14</v>
      </c>
      <c r="O46" s="47">
        <v>3152</v>
      </c>
      <c r="P46" s="43">
        <f t="shared" si="16"/>
        <v>567.36</v>
      </c>
    </row>
    <row r="47" spans="1:16" ht="15.75" x14ac:dyDescent="0.25">
      <c r="A47" s="2" t="s">
        <v>14</v>
      </c>
      <c r="B47" s="2"/>
      <c r="C47" s="2" t="s">
        <v>15</v>
      </c>
      <c r="D47" s="19" t="s">
        <v>55</v>
      </c>
      <c r="E47" s="13" t="s">
        <v>63</v>
      </c>
      <c r="F47" s="14"/>
      <c r="G47" s="14"/>
      <c r="H47" s="14"/>
      <c r="I47" s="15"/>
      <c r="J47" s="15"/>
      <c r="K47" s="15"/>
      <c r="L47" s="32"/>
      <c r="M47" s="43">
        <f>SUM(L47)</f>
        <v>0</v>
      </c>
      <c r="N47" s="43"/>
      <c r="O47" s="47"/>
      <c r="P47" s="43">
        <f>SUM(O47)</f>
        <v>0</v>
      </c>
    </row>
    <row r="48" spans="1:16" ht="15.75" x14ac:dyDescent="0.25">
      <c r="A48" s="2" t="s">
        <v>14</v>
      </c>
      <c r="B48" s="2"/>
      <c r="C48" s="2" t="s">
        <v>15</v>
      </c>
      <c r="D48" s="19" t="s">
        <v>55</v>
      </c>
      <c r="E48" s="13" t="s">
        <v>64</v>
      </c>
      <c r="F48" s="14">
        <v>865</v>
      </c>
      <c r="G48" s="14"/>
      <c r="H48" s="14">
        <v>30264</v>
      </c>
      <c r="I48" s="15">
        <v>67</v>
      </c>
      <c r="J48" s="15"/>
      <c r="K48" s="15">
        <v>2348.33</v>
      </c>
      <c r="L48" s="32"/>
      <c r="M48" s="43">
        <f>SUM(L48)*5</f>
        <v>0</v>
      </c>
      <c r="N48" s="43"/>
      <c r="O48" s="47"/>
      <c r="P48" s="43">
        <f>SUM(O48)*5</f>
        <v>0</v>
      </c>
    </row>
    <row r="49" spans="1:16" ht="15.75" x14ac:dyDescent="0.25">
      <c r="A49" s="2" t="s">
        <v>14</v>
      </c>
      <c r="B49" s="2"/>
      <c r="C49" s="2" t="s">
        <v>15</v>
      </c>
      <c r="D49" s="19" t="s">
        <v>55</v>
      </c>
      <c r="E49" s="13" t="s">
        <v>65</v>
      </c>
      <c r="F49" s="14">
        <v>865</v>
      </c>
      <c r="G49" s="14"/>
      <c r="H49" s="14">
        <v>30264</v>
      </c>
      <c r="I49" s="15">
        <v>67</v>
      </c>
      <c r="J49" s="15"/>
      <c r="K49" s="15">
        <v>2348.33</v>
      </c>
      <c r="L49" s="32">
        <v>20</v>
      </c>
      <c r="M49" s="43">
        <f t="shared" ref="M49:M51" si="18">SUM(L49)*5</f>
        <v>100</v>
      </c>
      <c r="N49" s="43">
        <v>700</v>
      </c>
      <c r="O49" s="47"/>
      <c r="P49" s="43">
        <f t="shared" ref="P49:P51" si="19">SUM(O49)*5</f>
        <v>0</v>
      </c>
    </row>
    <row r="50" spans="1:16" ht="15.75" x14ac:dyDescent="0.25">
      <c r="A50" s="2" t="s">
        <v>14</v>
      </c>
      <c r="B50" s="2"/>
      <c r="C50" s="2" t="s">
        <v>15</v>
      </c>
      <c r="D50" s="19" t="s">
        <v>55</v>
      </c>
      <c r="E50" s="13" t="s">
        <v>66</v>
      </c>
      <c r="F50" s="14">
        <v>865</v>
      </c>
      <c r="G50" s="14"/>
      <c r="H50" s="14">
        <v>30264</v>
      </c>
      <c r="I50" s="15">
        <v>67</v>
      </c>
      <c r="J50" s="15"/>
      <c r="K50" s="15">
        <v>2348.33</v>
      </c>
      <c r="L50" s="32"/>
      <c r="M50" s="43">
        <f t="shared" si="18"/>
        <v>0</v>
      </c>
      <c r="N50" s="43"/>
      <c r="O50" s="47"/>
      <c r="P50" s="43">
        <f t="shared" si="19"/>
        <v>0</v>
      </c>
    </row>
    <row r="51" spans="1:16" ht="15.75" x14ac:dyDescent="0.25">
      <c r="A51" s="2" t="s">
        <v>14</v>
      </c>
      <c r="B51" s="2"/>
      <c r="C51" s="2" t="s">
        <v>15</v>
      </c>
      <c r="D51" s="19" t="s">
        <v>55</v>
      </c>
      <c r="E51" s="13" t="s">
        <v>67</v>
      </c>
      <c r="F51" s="14">
        <v>865</v>
      </c>
      <c r="G51" s="14"/>
      <c r="H51" s="14">
        <v>30264</v>
      </c>
      <c r="I51" s="15">
        <v>67</v>
      </c>
      <c r="J51" s="15"/>
      <c r="K51" s="15">
        <v>2348.33</v>
      </c>
      <c r="L51" s="32">
        <v>20</v>
      </c>
      <c r="M51" s="43">
        <f t="shared" si="18"/>
        <v>100</v>
      </c>
      <c r="N51" s="43">
        <v>700</v>
      </c>
      <c r="O51" s="47"/>
      <c r="P51" s="43">
        <f t="shared" si="19"/>
        <v>0</v>
      </c>
    </row>
    <row r="52" spans="1:16" ht="15.75" x14ac:dyDescent="0.25">
      <c r="A52" s="2" t="s">
        <v>14</v>
      </c>
      <c r="B52" s="2"/>
      <c r="C52" s="2" t="s">
        <v>15</v>
      </c>
      <c r="D52" s="19" t="s">
        <v>55</v>
      </c>
      <c r="E52" s="13" t="s">
        <v>68</v>
      </c>
      <c r="F52" s="14"/>
      <c r="G52" s="14"/>
      <c r="H52" s="14"/>
      <c r="I52" s="15"/>
      <c r="J52" s="15"/>
      <c r="K52" s="15"/>
      <c r="L52" s="32"/>
      <c r="M52" s="43">
        <f>SUM(L52*0.1)</f>
        <v>0</v>
      </c>
      <c r="N52" s="43"/>
      <c r="O52" s="47"/>
      <c r="P52" s="43">
        <f>SUM(O52*0.1)</f>
        <v>0</v>
      </c>
    </row>
    <row r="53" spans="1:16" ht="15.75" x14ac:dyDescent="0.25">
      <c r="A53" s="2" t="s">
        <v>14</v>
      </c>
      <c r="B53" s="2"/>
      <c r="C53" s="2" t="s">
        <v>15</v>
      </c>
      <c r="D53" s="19" t="s">
        <v>69</v>
      </c>
      <c r="E53" s="13" t="s">
        <v>70</v>
      </c>
      <c r="F53" s="14">
        <v>119387</v>
      </c>
      <c r="G53" s="14"/>
      <c r="H53" s="14">
        <v>3104057</v>
      </c>
      <c r="I53" s="15">
        <v>9075</v>
      </c>
      <c r="J53" s="15"/>
      <c r="K53" s="15">
        <v>235939.57</v>
      </c>
      <c r="L53" s="32">
        <v>4390</v>
      </c>
      <c r="M53" s="43">
        <f>SUM(L53)*5</f>
        <v>21950</v>
      </c>
      <c r="N53" s="43">
        <v>114140</v>
      </c>
      <c r="O53" s="47"/>
      <c r="P53" s="43">
        <f>SUM(O53)*5</f>
        <v>0</v>
      </c>
    </row>
    <row r="54" spans="1:16" ht="15.75" x14ac:dyDescent="0.25">
      <c r="A54" s="2" t="s">
        <v>14</v>
      </c>
      <c r="B54" s="2"/>
      <c r="C54" s="2" t="s">
        <v>15</v>
      </c>
      <c r="D54" s="19" t="s">
        <v>71</v>
      </c>
      <c r="E54" s="13" t="s">
        <v>72</v>
      </c>
      <c r="F54" s="14">
        <f>750808*0.12</f>
        <v>90096.959999999992</v>
      </c>
      <c r="G54" s="14"/>
      <c r="H54" s="14">
        <v>5405817</v>
      </c>
      <c r="I54" s="15">
        <f>56801*0.12</f>
        <v>6816.12</v>
      </c>
      <c r="J54" s="15"/>
      <c r="K54" s="15">
        <v>408969.25</v>
      </c>
      <c r="L54" s="32">
        <v>26081</v>
      </c>
      <c r="M54" s="43">
        <f>SUM(L54*0.12)</f>
        <v>3129.72</v>
      </c>
      <c r="N54" s="43">
        <v>216070.72</v>
      </c>
      <c r="O54" s="47">
        <v>41994</v>
      </c>
      <c r="P54" s="43">
        <f>SUM(O54*0.12)</f>
        <v>5039.28</v>
      </c>
    </row>
    <row r="55" spans="1:16" ht="15.75" x14ac:dyDescent="0.25">
      <c r="A55" s="2" t="s">
        <v>14</v>
      </c>
      <c r="B55" s="2"/>
      <c r="C55" s="2" t="s">
        <v>15</v>
      </c>
      <c r="D55" s="19" t="s">
        <v>71</v>
      </c>
      <c r="E55" s="13" t="s">
        <v>73</v>
      </c>
      <c r="F55" s="14">
        <f>750803*0.12</f>
        <v>90096.36</v>
      </c>
      <c r="G55" s="14"/>
      <c r="H55" s="14">
        <v>5405778</v>
      </c>
      <c r="I55" s="15">
        <f>56801*0.12</f>
        <v>6816.12</v>
      </c>
      <c r="J55" s="15"/>
      <c r="K55" s="15">
        <v>408969.25</v>
      </c>
      <c r="L55" s="32">
        <v>20715</v>
      </c>
      <c r="M55" s="43">
        <f t="shared" ref="M55:M62" si="20">SUM(L55*0.12)</f>
        <v>2485.7999999999997</v>
      </c>
      <c r="N55" s="43">
        <v>171557.48</v>
      </c>
      <c r="O55" s="47"/>
      <c r="P55" s="43">
        <f t="shared" ref="P55:P62" si="21">SUM(O55*0.12)</f>
        <v>0</v>
      </c>
    </row>
    <row r="56" spans="1:16" ht="15.75" x14ac:dyDescent="0.25">
      <c r="A56" s="2" t="s">
        <v>14</v>
      </c>
      <c r="B56" s="2"/>
      <c r="C56" s="2" t="s">
        <v>15</v>
      </c>
      <c r="D56" s="19" t="s">
        <v>71</v>
      </c>
      <c r="E56" s="13" t="s">
        <v>74</v>
      </c>
      <c r="F56" s="14">
        <f>750800*0.12</f>
        <v>90096</v>
      </c>
      <c r="G56" s="14"/>
      <c r="H56" s="14">
        <v>5405759</v>
      </c>
      <c r="I56" s="15">
        <f>56801*0.12</f>
        <v>6816.12</v>
      </c>
      <c r="J56" s="15"/>
      <c r="K56" s="15">
        <v>408970.25</v>
      </c>
      <c r="L56" s="32">
        <v>13083</v>
      </c>
      <c r="M56" s="43">
        <f t="shared" si="20"/>
        <v>1569.96</v>
      </c>
      <c r="N56" s="43">
        <v>108350.77</v>
      </c>
      <c r="O56" s="47"/>
      <c r="P56" s="43">
        <f t="shared" si="21"/>
        <v>0</v>
      </c>
    </row>
    <row r="57" spans="1:16" ht="15.75" x14ac:dyDescent="0.25">
      <c r="A57" s="2" t="s">
        <v>14</v>
      </c>
      <c r="B57" s="2"/>
      <c r="C57" s="2" t="s">
        <v>15</v>
      </c>
      <c r="D57" s="19" t="s">
        <v>71</v>
      </c>
      <c r="E57" s="13" t="s">
        <v>75</v>
      </c>
      <c r="F57" s="14">
        <f>448564*0.12</f>
        <v>53827.68</v>
      </c>
      <c r="G57" s="14"/>
      <c r="H57" s="14">
        <v>3229661</v>
      </c>
      <c r="I57" s="15">
        <f>34084*0.12</f>
        <v>4090.08</v>
      </c>
      <c r="J57" s="15"/>
      <c r="K57" s="15">
        <v>245406.67</v>
      </c>
      <c r="L57" s="32">
        <v>29155</v>
      </c>
      <c r="M57" s="43">
        <f t="shared" si="20"/>
        <v>3498.6</v>
      </c>
      <c r="N57" s="43">
        <v>241455.88</v>
      </c>
      <c r="O57" s="47">
        <v>18</v>
      </c>
      <c r="P57" s="43">
        <f t="shared" si="21"/>
        <v>2.16</v>
      </c>
    </row>
    <row r="58" spans="1:16" ht="15.75" x14ac:dyDescent="0.25">
      <c r="A58" s="2" t="s">
        <v>14</v>
      </c>
      <c r="B58" s="2"/>
      <c r="C58" s="2" t="s">
        <v>15</v>
      </c>
      <c r="D58" s="19" t="s">
        <v>71</v>
      </c>
      <c r="E58" s="13" t="s">
        <v>76</v>
      </c>
      <c r="F58" s="14">
        <f>1196415*0.12</f>
        <v>143569.79999999999</v>
      </c>
      <c r="G58" s="14"/>
      <c r="H58" s="14">
        <v>8614191</v>
      </c>
      <c r="I58" s="15">
        <f>89460*0.12</f>
        <v>10735.199999999999</v>
      </c>
      <c r="J58" s="15"/>
      <c r="K58" s="15">
        <v>644112</v>
      </c>
      <c r="L58" s="32">
        <v>46852</v>
      </c>
      <c r="M58" s="43">
        <f t="shared" si="20"/>
        <v>5622.24</v>
      </c>
      <c r="N58" s="43">
        <v>388079.77</v>
      </c>
      <c r="O58" s="47">
        <v>272</v>
      </c>
      <c r="P58" s="43">
        <f t="shared" si="21"/>
        <v>32.64</v>
      </c>
    </row>
    <row r="59" spans="1:16" ht="15.75" x14ac:dyDescent="0.25">
      <c r="A59" s="2" t="s">
        <v>14</v>
      </c>
      <c r="B59" s="2"/>
      <c r="C59" s="2" t="s">
        <v>15</v>
      </c>
      <c r="D59" s="19" t="s">
        <v>71</v>
      </c>
      <c r="E59" s="13" t="s">
        <v>77</v>
      </c>
      <c r="F59" s="14">
        <f>601538*0.12</f>
        <v>72184.56</v>
      </c>
      <c r="G59" s="14"/>
      <c r="H59" s="14">
        <v>4331070</v>
      </c>
      <c r="I59" s="15">
        <f>45460*0.12</f>
        <v>5455.2</v>
      </c>
      <c r="J59" s="15"/>
      <c r="K59" s="15">
        <v>327308.73</v>
      </c>
      <c r="L59" s="32">
        <v>1908</v>
      </c>
      <c r="M59" s="43">
        <f t="shared" si="20"/>
        <v>228.95999999999998</v>
      </c>
      <c r="N59" s="43">
        <v>15801.66</v>
      </c>
      <c r="O59" s="47">
        <v>42</v>
      </c>
      <c r="P59" s="43">
        <f t="shared" si="21"/>
        <v>5.04</v>
      </c>
    </row>
    <row r="60" spans="1:16" ht="15.75" x14ac:dyDescent="0.25">
      <c r="A60" s="2" t="s">
        <v>14</v>
      </c>
      <c r="B60" s="2"/>
      <c r="C60" s="2" t="s">
        <v>15</v>
      </c>
      <c r="D60" s="19" t="s">
        <v>71</v>
      </c>
      <c r="E60" s="13" t="s">
        <v>78</v>
      </c>
      <c r="F60" s="14">
        <f>1196415*0.12</f>
        <v>143569.79999999999</v>
      </c>
      <c r="G60" s="14"/>
      <c r="H60" s="14">
        <v>8614191</v>
      </c>
      <c r="I60" s="15">
        <f>89460*0.12</f>
        <v>10735.199999999999</v>
      </c>
      <c r="J60" s="15"/>
      <c r="K60" s="15">
        <v>644112</v>
      </c>
      <c r="L60" s="32">
        <v>50712</v>
      </c>
      <c r="M60" s="43">
        <f t="shared" si="20"/>
        <v>6085.44</v>
      </c>
      <c r="N60" s="43">
        <v>420047.56</v>
      </c>
      <c r="O60" s="47">
        <v>88</v>
      </c>
      <c r="P60" s="43">
        <f t="shared" si="21"/>
        <v>10.559999999999999</v>
      </c>
    </row>
    <row r="61" spans="1:16" ht="15.75" x14ac:dyDescent="0.25">
      <c r="A61" s="2" t="s">
        <v>14</v>
      </c>
      <c r="B61" s="2"/>
      <c r="C61" s="2" t="s">
        <v>15</v>
      </c>
      <c r="D61" s="19" t="s">
        <v>71</v>
      </c>
      <c r="E61" s="13" t="s">
        <v>79</v>
      </c>
      <c r="F61" s="14">
        <f>336423*0.12</f>
        <v>40370.76</v>
      </c>
      <c r="G61" s="14"/>
      <c r="H61" s="14">
        <v>6728460</v>
      </c>
      <c r="I61" s="15">
        <f>25563*0.12</f>
        <v>3067.56</v>
      </c>
      <c r="J61" s="15"/>
      <c r="K61" s="15">
        <v>511263.9</v>
      </c>
      <c r="L61" s="32">
        <v>179</v>
      </c>
      <c r="M61" s="43">
        <f t="shared" si="20"/>
        <v>21.48</v>
      </c>
      <c r="N61" s="43">
        <v>3579.7</v>
      </c>
      <c r="O61" s="47"/>
      <c r="P61" s="43">
        <f t="shared" si="21"/>
        <v>0</v>
      </c>
    </row>
    <row r="62" spans="1:16" ht="15.75" x14ac:dyDescent="0.25">
      <c r="A62" s="2" t="s">
        <v>14</v>
      </c>
      <c r="B62" s="2"/>
      <c r="C62" s="2" t="s">
        <v>15</v>
      </c>
      <c r="D62" s="19" t="s">
        <v>71</v>
      </c>
      <c r="E62" s="13" t="s">
        <v>80</v>
      </c>
      <c r="F62" s="14">
        <f>336423*0.12</f>
        <v>40370.76</v>
      </c>
      <c r="G62" s="14"/>
      <c r="H62" s="14">
        <v>6728460</v>
      </c>
      <c r="I62" s="15">
        <f>25563*0.12</f>
        <v>3067.56</v>
      </c>
      <c r="J62" s="15"/>
      <c r="K62" s="15">
        <v>511263.9</v>
      </c>
      <c r="L62" s="32">
        <v>171</v>
      </c>
      <c r="M62" s="43">
        <f t="shared" si="20"/>
        <v>20.52</v>
      </c>
      <c r="N62" s="43">
        <v>3419.71</v>
      </c>
      <c r="O62" s="47"/>
      <c r="P62" s="43">
        <f t="shared" si="21"/>
        <v>0</v>
      </c>
    </row>
    <row r="63" spans="1:16" ht="15.75" x14ac:dyDescent="0.25">
      <c r="A63" s="2" t="s">
        <v>14</v>
      </c>
      <c r="B63" s="2"/>
      <c r="C63" s="2" t="s">
        <v>15</v>
      </c>
      <c r="D63" s="19" t="s">
        <v>71</v>
      </c>
      <c r="E63" s="13" t="s">
        <v>81</v>
      </c>
      <c r="F63" s="14">
        <v>22428</v>
      </c>
      <c r="G63" s="14"/>
      <c r="H63" s="14">
        <v>1435405</v>
      </c>
      <c r="I63" s="15">
        <v>1704</v>
      </c>
      <c r="J63" s="15"/>
      <c r="K63" s="15">
        <v>109069.63</v>
      </c>
      <c r="L63" s="32">
        <v>615</v>
      </c>
      <c r="M63" s="43">
        <f>SUM(L63)*5</f>
        <v>3075</v>
      </c>
      <c r="N63" s="43">
        <v>39360</v>
      </c>
      <c r="O63" s="47"/>
      <c r="P63" s="43">
        <f>SUM(O63)*5</f>
        <v>0</v>
      </c>
    </row>
    <row r="64" spans="1:16" ht="15.75" x14ac:dyDescent="0.25">
      <c r="A64" s="2" t="s">
        <v>14</v>
      </c>
      <c r="B64" s="2"/>
      <c r="C64" s="2" t="s">
        <v>15</v>
      </c>
      <c r="D64" s="19" t="s">
        <v>71</v>
      </c>
      <c r="E64" s="13" t="s">
        <v>82</v>
      </c>
      <c r="F64" s="14"/>
      <c r="G64" s="14"/>
      <c r="H64" s="14"/>
      <c r="I64" s="15"/>
      <c r="J64" s="15"/>
      <c r="K64" s="15"/>
      <c r="L64" s="32">
        <v>60</v>
      </c>
      <c r="M64" s="43">
        <f>SUM(L64*0.08)</f>
        <v>4.8</v>
      </c>
      <c r="N64" s="43">
        <v>420</v>
      </c>
      <c r="O64" s="47">
        <v>60</v>
      </c>
      <c r="P64" s="43">
        <f>SUM(O64*0.08)</f>
        <v>4.8</v>
      </c>
    </row>
    <row r="65" spans="1:16" ht="15.75" x14ac:dyDescent="0.25">
      <c r="A65" s="2" t="s">
        <v>14</v>
      </c>
      <c r="B65" s="2"/>
      <c r="C65" s="2" t="s">
        <v>15</v>
      </c>
      <c r="D65" s="19" t="s">
        <v>71</v>
      </c>
      <c r="E65" s="13" t="s">
        <v>83</v>
      </c>
      <c r="F65" s="14"/>
      <c r="G65" s="14"/>
      <c r="H65" s="14"/>
      <c r="I65" s="15"/>
      <c r="J65" s="15"/>
      <c r="K65" s="15"/>
      <c r="L65" s="32">
        <v>60</v>
      </c>
      <c r="M65" s="43">
        <f t="shared" ref="M65:M69" si="22">SUM(L65*0.08)</f>
        <v>4.8</v>
      </c>
      <c r="N65" s="43">
        <v>420</v>
      </c>
      <c r="O65" s="47"/>
      <c r="P65" s="43">
        <f t="shared" ref="P65:P69" si="23">SUM(O65*0.08)</f>
        <v>0</v>
      </c>
    </row>
    <row r="66" spans="1:16" ht="15.75" x14ac:dyDescent="0.25">
      <c r="A66" s="2" t="s">
        <v>14</v>
      </c>
      <c r="B66" s="2"/>
      <c r="C66" s="2" t="s">
        <v>15</v>
      </c>
      <c r="D66" s="19" t="s">
        <v>71</v>
      </c>
      <c r="E66" s="13" t="s">
        <v>84</v>
      </c>
      <c r="F66" s="14"/>
      <c r="G66" s="14"/>
      <c r="H66" s="14"/>
      <c r="I66" s="15"/>
      <c r="J66" s="15"/>
      <c r="K66" s="15"/>
      <c r="L66" s="32">
        <v>60</v>
      </c>
      <c r="M66" s="43">
        <f t="shared" si="22"/>
        <v>4.8</v>
      </c>
      <c r="N66" s="43">
        <v>420</v>
      </c>
      <c r="O66" s="47"/>
      <c r="P66" s="43">
        <f t="shared" si="23"/>
        <v>0</v>
      </c>
    </row>
    <row r="67" spans="1:16" ht="15.75" x14ac:dyDescent="0.25">
      <c r="A67" s="2" t="s">
        <v>14</v>
      </c>
      <c r="B67" s="2"/>
      <c r="C67" s="2" t="s">
        <v>15</v>
      </c>
      <c r="D67" s="19" t="s">
        <v>71</v>
      </c>
      <c r="E67" s="13" t="s">
        <v>85</v>
      </c>
      <c r="F67" s="14"/>
      <c r="G67" s="14"/>
      <c r="H67" s="14"/>
      <c r="I67" s="15"/>
      <c r="J67" s="15"/>
      <c r="K67" s="15"/>
      <c r="L67" s="32">
        <v>60</v>
      </c>
      <c r="M67" s="43">
        <f t="shared" si="22"/>
        <v>4.8</v>
      </c>
      <c r="N67" s="43">
        <v>420</v>
      </c>
      <c r="O67" s="47"/>
      <c r="P67" s="43">
        <f t="shared" si="23"/>
        <v>0</v>
      </c>
    </row>
    <row r="68" spans="1:16" ht="15.75" x14ac:dyDescent="0.25">
      <c r="A68" s="2" t="s">
        <v>14</v>
      </c>
      <c r="B68" s="2"/>
      <c r="C68" s="2" t="s">
        <v>15</v>
      </c>
      <c r="D68" s="19" t="s">
        <v>71</v>
      </c>
      <c r="E68" s="13" t="s">
        <v>86</v>
      </c>
      <c r="F68" s="14"/>
      <c r="G68" s="14"/>
      <c r="H68" s="14"/>
      <c r="I68" s="15"/>
      <c r="J68" s="15"/>
      <c r="K68" s="15"/>
      <c r="L68" s="32"/>
      <c r="M68" s="43">
        <f t="shared" si="22"/>
        <v>0</v>
      </c>
      <c r="N68" s="43"/>
      <c r="O68" s="47"/>
      <c r="P68" s="43">
        <f t="shared" si="23"/>
        <v>0</v>
      </c>
    </row>
    <row r="69" spans="1:16" ht="15.75" x14ac:dyDescent="0.25">
      <c r="A69" s="2" t="s">
        <v>14</v>
      </c>
      <c r="B69" s="2"/>
      <c r="C69" s="2" t="s">
        <v>15</v>
      </c>
      <c r="D69" s="19" t="s">
        <v>71</v>
      </c>
      <c r="E69" s="13" t="s">
        <v>87</v>
      </c>
      <c r="F69" s="14"/>
      <c r="G69" s="14"/>
      <c r="H69" s="14"/>
      <c r="I69" s="15"/>
      <c r="J69" s="15"/>
      <c r="K69" s="15"/>
      <c r="L69" s="32"/>
      <c r="M69" s="43">
        <f t="shared" si="22"/>
        <v>0</v>
      </c>
      <c r="N69" s="43"/>
      <c r="O69" s="47"/>
      <c r="P69" s="43">
        <f t="shared" si="23"/>
        <v>0</v>
      </c>
    </row>
    <row r="70" spans="1:16" ht="15.75" x14ac:dyDescent="0.25">
      <c r="A70" s="2" t="s">
        <v>14</v>
      </c>
      <c r="B70" s="2"/>
      <c r="C70" s="2" t="s">
        <v>15</v>
      </c>
      <c r="D70" s="19" t="s">
        <v>88</v>
      </c>
      <c r="E70" s="13" t="s">
        <v>89</v>
      </c>
      <c r="F70" s="14">
        <f>224282*0.09</f>
        <v>20185.38</v>
      </c>
      <c r="G70" s="14"/>
      <c r="H70" s="14">
        <v>3902103</v>
      </c>
      <c r="I70" s="15">
        <f>17042*0.09</f>
        <v>1533.78</v>
      </c>
      <c r="J70" s="15"/>
      <c r="K70" s="15">
        <v>296502.39</v>
      </c>
      <c r="L70" s="32">
        <v>3082</v>
      </c>
      <c r="M70" s="43">
        <f>SUM(L70*0.09)</f>
        <v>277.38</v>
      </c>
      <c r="N70" s="43">
        <v>53621.25</v>
      </c>
      <c r="O70" s="47">
        <v>342</v>
      </c>
      <c r="P70" s="43">
        <f>SUM(O70*0.09)</f>
        <v>30.779999999999998</v>
      </c>
    </row>
    <row r="71" spans="1:16" ht="15.75" x14ac:dyDescent="0.25">
      <c r="A71" s="2" t="s">
        <v>14</v>
      </c>
      <c r="B71" s="2"/>
      <c r="C71" s="2" t="s">
        <v>15</v>
      </c>
      <c r="D71" s="19" t="s">
        <v>88</v>
      </c>
      <c r="E71" s="13" t="s">
        <v>90</v>
      </c>
      <c r="F71" s="14">
        <f>168212*0.09</f>
        <v>15139.08</v>
      </c>
      <c r="G71" s="14"/>
      <c r="H71" s="14">
        <v>2926577</v>
      </c>
      <c r="I71" s="15">
        <f>12782*0.09</f>
        <v>1150.3799999999999</v>
      </c>
      <c r="J71" s="15"/>
      <c r="K71" s="15">
        <v>222376.79</v>
      </c>
      <c r="L71" s="32">
        <v>1740</v>
      </c>
      <c r="M71" s="43">
        <f t="shared" ref="M71:M74" si="24">SUM(L71*0.09)</f>
        <v>156.6</v>
      </c>
      <c r="N71" s="43">
        <v>30272.87</v>
      </c>
      <c r="O71" s="47"/>
      <c r="P71" s="43">
        <f t="shared" ref="P71:P74" si="25">SUM(O71*0.09)</f>
        <v>0</v>
      </c>
    </row>
    <row r="72" spans="1:16" ht="15.75" x14ac:dyDescent="0.25">
      <c r="A72" s="2" t="s">
        <v>14</v>
      </c>
      <c r="B72" s="2"/>
      <c r="C72" s="2" t="s">
        <v>15</v>
      </c>
      <c r="D72" s="19" t="s">
        <v>88</v>
      </c>
      <c r="E72" s="13" t="s">
        <v>91</v>
      </c>
      <c r="F72" s="14">
        <f>448564*0.09</f>
        <v>40370.76</v>
      </c>
      <c r="G72" s="14"/>
      <c r="H72" s="14">
        <v>7804206</v>
      </c>
      <c r="I72" s="15">
        <f>34084*0.09</f>
        <v>3067.56</v>
      </c>
      <c r="J72" s="15"/>
      <c r="K72" s="15">
        <v>593004.77</v>
      </c>
      <c r="L72" s="32">
        <v>1200</v>
      </c>
      <c r="M72" s="43">
        <f t="shared" si="24"/>
        <v>108</v>
      </c>
      <c r="N72" s="43">
        <v>20877.849999999999</v>
      </c>
      <c r="O72" s="47">
        <v>3192</v>
      </c>
      <c r="P72" s="43">
        <f t="shared" si="25"/>
        <v>287.27999999999997</v>
      </c>
    </row>
    <row r="73" spans="1:16" ht="15.75" x14ac:dyDescent="0.25">
      <c r="A73" s="2" t="s">
        <v>14</v>
      </c>
      <c r="B73" s="2"/>
      <c r="C73" s="2" t="s">
        <v>15</v>
      </c>
      <c r="D73" s="19" t="s">
        <v>88</v>
      </c>
      <c r="E73" s="13" t="s">
        <v>92</v>
      </c>
      <c r="F73" s="14">
        <f>168212*0.09</f>
        <v>15139.08</v>
      </c>
      <c r="G73" s="14"/>
      <c r="H73" s="14">
        <v>2926577</v>
      </c>
      <c r="I73" s="15">
        <f>12782*0.09</f>
        <v>1150.3799999999999</v>
      </c>
      <c r="J73" s="15"/>
      <c r="K73" s="15">
        <v>222376.79</v>
      </c>
      <c r="L73" s="32">
        <v>1560</v>
      </c>
      <c r="M73" s="43">
        <f t="shared" si="24"/>
        <v>140.4</v>
      </c>
      <c r="N73" s="43">
        <v>27141.19</v>
      </c>
      <c r="O73" s="47"/>
      <c r="P73" s="43">
        <f t="shared" si="25"/>
        <v>0</v>
      </c>
    </row>
    <row r="74" spans="1:16" ht="15.75" x14ac:dyDescent="0.25">
      <c r="A74" s="2" t="s">
        <v>14</v>
      </c>
      <c r="B74" s="2"/>
      <c r="C74" s="2" t="s">
        <v>15</v>
      </c>
      <c r="D74" s="19" t="s">
        <v>88</v>
      </c>
      <c r="E74" s="13" t="s">
        <v>93</v>
      </c>
      <c r="F74" s="14">
        <f>224282*0.09</f>
        <v>20185.38</v>
      </c>
      <c r="G74" s="14"/>
      <c r="H74" s="14">
        <v>3902103</v>
      </c>
      <c r="I74" s="15">
        <f>17042*0.09</f>
        <v>1533.78</v>
      </c>
      <c r="J74" s="15"/>
      <c r="K74" s="15">
        <v>296502.39</v>
      </c>
      <c r="L74" s="32">
        <v>2879</v>
      </c>
      <c r="M74" s="43">
        <f t="shared" si="24"/>
        <v>259.11</v>
      </c>
      <c r="N74" s="43">
        <v>50089.42</v>
      </c>
      <c r="O74" s="47"/>
      <c r="P74" s="43">
        <f t="shared" si="25"/>
        <v>0</v>
      </c>
    </row>
    <row r="75" spans="1:16" ht="15.75" x14ac:dyDescent="0.25">
      <c r="A75" s="2" t="s">
        <v>14</v>
      </c>
      <c r="B75" s="2"/>
      <c r="C75" s="2" t="s">
        <v>15</v>
      </c>
      <c r="D75" s="19" t="s">
        <v>94</v>
      </c>
      <c r="E75" s="13" t="s">
        <v>95</v>
      </c>
      <c r="F75" s="14"/>
      <c r="G75" s="14"/>
      <c r="H75" s="14"/>
      <c r="I75" s="15"/>
      <c r="J75" s="15"/>
      <c r="K75" s="15"/>
      <c r="L75" s="32">
        <v>50</v>
      </c>
      <c r="M75" s="43">
        <f>SUM(L75)</f>
        <v>50</v>
      </c>
      <c r="N75" s="43">
        <v>4150</v>
      </c>
      <c r="O75" s="47"/>
      <c r="P75" s="43">
        <f>SUM(O75)</f>
        <v>0</v>
      </c>
    </row>
    <row r="76" spans="1:16" ht="15.75" x14ac:dyDescent="0.25">
      <c r="A76" s="2" t="s">
        <v>14</v>
      </c>
      <c r="B76" s="2"/>
      <c r="C76" s="2" t="s">
        <v>15</v>
      </c>
      <c r="D76" s="19" t="s">
        <v>94</v>
      </c>
      <c r="E76" s="13" t="s">
        <v>96</v>
      </c>
      <c r="F76" s="14"/>
      <c r="G76" s="14"/>
      <c r="H76" s="14"/>
      <c r="I76" s="15"/>
      <c r="J76" s="15"/>
      <c r="K76" s="15"/>
      <c r="L76" s="32"/>
      <c r="M76" s="43">
        <f>SUM(L76)</f>
        <v>0</v>
      </c>
      <c r="N76" s="43"/>
      <c r="O76" s="47"/>
      <c r="P76" s="43">
        <f>SUM(O76)</f>
        <v>0</v>
      </c>
    </row>
    <row r="77" spans="1:16" ht="15.75" x14ac:dyDescent="0.25">
      <c r="A77" s="2" t="s">
        <v>14</v>
      </c>
      <c r="B77" s="2"/>
      <c r="C77" s="2" t="s">
        <v>97</v>
      </c>
      <c r="D77" s="19" t="s">
        <v>16</v>
      </c>
      <c r="E77" s="13" t="s">
        <v>98</v>
      </c>
      <c r="F77" s="14"/>
      <c r="G77" s="14"/>
      <c r="H77" s="14"/>
      <c r="I77" s="15"/>
      <c r="J77" s="15"/>
      <c r="K77" s="15"/>
      <c r="L77" s="32"/>
      <c r="M77" s="43">
        <f>SUM(L77*0.2*36)</f>
        <v>0</v>
      </c>
      <c r="N77" s="43"/>
      <c r="O77" s="47"/>
      <c r="P77" s="43">
        <f>SUM(O77*0.2*36)</f>
        <v>0</v>
      </c>
    </row>
    <row r="78" spans="1:16" ht="15.75" x14ac:dyDescent="0.25">
      <c r="A78" s="2" t="s">
        <v>14</v>
      </c>
      <c r="B78" s="2"/>
      <c r="C78" s="2" t="s">
        <v>97</v>
      </c>
      <c r="D78" s="64" t="s">
        <v>41</v>
      </c>
      <c r="E78" s="65" t="s">
        <v>99</v>
      </c>
      <c r="F78" s="66">
        <f>3039514*0.2</f>
        <v>607902.80000000005</v>
      </c>
      <c r="G78" s="66"/>
      <c r="H78" s="66">
        <v>20000002.120000001</v>
      </c>
      <c r="I78" s="55"/>
      <c r="J78" s="55"/>
      <c r="K78" s="55"/>
      <c r="L78" s="67"/>
      <c r="M78" s="68">
        <f>SUM(L78*0.2)</f>
        <v>0</v>
      </c>
      <c r="N78" s="68"/>
      <c r="O78" s="69"/>
      <c r="P78" s="68">
        <f>SUM(O78*0.2)</f>
        <v>0</v>
      </c>
    </row>
    <row r="79" spans="1:16" ht="15.75" x14ac:dyDescent="0.25">
      <c r="D79" s="61"/>
      <c r="E79" s="73"/>
      <c r="F79" s="74"/>
      <c r="G79" s="74"/>
      <c r="H79" s="74"/>
      <c r="I79" s="74"/>
      <c r="J79" s="74"/>
      <c r="K79" s="74"/>
      <c r="L79" s="75">
        <f>SUM(L3:L78)</f>
        <v>794067</v>
      </c>
      <c r="M79" s="74">
        <f t="shared" ref="M79:P79" si="26">SUM(M3:M78)</f>
        <v>482499.99</v>
      </c>
      <c r="N79" s="74">
        <f t="shared" si="26"/>
        <v>19861813.109999999</v>
      </c>
      <c r="O79" s="75">
        <f t="shared" si="26"/>
        <v>158813</v>
      </c>
      <c r="P79" s="74">
        <f t="shared" si="26"/>
        <v>56022.18</v>
      </c>
    </row>
    <row r="80" spans="1:16" ht="15.75" x14ac:dyDescent="0.25">
      <c r="A80" s="23" t="s">
        <v>0</v>
      </c>
      <c r="B80" s="23" t="s">
        <v>1</v>
      </c>
      <c r="C80" s="23" t="s">
        <v>2</v>
      </c>
      <c r="D80" s="70" t="s">
        <v>3</v>
      </c>
      <c r="E80" s="71" t="s">
        <v>4</v>
      </c>
      <c r="F80" s="71" t="s">
        <v>5</v>
      </c>
      <c r="G80" s="71"/>
      <c r="H80" s="71"/>
      <c r="I80" s="71" t="s">
        <v>6</v>
      </c>
      <c r="J80" s="71"/>
      <c r="K80" s="71"/>
      <c r="L80" s="72" t="s">
        <v>7</v>
      </c>
      <c r="M80" s="72"/>
      <c r="N80" s="72"/>
      <c r="O80" s="72"/>
      <c r="P80" s="72"/>
    </row>
    <row r="81" spans="1:16" ht="16.5" thickBot="1" x14ac:dyDescent="0.3">
      <c r="A81" s="23"/>
      <c r="B81" s="23"/>
      <c r="C81" s="23"/>
      <c r="D81" s="24"/>
      <c r="E81" s="25"/>
      <c r="F81" s="17" t="s">
        <v>8</v>
      </c>
      <c r="G81" s="17" t="s">
        <v>9</v>
      </c>
      <c r="H81" s="17" t="s">
        <v>10</v>
      </c>
      <c r="I81" s="17" t="s">
        <v>8</v>
      </c>
      <c r="J81" s="17" t="s">
        <v>9</v>
      </c>
      <c r="K81" s="17" t="s">
        <v>10</v>
      </c>
      <c r="L81" s="50" t="s">
        <v>11</v>
      </c>
      <c r="M81" s="18" t="s">
        <v>8</v>
      </c>
      <c r="N81" s="50" t="s">
        <v>10</v>
      </c>
      <c r="O81" s="18" t="s">
        <v>12</v>
      </c>
      <c r="P81" s="18" t="s">
        <v>13</v>
      </c>
    </row>
    <row r="82" spans="1:16" ht="16.5" thickTop="1" x14ac:dyDescent="0.25">
      <c r="A82" s="9" t="s">
        <v>107</v>
      </c>
      <c r="B82" s="9"/>
      <c r="C82" s="9" t="s">
        <v>15</v>
      </c>
      <c r="D82" s="22" t="s">
        <v>16</v>
      </c>
      <c r="E82" s="16" t="s">
        <v>27</v>
      </c>
      <c r="F82" s="15"/>
      <c r="G82" s="15"/>
      <c r="H82" s="15"/>
      <c r="I82" s="15"/>
      <c r="J82" s="15"/>
      <c r="K82" s="31"/>
      <c r="L82" s="39">
        <v>404</v>
      </c>
      <c r="M82" s="48">
        <f>SUM(L82*0.25)</f>
        <v>101</v>
      </c>
      <c r="N82" s="51">
        <v>51388.800000000003</v>
      </c>
      <c r="O82" s="35"/>
      <c r="P82" s="15"/>
    </row>
    <row r="83" spans="1:16" ht="15.75" x14ac:dyDescent="0.25">
      <c r="A83" s="9" t="s">
        <v>107</v>
      </c>
      <c r="B83" s="9"/>
      <c r="C83" s="9" t="s">
        <v>15</v>
      </c>
      <c r="D83" s="22" t="s">
        <v>16</v>
      </c>
      <c r="E83" s="16" t="s">
        <v>33</v>
      </c>
      <c r="F83" s="15"/>
      <c r="G83" s="15"/>
      <c r="H83" s="15"/>
      <c r="I83" s="15"/>
      <c r="J83" s="15"/>
      <c r="K83" s="31"/>
      <c r="L83" s="40">
        <v>180</v>
      </c>
      <c r="M83" s="48">
        <f t="shared" ref="M83:M85" si="27">SUM(L83*0.25)</f>
        <v>45</v>
      </c>
      <c r="N83" s="52">
        <v>68497.2</v>
      </c>
      <c r="O83" s="35"/>
      <c r="P83" s="15"/>
    </row>
    <row r="84" spans="1:16" ht="15.75" x14ac:dyDescent="0.25">
      <c r="A84" s="9" t="s">
        <v>107</v>
      </c>
      <c r="B84" s="9"/>
      <c r="C84" s="9" t="s">
        <v>15</v>
      </c>
      <c r="D84" s="22" t="s">
        <v>16</v>
      </c>
      <c r="E84" s="16" t="s">
        <v>34</v>
      </c>
      <c r="F84" s="15"/>
      <c r="G84" s="15"/>
      <c r="H84" s="15"/>
      <c r="I84" s="15">
        <f>27768*36*0.25</f>
        <v>249912</v>
      </c>
      <c r="J84" s="15"/>
      <c r="K84" s="31">
        <v>299894.40000000002</v>
      </c>
      <c r="L84" s="40"/>
      <c r="M84" s="48">
        <f t="shared" si="27"/>
        <v>0</v>
      </c>
      <c r="N84" s="52"/>
      <c r="O84" s="35"/>
      <c r="P84" s="15"/>
    </row>
    <row r="85" spans="1:16" ht="15.75" x14ac:dyDescent="0.25">
      <c r="A85" s="9" t="s">
        <v>107</v>
      </c>
      <c r="B85" s="9"/>
      <c r="C85" s="9" t="s">
        <v>15</v>
      </c>
      <c r="D85" s="53" t="s">
        <v>16</v>
      </c>
      <c r="E85" s="54" t="s">
        <v>35</v>
      </c>
      <c r="F85" s="55"/>
      <c r="G85" s="55"/>
      <c r="H85" s="55"/>
      <c r="I85" s="55"/>
      <c r="J85" s="55"/>
      <c r="K85" s="56"/>
      <c r="L85" s="57">
        <v>278</v>
      </c>
      <c r="M85" s="58">
        <f t="shared" si="27"/>
        <v>69.5</v>
      </c>
      <c r="N85" s="59">
        <v>108108</v>
      </c>
      <c r="O85" s="60"/>
      <c r="P85" s="55"/>
    </row>
    <row r="86" spans="1:16" x14ac:dyDescent="0.25">
      <c r="D86" s="61"/>
      <c r="E86" s="62"/>
      <c r="F86" s="63"/>
      <c r="G86" s="63"/>
      <c r="H86" s="63"/>
      <c r="I86" s="63"/>
      <c r="J86" s="63"/>
      <c r="K86" s="63"/>
      <c r="L86" s="63">
        <f>SUM(L82:L85)</f>
        <v>862</v>
      </c>
      <c r="M86" s="63">
        <f t="shared" ref="M86:P86" si="28">SUM(M82:M85)</f>
        <v>215.5</v>
      </c>
      <c r="N86" s="63">
        <f t="shared" si="28"/>
        <v>227994</v>
      </c>
      <c r="O86" s="63">
        <f t="shared" si="28"/>
        <v>0</v>
      </c>
      <c r="P86" s="63">
        <f t="shared" si="28"/>
        <v>0</v>
      </c>
    </row>
    <row r="87" spans="1:16" x14ac:dyDescent="0.25">
      <c r="D87" s="61"/>
      <c r="E87" s="62"/>
      <c r="F87" s="63"/>
      <c r="G87" s="63"/>
      <c r="H87" s="63"/>
      <c r="I87" s="63"/>
      <c r="J87" s="63"/>
      <c r="K87" s="63"/>
      <c r="L87" s="63">
        <f>SUM(L79,L86)</f>
        <v>794929</v>
      </c>
      <c r="M87" s="63">
        <f t="shared" ref="M87:P87" si="29">SUM(M79,M86)</f>
        <v>482715.49</v>
      </c>
      <c r="N87" s="63">
        <f t="shared" si="29"/>
        <v>20089807.109999999</v>
      </c>
      <c r="O87" s="63">
        <f t="shared" si="29"/>
        <v>158813</v>
      </c>
      <c r="P87" s="63">
        <f t="shared" si="29"/>
        <v>56022.18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2"/>
    <mergeCell ref="B1:B2"/>
    <mergeCell ref="C1:C2"/>
    <mergeCell ref="D1:D2"/>
    <mergeCell ref="E1:E2"/>
    <mergeCell ref="F80:H80"/>
    <mergeCell ref="I80:K80"/>
    <mergeCell ref="L80:P80"/>
    <mergeCell ref="F1:H1"/>
    <mergeCell ref="I1:K1"/>
    <mergeCell ref="L1:P1"/>
    <mergeCell ref="A80:A81"/>
    <mergeCell ref="B80:B81"/>
    <mergeCell ref="C80:C81"/>
    <mergeCell ref="D80:D81"/>
    <mergeCell ref="E80:E81"/>
  </mergeCells>
  <pageMargins left="0.25" right="0.25" top="0.75" bottom="0.75" header="0.3" footer="0.3"/>
  <pageSetup paperSize="9" scale="58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100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100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100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100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100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100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100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100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100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100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100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100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100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100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100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100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100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100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100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100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100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100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100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100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100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100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100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100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100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100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100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100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100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100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100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100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100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100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100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100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100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100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100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100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100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100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100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100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100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100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100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100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8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/>
      <c r="H1" s="27"/>
      <c r="I1" s="27" t="s">
        <v>6</v>
      </c>
      <c r="J1" s="27"/>
      <c r="K1" s="27"/>
      <c r="L1" s="27" t="s">
        <v>7</v>
      </c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79"/>
  <sheetViews>
    <sheetView zoomScale="110" zoomScaleNormal="110" workbookViewId="0">
      <selection sqref="A1:P21"/>
    </sheetView>
  </sheetViews>
  <sheetFormatPr defaultRowHeight="15" x14ac:dyDescent="0.25"/>
  <cols>
    <col min="1" max="1" width="22.5703125" style="6" bestFit="1" customWidth="1"/>
    <col min="2" max="2" width="8.42578125" style="6" bestFit="1" customWidth="1"/>
    <col min="3" max="3" width="14" style="6" bestFit="1" customWidth="1"/>
    <col min="4" max="4" width="27.28515625" style="6" bestFit="1" customWidth="1"/>
    <col min="5" max="5" width="48.140625" style="6" bestFit="1" customWidth="1"/>
    <col min="6" max="6" width="4.42578125" style="6" bestFit="1" customWidth="1"/>
    <col min="7" max="8" width="4.85546875" style="6" bestFit="1" customWidth="1"/>
    <col min="9" max="9" width="11.5703125" style="6" bestFit="1" customWidth="1"/>
    <col min="10" max="10" width="4.85546875" style="6" bestFit="1" customWidth="1"/>
    <col min="11" max="11" width="11.5703125" style="6" bestFit="1" customWidth="1"/>
    <col min="12" max="12" width="11.5703125" style="10" bestFit="1" customWidth="1"/>
    <col min="13" max="13" width="8" style="10" bestFit="1" customWidth="1"/>
    <col min="14" max="14" width="11.5703125" style="10" bestFit="1" customWidth="1"/>
    <col min="15" max="15" width="17.7109375" style="10" bestFit="1" customWidth="1"/>
    <col min="16" max="16" width="23" style="10" bestFit="1" customWidth="1"/>
    <col min="17" max="16384" width="9.140625" style="6"/>
  </cols>
  <sheetData>
    <row r="1" spans="1:1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23"/>
      <c r="I1" s="23" t="s">
        <v>6</v>
      </c>
      <c r="J1" s="23"/>
      <c r="K1" s="23"/>
      <c r="L1" s="30" t="s">
        <v>7</v>
      </c>
      <c r="M1" s="30"/>
      <c r="N1" s="30"/>
      <c r="O1" s="30"/>
      <c r="P1" s="30"/>
    </row>
    <row r="2" spans="1:16" x14ac:dyDescent="0.25">
      <c r="A2" s="23"/>
      <c r="B2" s="23"/>
      <c r="C2" s="23"/>
      <c r="D2" s="23"/>
      <c r="E2" s="23"/>
      <c r="F2" s="7" t="s">
        <v>8</v>
      </c>
      <c r="G2" s="7" t="s">
        <v>9</v>
      </c>
      <c r="H2" s="7" t="s">
        <v>10</v>
      </c>
      <c r="I2" s="7" t="s">
        <v>8</v>
      </c>
      <c r="J2" s="7" t="s">
        <v>9</v>
      </c>
      <c r="K2" s="7" t="s">
        <v>10</v>
      </c>
      <c r="L2" s="8" t="s">
        <v>11</v>
      </c>
      <c r="M2" s="8" t="s">
        <v>8</v>
      </c>
      <c r="N2" s="8" t="s">
        <v>10</v>
      </c>
      <c r="O2" s="8" t="s">
        <v>12</v>
      </c>
      <c r="P2" s="8" t="s">
        <v>13</v>
      </c>
    </row>
    <row r="3" spans="1:16" hidden="1" x14ac:dyDescent="0.25">
      <c r="A3" s="9" t="s">
        <v>107</v>
      </c>
      <c r="B3" s="9"/>
      <c r="C3" s="9" t="s">
        <v>15</v>
      </c>
      <c r="D3" s="9" t="s">
        <v>16</v>
      </c>
      <c r="E3" s="9" t="s">
        <v>17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idden="1" x14ac:dyDescent="0.25">
      <c r="A4" s="9" t="s">
        <v>107</v>
      </c>
      <c r="B4" s="9"/>
      <c r="C4" s="9" t="s">
        <v>15</v>
      </c>
      <c r="D4" s="9" t="s">
        <v>16</v>
      </c>
      <c r="E4" s="9" t="s">
        <v>18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idden="1" x14ac:dyDescent="0.25">
      <c r="A5" s="9" t="s">
        <v>107</v>
      </c>
      <c r="B5" s="9"/>
      <c r="C5" s="9" t="s">
        <v>15</v>
      </c>
      <c r="D5" s="9" t="s">
        <v>16</v>
      </c>
      <c r="E5" s="9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idden="1" x14ac:dyDescent="0.25">
      <c r="A6" s="9" t="s">
        <v>107</v>
      </c>
      <c r="B6" s="9"/>
      <c r="C6" s="9" t="s">
        <v>15</v>
      </c>
      <c r="D6" s="9" t="s">
        <v>16</v>
      </c>
      <c r="E6" s="9" t="s">
        <v>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idden="1" x14ac:dyDescent="0.25">
      <c r="A7" s="9" t="s">
        <v>107</v>
      </c>
      <c r="B7" s="9"/>
      <c r="C7" s="9" t="s">
        <v>15</v>
      </c>
      <c r="D7" s="9" t="s">
        <v>16</v>
      </c>
      <c r="E7" s="9" t="s">
        <v>21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idden="1" x14ac:dyDescent="0.25">
      <c r="A8" s="9" t="s">
        <v>107</v>
      </c>
      <c r="B8" s="9"/>
      <c r="C8" s="9" t="s">
        <v>15</v>
      </c>
      <c r="D8" s="9" t="s">
        <v>16</v>
      </c>
      <c r="E8" s="9" t="s">
        <v>22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idden="1" x14ac:dyDescent="0.25">
      <c r="A9" s="9" t="s">
        <v>107</v>
      </c>
      <c r="B9" s="9"/>
      <c r="C9" s="9" t="s">
        <v>15</v>
      </c>
      <c r="D9" s="9" t="s">
        <v>16</v>
      </c>
      <c r="E9" s="9" t="s">
        <v>23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idden="1" x14ac:dyDescent="0.25">
      <c r="A10" s="9" t="s">
        <v>107</v>
      </c>
      <c r="B10" s="9"/>
      <c r="C10" s="9" t="s">
        <v>15</v>
      </c>
      <c r="D10" s="9" t="s">
        <v>16</v>
      </c>
      <c r="E10" s="9" t="s">
        <v>24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idden="1" x14ac:dyDescent="0.25">
      <c r="A11" s="9" t="s">
        <v>107</v>
      </c>
      <c r="B11" s="9"/>
      <c r="C11" s="9" t="s">
        <v>15</v>
      </c>
      <c r="D11" s="9" t="s">
        <v>16</v>
      </c>
      <c r="E11" s="9" t="s">
        <v>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idden="1" x14ac:dyDescent="0.25">
      <c r="A12" s="9" t="s">
        <v>107</v>
      </c>
      <c r="B12" s="9"/>
      <c r="C12" s="9" t="s">
        <v>15</v>
      </c>
      <c r="D12" s="9" t="s">
        <v>16</v>
      </c>
      <c r="E12" s="9" t="s">
        <v>26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9" t="s">
        <v>107</v>
      </c>
      <c r="B13" s="9"/>
      <c r="C13" s="9" t="s">
        <v>15</v>
      </c>
      <c r="D13" s="9" t="s">
        <v>16</v>
      </c>
      <c r="E13" s="9" t="s">
        <v>27</v>
      </c>
      <c r="F13" s="5"/>
      <c r="G13" s="5"/>
      <c r="H13" s="5"/>
      <c r="I13" s="5"/>
      <c r="J13" s="5"/>
      <c r="K13" s="5"/>
      <c r="L13" s="11">
        <v>404</v>
      </c>
      <c r="M13" s="5">
        <f>SUM(L13*0.25)</f>
        <v>101</v>
      </c>
      <c r="N13" s="4">
        <v>51388.800000000003</v>
      </c>
      <c r="O13" s="5"/>
      <c r="P13" s="5"/>
    </row>
    <row r="14" spans="1:16" x14ac:dyDescent="0.25">
      <c r="A14" s="9" t="s">
        <v>107</v>
      </c>
      <c r="B14" s="9"/>
      <c r="C14" s="9" t="s">
        <v>15</v>
      </c>
      <c r="D14" s="9" t="s">
        <v>16</v>
      </c>
      <c r="E14" s="9" t="s">
        <v>28</v>
      </c>
      <c r="F14" s="5"/>
      <c r="G14" s="5"/>
      <c r="H14" s="5"/>
      <c r="I14" s="5"/>
      <c r="J14" s="5"/>
      <c r="K14" s="5"/>
      <c r="L14" s="11"/>
      <c r="M14" s="5">
        <f>SUM(L14*0.25)</f>
        <v>0</v>
      </c>
      <c r="N14" s="4"/>
      <c r="O14" s="5"/>
      <c r="P14" s="5"/>
    </row>
    <row r="15" spans="1:16" x14ac:dyDescent="0.25">
      <c r="A15" s="9" t="s">
        <v>107</v>
      </c>
      <c r="B15" s="9"/>
      <c r="C15" s="9" t="s">
        <v>15</v>
      </c>
      <c r="D15" s="9" t="s">
        <v>16</v>
      </c>
      <c r="E15" s="9" t="s">
        <v>29</v>
      </c>
      <c r="F15" s="5"/>
      <c r="G15" s="5"/>
      <c r="H15" s="5"/>
      <c r="I15" s="5"/>
      <c r="J15" s="5"/>
      <c r="K15" s="5"/>
      <c r="L15" s="11"/>
      <c r="M15" s="5">
        <f t="shared" ref="M15:M21" si="0">SUM(L15*0.25)</f>
        <v>0</v>
      </c>
      <c r="N15" s="4"/>
      <c r="O15" s="5"/>
      <c r="P15" s="5"/>
    </row>
    <row r="16" spans="1:16" hidden="1" x14ac:dyDescent="0.25">
      <c r="A16" s="9" t="s">
        <v>107</v>
      </c>
      <c r="B16" s="9"/>
      <c r="C16" s="9" t="s">
        <v>15</v>
      </c>
      <c r="D16" s="9" t="s">
        <v>16</v>
      </c>
      <c r="E16" s="9" t="s">
        <v>30</v>
      </c>
      <c r="F16" s="5"/>
      <c r="G16" s="5"/>
      <c r="H16" s="5"/>
      <c r="I16" s="5"/>
      <c r="J16" s="5"/>
      <c r="K16" s="5"/>
      <c r="L16" s="11"/>
      <c r="M16" s="5">
        <f t="shared" si="0"/>
        <v>0</v>
      </c>
      <c r="N16" s="4"/>
      <c r="O16" s="5"/>
      <c r="P16" s="5"/>
    </row>
    <row r="17" spans="1:16" hidden="1" x14ac:dyDescent="0.25">
      <c r="A17" s="9" t="s">
        <v>107</v>
      </c>
      <c r="B17" s="9"/>
      <c r="C17" s="9" t="s">
        <v>15</v>
      </c>
      <c r="D17" s="9" t="s">
        <v>16</v>
      </c>
      <c r="E17" s="9" t="s">
        <v>31</v>
      </c>
      <c r="F17" s="5"/>
      <c r="G17" s="5"/>
      <c r="H17" s="5"/>
      <c r="I17" s="5"/>
      <c r="J17" s="5"/>
      <c r="K17" s="5"/>
      <c r="L17" s="11"/>
      <c r="M17" s="5">
        <f t="shared" si="0"/>
        <v>0</v>
      </c>
      <c r="N17" s="4"/>
      <c r="O17" s="5"/>
      <c r="P17" s="5"/>
    </row>
    <row r="18" spans="1:16" hidden="1" x14ac:dyDescent="0.25">
      <c r="A18" s="9" t="s">
        <v>107</v>
      </c>
      <c r="B18" s="9"/>
      <c r="C18" s="9" t="s">
        <v>15</v>
      </c>
      <c r="D18" s="9" t="s">
        <v>16</v>
      </c>
      <c r="E18" s="9" t="s">
        <v>32</v>
      </c>
      <c r="F18" s="5"/>
      <c r="G18" s="5"/>
      <c r="H18" s="5"/>
      <c r="I18" s="5"/>
      <c r="J18" s="5"/>
      <c r="K18" s="5"/>
      <c r="L18" s="11"/>
      <c r="M18" s="5">
        <f t="shared" si="0"/>
        <v>0</v>
      </c>
      <c r="N18" s="4"/>
      <c r="O18" s="5"/>
      <c r="P18" s="5"/>
    </row>
    <row r="19" spans="1:16" x14ac:dyDescent="0.25">
      <c r="A19" s="9" t="s">
        <v>107</v>
      </c>
      <c r="B19" s="9"/>
      <c r="C19" s="9" t="s">
        <v>15</v>
      </c>
      <c r="D19" s="9" t="s">
        <v>16</v>
      </c>
      <c r="E19" s="9" t="s">
        <v>33</v>
      </c>
      <c r="F19" s="5"/>
      <c r="G19" s="5"/>
      <c r="H19" s="5"/>
      <c r="I19" s="5"/>
      <c r="J19" s="5"/>
      <c r="K19" s="5"/>
      <c r="L19" s="11">
        <v>180</v>
      </c>
      <c r="M19" s="5">
        <f t="shared" si="0"/>
        <v>45</v>
      </c>
      <c r="N19" s="4">
        <v>68497.2</v>
      </c>
      <c r="O19" s="5"/>
      <c r="P19" s="5"/>
    </row>
    <row r="20" spans="1:16" x14ac:dyDescent="0.25">
      <c r="A20" s="9" t="s">
        <v>107</v>
      </c>
      <c r="B20" s="9"/>
      <c r="C20" s="9" t="s">
        <v>15</v>
      </c>
      <c r="D20" s="9" t="s">
        <v>16</v>
      </c>
      <c r="E20" s="9" t="s">
        <v>34</v>
      </c>
      <c r="F20" s="5"/>
      <c r="G20" s="5"/>
      <c r="H20" s="5"/>
      <c r="I20" s="5">
        <f>27768*36*0.25</f>
        <v>249912</v>
      </c>
      <c r="J20" s="5"/>
      <c r="K20" s="5">
        <v>299894.40000000002</v>
      </c>
      <c r="L20" s="11"/>
      <c r="M20" s="5">
        <f t="shared" si="0"/>
        <v>0</v>
      </c>
      <c r="N20" s="4"/>
      <c r="O20" s="5"/>
      <c r="P20" s="5"/>
    </row>
    <row r="21" spans="1:16" x14ac:dyDescent="0.25">
      <c r="A21" s="9" t="s">
        <v>107</v>
      </c>
      <c r="B21" s="9"/>
      <c r="C21" s="9" t="s">
        <v>15</v>
      </c>
      <c r="D21" s="9" t="s">
        <v>16</v>
      </c>
      <c r="E21" s="9" t="s">
        <v>35</v>
      </c>
      <c r="F21" s="5"/>
      <c r="G21" s="5"/>
      <c r="H21" s="5"/>
      <c r="I21" s="5"/>
      <c r="J21" s="5"/>
      <c r="K21" s="5"/>
      <c r="L21" s="11">
        <v>278</v>
      </c>
      <c r="M21" s="5">
        <f t="shared" si="0"/>
        <v>69.5</v>
      </c>
      <c r="N21" s="4">
        <v>108108</v>
      </c>
      <c r="O21" s="5"/>
      <c r="P21" s="5"/>
    </row>
    <row r="22" spans="1:16" hidden="1" x14ac:dyDescent="0.25">
      <c r="A22" s="9" t="s">
        <v>107</v>
      </c>
      <c r="B22" s="9"/>
      <c r="C22" s="9" t="s">
        <v>15</v>
      </c>
      <c r="D22" s="9" t="s">
        <v>36</v>
      </c>
      <c r="E22" s="9" t="s">
        <v>37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idden="1" x14ac:dyDescent="0.25">
      <c r="A23" s="9" t="s">
        <v>107</v>
      </c>
      <c r="B23" s="9"/>
      <c r="C23" s="9" t="s">
        <v>15</v>
      </c>
      <c r="D23" s="9" t="s">
        <v>36</v>
      </c>
      <c r="E23" s="9" t="s">
        <v>38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idden="1" x14ac:dyDescent="0.25">
      <c r="A24" s="9" t="s">
        <v>107</v>
      </c>
      <c r="B24" s="9"/>
      <c r="C24" s="9" t="s">
        <v>15</v>
      </c>
      <c r="D24" s="9" t="s">
        <v>36</v>
      </c>
      <c r="E24" s="9" t="s">
        <v>39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idden="1" x14ac:dyDescent="0.25">
      <c r="A25" s="9" t="s">
        <v>107</v>
      </c>
      <c r="B25" s="9"/>
      <c r="C25" s="9" t="s">
        <v>15</v>
      </c>
      <c r="D25" s="9" t="s">
        <v>36</v>
      </c>
      <c r="E25" s="9" t="s">
        <v>40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idden="1" x14ac:dyDescent="0.25">
      <c r="A26" s="9" t="s">
        <v>107</v>
      </c>
      <c r="B26" s="9"/>
      <c r="C26" s="9" t="s">
        <v>15</v>
      </c>
      <c r="D26" s="9" t="s">
        <v>41</v>
      </c>
      <c r="E26" s="9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idden="1" x14ac:dyDescent="0.25">
      <c r="A27" s="9" t="s">
        <v>107</v>
      </c>
      <c r="B27" s="9"/>
      <c r="C27" s="9" t="s">
        <v>15</v>
      </c>
      <c r="D27" s="9" t="s">
        <v>41</v>
      </c>
      <c r="E27" s="9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idden="1" x14ac:dyDescent="0.25">
      <c r="A28" s="9" t="s">
        <v>107</v>
      </c>
      <c r="B28" s="9"/>
      <c r="C28" s="9" t="s">
        <v>15</v>
      </c>
      <c r="D28" s="9" t="s">
        <v>41</v>
      </c>
      <c r="E28" s="9" t="s">
        <v>44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idden="1" x14ac:dyDescent="0.25">
      <c r="A29" s="9" t="s">
        <v>107</v>
      </c>
      <c r="B29" s="9"/>
      <c r="C29" s="9" t="s">
        <v>15</v>
      </c>
      <c r="D29" s="9" t="s">
        <v>41</v>
      </c>
      <c r="E29" s="9" t="s">
        <v>45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idden="1" x14ac:dyDescent="0.25">
      <c r="A30" s="9" t="s">
        <v>107</v>
      </c>
      <c r="B30" s="9"/>
      <c r="C30" s="9" t="s">
        <v>15</v>
      </c>
      <c r="D30" s="9" t="s">
        <v>41</v>
      </c>
      <c r="E30" s="9" t="s">
        <v>46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idden="1" x14ac:dyDescent="0.25">
      <c r="A31" s="9" t="s">
        <v>107</v>
      </c>
      <c r="B31" s="9"/>
      <c r="C31" s="9" t="s">
        <v>15</v>
      </c>
      <c r="D31" s="9" t="s">
        <v>41</v>
      </c>
      <c r="E31" s="9" t="s">
        <v>47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idden="1" x14ac:dyDescent="0.25">
      <c r="A32" s="9" t="s">
        <v>107</v>
      </c>
      <c r="B32" s="9"/>
      <c r="C32" s="9" t="s">
        <v>15</v>
      </c>
      <c r="D32" s="9" t="s">
        <v>41</v>
      </c>
      <c r="E32" s="9" t="s">
        <v>48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idden="1" x14ac:dyDescent="0.25">
      <c r="A33" s="9" t="s">
        <v>107</v>
      </c>
      <c r="B33" s="9"/>
      <c r="C33" s="9" t="s">
        <v>15</v>
      </c>
      <c r="D33" s="9" t="s">
        <v>41</v>
      </c>
      <c r="E33" s="9" t="s">
        <v>49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idden="1" x14ac:dyDescent="0.25">
      <c r="A34" s="9" t="s">
        <v>107</v>
      </c>
      <c r="B34" s="9"/>
      <c r="C34" s="9" t="s">
        <v>15</v>
      </c>
      <c r="D34" s="9" t="s">
        <v>41</v>
      </c>
      <c r="E34" s="9" t="s">
        <v>50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idden="1" x14ac:dyDescent="0.25">
      <c r="A35" s="9" t="s">
        <v>107</v>
      </c>
      <c r="B35" s="9"/>
      <c r="C35" s="9" t="s">
        <v>15</v>
      </c>
      <c r="D35" s="9" t="s">
        <v>41</v>
      </c>
      <c r="E35" s="9" t="s">
        <v>51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idden="1" x14ac:dyDescent="0.25">
      <c r="A36" s="9" t="s">
        <v>107</v>
      </c>
      <c r="B36" s="9"/>
      <c r="C36" s="9" t="s">
        <v>15</v>
      </c>
      <c r="D36" s="9" t="s">
        <v>41</v>
      </c>
      <c r="E36" s="9" t="s">
        <v>52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idden="1" x14ac:dyDescent="0.25">
      <c r="A37" s="9" t="s">
        <v>107</v>
      </c>
      <c r="B37" s="9"/>
      <c r="C37" s="9" t="s">
        <v>15</v>
      </c>
      <c r="D37" s="9" t="s">
        <v>41</v>
      </c>
      <c r="E37" s="9" t="s">
        <v>53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idden="1" x14ac:dyDescent="0.25">
      <c r="A38" s="9" t="s">
        <v>107</v>
      </c>
      <c r="B38" s="9"/>
      <c r="C38" s="9" t="s">
        <v>15</v>
      </c>
      <c r="D38" s="9" t="s">
        <v>41</v>
      </c>
      <c r="E38" s="9" t="s">
        <v>54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idden="1" x14ac:dyDescent="0.25">
      <c r="A39" s="9" t="s">
        <v>107</v>
      </c>
      <c r="B39" s="9"/>
      <c r="C39" s="9" t="s">
        <v>15</v>
      </c>
      <c r="D39" s="9" t="s">
        <v>55</v>
      </c>
      <c r="E39" s="9" t="s">
        <v>56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idden="1" x14ac:dyDescent="0.25">
      <c r="A40" s="9" t="s">
        <v>107</v>
      </c>
      <c r="B40" s="9"/>
      <c r="C40" s="9" t="s">
        <v>15</v>
      </c>
      <c r="D40" s="9" t="s">
        <v>55</v>
      </c>
      <c r="E40" s="9" t="s">
        <v>57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idden="1" x14ac:dyDescent="0.25">
      <c r="A41" s="9" t="s">
        <v>107</v>
      </c>
      <c r="B41" s="9"/>
      <c r="C41" s="9" t="s">
        <v>15</v>
      </c>
      <c r="D41" s="9" t="s">
        <v>55</v>
      </c>
      <c r="E41" s="9" t="s">
        <v>58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idden="1" x14ac:dyDescent="0.25">
      <c r="A42" s="9" t="s">
        <v>107</v>
      </c>
      <c r="B42" s="9"/>
      <c r="C42" s="9" t="s">
        <v>15</v>
      </c>
      <c r="D42" s="9" t="s">
        <v>55</v>
      </c>
      <c r="E42" s="9" t="s">
        <v>59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idden="1" x14ac:dyDescent="0.25">
      <c r="A43" s="9" t="s">
        <v>107</v>
      </c>
      <c r="B43" s="9"/>
      <c r="C43" s="9" t="s">
        <v>15</v>
      </c>
      <c r="D43" s="9" t="s">
        <v>55</v>
      </c>
      <c r="E43" s="9" t="s">
        <v>60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idden="1" x14ac:dyDescent="0.25">
      <c r="A44" s="9" t="s">
        <v>107</v>
      </c>
      <c r="B44" s="9"/>
      <c r="C44" s="9" t="s">
        <v>15</v>
      </c>
      <c r="D44" s="9" t="s">
        <v>55</v>
      </c>
      <c r="E44" s="9" t="s">
        <v>46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idden="1" x14ac:dyDescent="0.25">
      <c r="A45" s="9" t="s">
        <v>107</v>
      </c>
      <c r="B45" s="9"/>
      <c r="C45" s="9" t="s">
        <v>15</v>
      </c>
      <c r="D45" s="9" t="s">
        <v>55</v>
      </c>
      <c r="E45" s="9" t="s">
        <v>61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idden="1" x14ac:dyDescent="0.25">
      <c r="A46" s="9" t="s">
        <v>107</v>
      </c>
      <c r="B46" s="9"/>
      <c r="C46" s="9" t="s">
        <v>15</v>
      </c>
      <c r="D46" s="9" t="s">
        <v>55</v>
      </c>
      <c r="E46" s="9" t="s">
        <v>62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idden="1" x14ac:dyDescent="0.25">
      <c r="A47" s="9" t="s">
        <v>107</v>
      </c>
      <c r="B47" s="9"/>
      <c r="C47" s="9" t="s">
        <v>15</v>
      </c>
      <c r="D47" s="9" t="s">
        <v>55</v>
      </c>
      <c r="E47" s="9" t="s">
        <v>63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idden="1" x14ac:dyDescent="0.25">
      <c r="A48" s="9" t="s">
        <v>107</v>
      </c>
      <c r="B48" s="9"/>
      <c r="C48" s="9" t="s">
        <v>15</v>
      </c>
      <c r="D48" s="9" t="s">
        <v>55</v>
      </c>
      <c r="E48" s="9" t="s">
        <v>64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idden="1" x14ac:dyDescent="0.25">
      <c r="A49" s="9" t="s">
        <v>107</v>
      </c>
      <c r="B49" s="9"/>
      <c r="C49" s="9" t="s">
        <v>15</v>
      </c>
      <c r="D49" s="9" t="s">
        <v>55</v>
      </c>
      <c r="E49" s="9" t="s">
        <v>65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idden="1" x14ac:dyDescent="0.25">
      <c r="A50" s="9" t="s">
        <v>107</v>
      </c>
      <c r="B50" s="9"/>
      <c r="C50" s="9" t="s">
        <v>15</v>
      </c>
      <c r="D50" s="9" t="s">
        <v>55</v>
      </c>
      <c r="E50" s="9" t="s">
        <v>66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idden="1" x14ac:dyDescent="0.25">
      <c r="A51" s="9" t="s">
        <v>107</v>
      </c>
      <c r="B51" s="9"/>
      <c r="C51" s="9" t="s">
        <v>15</v>
      </c>
      <c r="D51" s="9" t="s">
        <v>55</v>
      </c>
      <c r="E51" s="9" t="s">
        <v>67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idden="1" x14ac:dyDescent="0.25">
      <c r="A52" s="9" t="s">
        <v>107</v>
      </c>
      <c r="B52" s="9"/>
      <c r="C52" s="9" t="s">
        <v>15</v>
      </c>
      <c r="D52" s="9" t="s">
        <v>55</v>
      </c>
      <c r="E52" s="9" t="s">
        <v>68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idden="1" x14ac:dyDescent="0.25">
      <c r="A53" s="9" t="s">
        <v>107</v>
      </c>
      <c r="B53" s="9"/>
      <c r="C53" s="9" t="s">
        <v>15</v>
      </c>
      <c r="D53" s="9" t="s">
        <v>69</v>
      </c>
      <c r="E53" s="9" t="s">
        <v>70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idden="1" x14ac:dyDescent="0.25">
      <c r="A54" s="9" t="s">
        <v>107</v>
      </c>
      <c r="B54" s="9"/>
      <c r="C54" s="9" t="s">
        <v>15</v>
      </c>
      <c r="D54" s="9" t="s">
        <v>71</v>
      </c>
      <c r="E54" s="9" t="s">
        <v>72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idden="1" x14ac:dyDescent="0.25">
      <c r="A55" s="9" t="s">
        <v>107</v>
      </c>
      <c r="B55" s="9"/>
      <c r="C55" s="9" t="s">
        <v>15</v>
      </c>
      <c r="D55" s="9" t="s">
        <v>71</v>
      </c>
      <c r="E55" s="9" t="s">
        <v>73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idden="1" x14ac:dyDescent="0.25">
      <c r="A56" s="9" t="s">
        <v>107</v>
      </c>
      <c r="B56" s="9"/>
      <c r="C56" s="9" t="s">
        <v>15</v>
      </c>
      <c r="D56" s="9" t="s">
        <v>71</v>
      </c>
      <c r="E56" s="9" t="s">
        <v>74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idden="1" x14ac:dyDescent="0.25">
      <c r="A57" s="9" t="s">
        <v>107</v>
      </c>
      <c r="B57" s="9"/>
      <c r="C57" s="9" t="s">
        <v>15</v>
      </c>
      <c r="D57" s="9" t="s">
        <v>71</v>
      </c>
      <c r="E57" s="9" t="s">
        <v>75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idden="1" x14ac:dyDescent="0.25">
      <c r="A58" s="9" t="s">
        <v>107</v>
      </c>
      <c r="B58" s="9"/>
      <c r="C58" s="9" t="s">
        <v>15</v>
      </c>
      <c r="D58" s="9" t="s">
        <v>71</v>
      </c>
      <c r="E58" s="9" t="s">
        <v>76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idden="1" x14ac:dyDescent="0.25">
      <c r="A59" s="9" t="s">
        <v>107</v>
      </c>
      <c r="B59" s="9"/>
      <c r="C59" s="9" t="s">
        <v>15</v>
      </c>
      <c r="D59" s="9" t="s">
        <v>71</v>
      </c>
      <c r="E59" s="9" t="s">
        <v>77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idden="1" x14ac:dyDescent="0.25">
      <c r="A60" s="9" t="s">
        <v>107</v>
      </c>
      <c r="B60" s="9"/>
      <c r="C60" s="9" t="s">
        <v>15</v>
      </c>
      <c r="D60" s="9" t="s">
        <v>71</v>
      </c>
      <c r="E60" s="9" t="s">
        <v>78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idden="1" x14ac:dyDescent="0.25">
      <c r="A61" s="9" t="s">
        <v>107</v>
      </c>
      <c r="B61" s="9"/>
      <c r="C61" s="9" t="s">
        <v>15</v>
      </c>
      <c r="D61" s="9" t="s">
        <v>71</v>
      </c>
      <c r="E61" s="9" t="s">
        <v>79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idden="1" x14ac:dyDescent="0.25">
      <c r="A62" s="9" t="s">
        <v>107</v>
      </c>
      <c r="B62" s="9"/>
      <c r="C62" s="9" t="s">
        <v>15</v>
      </c>
      <c r="D62" s="9" t="s">
        <v>71</v>
      </c>
      <c r="E62" s="9" t="s">
        <v>80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idden="1" x14ac:dyDescent="0.25">
      <c r="A63" s="9" t="s">
        <v>107</v>
      </c>
      <c r="B63" s="9"/>
      <c r="C63" s="9" t="s">
        <v>15</v>
      </c>
      <c r="D63" s="9" t="s">
        <v>71</v>
      </c>
      <c r="E63" s="9" t="s">
        <v>81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idden="1" x14ac:dyDescent="0.25">
      <c r="A64" s="9" t="s">
        <v>107</v>
      </c>
      <c r="B64" s="9"/>
      <c r="C64" s="9" t="s">
        <v>15</v>
      </c>
      <c r="D64" s="9" t="s">
        <v>71</v>
      </c>
      <c r="E64" s="9" t="s">
        <v>82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idden="1" x14ac:dyDescent="0.25">
      <c r="A65" s="9" t="s">
        <v>107</v>
      </c>
      <c r="B65" s="9"/>
      <c r="C65" s="9" t="s">
        <v>15</v>
      </c>
      <c r="D65" s="9" t="s">
        <v>71</v>
      </c>
      <c r="E65" s="9" t="s">
        <v>83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idden="1" x14ac:dyDescent="0.25">
      <c r="A66" s="9" t="s">
        <v>107</v>
      </c>
      <c r="B66" s="9"/>
      <c r="C66" s="9" t="s">
        <v>15</v>
      </c>
      <c r="D66" s="9" t="s">
        <v>71</v>
      </c>
      <c r="E66" s="9" t="s">
        <v>84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idden="1" x14ac:dyDescent="0.25">
      <c r="A67" s="9" t="s">
        <v>107</v>
      </c>
      <c r="B67" s="9"/>
      <c r="C67" s="9" t="s">
        <v>15</v>
      </c>
      <c r="D67" s="9" t="s">
        <v>71</v>
      </c>
      <c r="E67" s="9" t="s">
        <v>85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idden="1" x14ac:dyDescent="0.25">
      <c r="A68" s="9" t="s">
        <v>107</v>
      </c>
      <c r="B68" s="9"/>
      <c r="C68" s="9" t="s">
        <v>15</v>
      </c>
      <c r="D68" s="9" t="s">
        <v>71</v>
      </c>
      <c r="E68" s="9" t="s">
        <v>86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idden="1" x14ac:dyDescent="0.25">
      <c r="A69" s="9" t="s">
        <v>107</v>
      </c>
      <c r="B69" s="9"/>
      <c r="C69" s="9" t="s">
        <v>15</v>
      </c>
      <c r="D69" s="9" t="s">
        <v>71</v>
      </c>
      <c r="E69" s="9" t="s">
        <v>87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idden="1" x14ac:dyDescent="0.25">
      <c r="A70" s="9" t="s">
        <v>107</v>
      </c>
      <c r="B70" s="9"/>
      <c r="C70" s="9" t="s">
        <v>15</v>
      </c>
      <c r="D70" s="9" t="s">
        <v>88</v>
      </c>
      <c r="E70" s="9" t="s">
        <v>89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idden="1" x14ac:dyDescent="0.25">
      <c r="A71" s="9" t="s">
        <v>107</v>
      </c>
      <c r="B71" s="9"/>
      <c r="C71" s="9" t="s">
        <v>15</v>
      </c>
      <c r="D71" s="9" t="s">
        <v>88</v>
      </c>
      <c r="E71" s="9" t="s">
        <v>90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idden="1" x14ac:dyDescent="0.25">
      <c r="A72" s="9" t="s">
        <v>107</v>
      </c>
      <c r="B72" s="9"/>
      <c r="C72" s="9" t="s">
        <v>15</v>
      </c>
      <c r="D72" s="9" t="s">
        <v>88</v>
      </c>
      <c r="E72" s="9" t="s">
        <v>91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idden="1" x14ac:dyDescent="0.25">
      <c r="A73" s="9" t="s">
        <v>107</v>
      </c>
      <c r="B73" s="9"/>
      <c r="C73" s="9" t="s">
        <v>15</v>
      </c>
      <c r="D73" s="9" t="s">
        <v>88</v>
      </c>
      <c r="E73" s="9" t="s">
        <v>92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idden="1" x14ac:dyDescent="0.25">
      <c r="A74" s="9" t="s">
        <v>107</v>
      </c>
      <c r="B74" s="9"/>
      <c r="C74" s="9" t="s">
        <v>15</v>
      </c>
      <c r="D74" s="9" t="s">
        <v>88</v>
      </c>
      <c r="E74" s="9" t="s">
        <v>93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idden="1" x14ac:dyDescent="0.25">
      <c r="A75" s="9" t="s">
        <v>107</v>
      </c>
      <c r="B75" s="9"/>
      <c r="C75" s="9" t="s">
        <v>15</v>
      </c>
      <c r="D75" s="9" t="s">
        <v>94</v>
      </c>
      <c r="E75" s="9" t="s">
        <v>95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idden="1" x14ac:dyDescent="0.25">
      <c r="A76" s="9" t="s">
        <v>107</v>
      </c>
      <c r="B76" s="9"/>
      <c r="C76" s="9" t="s">
        <v>15</v>
      </c>
      <c r="D76" s="9" t="s">
        <v>94</v>
      </c>
      <c r="E76" s="9" t="s">
        <v>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idden="1" x14ac:dyDescent="0.25">
      <c r="A77" s="9" t="s">
        <v>107</v>
      </c>
      <c r="B77" s="9"/>
      <c r="C77" s="9" t="s">
        <v>97</v>
      </c>
      <c r="D77" s="9" t="s">
        <v>16</v>
      </c>
      <c r="E77" s="9" t="s">
        <v>98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idden="1" x14ac:dyDescent="0.25">
      <c r="A78" s="9" t="s">
        <v>107</v>
      </c>
      <c r="B78" s="9"/>
      <c r="C78" s="9" t="s">
        <v>97</v>
      </c>
      <c r="D78" s="9" t="s">
        <v>41</v>
      </c>
      <c r="E78" s="9" t="s">
        <v>99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L79" s="10">
        <f>SUM(L13:L21)</f>
        <v>862</v>
      </c>
      <c r="M79" s="10">
        <f t="shared" ref="M79:N79" si="1">SUM(M13:M21)</f>
        <v>215.5</v>
      </c>
      <c r="N79" s="10">
        <f t="shared" si="1"/>
        <v>227994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พศวัต  ใจลังกา</cp:lastModifiedBy>
  <cp:lastPrinted>2020-04-03T09:10:37Z</cp:lastPrinted>
  <dcterms:created xsi:type="dcterms:W3CDTF">2020-03-04T02:24:55Z</dcterms:created>
  <dcterms:modified xsi:type="dcterms:W3CDTF">2020-04-03T09:11:02Z</dcterms:modified>
</cp:coreProperties>
</file>